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24226"/>
  <mc:AlternateContent xmlns:mc="http://schemas.openxmlformats.org/markup-compatibility/2006">
    <mc:Choice Requires="x15">
      <x15ac:absPath xmlns:x15ac="http://schemas.microsoft.com/office/spreadsheetml/2010/11/ac" url="C:\Divyesh\Drishti Web\"/>
    </mc:Choice>
  </mc:AlternateContent>
  <xr:revisionPtr revIDLastSave="0" documentId="13_ncr:1_{0C30C26B-3E98-4036-8255-0FED134BAD28}" xr6:coauthVersionLast="47" xr6:coauthVersionMax="47" xr10:uidLastSave="{00000000-0000-0000-0000-000000000000}"/>
  <bookViews>
    <workbookView xWindow="-120" yWindow="-120" windowWidth="29040" windowHeight="15720" tabRatio="808" firstSheet="5" activeTab="18" xr2:uid="{00000000-000D-0000-FFFF-FFFF00000000}"/>
  </bookViews>
  <sheets>
    <sheet name="README" sheetId="67" state="hidden" r:id="rId1"/>
    <sheet name="Input" sheetId="46" state="hidden" r:id="rId2"/>
    <sheet name="Pivot" sheetId="101" state="hidden" r:id="rId3"/>
    <sheet name="Master Grouping" sheetId="111" r:id="rId4"/>
    <sheet name="TB BVS 31.3.25" sheetId="89" r:id="rId5"/>
    <sheet name="TB BVS 31.03.26" sheetId="100" r:id="rId6"/>
    <sheet name="BS" sheetId="1" r:id="rId7"/>
    <sheet name="PL" sheetId="2" r:id="rId8"/>
    <sheet name="CFS Working" sheetId="97" state="hidden" r:id="rId9"/>
    <sheet name="IT Computation_FY24" sheetId="87" state="hidden" r:id="rId10"/>
    <sheet name="IT Comp workings_FY24" sheetId="96" state="hidden" r:id="rId11"/>
    <sheet name="Cash Flow_FY26" sheetId="99" r:id="rId12"/>
    <sheet name="SOCIE" sheetId="76" r:id="rId13"/>
    <sheet name="PPE- note 3" sheetId="53" r:id="rId14"/>
    <sheet name="Draft-TC" sheetId="115" state="hidden" r:id="rId15"/>
    <sheet name="DT-FY26" sheetId="114" state="hidden" r:id="rId16"/>
    <sheet name="WA-Shares" sheetId="113" state="hidden" r:id="rId17"/>
    <sheet name="BS  Notes  3-18" sheetId="48" r:id="rId18"/>
    <sheet name="PL Notes 19-27" sheetId="49" r:id="rId19"/>
    <sheet name="Note 28-31" sheetId="70" r:id="rId20"/>
    <sheet name="Segment" sheetId="112" state="hidden" r:id="rId21"/>
    <sheet name="FI -32" sheetId="73" r:id="rId22"/>
    <sheet name="Ratios -33" sheetId="74" r:id="rId23"/>
    <sheet name="Note - 34-35" sheetId="91" r:id="rId24"/>
    <sheet name="Note -36" sheetId="93" r:id="rId25"/>
    <sheet name="Note - 40" sheetId="92" r:id="rId26"/>
    <sheet name="DT" sheetId="98" state="hidden" r:id="rId27"/>
    <sheet name="WA Share Working" sheetId="102" state="hidden" r:id="rId28"/>
    <sheet name="IT Com" sheetId="107" state="hidden" r:id="rId29"/>
    <sheet name="DT_V1-Final" sheetId="108" state="hidden" r:id="rId30"/>
    <sheet name="IT Dep" sheetId="109" state="hidden" r:id="rId31"/>
    <sheet name="CA Dep" sheetId="110" state="hidden" r:id="rId32"/>
    <sheet name="SAP TB_FY24" sheetId="90" state="hidden" r:id="rId33"/>
    <sheet name="Client TB 23" sheetId="83" state="hidden" r:id="rId34"/>
    <sheet name="Ind AS 101 - Note 22 &amp; 23" sheetId="86" state="hidden" r:id="rId35"/>
    <sheet name="Workings &gt;&gt;&gt;" sheetId="84" state="hidden" r:id="rId36"/>
    <sheet name="TB BVS 31.3.23" sheetId="63" state="hidden" r:id="rId37"/>
    <sheet name="GL Summary" sheetId="88" state="hidden" r:id="rId38"/>
    <sheet name="TB BVS 31.3.22" sheetId="82" state="hidden" r:id="rId39"/>
    <sheet name="OCPS - BVS" sheetId="66"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xlnm._FilterDatabase" localSheetId="33" hidden="1">'Client TB 23'!$H$2:$I$34</definedName>
    <definedName name="_xlnm._FilterDatabase" localSheetId="21" hidden="1">'FI -32'!$A$62:$I$64</definedName>
    <definedName name="_xlnm._FilterDatabase" localSheetId="37" hidden="1">'GL Summary'!$A$1:$G$62</definedName>
    <definedName name="_xlnm._FilterDatabase" localSheetId="3" hidden="1">'Master Grouping'!$A$1:$C$237</definedName>
    <definedName name="_xlnm._FilterDatabase" localSheetId="19" hidden="1">'Note 28-31'!$A$23:$G$44</definedName>
    <definedName name="_xlnm._FilterDatabase" localSheetId="32" hidden="1">'SAP TB_FY24'!$A$1:$C$117</definedName>
    <definedName name="_xlnm._FilterDatabase" localSheetId="5" hidden="1">'TB BVS 31.03.26'!$A$6:$XFC$300</definedName>
    <definedName name="_xlnm._FilterDatabase" localSheetId="38" hidden="1">'TB BVS 31.3.22'!$A$4:$U$41</definedName>
    <definedName name="_xlnm._FilterDatabase" localSheetId="36" hidden="1">'TB BVS 31.3.23'!$A$4:$Z$107</definedName>
    <definedName name="_xlnm._FilterDatabase" localSheetId="4" hidden="1">'TB BVS 31.3.25'!$A$6:$XFC$232</definedName>
    <definedName name="AS2DocOpenMode" hidden="1">"AS2DocumentEdit"</definedName>
    <definedName name="_xlnm.Print_Area" localSheetId="6">BS!$A$1:$G$83</definedName>
    <definedName name="_xlnm.Print_Area" localSheetId="17">'BS  Notes  3-18'!$A$1:$H$475</definedName>
    <definedName name="_xlnm.Print_Area" localSheetId="11">'Cash Flow_FY26'!$A$1:$E$124</definedName>
    <definedName name="_xlnm.Print_Area" localSheetId="21">'FI -32'!$A$1:$I$127</definedName>
    <definedName name="_xlnm.Print_Area" localSheetId="34">'Ind AS 101 - Note 22 &amp; 23'!$A$1:$H$131</definedName>
    <definedName name="_xlnm.Print_Area" localSheetId="23">'Note - 34-35'!$A$1:$F$18</definedName>
    <definedName name="_xlnm.Print_Area" localSheetId="25">'Note - 40'!$A$1:$H$35</definedName>
    <definedName name="_xlnm.Print_Area" localSheetId="19">'Note 28-31'!$A$1:$G$87</definedName>
    <definedName name="_xlnm.Print_Area" localSheetId="24">'Note -36'!$A$1:$F$110</definedName>
    <definedName name="_xlnm.Print_Area" localSheetId="7">PL!$A$1:$F$60</definedName>
    <definedName name="_xlnm.Print_Area" localSheetId="18">'PL Notes 19-27'!$A$1:$E$122</definedName>
    <definedName name="_xlnm.Print_Area" localSheetId="13">'PPE- note 3'!$A$1:$K$151</definedName>
    <definedName name="_xlnm.Print_Area" localSheetId="22">'Ratios -33'!$A$1:$H$21</definedName>
    <definedName name="_xlnm.Print_Area" localSheetId="12">SOCIE!$A$1:$E$86</definedName>
    <definedName name="_xlnm.Print_Titles" localSheetId="6">BS!$1:$3</definedName>
    <definedName name="_xlnm.Print_Titles" localSheetId="17">'BS  Notes  3-18'!$1:$2</definedName>
    <definedName name="_xlnm.Print_Titles" localSheetId="21">'FI -32'!$1:$2</definedName>
    <definedName name="_xlnm.Print_Titles" localSheetId="34">'Ind AS 101 - Note 22 &amp; 23'!$1:$2</definedName>
    <definedName name="_xlnm.Print_Titles" localSheetId="25">'Note - 40'!$1:$3</definedName>
    <definedName name="_xlnm.Print_Titles" localSheetId="24">'Note -36'!$1:$3</definedName>
    <definedName name="_xlnm.Print_Titles" localSheetId="7">PL!$1:$3</definedName>
    <definedName name="_xlnm.Print_Titles" localSheetId="18">'PL Notes 19-27'!$1:$5</definedName>
    <definedName name="_xlnm.Print_Titles" localSheetId="13">'PPE- note 3'!$1:$2</definedName>
    <definedName name="Z_3836E531_56F0_46EE_9CE3_F6F572738B86_.wvu.PrintArea" localSheetId="6" hidden="1">BS!$A$3:$C$62</definedName>
    <definedName name="Z_3836E531_56F0_46EE_9CE3_F6F572738B86_.wvu.PrintArea" localSheetId="7" hidden="1">PL!$A$2:$F$40</definedName>
    <definedName name="Z_6F790F0E_238E_49B9_A956_830B052D36CD_.wvu.PrintArea" localSheetId="6" hidden="1">BS!$A$3:$C$62</definedName>
    <definedName name="Z_6F790F0E_238E_49B9_A956_830B052D36CD_.wvu.PrintArea" localSheetId="7" hidden="1">PL!$A$2:$F$40</definedName>
    <definedName name="Z_B317919B_ACB2_4159_9A3C_C8284BB28E2A_.wvu.PrintArea" localSheetId="6" hidden="1">BS!$A$3:$C$62</definedName>
    <definedName name="Z_B317919B_ACB2_4159_9A3C_C8284BB28E2A_.wvu.PrintArea" localSheetId="7" hidden="1">PL!$A$2:$F$40</definedName>
    <definedName name="Z_FAFB7874_3C1B_49A1_B7CB_634E10D10B91_.wvu.PrintArea" localSheetId="6" hidden="1">BS!$A$3:$C$62</definedName>
    <definedName name="Z_FAFB7874_3C1B_49A1_B7CB_634E10D10B91_.wvu.PrintArea" localSheetId="7" hidden="1">PL!$A$2:$F$40</definedName>
  </definedNames>
  <calcPr calcId="191029"/>
  <pivotCaches>
    <pivotCache cacheId="0" r:id="rId6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4" i="2" l="1"/>
  <c r="C43" i="99"/>
  <c r="D86" i="99"/>
  <c r="D82" i="99"/>
  <c r="G300" i="100"/>
  <c r="G257" i="100"/>
  <c r="C33" i="99"/>
  <c r="I35" i="99"/>
  <c r="C146" i="99"/>
  <c r="C145" i="99"/>
  <c r="C144" i="99"/>
  <c r="C49" i="99"/>
  <c r="D32" i="93" l="1"/>
  <c r="H247" i="100" l="1"/>
  <c r="G133" i="100"/>
  <c r="G132" i="100"/>
  <c r="H244" i="100"/>
  <c r="H16" i="73"/>
  <c r="F16" i="73"/>
  <c r="C16" i="73"/>
  <c r="XFD417" i="48"/>
  <c r="XFC417" i="48"/>
  <c r="XEV417" i="48"/>
  <c r="XEU417" i="48"/>
  <c r="XEN417" i="48"/>
  <c r="XEM417" i="48"/>
  <c r="XEF417" i="48"/>
  <c r="XEE417" i="48"/>
  <c r="XDX417" i="48"/>
  <c r="XDW417" i="48"/>
  <c r="XDP417" i="48"/>
  <c r="XDO417" i="48"/>
  <c r="XDH417" i="48"/>
  <c r="XDG417" i="48"/>
  <c r="XCZ417" i="48"/>
  <c r="XCY417" i="48"/>
  <c r="XCR417" i="48"/>
  <c r="XCQ417" i="48"/>
  <c r="XCJ417" i="48"/>
  <c r="XCI417" i="48"/>
  <c r="XCB417" i="48"/>
  <c r="XCA417" i="48"/>
  <c r="XBT417" i="48"/>
  <c r="XBS417" i="48"/>
  <c r="XBL417" i="48"/>
  <c r="XBK417" i="48"/>
  <c r="XBD417" i="48"/>
  <c r="XBC417" i="48"/>
  <c r="XAV417" i="48"/>
  <c r="XAU417" i="48"/>
  <c r="XAN417" i="48"/>
  <c r="XAM417" i="48"/>
  <c r="XAF417" i="48"/>
  <c r="XAE417" i="48"/>
  <c r="WZX417" i="48"/>
  <c r="WZW417" i="48"/>
  <c r="WZP417" i="48"/>
  <c r="WZO417" i="48"/>
  <c r="WZH417" i="48"/>
  <c r="WZG417" i="48"/>
  <c r="WYZ417" i="48"/>
  <c r="WYY417" i="48"/>
  <c r="WYR417" i="48"/>
  <c r="WYQ417" i="48"/>
  <c r="WYJ417" i="48"/>
  <c r="WYI417" i="48"/>
  <c r="WYB417" i="48"/>
  <c r="WYA417" i="48"/>
  <c r="WXT417" i="48"/>
  <c r="WXS417" i="48"/>
  <c r="WXL417" i="48"/>
  <c r="WXK417" i="48"/>
  <c r="WXD417" i="48"/>
  <c r="WXC417" i="48"/>
  <c r="WWV417" i="48"/>
  <c r="WWU417" i="48"/>
  <c r="WWN417" i="48"/>
  <c r="WWM417" i="48"/>
  <c r="WWF417" i="48"/>
  <c r="WWE417" i="48"/>
  <c r="WVX417" i="48"/>
  <c r="WVW417" i="48"/>
  <c r="WVP417" i="48"/>
  <c r="WVO417" i="48"/>
  <c r="WVH417" i="48"/>
  <c r="WVG417" i="48"/>
  <c r="WUZ417" i="48"/>
  <c r="WUY417" i="48"/>
  <c r="WUR417" i="48"/>
  <c r="WUQ417" i="48"/>
  <c r="WUJ417" i="48"/>
  <c r="WUI417" i="48"/>
  <c r="WUB417" i="48"/>
  <c r="WUA417" i="48"/>
  <c r="WTT417" i="48"/>
  <c r="WTS417" i="48"/>
  <c r="WTL417" i="48"/>
  <c r="WTK417" i="48"/>
  <c r="WTD417" i="48"/>
  <c r="WTC417" i="48"/>
  <c r="WSV417" i="48"/>
  <c r="WSU417" i="48"/>
  <c r="WSN417" i="48"/>
  <c r="WSM417" i="48"/>
  <c r="WSF417" i="48"/>
  <c r="WSE417" i="48"/>
  <c r="WRX417" i="48"/>
  <c r="WRW417" i="48"/>
  <c r="WRP417" i="48"/>
  <c r="WRO417" i="48"/>
  <c r="WRH417" i="48"/>
  <c r="WRG417" i="48"/>
  <c r="WQZ417" i="48"/>
  <c r="WQY417" i="48"/>
  <c r="WQR417" i="48"/>
  <c r="WQQ417" i="48"/>
  <c r="WQJ417" i="48"/>
  <c r="WQI417" i="48"/>
  <c r="WQB417" i="48"/>
  <c r="WQA417" i="48"/>
  <c r="WPT417" i="48"/>
  <c r="WPS417" i="48"/>
  <c r="WPL417" i="48"/>
  <c r="WPK417" i="48"/>
  <c r="WPD417" i="48"/>
  <c r="WPC417" i="48"/>
  <c r="WOV417" i="48"/>
  <c r="WOU417" i="48"/>
  <c r="WON417" i="48"/>
  <c r="WOM417" i="48"/>
  <c r="WOF417" i="48"/>
  <c r="WOE417" i="48"/>
  <c r="WNX417" i="48"/>
  <c r="WNW417" i="48"/>
  <c r="WNP417" i="48"/>
  <c r="WNO417" i="48"/>
  <c r="WNH417" i="48"/>
  <c r="WNG417" i="48"/>
  <c r="WMZ417" i="48"/>
  <c r="WMY417" i="48"/>
  <c r="WMR417" i="48"/>
  <c r="WMQ417" i="48"/>
  <c r="WMJ417" i="48"/>
  <c r="WMI417" i="48"/>
  <c r="WMB417" i="48"/>
  <c r="WMA417" i="48"/>
  <c r="WLT417" i="48"/>
  <c r="WLS417" i="48"/>
  <c r="WLL417" i="48"/>
  <c r="WLK417" i="48"/>
  <c r="WLD417" i="48"/>
  <c r="WLC417" i="48"/>
  <c r="WKV417" i="48"/>
  <c r="WKU417" i="48"/>
  <c r="WKN417" i="48"/>
  <c r="WKM417" i="48"/>
  <c r="WKF417" i="48"/>
  <c r="WKE417" i="48"/>
  <c r="WJX417" i="48"/>
  <c r="WJW417" i="48"/>
  <c r="WJP417" i="48"/>
  <c r="WJO417" i="48"/>
  <c r="WJH417" i="48"/>
  <c r="WJG417" i="48"/>
  <c r="WIZ417" i="48"/>
  <c r="WIY417" i="48"/>
  <c r="WIR417" i="48"/>
  <c r="WIQ417" i="48"/>
  <c r="WIJ417" i="48"/>
  <c r="WII417" i="48"/>
  <c r="WIB417" i="48"/>
  <c r="WIA417" i="48"/>
  <c r="WHT417" i="48"/>
  <c r="WHS417" i="48"/>
  <c r="WHL417" i="48"/>
  <c r="WHK417" i="48"/>
  <c r="WHD417" i="48"/>
  <c r="WHC417" i="48"/>
  <c r="WGV417" i="48"/>
  <c r="WGU417" i="48"/>
  <c r="WGN417" i="48"/>
  <c r="WGM417" i="48"/>
  <c r="WGF417" i="48"/>
  <c r="WGE417" i="48"/>
  <c r="WFX417" i="48"/>
  <c r="WFW417" i="48"/>
  <c r="WFP417" i="48"/>
  <c r="WFO417" i="48"/>
  <c r="WFH417" i="48"/>
  <c r="WFG417" i="48"/>
  <c r="WEZ417" i="48"/>
  <c r="WEY417" i="48"/>
  <c r="WER417" i="48"/>
  <c r="WEQ417" i="48"/>
  <c r="WEJ417" i="48"/>
  <c r="WEI417" i="48"/>
  <c r="WEB417" i="48"/>
  <c r="WEA417" i="48"/>
  <c r="WDT417" i="48"/>
  <c r="WDS417" i="48"/>
  <c r="WDL417" i="48"/>
  <c r="WDK417" i="48"/>
  <c r="WDD417" i="48"/>
  <c r="WDC417" i="48"/>
  <c r="WCV417" i="48"/>
  <c r="WCU417" i="48"/>
  <c r="WCN417" i="48"/>
  <c r="WCM417" i="48"/>
  <c r="WCF417" i="48"/>
  <c r="WCE417" i="48"/>
  <c r="WBX417" i="48"/>
  <c r="WBW417" i="48"/>
  <c r="WBP417" i="48"/>
  <c r="WBO417" i="48"/>
  <c r="WBH417" i="48"/>
  <c r="WBG417" i="48"/>
  <c r="WAZ417" i="48"/>
  <c r="WAY417" i="48"/>
  <c r="WAR417" i="48"/>
  <c r="WAQ417" i="48"/>
  <c r="WAJ417" i="48"/>
  <c r="WAI417" i="48"/>
  <c r="WAB417" i="48"/>
  <c r="WAA417" i="48"/>
  <c r="VZT417" i="48"/>
  <c r="VZS417" i="48"/>
  <c r="VZL417" i="48"/>
  <c r="VZK417" i="48"/>
  <c r="VZD417" i="48"/>
  <c r="VZC417" i="48"/>
  <c r="VYV417" i="48"/>
  <c r="VYU417" i="48"/>
  <c r="VYN417" i="48"/>
  <c r="VYM417" i="48"/>
  <c r="VYF417" i="48"/>
  <c r="VYE417" i="48"/>
  <c r="VXX417" i="48"/>
  <c r="VXW417" i="48"/>
  <c r="VXP417" i="48"/>
  <c r="VXO417" i="48"/>
  <c r="VXH417" i="48"/>
  <c r="VXG417" i="48"/>
  <c r="VWZ417" i="48"/>
  <c r="VWY417" i="48"/>
  <c r="VWR417" i="48"/>
  <c r="VWQ417" i="48"/>
  <c r="VWJ417" i="48"/>
  <c r="VWI417" i="48"/>
  <c r="VWB417" i="48"/>
  <c r="VWA417" i="48"/>
  <c r="VVT417" i="48"/>
  <c r="VVS417" i="48"/>
  <c r="VVL417" i="48"/>
  <c r="VVK417" i="48"/>
  <c r="VVD417" i="48"/>
  <c r="VVC417" i="48"/>
  <c r="VUV417" i="48"/>
  <c r="VUU417" i="48"/>
  <c r="VUN417" i="48"/>
  <c r="VUM417" i="48"/>
  <c r="VUF417" i="48"/>
  <c r="VUE417" i="48"/>
  <c r="VTX417" i="48"/>
  <c r="VTW417" i="48"/>
  <c r="VTP417" i="48"/>
  <c r="VTO417" i="48"/>
  <c r="VTH417" i="48"/>
  <c r="VTG417" i="48"/>
  <c r="VSZ417" i="48"/>
  <c r="VSY417" i="48"/>
  <c r="VSR417" i="48"/>
  <c r="VSQ417" i="48"/>
  <c r="VSJ417" i="48"/>
  <c r="VSI417" i="48"/>
  <c r="VSB417" i="48"/>
  <c r="VSA417" i="48"/>
  <c r="VRT417" i="48"/>
  <c r="VRS417" i="48"/>
  <c r="VRL417" i="48"/>
  <c r="VRK417" i="48"/>
  <c r="VRD417" i="48"/>
  <c r="VRC417" i="48"/>
  <c r="VQV417" i="48"/>
  <c r="VQU417" i="48"/>
  <c r="VQN417" i="48"/>
  <c r="VQM417" i="48"/>
  <c r="VQF417" i="48"/>
  <c r="VQE417" i="48"/>
  <c r="VPX417" i="48"/>
  <c r="VPW417" i="48"/>
  <c r="VPP417" i="48"/>
  <c r="VPO417" i="48"/>
  <c r="VPH417" i="48"/>
  <c r="VPG417" i="48"/>
  <c r="VOZ417" i="48"/>
  <c r="VOY417" i="48"/>
  <c r="VOR417" i="48"/>
  <c r="VOQ417" i="48"/>
  <c r="VOJ417" i="48"/>
  <c r="VOI417" i="48"/>
  <c r="VOB417" i="48"/>
  <c r="VOA417" i="48"/>
  <c r="VNT417" i="48"/>
  <c r="VNS417" i="48"/>
  <c r="VNL417" i="48"/>
  <c r="VNK417" i="48"/>
  <c r="VND417" i="48"/>
  <c r="VNC417" i="48"/>
  <c r="VMV417" i="48"/>
  <c r="VMU417" i="48"/>
  <c r="VMN417" i="48"/>
  <c r="VMM417" i="48"/>
  <c r="VMF417" i="48"/>
  <c r="VME417" i="48"/>
  <c r="VLX417" i="48"/>
  <c r="VLW417" i="48"/>
  <c r="VLP417" i="48"/>
  <c r="VLO417" i="48"/>
  <c r="VLH417" i="48"/>
  <c r="VLG417" i="48"/>
  <c r="VKZ417" i="48"/>
  <c r="VKY417" i="48"/>
  <c r="VKR417" i="48"/>
  <c r="VKQ417" i="48"/>
  <c r="VKJ417" i="48"/>
  <c r="VKI417" i="48"/>
  <c r="VKB417" i="48"/>
  <c r="VKA417" i="48"/>
  <c r="VJT417" i="48"/>
  <c r="VJS417" i="48"/>
  <c r="VJL417" i="48"/>
  <c r="VJK417" i="48"/>
  <c r="VJD417" i="48"/>
  <c r="VJC417" i="48"/>
  <c r="VIV417" i="48"/>
  <c r="VIU417" i="48"/>
  <c r="VIN417" i="48"/>
  <c r="VIM417" i="48"/>
  <c r="VIF417" i="48"/>
  <c r="VIE417" i="48"/>
  <c r="VHX417" i="48"/>
  <c r="VHW417" i="48"/>
  <c r="VHP417" i="48"/>
  <c r="VHO417" i="48"/>
  <c r="VHH417" i="48"/>
  <c r="VHG417" i="48"/>
  <c r="VGZ417" i="48"/>
  <c r="VGY417" i="48"/>
  <c r="VGR417" i="48"/>
  <c r="VGQ417" i="48"/>
  <c r="VGJ417" i="48"/>
  <c r="VGI417" i="48"/>
  <c r="VGB417" i="48"/>
  <c r="VGA417" i="48"/>
  <c r="VFT417" i="48"/>
  <c r="VFS417" i="48"/>
  <c r="VFL417" i="48"/>
  <c r="VFK417" i="48"/>
  <c r="VFD417" i="48"/>
  <c r="VFC417" i="48"/>
  <c r="VEV417" i="48"/>
  <c r="VEU417" i="48"/>
  <c r="VEN417" i="48"/>
  <c r="VEM417" i="48"/>
  <c r="VEF417" i="48"/>
  <c r="VEE417" i="48"/>
  <c r="VDX417" i="48"/>
  <c r="VDW417" i="48"/>
  <c r="VDP417" i="48"/>
  <c r="VDO417" i="48"/>
  <c r="VDH417" i="48"/>
  <c r="VDG417" i="48"/>
  <c r="VCZ417" i="48"/>
  <c r="VCY417" i="48"/>
  <c r="VCR417" i="48"/>
  <c r="VCQ417" i="48"/>
  <c r="VCJ417" i="48"/>
  <c r="VCI417" i="48"/>
  <c r="VCB417" i="48"/>
  <c r="VCA417" i="48"/>
  <c r="VBT417" i="48"/>
  <c r="VBS417" i="48"/>
  <c r="VBL417" i="48"/>
  <c r="VBK417" i="48"/>
  <c r="VBD417" i="48"/>
  <c r="VBC417" i="48"/>
  <c r="VAV417" i="48"/>
  <c r="VAU417" i="48"/>
  <c r="VAN417" i="48"/>
  <c r="VAM417" i="48"/>
  <c r="VAF417" i="48"/>
  <c r="VAE417" i="48"/>
  <c r="UZX417" i="48"/>
  <c r="UZW417" i="48"/>
  <c r="UZP417" i="48"/>
  <c r="UZO417" i="48"/>
  <c r="UZH417" i="48"/>
  <c r="UZG417" i="48"/>
  <c r="UYZ417" i="48"/>
  <c r="UYY417" i="48"/>
  <c r="UYR417" i="48"/>
  <c r="UYQ417" i="48"/>
  <c r="UYJ417" i="48"/>
  <c r="UYI417" i="48"/>
  <c r="UYB417" i="48"/>
  <c r="UYA417" i="48"/>
  <c r="UXT417" i="48"/>
  <c r="UXS417" i="48"/>
  <c r="UXL417" i="48"/>
  <c r="UXK417" i="48"/>
  <c r="UXD417" i="48"/>
  <c r="UXC417" i="48"/>
  <c r="UWV417" i="48"/>
  <c r="UWU417" i="48"/>
  <c r="UWN417" i="48"/>
  <c r="UWM417" i="48"/>
  <c r="UWF417" i="48"/>
  <c r="UWE417" i="48"/>
  <c r="UVX417" i="48"/>
  <c r="UVW417" i="48"/>
  <c r="UVP417" i="48"/>
  <c r="UVO417" i="48"/>
  <c r="UVH417" i="48"/>
  <c r="UVG417" i="48"/>
  <c r="UUZ417" i="48"/>
  <c r="UUY417" i="48"/>
  <c r="UUR417" i="48"/>
  <c r="UUQ417" i="48"/>
  <c r="UUJ417" i="48"/>
  <c r="UUI417" i="48"/>
  <c r="UUB417" i="48"/>
  <c r="UUA417" i="48"/>
  <c r="UTT417" i="48"/>
  <c r="UTS417" i="48"/>
  <c r="UTL417" i="48"/>
  <c r="UTK417" i="48"/>
  <c r="UTD417" i="48"/>
  <c r="UTC417" i="48"/>
  <c r="USV417" i="48"/>
  <c r="USU417" i="48"/>
  <c r="USN417" i="48"/>
  <c r="USM417" i="48"/>
  <c r="USF417" i="48"/>
  <c r="USE417" i="48"/>
  <c r="URX417" i="48"/>
  <c r="URW417" i="48"/>
  <c r="URP417" i="48"/>
  <c r="URO417" i="48"/>
  <c r="URH417" i="48"/>
  <c r="URG417" i="48"/>
  <c r="UQZ417" i="48"/>
  <c r="UQY417" i="48"/>
  <c r="UQR417" i="48"/>
  <c r="UQQ417" i="48"/>
  <c r="UQJ417" i="48"/>
  <c r="UQI417" i="48"/>
  <c r="UQB417" i="48"/>
  <c r="UQA417" i="48"/>
  <c r="UPT417" i="48"/>
  <c r="UPS417" i="48"/>
  <c r="UPL417" i="48"/>
  <c r="UPK417" i="48"/>
  <c r="UPD417" i="48"/>
  <c r="UPC417" i="48"/>
  <c r="UOV417" i="48"/>
  <c r="UOU417" i="48"/>
  <c r="UON417" i="48"/>
  <c r="UOM417" i="48"/>
  <c r="UOF417" i="48"/>
  <c r="UOE417" i="48"/>
  <c r="UNX417" i="48"/>
  <c r="UNW417" i="48"/>
  <c r="UNP417" i="48"/>
  <c r="UNO417" i="48"/>
  <c r="UNH417" i="48"/>
  <c r="UNG417" i="48"/>
  <c r="UMZ417" i="48"/>
  <c r="UMY417" i="48"/>
  <c r="UMR417" i="48"/>
  <c r="UMQ417" i="48"/>
  <c r="UMJ417" i="48"/>
  <c r="UMI417" i="48"/>
  <c r="UMB417" i="48"/>
  <c r="UMA417" i="48"/>
  <c r="ULT417" i="48"/>
  <c r="ULS417" i="48"/>
  <c r="ULL417" i="48"/>
  <c r="ULK417" i="48"/>
  <c r="ULD417" i="48"/>
  <c r="ULC417" i="48"/>
  <c r="UKV417" i="48"/>
  <c r="UKU417" i="48"/>
  <c r="UKN417" i="48"/>
  <c r="UKM417" i="48"/>
  <c r="UKF417" i="48"/>
  <c r="UKE417" i="48"/>
  <c r="UJX417" i="48"/>
  <c r="UJW417" i="48"/>
  <c r="UJP417" i="48"/>
  <c r="UJO417" i="48"/>
  <c r="UJH417" i="48"/>
  <c r="UJG417" i="48"/>
  <c r="UIZ417" i="48"/>
  <c r="UIY417" i="48"/>
  <c r="UIR417" i="48"/>
  <c r="UIQ417" i="48"/>
  <c r="UIJ417" i="48"/>
  <c r="UII417" i="48"/>
  <c r="UIB417" i="48"/>
  <c r="UIA417" i="48"/>
  <c r="UHT417" i="48"/>
  <c r="UHS417" i="48"/>
  <c r="UHL417" i="48"/>
  <c r="UHK417" i="48"/>
  <c r="UHD417" i="48"/>
  <c r="UHC417" i="48"/>
  <c r="UGV417" i="48"/>
  <c r="UGU417" i="48"/>
  <c r="UGN417" i="48"/>
  <c r="UGM417" i="48"/>
  <c r="UGF417" i="48"/>
  <c r="UGE417" i="48"/>
  <c r="UFX417" i="48"/>
  <c r="UFW417" i="48"/>
  <c r="UFP417" i="48"/>
  <c r="UFO417" i="48"/>
  <c r="UFH417" i="48"/>
  <c r="UFG417" i="48"/>
  <c r="UEZ417" i="48"/>
  <c r="UEY417" i="48"/>
  <c r="UER417" i="48"/>
  <c r="UEQ417" i="48"/>
  <c r="UEJ417" i="48"/>
  <c r="UEI417" i="48"/>
  <c r="UEB417" i="48"/>
  <c r="UEA417" i="48"/>
  <c r="UDT417" i="48"/>
  <c r="UDS417" i="48"/>
  <c r="UDL417" i="48"/>
  <c r="UDK417" i="48"/>
  <c r="UDD417" i="48"/>
  <c r="UDC417" i="48"/>
  <c r="UCV417" i="48"/>
  <c r="UCU417" i="48"/>
  <c r="UCN417" i="48"/>
  <c r="UCM417" i="48"/>
  <c r="UCF417" i="48"/>
  <c r="UCE417" i="48"/>
  <c r="UBX417" i="48"/>
  <c r="UBW417" i="48"/>
  <c r="UBP417" i="48"/>
  <c r="UBO417" i="48"/>
  <c r="UBH417" i="48"/>
  <c r="UBG417" i="48"/>
  <c r="UAZ417" i="48"/>
  <c r="UAY417" i="48"/>
  <c r="UAR417" i="48"/>
  <c r="UAQ417" i="48"/>
  <c r="UAJ417" i="48"/>
  <c r="UAI417" i="48"/>
  <c r="UAB417" i="48"/>
  <c r="UAA417" i="48"/>
  <c r="TZT417" i="48"/>
  <c r="TZS417" i="48"/>
  <c r="TZL417" i="48"/>
  <c r="TZK417" i="48"/>
  <c r="TZD417" i="48"/>
  <c r="TZC417" i="48"/>
  <c r="TYV417" i="48"/>
  <c r="TYU417" i="48"/>
  <c r="TYN417" i="48"/>
  <c r="TYM417" i="48"/>
  <c r="TYF417" i="48"/>
  <c r="TYE417" i="48"/>
  <c r="TXX417" i="48"/>
  <c r="TXW417" i="48"/>
  <c r="TXP417" i="48"/>
  <c r="TXO417" i="48"/>
  <c r="TXH417" i="48"/>
  <c r="TXG417" i="48"/>
  <c r="TWZ417" i="48"/>
  <c r="TWY417" i="48"/>
  <c r="TWR417" i="48"/>
  <c r="TWQ417" i="48"/>
  <c r="TWJ417" i="48"/>
  <c r="TWI417" i="48"/>
  <c r="TWB417" i="48"/>
  <c r="TWA417" i="48"/>
  <c r="TVT417" i="48"/>
  <c r="TVS417" i="48"/>
  <c r="TVL417" i="48"/>
  <c r="TVK417" i="48"/>
  <c r="TVD417" i="48"/>
  <c r="TVC417" i="48"/>
  <c r="TUV417" i="48"/>
  <c r="TUU417" i="48"/>
  <c r="TUN417" i="48"/>
  <c r="TUM417" i="48"/>
  <c r="TUF417" i="48"/>
  <c r="TUE417" i="48"/>
  <c r="TTX417" i="48"/>
  <c r="TTW417" i="48"/>
  <c r="TTP417" i="48"/>
  <c r="TTO417" i="48"/>
  <c r="TTH417" i="48"/>
  <c r="TTG417" i="48"/>
  <c r="TSZ417" i="48"/>
  <c r="TSY417" i="48"/>
  <c r="TSR417" i="48"/>
  <c r="TSQ417" i="48"/>
  <c r="TSJ417" i="48"/>
  <c r="TSI417" i="48"/>
  <c r="TSB417" i="48"/>
  <c r="TSA417" i="48"/>
  <c r="TRT417" i="48"/>
  <c r="TRS417" i="48"/>
  <c r="TRL417" i="48"/>
  <c r="TRK417" i="48"/>
  <c r="TRD417" i="48"/>
  <c r="TRC417" i="48"/>
  <c r="TQV417" i="48"/>
  <c r="TQU417" i="48"/>
  <c r="TQN417" i="48"/>
  <c r="TQM417" i="48"/>
  <c r="TQF417" i="48"/>
  <c r="TQE417" i="48"/>
  <c r="TPX417" i="48"/>
  <c r="TPW417" i="48"/>
  <c r="TPP417" i="48"/>
  <c r="TPO417" i="48"/>
  <c r="TPH417" i="48"/>
  <c r="TPG417" i="48"/>
  <c r="TOZ417" i="48"/>
  <c r="TOY417" i="48"/>
  <c r="TOR417" i="48"/>
  <c r="TOQ417" i="48"/>
  <c r="TOJ417" i="48"/>
  <c r="TOI417" i="48"/>
  <c r="TOB417" i="48"/>
  <c r="TOA417" i="48"/>
  <c r="TNT417" i="48"/>
  <c r="TNS417" i="48"/>
  <c r="TNL417" i="48"/>
  <c r="TNK417" i="48"/>
  <c r="TND417" i="48"/>
  <c r="TNC417" i="48"/>
  <c r="TMV417" i="48"/>
  <c r="TMU417" i="48"/>
  <c r="TMN417" i="48"/>
  <c r="TMM417" i="48"/>
  <c r="TMF417" i="48"/>
  <c r="TME417" i="48"/>
  <c r="TLX417" i="48"/>
  <c r="TLW417" i="48"/>
  <c r="TLP417" i="48"/>
  <c r="TLO417" i="48"/>
  <c r="TLH417" i="48"/>
  <c r="TLG417" i="48"/>
  <c r="TKZ417" i="48"/>
  <c r="TKY417" i="48"/>
  <c r="TKR417" i="48"/>
  <c r="TKQ417" i="48"/>
  <c r="TKJ417" i="48"/>
  <c r="TKI417" i="48"/>
  <c r="TKB417" i="48"/>
  <c r="TKA417" i="48"/>
  <c r="TJT417" i="48"/>
  <c r="TJS417" i="48"/>
  <c r="TJL417" i="48"/>
  <c r="TJK417" i="48"/>
  <c r="TJD417" i="48"/>
  <c r="TJC417" i="48"/>
  <c r="TIV417" i="48"/>
  <c r="TIU417" i="48"/>
  <c r="TIN417" i="48"/>
  <c r="TIM417" i="48"/>
  <c r="TIF417" i="48"/>
  <c r="TIE417" i="48"/>
  <c r="THX417" i="48"/>
  <c r="THW417" i="48"/>
  <c r="THP417" i="48"/>
  <c r="THO417" i="48"/>
  <c r="THH417" i="48"/>
  <c r="THG417" i="48"/>
  <c r="TGZ417" i="48"/>
  <c r="TGY417" i="48"/>
  <c r="TGR417" i="48"/>
  <c r="TGQ417" i="48"/>
  <c r="TGJ417" i="48"/>
  <c r="TGI417" i="48"/>
  <c r="TGB417" i="48"/>
  <c r="TGA417" i="48"/>
  <c r="TFT417" i="48"/>
  <c r="TFS417" i="48"/>
  <c r="TFL417" i="48"/>
  <c r="TFK417" i="48"/>
  <c r="TFD417" i="48"/>
  <c r="TFC417" i="48"/>
  <c r="TEV417" i="48"/>
  <c r="TEU417" i="48"/>
  <c r="TEN417" i="48"/>
  <c r="TEM417" i="48"/>
  <c r="TEF417" i="48"/>
  <c r="TEE417" i="48"/>
  <c r="TDX417" i="48"/>
  <c r="TDW417" i="48"/>
  <c r="TDP417" i="48"/>
  <c r="TDO417" i="48"/>
  <c r="TDH417" i="48"/>
  <c r="TDG417" i="48"/>
  <c r="TCZ417" i="48"/>
  <c r="TCY417" i="48"/>
  <c r="TCR417" i="48"/>
  <c r="TCQ417" i="48"/>
  <c r="TCJ417" i="48"/>
  <c r="TCI417" i="48"/>
  <c r="TCB417" i="48"/>
  <c r="TCA417" i="48"/>
  <c r="TBT417" i="48"/>
  <c r="TBS417" i="48"/>
  <c r="TBL417" i="48"/>
  <c r="TBK417" i="48"/>
  <c r="TBD417" i="48"/>
  <c r="TBC417" i="48"/>
  <c r="TAV417" i="48"/>
  <c r="TAU417" i="48"/>
  <c r="TAN417" i="48"/>
  <c r="TAM417" i="48"/>
  <c r="TAF417" i="48"/>
  <c r="TAE417" i="48"/>
  <c r="SZX417" i="48"/>
  <c r="SZW417" i="48"/>
  <c r="SZP417" i="48"/>
  <c r="SZO417" i="48"/>
  <c r="SZH417" i="48"/>
  <c r="SZG417" i="48"/>
  <c r="SYZ417" i="48"/>
  <c r="SYY417" i="48"/>
  <c r="SYR417" i="48"/>
  <c r="SYQ417" i="48"/>
  <c r="SYJ417" i="48"/>
  <c r="SYI417" i="48"/>
  <c r="SYB417" i="48"/>
  <c r="SYA417" i="48"/>
  <c r="SXT417" i="48"/>
  <c r="SXS417" i="48"/>
  <c r="SXL417" i="48"/>
  <c r="SXK417" i="48"/>
  <c r="SXD417" i="48"/>
  <c r="SXC417" i="48"/>
  <c r="SWV417" i="48"/>
  <c r="SWU417" i="48"/>
  <c r="SWN417" i="48"/>
  <c r="SWM417" i="48"/>
  <c r="SWF417" i="48"/>
  <c r="SWE417" i="48"/>
  <c r="SVX417" i="48"/>
  <c r="SVW417" i="48"/>
  <c r="SVP417" i="48"/>
  <c r="SVO417" i="48"/>
  <c r="SVH417" i="48"/>
  <c r="SVG417" i="48"/>
  <c r="SUZ417" i="48"/>
  <c r="SUY417" i="48"/>
  <c r="SUR417" i="48"/>
  <c r="SUQ417" i="48"/>
  <c r="SUJ417" i="48"/>
  <c r="SUI417" i="48"/>
  <c r="SUB417" i="48"/>
  <c r="SUA417" i="48"/>
  <c r="STT417" i="48"/>
  <c r="STS417" i="48"/>
  <c r="STL417" i="48"/>
  <c r="STK417" i="48"/>
  <c r="STD417" i="48"/>
  <c r="STC417" i="48"/>
  <c r="SSV417" i="48"/>
  <c r="SSU417" i="48"/>
  <c r="SSN417" i="48"/>
  <c r="SSM417" i="48"/>
  <c r="SSF417" i="48"/>
  <c r="SSE417" i="48"/>
  <c r="SRX417" i="48"/>
  <c r="SRW417" i="48"/>
  <c r="SRP417" i="48"/>
  <c r="SRO417" i="48"/>
  <c r="SRH417" i="48"/>
  <c r="SRG417" i="48"/>
  <c r="SQZ417" i="48"/>
  <c r="SQY417" i="48"/>
  <c r="SQR417" i="48"/>
  <c r="SQQ417" i="48"/>
  <c r="SQJ417" i="48"/>
  <c r="SQI417" i="48"/>
  <c r="SQB417" i="48"/>
  <c r="SQA417" i="48"/>
  <c r="SPT417" i="48"/>
  <c r="SPS417" i="48"/>
  <c r="SPL417" i="48"/>
  <c r="SPK417" i="48"/>
  <c r="SPD417" i="48"/>
  <c r="SPC417" i="48"/>
  <c r="SOV417" i="48"/>
  <c r="SOU417" i="48"/>
  <c r="SON417" i="48"/>
  <c r="SOM417" i="48"/>
  <c r="SOF417" i="48"/>
  <c r="SOE417" i="48"/>
  <c r="SNX417" i="48"/>
  <c r="SNW417" i="48"/>
  <c r="SNP417" i="48"/>
  <c r="SNO417" i="48"/>
  <c r="SNH417" i="48"/>
  <c r="SNG417" i="48"/>
  <c r="SMZ417" i="48"/>
  <c r="SMY417" i="48"/>
  <c r="SMR417" i="48"/>
  <c r="SMQ417" i="48"/>
  <c r="SMJ417" i="48"/>
  <c r="SMI417" i="48"/>
  <c r="SMB417" i="48"/>
  <c r="SMA417" i="48"/>
  <c r="SLT417" i="48"/>
  <c r="SLS417" i="48"/>
  <c r="SLL417" i="48"/>
  <c r="SLK417" i="48"/>
  <c r="SLD417" i="48"/>
  <c r="SLC417" i="48"/>
  <c r="SKV417" i="48"/>
  <c r="SKU417" i="48"/>
  <c r="SKN417" i="48"/>
  <c r="SKM417" i="48"/>
  <c r="SKF417" i="48"/>
  <c r="SKE417" i="48"/>
  <c r="SJX417" i="48"/>
  <c r="SJW417" i="48"/>
  <c r="SJP417" i="48"/>
  <c r="SJO417" i="48"/>
  <c r="SJH417" i="48"/>
  <c r="SJG417" i="48"/>
  <c r="SIZ417" i="48"/>
  <c r="SIY417" i="48"/>
  <c r="SIR417" i="48"/>
  <c r="SIQ417" i="48"/>
  <c r="SIJ417" i="48"/>
  <c r="SII417" i="48"/>
  <c r="SIB417" i="48"/>
  <c r="SIA417" i="48"/>
  <c r="SHT417" i="48"/>
  <c r="SHS417" i="48"/>
  <c r="SHL417" i="48"/>
  <c r="SHK417" i="48"/>
  <c r="SHD417" i="48"/>
  <c r="SHC417" i="48"/>
  <c r="SGV417" i="48"/>
  <c r="SGU417" i="48"/>
  <c r="SGN417" i="48"/>
  <c r="SGM417" i="48"/>
  <c r="SGF417" i="48"/>
  <c r="SGE417" i="48"/>
  <c r="SFX417" i="48"/>
  <c r="SFW417" i="48"/>
  <c r="SFP417" i="48"/>
  <c r="SFO417" i="48"/>
  <c r="SFH417" i="48"/>
  <c r="SFG417" i="48"/>
  <c r="SEZ417" i="48"/>
  <c r="SEY417" i="48"/>
  <c r="SER417" i="48"/>
  <c r="SEQ417" i="48"/>
  <c r="SEJ417" i="48"/>
  <c r="SEI417" i="48"/>
  <c r="SEB417" i="48"/>
  <c r="SEA417" i="48"/>
  <c r="SDT417" i="48"/>
  <c r="SDS417" i="48"/>
  <c r="SDL417" i="48"/>
  <c r="SDK417" i="48"/>
  <c r="SDD417" i="48"/>
  <c r="SDC417" i="48"/>
  <c r="SCV417" i="48"/>
  <c r="SCU417" i="48"/>
  <c r="SCN417" i="48"/>
  <c r="SCM417" i="48"/>
  <c r="SCF417" i="48"/>
  <c r="SCE417" i="48"/>
  <c r="SBX417" i="48"/>
  <c r="SBW417" i="48"/>
  <c r="SBP417" i="48"/>
  <c r="SBO417" i="48"/>
  <c r="SBH417" i="48"/>
  <c r="SBG417" i="48"/>
  <c r="SAZ417" i="48"/>
  <c r="SAY417" i="48"/>
  <c r="SAR417" i="48"/>
  <c r="SAQ417" i="48"/>
  <c r="SAJ417" i="48"/>
  <c r="SAI417" i="48"/>
  <c r="SAB417" i="48"/>
  <c r="SAA417" i="48"/>
  <c r="RZT417" i="48"/>
  <c r="RZS417" i="48"/>
  <c r="RZL417" i="48"/>
  <c r="RZK417" i="48"/>
  <c r="RZD417" i="48"/>
  <c r="RZC417" i="48"/>
  <c r="RYV417" i="48"/>
  <c r="RYU417" i="48"/>
  <c r="RYN417" i="48"/>
  <c r="RYM417" i="48"/>
  <c r="RYF417" i="48"/>
  <c r="RYE417" i="48"/>
  <c r="RXX417" i="48"/>
  <c r="RXW417" i="48"/>
  <c r="RXP417" i="48"/>
  <c r="RXO417" i="48"/>
  <c r="RXH417" i="48"/>
  <c r="RXG417" i="48"/>
  <c r="RWZ417" i="48"/>
  <c r="RWY417" i="48"/>
  <c r="RWR417" i="48"/>
  <c r="RWQ417" i="48"/>
  <c r="RWJ417" i="48"/>
  <c r="RWI417" i="48"/>
  <c r="RWB417" i="48"/>
  <c r="RWA417" i="48"/>
  <c r="RVT417" i="48"/>
  <c r="RVS417" i="48"/>
  <c r="RVL417" i="48"/>
  <c r="RVK417" i="48"/>
  <c r="RVD417" i="48"/>
  <c r="RVC417" i="48"/>
  <c r="RUV417" i="48"/>
  <c r="RUU417" i="48"/>
  <c r="RUN417" i="48"/>
  <c r="RUM417" i="48"/>
  <c r="RUF417" i="48"/>
  <c r="RUE417" i="48"/>
  <c r="RTX417" i="48"/>
  <c r="RTW417" i="48"/>
  <c r="RTP417" i="48"/>
  <c r="RTO417" i="48"/>
  <c r="RTH417" i="48"/>
  <c r="RTG417" i="48"/>
  <c r="RSZ417" i="48"/>
  <c r="RSY417" i="48"/>
  <c r="RSR417" i="48"/>
  <c r="RSQ417" i="48"/>
  <c r="RSJ417" i="48"/>
  <c r="RSI417" i="48"/>
  <c r="RSB417" i="48"/>
  <c r="RSA417" i="48"/>
  <c r="RRT417" i="48"/>
  <c r="RRS417" i="48"/>
  <c r="RRL417" i="48"/>
  <c r="RRK417" i="48"/>
  <c r="RRD417" i="48"/>
  <c r="RRC417" i="48"/>
  <c r="RQV417" i="48"/>
  <c r="RQU417" i="48"/>
  <c r="RQN417" i="48"/>
  <c r="RQM417" i="48"/>
  <c r="RQF417" i="48"/>
  <c r="RQE417" i="48"/>
  <c r="RPX417" i="48"/>
  <c r="RPW417" i="48"/>
  <c r="RPP417" i="48"/>
  <c r="RPO417" i="48"/>
  <c r="RPH417" i="48"/>
  <c r="RPG417" i="48"/>
  <c r="ROZ417" i="48"/>
  <c r="ROY417" i="48"/>
  <c r="ROR417" i="48"/>
  <c r="ROQ417" i="48"/>
  <c r="ROJ417" i="48"/>
  <c r="ROI417" i="48"/>
  <c r="ROB417" i="48"/>
  <c r="ROA417" i="48"/>
  <c r="RNT417" i="48"/>
  <c r="RNS417" i="48"/>
  <c r="RNL417" i="48"/>
  <c r="RNK417" i="48"/>
  <c r="RND417" i="48"/>
  <c r="RNC417" i="48"/>
  <c r="RMV417" i="48"/>
  <c r="RMU417" i="48"/>
  <c r="RMN417" i="48"/>
  <c r="RMM417" i="48"/>
  <c r="RMF417" i="48"/>
  <c r="RME417" i="48"/>
  <c r="RLX417" i="48"/>
  <c r="RLW417" i="48"/>
  <c r="RLP417" i="48"/>
  <c r="RLO417" i="48"/>
  <c r="RLH417" i="48"/>
  <c r="RLG417" i="48"/>
  <c r="RKZ417" i="48"/>
  <c r="RKY417" i="48"/>
  <c r="RKR417" i="48"/>
  <c r="RKQ417" i="48"/>
  <c r="RKJ417" i="48"/>
  <c r="RKI417" i="48"/>
  <c r="RKB417" i="48"/>
  <c r="RKA417" i="48"/>
  <c r="RJT417" i="48"/>
  <c r="RJS417" i="48"/>
  <c r="RJL417" i="48"/>
  <c r="RJK417" i="48"/>
  <c r="RJD417" i="48"/>
  <c r="RJC417" i="48"/>
  <c r="RIV417" i="48"/>
  <c r="RIU417" i="48"/>
  <c r="RIN417" i="48"/>
  <c r="RIM417" i="48"/>
  <c r="RIF417" i="48"/>
  <c r="RIE417" i="48"/>
  <c r="RHX417" i="48"/>
  <c r="RHW417" i="48"/>
  <c r="RHP417" i="48"/>
  <c r="RHO417" i="48"/>
  <c r="RHH417" i="48"/>
  <c r="RHG417" i="48"/>
  <c r="RGZ417" i="48"/>
  <c r="RGY417" i="48"/>
  <c r="RGR417" i="48"/>
  <c r="RGQ417" i="48"/>
  <c r="RGJ417" i="48"/>
  <c r="RGI417" i="48"/>
  <c r="RGB417" i="48"/>
  <c r="RGA417" i="48"/>
  <c r="RFT417" i="48"/>
  <c r="RFS417" i="48"/>
  <c r="RFL417" i="48"/>
  <c r="RFK417" i="48"/>
  <c r="RFD417" i="48"/>
  <c r="RFC417" i="48"/>
  <c r="REV417" i="48"/>
  <c r="REU417" i="48"/>
  <c r="REN417" i="48"/>
  <c r="REM417" i="48"/>
  <c r="REF417" i="48"/>
  <c r="REE417" i="48"/>
  <c r="RDX417" i="48"/>
  <c r="RDW417" i="48"/>
  <c r="RDP417" i="48"/>
  <c r="RDO417" i="48"/>
  <c r="RDH417" i="48"/>
  <c r="RDG417" i="48"/>
  <c r="RCZ417" i="48"/>
  <c r="RCY417" i="48"/>
  <c r="RCR417" i="48"/>
  <c r="RCQ417" i="48"/>
  <c r="RCJ417" i="48"/>
  <c r="RCI417" i="48"/>
  <c r="RCB417" i="48"/>
  <c r="RCA417" i="48"/>
  <c r="RBT417" i="48"/>
  <c r="RBS417" i="48"/>
  <c r="RBL417" i="48"/>
  <c r="RBK417" i="48"/>
  <c r="RBD417" i="48"/>
  <c r="RBC417" i="48"/>
  <c r="RAV417" i="48"/>
  <c r="RAU417" i="48"/>
  <c r="RAN417" i="48"/>
  <c r="RAM417" i="48"/>
  <c r="RAF417" i="48"/>
  <c r="RAE417" i="48"/>
  <c r="QZX417" i="48"/>
  <c r="QZW417" i="48"/>
  <c r="QZP417" i="48"/>
  <c r="QZO417" i="48"/>
  <c r="QZH417" i="48"/>
  <c r="QZG417" i="48"/>
  <c r="QYZ417" i="48"/>
  <c r="QYY417" i="48"/>
  <c r="QYR417" i="48"/>
  <c r="QYQ417" i="48"/>
  <c r="QYJ417" i="48"/>
  <c r="QYI417" i="48"/>
  <c r="QYB417" i="48"/>
  <c r="QYA417" i="48"/>
  <c r="QXT417" i="48"/>
  <c r="QXS417" i="48"/>
  <c r="QXL417" i="48"/>
  <c r="QXK417" i="48"/>
  <c r="QXD417" i="48"/>
  <c r="QXC417" i="48"/>
  <c r="QWV417" i="48"/>
  <c r="QWU417" i="48"/>
  <c r="QWN417" i="48"/>
  <c r="QWM417" i="48"/>
  <c r="QWF417" i="48"/>
  <c r="QWE417" i="48"/>
  <c r="QVX417" i="48"/>
  <c r="QVW417" i="48"/>
  <c r="QVP417" i="48"/>
  <c r="QVO417" i="48"/>
  <c r="QVH417" i="48"/>
  <c r="QVG417" i="48"/>
  <c r="QUZ417" i="48"/>
  <c r="QUY417" i="48"/>
  <c r="QUR417" i="48"/>
  <c r="QUQ417" i="48"/>
  <c r="QUJ417" i="48"/>
  <c r="QUI417" i="48"/>
  <c r="QUB417" i="48"/>
  <c r="QUA417" i="48"/>
  <c r="QTT417" i="48"/>
  <c r="QTS417" i="48"/>
  <c r="QTL417" i="48"/>
  <c r="QTK417" i="48"/>
  <c r="QTD417" i="48"/>
  <c r="QTC417" i="48"/>
  <c r="QSV417" i="48"/>
  <c r="QSU417" i="48"/>
  <c r="QSN417" i="48"/>
  <c r="QSM417" i="48"/>
  <c r="QSF417" i="48"/>
  <c r="QSE417" i="48"/>
  <c r="QRX417" i="48"/>
  <c r="QRW417" i="48"/>
  <c r="QRP417" i="48"/>
  <c r="QRO417" i="48"/>
  <c r="QRH417" i="48"/>
  <c r="QRG417" i="48"/>
  <c r="QQZ417" i="48"/>
  <c r="QQY417" i="48"/>
  <c r="QQR417" i="48"/>
  <c r="QQQ417" i="48"/>
  <c r="QQJ417" i="48"/>
  <c r="QQI417" i="48"/>
  <c r="QQB417" i="48"/>
  <c r="QQA417" i="48"/>
  <c r="QPT417" i="48"/>
  <c r="QPS417" i="48"/>
  <c r="QPL417" i="48"/>
  <c r="QPK417" i="48"/>
  <c r="QPD417" i="48"/>
  <c r="QPC417" i="48"/>
  <c r="QOV417" i="48"/>
  <c r="QOU417" i="48"/>
  <c r="QON417" i="48"/>
  <c r="QOM417" i="48"/>
  <c r="QOF417" i="48"/>
  <c r="QOE417" i="48"/>
  <c r="QNX417" i="48"/>
  <c r="QNW417" i="48"/>
  <c r="QNP417" i="48"/>
  <c r="QNO417" i="48"/>
  <c r="QNH417" i="48"/>
  <c r="QNG417" i="48"/>
  <c r="QMZ417" i="48"/>
  <c r="QMY417" i="48"/>
  <c r="QMR417" i="48"/>
  <c r="QMQ417" i="48"/>
  <c r="QMJ417" i="48"/>
  <c r="QMI417" i="48"/>
  <c r="QMB417" i="48"/>
  <c r="QMA417" i="48"/>
  <c r="QLT417" i="48"/>
  <c r="QLS417" i="48"/>
  <c r="QLL417" i="48"/>
  <c r="QLK417" i="48"/>
  <c r="QLD417" i="48"/>
  <c r="QLC417" i="48"/>
  <c r="QKV417" i="48"/>
  <c r="QKU417" i="48"/>
  <c r="QKN417" i="48"/>
  <c r="QKM417" i="48"/>
  <c r="QKF417" i="48"/>
  <c r="QKE417" i="48"/>
  <c r="QJX417" i="48"/>
  <c r="QJW417" i="48"/>
  <c r="QJP417" i="48"/>
  <c r="QJO417" i="48"/>
  <c r="QJH417" i="48"/>
  <c r="QJG417" i="48"/>
  <c r="QIZ417" i="48"/>
  <c r="QIY417" i="48"/>
  <c r="QIR417" i="48"/>
  <c r="QIQ417" i="48"/>
  <c r="QIJ417" i="48"/>
  <c r="QII417" i="48"/>
  <c r="QIB417" i="48"/>
  <c r="QIA417" i="48"/>
  <c r="QHT417" i="48"/>
  <c r="QHS417" i="48"/>
  <c r="QHL417" i="48"/>
  <c r="QHK417" i="48"/>
  <c r="QHD417" i="48"/>
  <c r="QHC417" i="48"/>
  <c r="QGV417" i="48"/>
  <c r="QGU417" i="48"/>
  <c r="QGN417" i="48"/>
  <c r="QGM417" i="48"/>
  <c r="QGF417" i="48"/>
  <c r="QGE417" i="48"/>
  <c r="QFX417" i="48"/>
  <c r="QFW417" i="48"/>
  <c r="QFP417" i="48"/>
  <c r="QFO417" i="48"/>
  <c r="QFH417" i="48"/>
  <c r="QFG417" i="48"/>
  <c r="QEZ417" i="48"/>
  <c r="QEY417" i="48"/>
  <c r="QER417" i="48"/>
  <c r="QEQ417" i="48"/>
  <c r="QEJ417" i="48"/>
  <c r="QEI417" i="48"/>
  <c r="QEB417" i="48"/>
  <c r="QEA417" i="48"/>
  <c r="QDT417" i="48"/>
  <c r="QDS417" i="48"/>
  <c r="QDL417" i="48"/>
  <c r="QDK417" i="48"/>
  <c r="QDD417" i="48"/>
  <c r="QDC417" i="48"/>
  <c r="QCV417" i="48"/>
  <c r="QCU417" i="48"/>
  <c r="QCN417" i="48"/>
  <c r="QCM417" i="48"/>
  <c r="QCF417" i="48"/>
  <c r="QCE417" i="48"/>
  <c r="QBX417" i="48"/>
  <c r="QBW417" i="48"/>
  <c r="QBP417" i="48"/>
  <c r="QBO417" i="48"/>
  <c r="QBH417" i="48"/>
  <c r="QBG417" i="48"/>
  <c r="QAZ417" i="48"/>
  <c r="QAY417" i="48"/>
  <c r="QAR417" i="48"/>
  <c r="QAQ417" i="48"/>
  <c r="QAJ417" i="48"/>
  <c r="QAI417" i="48"/>
  <c r="QAB417" i="48"/>
  <c r="QAA417" i="48"/>
  <c r="PZT417" i="48"/>
  <c r="PZS417" i="48"/>
  <c r="PZL417" i="48"/>
  <c r="PZK417" i="48"/>
  <c r="PZD417" i="48"/>
  <c r="PZC417" i="48"/>
  <c r="PYV417" i="48"/>
  <c r="PYU417" i="48"/>
  <c r="PYN417" i="48"/>
  <c r="PYM417" i="48"/>
  <c r="PYF417" i="48"/>
  <c r="PYE417" i="48"/>
  <c r="PXX417" i="48"/>
  <c r="PXW417" i="48"/>
  <c r="PXP417" i="48"/>
  <c r="PXO417" i="48"/>
  <c r="PXH417" i="48"/>
  <c r="PXG417" i="48"/>
  <c r="PWZ417" i="48"/>
  <c r="PWY417" i="48"/>
  <c r="PWR417" i="48"/>
  <c r="PWQ417" i="48"/>
  <c r="PWJ417" i="48"/>
  <c r="PWI417" i="48"/>
  <c r="PWB417" i="48"/>
  <c r="PWA417" i="48"/>
  <c r="PVT417" i="48"/>
  <c r="PVS417" i="48"/>
  <c r="PVL417" i="48"/>
  <c r="PVK417" i="48"/>
  <c r="PVD417" i="48"/>
  <c r="PVC417" i="48"/>
  <c r="PUV417" i="48"/>
  <c r="PUU417" i="48"/>
  <c r="PUN417" i="48"/>
  <c r="PUM417" i="48"/>
  <c r="PUF417" i="48"/>
  <c r="PUE417" i="48"/>
  <c r="PTX417" i="48"/>
  <c r="PTW417" i="48"/>
  <c r="PTP417" i="48"/>
  <c r="PTO417" i="48"/>
  <c r="PTH417" i="48"/>
  <c r="PTG417" i="48"/>
  <c r="PSZ417" i="48"/>
  <c r="PSY417" i="48"/>
  <c r="PSR417" i="48"/>
  <c r="PSQ417" i="48"/>
  <c r="PSJ417" i="48"/>
  <c r="PSI417" i="48"/>
  <c r="PSB417" i="48"/>
  <c r="PSA417" i="48"/>
  <c r="PRT417" i="48"/>
  <c r="PRS417" i="48"/>
  <c r="PRL417" i="48"/>
  <c r="PRK417" i="48"/>
  <c r="PRD417" i="48"/>
  <c r="PRC417" i="48"/>
  <c r="PQV417" i="48"/>
  <c r="PQU417" i="48"/>
  <c r="PQN417" i="48"/>
  <c r="PQM417" i="48"/>
  <c r="PQF417" i="48"/>
  <c r="PQE417" i="48"/>
  <c r="PPX417" i="48"/>
  <c r="PPW417" i="48"/>
  <c r="PPP417" i="48"/>
  <c r="PPO417" i="48"/>
  <c r="PPH417" i="48"/>
  <c r="PPG417" i="48"/>
  <c r="POZ417" i="48"/>
  <c r="POY417" i="48"/>
  <c r="POR417" i="48"/>
  <c r="POQ417" i="48"/>
  <c r="POJ417" i="48"/>
  <c r="POI417" i="48"/>
  <c r="POB417" i="48"/>
  <c r="POA417" i="48"/>
  <c r="PNT417" i="48"/>
  <c r="PNS417" i="48"/>
  <c r="PNL417" i="48"/>
  <c r="PNK417" i="48"/>
  <c r="PND417" i="48"/>
  <c r="PNC417" i="48"/>
  <c r="PMV417" i="48"/>
  <c r="PMU417" i="48"/>
  <c r="PMN417" i="48"/>
  <c r="PMM417" i="48"/>
  <c r="PMF417" i="48"/>
  <c r="PME417" i="48"/>
  <c r="PLX417" i="48"/>
  <c r="PLW417" i="48"/>
  <c r="PLP417" i="48"/>
  <c r="PLO417" i="48"/>
  <c r="PLH417" i="48"/>
  <c r="PLG417" i="48"/>
  <c r="PKZ417" i="48"/>
  <c r="PKY417" i="48"/>
  <c r="PKR417" i="48"/>
  <c r="PKQ417" i="48"/>
  <c r="PKJ417" i="48"/>
  <c r="PKI417" i="48"/>
  <c r="PKB417" i="48"/>
  <c r="PKA417" i="48"/>
  <c r="PJT417" i="48"/>
  <c r="PJS417" i="48"/>
  <c r="PJL417" i="48"/>
  <c r="PJK417" i="48"/>
  <c r="PJD417" i="48"/>
  <c r="PJC417" i="48"/>
  <c r="PIV417" i="48"/>
  <c r="PIU417" i="48"/>
  <c r="PIN417" i="48"/>
  <c r="PIM417" i="48"/>
  <c r="PIF417" i="48"/>
  <c r="PIE417" i="48"/>
  <c r="PHX417" i="48"/>
  <c r="PHW417" i="48"/>
  <c r="PHP417" i="48"/>
  <c r="PHO417" i="48"/>
  <c r="PHH417" i="48"/>
  <c r="PHG417" i="48"/>
  <c r="PGZ417" i="48"/>
  <c r="PGY417" i="48"/>
  <c r="PGR417" i="48"/>
  <c r="PGQ417" i="48"/>
  <c r="PGJ417" i="48"/>
  <c r="PGI417" i="48"/>
  <c r="PGB417" i="48"/>
  <c r="PGA417" i="48"/>
  <c r="PFT417" i="48"/>
  <c r="PFS417" i="48"/>
  <c r="PFL417" i="48"/>
  <c r="PFK417" i="48"/>
  <c r="PFD417" i="48"/>
  <c r="PFC417" i="48"/>
  <c r="PEV417" i="48"/>
  <c r="PEU417" i="48"/>
  <c r="PEN417" i="48"/>
  <c r="PEM417" i="48"/>
  <c r="PEF417" i="48"/>
  <c r="PEE417" i="48"/>
  <c r="PDX417" i="48"/>
  <c r="PDW417" i="48"/>
  <c r="PDP417" i="48"/>
  <c r="PDO417" i="48"/>
  <c r="PDH417" i="48"/>
  <c r="PDG417" i="48"/>
  <c r="PCZ417" i="48"/>
  <c r="PCY417" i="48"/>
  <c r="PCR417" i="48"/>
  <c r="PCQ417" i="48"/>
  <c r="PCJ417" i="48"/>
  <c r="PCI417" i="48"/>
  <c r="PCB417" i="48"/>
  <c r="PCA417" i="48"/>
  <c r="PBT417" i="48"/>
  <c r="PBS417" i="48"/>
  <c r="PBL417" i="48"/>
  <c r="PBK417" i="48"/>
  <c r="PBD417" i="48"/>
  <c r="PBC417" i="48"/>
  <c r="PAV417" i="48"/>
  <c r="PAU417" i="48"/>
  <c r="PAN417" i="48"/>
  <c r="PAM417" i="48"/>
  <c r="PAF417" i="48"/>
  <c r="PAE417" i="48"/>
  <c r="OZX417" i="48"/>
  <c r="OZW417" i="48"/>
  <c r="OZP417" i="48"/>
  <c r="OZO417" i="48"/>
  <c r="OZH417" i="48"/>
  <c r="OZG417" i="48"/>
  <c r="OYZ417" i="48"/>
  <c r="OYY417" i="48"/>
  <c r="OYR417" i="48"/>
  <c r="OYQ417" i="48"/>
  <c r="OYJ417" i="48"/>
  <c r="OYI417" i="48"/>
  <c r="OYB417" i="48"/>
  <c r="OYA417" i="48"/>
  <c r="OXT417" i="48"/>
  <c r="OXS417" i="48"/>
  <c r="OXL417" i="48"/>
  <c r="OXK417" i="48"/>
  <c r="OXD417" i="48"/>
  <c r="OXC417" i="48"/>
  <c r="OWV417" i="48"/>
  <c r="OWU417" i="48"/>
  <c r="OWN417" i="48"/>
  <c r="OWM417" i="48"/>
  <c r="OWF417" i="48"/>
  <c r="OWE417" i="48"/>
  <c r="OVX417" i="48"/>
  <c r="OVW417" i="48"/>
  <c r="OVP417" i="48"/>
  <c r="OVO417" i="48"/>
  <c r="OVH417" i="48"/>
  <c r="OVG417" i="48"/>
  <c r="OUZ417" i="48"/>
  <c r="OUY417" i="48"/>
  <c r="OUR417" i="48"/>
  <c r="OUQ417" i="48"/>
  <c r="OUJ417" i="48"/>
  <c r="OUI417" i="48"/>
  <c r="OUB417" i="48"/>
  <c r="OUA417" i="48"/>
  <c r="OTT417" i="48"/>
  <c r="OTS417" i="48"/>
  <c r="OTL417" i="48"/>
  <c r="OTK417" i="48"/>
  <c r="OTD417" i="48"/>
  <c r="OTC417" i="48"/>
  <c r="OSV417" i="48"/>
  <c r="OSU417" i="48"/>
  <c r="OSN417" i="48"/>
  <c r="OSM417" i="48"/>
  <c r="OSF417" i="48"/>
  <c r="OSE417" i="48"/>
  <c r="ORX417" i="48"/>
  <c r="ORW417" i="48"/>
  <c r="ORP417" i="48"/>
  <c r="ORO417" i="48"/>
  <c r="ORH417" i="48"/>
  <c r="ORG417" i="48"/>
  <c r="OQZ417" i="48"/>
  <c r="OQY417" i="48"/>
  <c r="OQR417" i="48"/>
  <c r="OQQ417" i="48"/>
  <c r="OQJ417" i="48"/>
  <c r="OQI417" i="48"/>
  <c r="OQB417" i="48"/>
  <c r="OQA417" i="48"/>
  <c r="OPT417" i="48"/>
  <c r="OPS417" i="48"/>
  <c r="OPL417" i="48"/>
  <c r="OPK417" i="48"/>
  <c r="OPD417" i="48"/>
  <c r="OPC417" i="48"/>
  <c r="OOV417" i="48"/>
  <c r="OOU417" i="48"/>
  <c r="OON417" i="48"/>
  <c r="OOM417" i="48"/>
  <c r="OOF417" i="48"/>
  <c r="OOE417" i="48"/>
  <c r="ONX417" i="48"/>
  <c r="ONW417" i="48"/>
  <c r="ONP417" i="48"/>
  <c r="ONO417" i="48"/>
  <c r="ONH417" i="48"/>
  <c r="ONG417" i="48"/>
  <c r="OMZ417" i="48"/>
  <c r="OMY417" i="48"/>
  <c r="OMR417" i="48"/>
  <c r="OMQ417" i="48"/>
  <c r="OMJ417" i="48"/>
  <c r="OMI417" i="48"/>
  <c r="OMB417" i="48"/>
  <c r="OMA417" i="48"/>
  <c r="OLT417" i="48"/>
  <c r="OLS417" i="48"/>
  <c r="OLL417" i="48"/>
  <c r="OLK417" i="48"/>
  <c r="OLD417" i="48"/>
  <c r="OLC417" i="48"/>
  <c r="OKV417" i="48"/>
  <c r="OKU417" i="48"/>
  <c r="OKN417" i="48"/>
  <c r="OKM417" i="48"/>
  <c r="OKF417" i="48"/>
  <c r="OKE417" i="48"/>
  <c r="OJX417" i="48"/>
  <c r="OJW417" i="48"/>
  <c r="OJP417" i="48"/>
  <c r="OJO417" i="48"/>
  <c r="OJH417" i="48"/>
  <c r="OJG417" i="48"/>
  <c r="OIZ417" i="48"/>
  <c r="OIY417" i="48"/>
  <c r="OIR417" i="48"/>
  <c r="OIQ417" i="48"/>
  <c r="OIJ417" i="48"/>
  <c r="OII417" i="48"/>
  <c r="OIB417" i="48"/>
  <c r="OIA417" i="48"/>
  <c r="OHT417" i="48"/>
  <c r="OHS417" i="48"/>
  <c r="OHL417" i="48"/>
  <c r="OHK417" i="48"/>
  <c r="OHD417" i="48"/>
  <c r="OHC417" i="48"/>
  <c r="OGV417" i="48"/>
  <c r="OGU417" i="48"/>
  <c r="OGN417" i="48"/>
  <c r="OGM417" i="48"/>
  <c r="OGF417" i="48"/>
  <c r="OGE417" i="48"/>
  <c r="OFX417" i="48"/>
  <c r="OFW417" i="48"/>
  <c r="OFP417" i="48"/>
  <c r="OFO417" i="48"/>
  <c r="OFH417" i="48"/>
  <c r="OFG417" i="48"/>
  <c r="OEZ417" i="48"/>
  <c r="OEY417" i="48"/>
  <c r="OER417" i="48"/>
  <c r="OEQ417" i="48"/>
  <c r="OEJ417" i="48"/>
  <c r="OEI417" i="48"/>
  <c r="OEB417" i="48"/>
  <c r="OEA417" i="48"/>
  <c r="ODT417" i="48"/>
  <c r="ODS417" i="48"/>
  <c r="ODL417" i="48"/>
  <c r="ODK417" i="48"/>
  <c r="ODD417" i="48"/>
  <c r="ODC417" i="48"/>
  <c r="OCV417" i="48"/>
  <c r="OCU417" i="48"/>
  <c r="OCN417" i="48"/>
  <c r="OCM417" i="48"/>
  <c r="OCF417" i="48"/>
  <c r="OCE417" i="48"/>
  <c r="OBX417" i="48"/>
  <c r="OBW417" i="48"/>
  <c r="OBP417" i="48"/>
  <c r="OBO417" i="48"/>
  <c r="OBH417" i="48"/>
  <c r="OBG417" i="48"/>
  <c r="OAZ417" i="48"/>
  <c r="OAY417" i="48"/>
  <c r="OAR417" i="48"/>
  <c r="OAQ417" i="48"/>
  <c r="OAJ417" i="48"/>
  <c r="OAI417" i="48"/>
  <c r="OAB417" i="48"/>
  <c r="OAA417" i="48"/>
  <c r="NZT417" i="48"/>
  <c r="NZS417" i="48"/>
  <c r="NZL417" i="48"/>
  <c r="NZK417" i="48"/>
  <c r="NZD417" i="48"/>
  <c r="NZC417" i="48"/>
  <c r="NYV417" i="48"/>
  <c r="NYU417" i="48"/>
  <c r="NYN417" i="48"/>
  <c r="NYM417" i="48"/>
  <c r="NYF417" i="48"/>
  <c r="NYE417" i="48"/>
  <c r="NXX417" i="48"/>
  <c r="NXW417" i="48"/>
  <c r="NXP417" i="48"/>
  <c r="NXO417" i="48"/>
  <c r="NXH417" i="48"/>
  <c r="NXG417" i="48"/>
  <c r="NWZ417" i="48"/>
  <c r="NWY417" i="48"/>
  <c r="NWR417" i="48"/>
  <c r="NWQ417" i="48"/>
  <c r="NWJ417" i="48"/>
  <c r="NWI417" i="48"/>
  <c r="NWB417" i="48"/>
  <c r="NWA417" i="48"/>
  <c r="NVT417" i="48"/>
  <c r="NVS417" i="48"/>
  <c r="NVL417" i="48"/>
  <c r="NVK417" i="48"/>
  <c r="NVD417" i="48"/>
  <c r="NVC417" i="48"/>
  <c r="NUV417" i="48"/>
  <c r="NUU417" i="48"/>
  <c r="NUN417" i="48"/>
  <c r="NUM417" i="48"/>
  <c r="NUF417" i="48"/>
  <c r="NUE417" i="48"/>
  <c r="NTX417" i="48"/>
  <c r="NTW417" i="48"/>
  <c r="NTP417" i="48"/>
  <c r="NTO417" i="48"/>
  <c r="NTH417" i="48"/>
  <c r="NTG417" i="48"/>
  <c r="NSZ417" i="48"/>
  <c r="NSY417" i="48"/>
  <c r="NSR417" i="48"/>
  <c r="NSQ417" i="48"/>
  <c r="NSJ417" i="48"/>
  <c r="NSI417" i="48"/>
  <c r="NSB417" i="48"/>
  <c r="NSA417" i="48"/>
  <c r="NRT417" i="48"/>
  <c r="NRS417" i="48"/>
  <c r="NRL417" i="48"/>
  <c r="NRK417" i="48"/>
  <c r="NRD417" i="48"/>
  <c r="NRC417" i="48"/>
  <c r="NQV417" i="48"/>
  <c r="NQU417" i="48"/>
  <c r="NQN417" i="48"/>
  <c r="NQM417" i="48"/>
  <c r="NQF417" i="48"/>
  <c r="NQE417" i="48"/>
  <c r="NPX417" i="48"/>
  <c r="NPW417" i="48"/>
  <c r="NPP417" i="48"/>
  <c r="NPO417" i="48"/>
  <c r="NPH417" i="48"/>
  <c r="NPG417" i="48"/>
  <c r="NOZ417" i="48"/>
  <c r="NOY417" i="48"/>
  <c r="NOR417" i="48"/>
  <c r="NOQ417" i="48"/>
  <c r="NOJ417" i="48"/>
  <c r="NOI417" i="48"/>
  <c r="NOB417" i="48"/>
  <c r="NOA417" i="48"/>
  <c r="NNT417" i="48"/>
  <c r="NNS417" i="48"/>
  <c r="NNL417" i="48"/>
  <c r="NNK417" i="48"/>
  <c r="NND417" i="48"/>
  <c r="NNC417" i="48"/>
  <c r="NMV417" i="48"/>
  <c r="NMU417" i="48"/>
  <c r="NMN417" i="48"/>
  <c r="NMM417" i="48"/>
  <c r="NMF417" i="48"/>
  <c r="NME417" i="48"/>
  <c r="NLX417" i="48"/>
  <c r="NLW417" i="48"/>
  <c r="NLP417" i="48"/>
  <c r="NLO417" i="48"/>
  <c r="NLH417" i="48"/>
  <c r="NLG417" i="48"/>
  <c r="NKZ417" i="48"/>
  <c r="NKY417" i="48"/>
  <c r="NKR417" i="48"/>
  <c r="NKQ417" i="48"/>
  <c r="NKJ417" i="48"/>
  <c r="NKI417" i="48"/>
  <c r="NKB417" i="48"/>
  <c r="NKA417" i="48"/>
  <c r="NJT417" i="48"/>
  <c r="NJS417" i="48"/>
  <c r="NJL417" i="48"/>
  <c r="NJK417" i="48"/>
  <c r="NJD417" i="48"/>
  <c r="NJC417" i="48"/>
  <c r="NIV417" i="48"/>
  <c r="NIU417" i="48"/>
  <c r="NIN417" i="48"/>
  <c r="NIM417" i="48"/>
  <c r="NIF417" i="48"/>
  <c r="NIE417" i="48"/>
  <c r="NHX417" i="48"/>
  <c r="NHW417" i="48"/>
  <c r="NHP417" i="48"/>
  <c r="NHO417" i="48"/>
  <c r="NHH417" i="48"/>
  <c r="NHG417" i="48"/>
  <c r="NGZ417" i="48"/>
  <c r="NGY417" i="48"/>
  <c r="NGR417" i="48"/>
  <c r="NGQ417" i="48"/>
  <c r="NGJ417" i="48"/>
  <c r="NGI417" i="48"/>
  <c r="NGB417" i="48"/>
  <c r="NGA417" i="48"/>
  <c r="NFT417" i="48"/>
  <c r="NFS417" i="48"/>
  <c r="NFL417" i="48"/>
  <c r="NFK417" i="48"/>
  <c r="NFD417" i="48"/>
  <c r="NFC417" i="48"/>
  <c r="NEV417" i="48"/>
  <c r="NEU417" i="48"/>
  <c r="NEN417" i="48"/>
  <c r="NEM417" i="48"/>
  <c r="NEF417" i="48"/>
  <c r="NEE417" i="48"/>
  <c r="NDX417" i="48"/>
  <c r="NDW417" i="48"/>
  <c r="NDP417" i="48"/>
  <c r="NDO417" i="48"/>
  <c r="NDH417" i="48"/>
  <c r="NDG417" i="48"/>
  <c r="NCZ417" i="48"/>
  <c r="NCY417" i="48"/>
  <c r="NCR417" i="48"/>
  <c r="NCQ417" i="48"/>
  <c r="NCJ417" i="48"/>
  <c r="NCI417" i="48"/>
  <c r="NCB417" i="48"/>
  <c r="NCA417" i="48"/>
  <c r="NBT417" i="48"/>
  <c r="NBS417" i="48"/>
  <c r="NBL417" i="48"/>
  <c r="NBK417" i="48"/>
  <c r="NBD417" i="48"/>
  <c r="NBC417" i="48"/>
  <c r="NAV417" i="48"/>
  <c r="NAU417" i="48"/>
  <c r="NAN417" i="48"/>
  <c r="NAM417" i="48"/>
  <c r="NAF417" i="48"/>
  <c r="NAE417" i="48"/>
  <c r="MZX417" i="48"/>
  <c r="MZW417" i="48"/>
  <c r="MZP417" i="48"/>
  <c r="MZO417" i="48"/>
  <c r="MZH417" i="48"/>
  <c r="MZG417" i="48"/>
  <c r="MYZ417" i="48"/>
  <c r="MYY417" i="48"/>
  <c r="MYR417" i="48"/>
  <c r="MYQ417" i="48"/>
  <c r="MYJ417" i="48"/>
  <c r="MYI417" i="48"/>
  <c r="MYB417" i="48"/>
  <c r="MYA417" i="48"/>
  <c r="MXT417" i="48"/>
  <c r="MXS417" i="48"/>
  <c r="MXL417" i="48"/>
  <c r="MXK417" i="48"/>
  <c r="MXD417" i="48"/>
  <c r="MXC417" i="48"/>
  <c r="MWV417" i="48"/>
  <c r="MWU417" i="48"/>
  <c r="MWN417" i="48"/>
  <c r="MWM417" i="48"/>
  <c r="MWF417" i="48"/>
  <c r="MWE417" i="48"/>
  <c r="MVX417" i="48"/>
  <c r="MVW417" i="48"/>
  <c r="MVP417" i="48"/>
  <c r="MVO417" i="48"/>
  <c r="MVH417" i="48"/>
  <c r="MVG417" i="48"/>
  <c r="MUZ417" i="48"/>
  <c r="MUY417" i="48"/>
  <c r="MUR417" i="48"/>
  <c r="MUQ417" i="48"/>
  <c r="MUJ417" i="48"/>
  <c r="MUI417" i="48"/>
  <c r="MUB417" i="48"/>
  <c r="MUA417" i="48"/>
  <c r="MTT417" i="48"/>
  <c r="MTS417" i="48"/>
  <c r="MTL417" i="48"/>
  <c r="MTK417" i="48"/>
  <c r="MTD417" i="48"/>
  <c r="MTC417" i="48"/>
  <c r="MSV417" i="48"/>
  <c r="MSU417" i="48"/>
  <c r="MSN417" i="48"/>
  <c r="MSM417" i="48"/>
  <c r="MSF417" i="48"/>
  <c r="MSE417" i="48"/>
  <c r="MRX417" i="48"/>
  <c r="MRW417" i="48"/>
  <c r="MRP417" i="48"/>
  <c r="MRO417" i="48"/>
  <c r="MRH417" i="48"/>
  <c r="MRG417" i="48"/>
  <c r="MQZ417" i="48"/>
  <c r="MQY417" i="48"/>
  <c r="MQR417" i="48"/>
  <c r="MQQ417" i="48"/>
  <c r="MQJ417" i="48"/>
  <c r="MQI417" i="48"/>
  <c r="MQB417" i="48"/>
  <c r="MQA417" i="48"/>
  <c r="MPT417" i="48"/>
  <c r="MPS417" i="48"/>
  <c r="MPL417" i="48"/>
  <c r="MPK417" i="48"/>
  <c r="MPD417" i="48"/>
  <c r="MPC417" i="48"/>
  <c r="MOV417" i="48"/>
  <c r="MOU417" i="48"/>
  <c r="MON417" i="48"/>
  <c r="MOM417" i="48"/>
  <c r="MOF417" i="48"/>
  <c r="MOE417" i="48"/>
  <c r="MNX417" i="48"/>
  <c r="MNW417" i="48"/>
  <c r="MNP417" i="48"/>
  <c r="MNO417" i="48"/>
  <c r="MNH417" i="48"/>
  <c r="MNG417" i="48"/>
  <c r="MMZ417" i="48"/>
  <c r="MMY417" i="48"/>
  <c r="MMR417" i="48"/>
  <c r="MMQ417" i="48"/>
  <c r="MMJ417" i="48"/>
  <c r="MMI417" i="48"/>
  <c r="MMB417" i="48"/>
  <c r="MMA417" i="48"/>
  <c r="MLT417" i="48"/>
  <c r="MLS417" i="48"/>
  <c r="MLL417" i="48"/>
  <c r="MLK417" i="48"/>
  <c r="MLD417" i="48"/>
  <c r="MLC417" i="48"/>
  <c r="MKV417" i="48"/>
  <c r="MKU417" i="48"/>
  <c r="MKN417" i="48"/>
  <c r="MKM417" i="48"/>
  <c r="MKF417" i="48"/>
  <c r="MKE417" i="48"/>
  <c r="MJX417" i="48"/>
  <c r="MJW417" i="48"/>
  <c r="MJP417" i="48"/>
  <c r="MJO417" i="48"/>
  <c r="MJH417" i="48"/>
  <c r="MJG417" i="48"/>
  <c r="MIZ417" i="48"/>
  <c r="MIY417" i="48"/>
  <c r="MIR417" i="48"/>
  <c r="MIQ417" i="48"/>
  <c r="MIJ417" i="48"/>
  <c r="MII417" i="48"/>
  <c r="MIB417" i="48"/>
  <c r="MIA417" i="48"/>
  <c r="MHT417" i="48"/>
  <c r="MHS417" i="48"/>
  <c r="MHL417" i="48"/>
  <c r="MHK417" i="48"/>
  <c r="MHD417" i="48"/>
  <c r="MHC417" i="48"/>
  <c r="MGV417" i="48"/>
  <c r="MGU417" i="48"/>
  <c r="MGN417" i="48"/>
  <c r="MGM417" i="48"/>
  <c r="MGF417" i="48"/>
  <c r="MGE417" i="48"/>
  <c r="MFX417" i="48"/>
  <c r="MFW417" i="48"/>
  <c r="MFP417" i="48"/>
  <c r="MFO417" i="48"/>
  <c r="MFH417" i="48"/>
  <c r="MFG417" i="48"/>
  <c r="MEZ417" i="48"/>
  <c r="MEY417" i="48"/>
  <c r="MER417" i="48"/>
  <c r="MEQ417" i="48"/>
  <c r="MEJ417" i="48"/>
  <c r="MEI417" i="48"/>
  <c r="MEB417" i="48"/>
  <c r="MEA417" i="48"/>
  <c r="MDT417" i="48"/>
  <c r="MDS417" i="48"/>
  <c r="MDL417" i="48"/>
  <c r="MDK417" i="48"/>
  <c r="MDD417" i="48"/>
  <c r="MDC417" i="48"/>
  <c r="MCV417" i="48"/>
  <c r="MCU417" i="48"/>
  <c r="MCN417" i="48"/>
  <c r="MCM417" i="48"/>
  <c r="MCF417" i="48"/>
  <c r="MCE417" i="48"/>
  <c r="MBX417" i="48"/>
  <c r="MBW417" i="48"/>
  <c r="MBP417" i="48"/>
  <c r="MBO417" i="48"/>
  <c r="MBH417" i="48"/>
  <c r="MBG417" i="48"/>
  <c r="MAZ417" i="48"/>
  <c r="MAY417" i="48"/>
  <c r="MAR417" i="48"/>
  <c r="MAQ417" i="48"/>
  <c r="MAJ417" i="48"/>
  <c r="MAI417" i="48"/>
  <c r="MAB417" i="48"/>
  <c r="MAA417" i="48"/>
  <c r="LZT417" i="48"/>
  <c r="LZS417" i="48"/>
  <c r="LZL417" i="48"/>
  <c r="LZK417" i="48"/>
  <c r="LZD417" i="48"/>
  <c r="LZC417" i="48"/>
  <c r="LYV417" i="48"/>
  <c r="LYU417" i="48"/>
  <c r="LYN417" i="48"/>
  <c r="LYM417" i="48"/>
  <c r="LYF417" i="48"/>
  <c r="LYE417" i="48"/>
  <c r="LXX417" i="48"/>
  <c r="LXW417" i="48"/>
  <c r="LXP417" i="48"/>
  <c r="LXO417" i="48"/>
  <c r="LXH417" i="48"/>
  <c r="LXG417" i="48"/>
  <c r="LWZ417" i="48"/>
  <c r="LWY417" i="48"/>
  <c r="LWR417" i="48"/>
  <c r="LWQ417" i="48"/>
  <c r="LWJ417" i="48"/>
  <c r="LWI417" i="48"/>
  <c r="LWB417" i="48"/>
  <c r="LWA417" i="48"/>
  <c r="LVT417" i="48"/>
  <c r="LVS417" i="48"/>
  <c r="LVL417" i="48"/>
  <c r="LVK417" i="48"/>
  <c r="LVD417" i="48"/>
  <c r="LVC417" i="48"/>
  <c r="LUV417" i="48"/>
  <c r="LUU417" i="48"/>
  <c r="LUN417" i="48"/>
  <c r="LUM417" i="48"/>
  <c r="LUF417" i="48"/>
  <c r="LUE417" i="48"/>
  <c r="LTX417" i="48"/>
  <c r="LTW417" i="48"/>
  <c r="LTP417" i="48"/>
  <c r="LTO417" i="48"/>
  <c r="LTH417" i="48"/>
  <c r="LTG417" i="48"/>
  <c r="LSZ417" i="48"/>
  <c r="LSY417" i="48"/>
  <c r="LSR417" i="48"/>
  <c r="LSQ417" i="48"/>
  <c r="LSJ417" i="48"/>
  <c r="LSI417" i="48"/>
  <c r="LSB417" i="48"/>
  <c r="LSA417" i="48"/>
  <c r="LRT417" i="48"/>
  <c r="LRS417" i="48"/>
  <c r="LRL417" i="48"/>
  <c r="LRK417" i="48"/>
  <c r="LRD417" i="48"/>
  <c r="LRC417" i="48"/>
  <c r="LQV417" i="48"/>
  <c r="LQU417" i="48"/>
  <c r="LQN417" i="48"/>
  <c r="LQM417" i="48"/>
  <c r="LQF417" i="48"/>
  <c r="LQE417" i="48"/>
  <c r="LPX417" i="48"/>
  <c r="LPW417" i="48"/>
  <c r="LPP417" i="48"/>
  <c r="LPO417" i="48"/>
  <c r="LPH417" i="48"/>
  <c r="LPG417" i="48"/>
  <c r="LOZ417" i="48"/>
  <c r="LOY417" i="48"/>
  <c r="LOR417" i="48"/>
  <c r="LOQ417" i="48"/>
  <c r="LOJ417" i="48"/>
  <c r="LOI417" i="48"/>
  <c r="LOB417" i="48"/>
  <c r="LOA417" i="48"/>
  <c r="LNT417" i="48"/>
  <c r="LNS417" i="48"/>
  <c r="LNL417" i="48"/>
  <c r="LNK417" i="48"/>
  <c r="LND417" i="48"/>
  <c r="LNC417" i="48"/>
  <c r="LMV417" i="48"/>
  <c r="LMU417" i="48"/>
  <c r="LMN417" i="48"/>
  <c r="LMM417" i="48"/>
  <c r="LMF417" i="48"/>
  <c r="LME417" i="48"/>
  <c r="LLX417" i="48"/>
  <c r="LLW417" i="48"/>
  <c r="LLP417" i="48"/>
  <c r="LLO417" i="48"/>
  <c r="LLH417" i="48"/>
  <c r="LLG417" i="48"/>
  <c r="LKZ417" i="48"/>
  <c r="LKY417" i="48"/>
  <c r="LKR417" i="48"/>
  <c r="LKQ417" i="48"/>
  <c r="LKJ417" i="48"/>
  <c r="LKI417" i="48"/>
  <c r="LKB417" i="48"/>
  <c r="LKA417" i="48"/>
  <c r="LJT417" i="48"/>
  <c r="LJS417" i="48"/>
  <c r="LJL417" i="48"/>
  <c r="LJK417" i="48"/>
  <c r="LJD417" i="48"/>
  <c r="LJC417" i="48"/>
  <c r="LIV417" i="48"/>
  <c r="LIU417" i="48"/>
  <c r="LIN417" i="48"/>
  <c r="LIM417" i="48"/>
  <c r="LIF417" i="48"/>
  <c r="LIE417" i="48"/>
  <c r="LHX417" i="48"/>
  <c r="LHW417" i="48"/>
  <c r="LHP417" i="48"/>
  <c r="LHO417" i="48"/>
  <c r="LHH417" i="48"/>
  <c r="LHG417" i="48"/>
  <c r="LGZ417" i="48"/>
  <c r="LGY417" i="48"/>
  <c r="LGR417" i="48"/>
  <c r="LGQ417" i="48"/>
  <c r="LGJ417" i="48"/>
  <c r="LGI417" i="48"/>
  <c r="LGB417" i="48"/>
  <c r="LGA417" i="48"/>
  <c r="LFT417" i="48"/>
  <c r="LFS417" i="48"/>
  <c r="LFL417" i="48"/>
  <c r="LFK417" i="48"/>
  <c r="LFD417" i="48"/>
  <c r="LFC417" i="48"/>
  <c r="LEV417" i="48"/>
  <c r="LEU417" i="48"/>
  <c r="LEN417" i="48"/>
  <c r="LEM417" i="48"/>
  <c r="LEF417" i="48"/>
  <c r="LEE417" i="48"/>
  <c r="LDX417" i="48"/>
  <c r="LDW417" i="48"/>
  <c r="LDP417" i="48"/>
  <c r="LDO417" i="48"/>
  <c r="LDH417" i="48"/>
  <c r="LDG417" i="48"/>
  <c r="LCZ417" i="48"/>
  <c r="LCY417" i="48"/>
  <c r="LCR417" i="48"/>
  <c r="LCQ417" i="48"/>
  <c r="LCJ417" i="48"/>
  <c r="LCI417" i="48"/>
  <c r="LCB417" i="48"/>
  <c r="LCA417" i="48"/>
  <c r="LBT417" i="48"/>
  <c r="LBS417" i="48"/>
  <c r="LBL417" i="48"/>
  <c r="LBK417" i="48"/>
  <c r="LBD417" i="48"/>
  <c r="LBC417" i="48"/>
  <c r="LAV417" i="48"/>
  <c r="LAU417" i="48"/>
  <c r="LAN417" i="48"/>
  <c r="LAM417" i="48"/>
  <c r="LAF417" i="48"/>
  <c r="LAE417" i="48"/>
  <c r="KZX417" i="48"/>
  <c r="KZW417" i="48"/>
  <c r="KZP417" i="48"/>
  <c r="KZO417" i="48"/>
  <c r="KZH417" i="48"/>
  <c r="KZG417" i="48"/>
  <c r="KYZ417" i="48"/>
  <c r="KYY417" i="48"/>
  <c r="KYR417" i="48"/>
  <c r="KYQ417" i="48"/>
  <c r="KYJ417" i="48"/>
  <c r="KYI417" i="48"/>
  <c r="KYB417" i="48"/>
  <c r="KYA417" i="48"/>
  <c r="KXT417" i="48"/>
  <c r="KXS417" i="48"/>
  <c r="KXL417" i="48"/>
  <c r="KXK417" i="48"/>
  <c r="KXD417" i="48"/>
  <c r="KXC417" i="48"/>
  <c r="KWV417" i="48"/>
  <c r="KWU417" i="48"/>
  <c r="KWN417" i="48"/>
  <c r="KWM417" i="48"/>
  <c r="KWF417" i="48"/>
  <c r="KWE417" i="48"/>
  <c r="KVX417" i="48"/>
  <c r="KVW417" i="48"/>
  <c r="KVP417" i="48"/>
  <c r="KVO417" i="48"/>
  <c r="KVH417" i="48"/>
  <c r="KVG417" i="48"/>
  <c r="KUZ417" i="48"/>
  <c r="KUY417" i="48"/>
  <c r="KUR417" i="48"/>
  <c r="KUQ417" i="48"/>
  <c r="KUJ417" i="48"/>
  <c r="KUI417" i="48"/>
  <c r="KUB417" i="48"/>
  <c r="KUA417" i="48"/>
  <c r="KTT417" i="48"/>
  <c r="KTS417" i="48"/>
  <c r="KTL417" i="48"/>
  <c r="KTK417" i="48"/>
  <c r="KTD417" i="48"/>
  <c r="KTC417" i="48"/>
  <c r="KSV417" i="48"/>
  <c r="KSU417" i="48"/>
  <c r="KSN417" i="48"/>
  <c r="KSM417" i="48"/>
  <c r="KSF417" i="48"/>
  <c r="KSE417" i="48"/>
  <c r="KRX417" i="48"/>
  <c r="KRW417" i="48"/>
  <c r="KRP417" i="48"/>
  <c r="KRO417" i="48"/>
  <c r="KRH417" i="48"/>
  <c r="KRG417" i="48"/>
  <c r="KQZ417" i="48"/>
  <c r="KQY417" i="48"/>
  <c r="KQR417" i="48"/>
  <c r="KQQ417" i="48"/>
  <c r="KQJ417" i="48"/>
  <c r="KQI417" i="48"/>
  <c r="KQB417" i="48"/>
  <c r="KQA417" i="48"/>
  <c r="KPT417" i="48"/>
  <c r="KPS417" i="48"/>
  <c r="KPL417" i="48"/>
  <c r="KPK417" i="48"/>
  <c r="KPD417" i="48"/>
  <c r="KPC417" i="48"/>
  <c r="KOV417" i="48"/>
  <c r="KOU417" i="48"/>
  <c r="KON417" i="48"/>
  <c r="KOM417" i="48"/>
  <c r="KOF417" i="48"/>
  <c r="KOE417" i="48"/>
  <c r="KNX417" i="48"/>
  <c r="KNW417" i="48"/>
  <c r="KNP417" i="48"/>
  <c r="KNO417" i="48"/>
  <c r="KNH417" i="48"/>
  <c r="KNG417" i="48"/>
  <c r="KMZ417" i="48"/>
  <c r="KMY417" i="48"/>
  <c r="KMR417" i="48"/>
  <c r="KMQ417" i="48"/>
  <c r="KMJ417" i="48"/>
  <c r="KMI417" i="48"/>
  <c r="KMB417" i="48"/>
  <c r="KMA417" i="48"/>
  <c r="KLT417" i="48"/>
  <c r="KLS417" i="48"/>
  <c r="KLL417" i="48"/>
  <c r="KLK417" i="48"/>
  <c r="KLD417" i="48"/>
  <c r="KLC417" i="48"/>
  <c r="KKV417" i="48"/>
  <c r="KKU417" i="48"/>
  <c r="KKN417" i="48"/>
  <c r="KKM417" i="48"/>
  <c r="KKF417" i="48"/>
  <c r="KKE417" i="48"/>
  <c r="KJX417" i="48"/>
  <c r="KJW417" i="48"/>
  <c r="KJP417" i="48"/>
  <c r="KJO417" i="48"/>
  <c r="KJH417" i="48"/>
  <c r="KJG417" i="48"/>
  <c r="KIZ417" i="48"/>
  <c r="KIY417" i="48"/>
  <c r="KIR417" i="48"/>
  <c r="KIQ417" i="48"/>
  <c r="KIJ417" i="48"/>
  <c r="KII417" i="48"/>
  <c r="KIB417" i="48"/>
  <c r="KIA417" i="48"/>
  <c r="KHT417" i="48"/>
  <c r="KHS417" i="48"/>
  <c r="KHL417" i="48"/>
  <c r="KHK417" i="48"/>
  <c r="KHD417" i="48"/>
  <c r="KHC417" i="48"/>
  <c r="KGV417" i="48"/>
  <c r="KGU417" i="48"/>
  <c r="KGN417" i="48"/>
  <c r="KGM417" i="48"/>
  <c r="KGF417" i="48"/>
  <c r="KGE417" i="48"/>
  <c r="KFX417" i="48"/>
  <c r="KFW417" i="48"/>
  <c r="KFP417" i="48"/>
  <c r="KFO417" i="48"/>
  <c r="KFH417" i="48"/>
  <c r="KFG417" i="48"/>
  <c r="KEZ417" i="48"/>
  <c r="KEY417" i="48"/>
  <c r="KER417" i="48"/>
  <c r="KEQ417" i="48"/>
  <c r="KEJ417" i="48"/>
  <c r="KEI417" i="48"/>
  <c r="KEB417" i="48"/>
  <c r="KEA417" i="48"/>
  <c r="KDT417" i="48"/>
  <c r="KDS417" i="48"/>
  <c r="KDL417" i="48"/>
  <c r="KDK417" i="48"/>
  <c r="KDD417" i="48"/>
  <c r="KDC417" i="48"/>
  <c r="KCV417" i="48"/>
  <c r="KCU417" i="48"/>
  <c r="KCN417" i="48"/>
  <c r="KCM417" i="48"/>
  <c r="KCF417" i="48"/>
  <c r="KCE417" i="48"/>
  <c r="KBX417" i="48"/>
  <c r="KBW417" i="48"/>
  <c r="KBP417" i="48"/>
  <c r="KBO417" i="48"/>
  <c r="KBH417" i="48"/>
  <c r="KBG417" i="48"/>
  <c r="KAZ417" i="48"/>
  <c r="KAY417" i="48"/>
  <c r="KAR417" i="48"/>
  <c r="KAQ417" i="48"/>
  <c r="KAJ417" i="48"/>
  <c r="KAI417" i="48"/>
  <c r="KAB417" i="48"/>
  <c r="KAA417" i="48"/>
  <c r="JZT417" i="48"/>
  <c r="JZS417" i="48"/>
  <c r="JZL417" i="48"/>
  <c r="JZK417" i="48"/>
  <c r="JZD417" i="48"/>
  <c r="JZC417" i="48"/>
  <c r="JYV417" i="48"/>
  <c r="JYU417" i="48"/>
  <c r="JYN417" i="48"/>
  <c r="JYM417" i="48"/>
  <c r="JYF417" i="48"/>
  <c r="JYE417" i="48"/>
  <c r="JXX417" i="48"/>
  <c r="JXW417" i="48"/>
  <c r="JXP417" i="48"/>
  <c r="JXO417" i="48"/>
  <c r="JXH417" i="48"/>
  <c r="JXG417" i="48"/>
  <c r="JWZ417" i="48"/>
  <c r="JWY417" i="48"/>
  <c r="JWR417" i="48"/>
  <c r="JWQ417" i="48"/>
  <c r="JWJ417" i="48"/>
  <c r="JWI417" i="48"/>
  <c r="JWB417" i="48"/>
  <c r="JWA417" i="48"/>
  <c r="JVT417" i="48"/>
  <c r="JVS417" i="48"/>
  <c r="JVL417" i="48"/>
  <c r="JVK417" i="48"/>
  <c r="JVD417" i="48"/>
  <c r="JVC417" i="48"/>
  <c r="JUV417" i="48"/>
  <c r="JUU417" i="48"/>
  <c r="JUN417" i="48"/>
  <c r="JUM417" i="48"/>
  <c r="JUF417" i="48"/>
  <c r="JUE417" i="48"/>
  <c r="JTX417" i="48"/>
  <c r="JTW417" i="48"/>
  <c r="JTP417" i="48"/>
  <c r="JTO417" i="48"/>
  <c r="JTH417" i="48"/>
  <c r="JTG417" i="48"/>
  <c r="JSZ417" i="48"/>
  <c r="JSY417" i="48"/>
  <c r="JSR417" i="48"/>
  <c r="JSQ417" i="48"/>
  <c r="JSJ417" i="48"/>
  <c r="JSI417" i="48"/>
  <c r="JSB417" i="48"/>
  <c r="JSA417" i="48"/>
  <c r="JRT417" i="48"/>
  <c r="JRS417" i="48"/>
  <c r="JRL417" i="48"/>
  <c r="JRK417" i="48"/>
  <c r="JRD417" i="48"/>
  <c r="JRC417" i="48"/>
  <c r="JQV417" i="48"/>
  <c r="JQU417" i="48"/>
  <c r="JQN417" i="48"/>
  <c r="JQM417" i="48"/>
  <c r="JQF417" i="48"/>
  <c r="JQE417" i="48"/>
  <c r="JPX417" i="48"/>
  <c r="JPW417" i="48"/>
  <c r="JPP417" i="48"/>
  <c r="JPO417" i="48"/>
  <c r="JPH417" i="48"/>
  <c r="JPG417" i="48"/>
  <c r="JOZ417" i="48"/>
  <c r="JOY417" i="48"/>
  <c r="JOR417" i="48"/>
  <c r="JOQ417" i="48"/>
  <c r="JOJ417" i="48"/>
  <c r="JOI417" i="48"/>
  <c r="JOB417" i="48"/>
  <c r="JOA417" i="48"/>
  <c r="JNT417" i="48"/>
  <c r="JNS417" i="48"/>
  <c r="JNL417" i="48"/>
  <c r="JNK417" i="48"/>
  <c r="JND417" i="48"/>
  <c r="JNC417" i="48"/>
  <c r="JMV417" i="48"/>
  <c r="JMU417" i="48"/>
  <c r="JMN417" i="48"/>
  <c r="JMM417" i="48"/>
  <c r="JMF417" i="48"/>
  <c r="JME417" i="48"/>
  <c r="JLX417" i="48"/>
  <c r="JLW417" i="48"/>
  <c r="JLP417" i="48"/>
  <c r="JLO417" i="48"/>
  <c r="JLH417" i="48"/>
  <c r="JLG417" i="48"/>
  <c r="JKZ417" i="48"/>
  <c r="JKY417" i="48"/>
  <c r="JKR417" i="48"/>
  <c r="JKQ417" i="48"/>
  <c r="JKJ417" i="48"/>
  <c r="JKI417" i="48"/>
  <c r="JKB417" i="48"/>
  <c r="JKA417" i="48"/>
  <c r="JJT417" i="48"/>
  <c r="JJS417" i="48"/>
  <c r="JJL417" i="48"/>
  <c r="JJK417" i="48"/>
  <c r="JJD417" i="48"/>
  <c r="JJC417" i="48"/>
  <c r="JIV417" i="48"/>
  <c r="JIU417" i="48"/>
  <c r="JIN417" i="48"/>
  <c r="JIM417" i="48"/>
  <c r="JIF417" i="48"/>
  <c r="JIE417" i="48"/>
  <c r="JHX417" i="48"/>
  <c r="JHW417" i="48"/>
  <c r="JHP417" i="48"/>
  <c r="JHO417" i="48"/>
  <c r="JHH417" i="48"/>
  <c r="JHG417" i="48"/>
  <c r="JGZ417" i="48"/>
  <c r="JGY417" i="48"/>
  <c r="JGR417" i="48"/>
  <c r="JGQ417" i="48"/>
  <c r="JGJ417" i="48"/>
  <c r="JGI417" i="48"/>
  <c r="JGB417" i="48"/>
  <c r="JGA417" i="48"/>
  <c r="JFT417" i="48"/>
  <c r="JFS417" i="48"/>
  <c r="JFL417" i="48"/>
  <c r="JFK417" i="48"/>
  <c r="JFD417" i="48"/>
  <c r="JFC417" i="48"/>
  <c r="JEV417" i="48"/>
  <c r="JEU417" i="48"/>
  <c r="JEN417" i="48"/>
  <c r="JEM417" i="48"/>
  <c r="JEF417" i="48"/>
  <c r="JEE417" i="48"/>
  <c r="JDX417" i="48"/>
  <c r="JDW417" i="48"/>
  <c r="JDP417" i="48"/>
  <c r="JDO417" i="48"/>
  <c r="JDH417" i="48"/>
  <c r="JDG417" i="48"/>
  <c r="JCZ417" i="48"/>
  <c r="JCY417" i="48"/>
  <c r="JCR417" i="48"/>
  <c r="JCQ417" i="48"/>
  <c r="JCJ417" i="48"/>
  <c r="JCI417" i="48"/>
  <c r="JCB417" i="48"/>
  <c r="JCA417" i="48"/>
  <c r="JBT417" i="48"/>
  <c r="JBS417" i="48"/>
  <c r="JBL417" i="48"/>
  <c r="JBK417" i="48"/>
  <c r="JBD417" i="48"/>
  <c r="JBC417" i="48"/>
  <c r="JAV417" i="48"/>
  <c r="JAU417" i="48"/>
  <c r="JAN417" i="48"/>
  <c r="JAM417" i="48"/>
  <c r="JAF417" i="48"/>
  <c r="JAE417" i="48"/>
  <c r="IZX417" i="48"/>
  <c r="IZW417" i="48"/>
  <c r="IZP417" i="48"/>
  <c r="IZO417" i="48"/>
  <c r="IZH417" i="48"/>
  <c r="IZG417" i="48"/>
  <c r="IYZ417" i="48"/>
  <c r="IYY417" i="48"/>
  <c r="IYR417" i="48"/>
  <c r="IYQ417" i="48"/>
  <c r="IYJ417" i="48"/>
  <c r="IYI417" i="48"/>
  <c r="IYB417" i="48"/>
  <c r="IYA417" i="48"/>
  <c r="IXT417" i="48"/>
  <c r="IXS417" i="48"/>
  <c r="IXL417" i="48"/>
  <c r="IXK417" i="48"/>
  <c r="IXD417" i="48"/>
  <c r="IXC417" i="48"/>
  <c r="IWV417" i="48"/>
  <c r="IWU417" i="48"/>
  <c r="IWN417" i="48"/>
  <c r="IWM417" i="48"/>
  <c r="IWF417" i="48"/>
  <c r="IWE417" i="48"/>
  <c r="IVX417" i="48"/>
  <c r="IVW417" i="48"/>
  <c r="IVP417" i="48"/>
  <c r="IVO417" i="48"/>
  <c r="IVH417" i="48"/>
  <c r="IVG417" i="48"/>
  <c r="IUZ417" i="48"/>
  <c r="IUY417" i="48"/>
  <c r="IUR417" i="48"/>
  <c r="IUQ417" i="48"/>
  <c r="IUJ417" i="48"/>
  <c r="IUI417" i="48"/>
  <c r="IUB417" i="48"/>
  <c r="IUA417" i="48"/>
  <c r="ITT417" i="48"/>
  <c r="ITS417" i="48"/>
  <c r="ITL417" i="48"/>
  <c r="ITK417" i="48"/>
  <c r="ITD417" i="48"/>
  <c r="ITC417" i="48"/>
  <c r="ISV417" i="48"/>
  <c r="ISU417" i="48"/>
  <c r="ISN417" i="48"/>
  <c r="ISM417" i="48"/>
  <c r="ISF417" i="48"/>
  <c r="ISE417" i="48"/>
  <c r="IRX417" i="48"/>
  <c r="IRW417" i="48"/>
  <c r="IRP417" i="48"/>
  <c r="IRO417" i="48"/>
  <c r="IRH417" i="48"/>
  <c r="IRG417" i="48"/>
  <c r="IQZ417" i="48"/>
  <c r="IQY417" i="48"/>
  <c r="IQR417" i="48"/>
  <c r="IQQ417" i="48"/>
  <c r="IQJ417" i="48"/>
  <c r="IQI417" i="48"/>
  <c r="IQB417" i="48"/>
  <c r="IQA417" i="48"/>
  <c r="IPT417" i="48"/>
  <c r="IPS417" i="48"/>
  <c r="IPL417" i="48"/>
  <c r="IPK417" i="48"/>
  <c r="IPD417" i="48"/>
  <c r="IPC417" i="48"/>
  <c r="IOV417" i="48"/>
  <c r="IOU417" i="48"/>
  <c r="ION417" i="48"/>
  <c r="IOM417" i="48"/>
  <c r="IOF417" i="48"/>
  <c r="IOE417" i="48"/>
  <c r="INX417" i="48"/>
  <c r="INW417" i="48"/>
  <c r="INP417" i="48"/>
  <c r="INO417" i="48"/>
  <c r="INH417" i="48"/>
  <c r="ING417" i="48"/>
  <c r="IMZ417" i="48"/>
  <c r="IMY417" i="48"/>
  <c r="IMR417" i="48"/>
  <c r="IMQ417" i="48"/>
  <c r="IMJ417" i="48"/>
  <c r="IMI417" i="48"/>
  <c r="IMB417" i="48"/>
  <c r="IMA417" i="48"/>
  <c r="ILT417" i="48"/>
  <c r="ILS417" i="48"/>
  <c r="ILL417" i="48"/>
  <c r="ILK417" i="48"/>
  <c r="ILD417" i="48"/>
  <c r="ILC417" i="48"/>
  <c r="IKV417" i="48"/>
  <c r="IKU417" i="48"/>
  <c r="IKN417" i="48"/>
  <c r="IKM417" i="48"/>
  <c r="IKF417" i="48"/>
  <c r="IKE417" i="48"/>
  <c r="IJX417" i="48"/>
  <c r="IJW417" i="48"/>
  <c r="IJP417" i="48"/>
  <c r="IJO417" i="48"/>
  <c r="IJH417" i="48"/>
  <c r="IJG417" i="48"/>
  <c r="IIZ417" i="48"/>
  <c r="IIY417" i="48"/>
  <c r="IIR417" i="48"/>
  <c r="IIQ417" i="48"/>
  <c r="IIJ417" i="48"/>
  <c r="III417" i="48"/>
  <c r="IIB417" i="48"/>
  <c r="IIA417" i="48"/>
  <c r="IHT417" i="48"/>
  <c r="IHS417" i="48"/>
  <c r="IHL417" i="48"/>
  <c r="IHK417" i="48"/>
  <c r="IHD417" i="48"/>
  <c r="IHC417" i="48"/>
  <c r="IGV417" i="48"/>
  <c r="IGU417" i="48"/>
  <c r="IGN417" i="48"/>
  <c r="IGM417" i="48"/>
  <c r="IGF417" i="48"/>
  <c r="IGE417" i="48"/>
  <c r="IFX417" i="48"/>
  <c r="IFW417" i="48"/>
  <c r="IFP417" i="48"/>
  <c r="IFO417" i="48"/>
  <c r="IFH417" i="48"/>
  <c r="IFG417" i="48"/>
  <c r="IEZ417" i="48"/>
  <c r="IEY417" i="48"/>
  <c r="IER417" i="48"/>
  <c r="IEQ417" i="48"/>
  <c r="IEJ417" i="48"/>
  <c r="IEI417" i="48"/>
  <c r="IEB417" i="48"/>
  <c r="IEA417" i="48"/>
  <c r="IDT417" i="48"/>
  <c r="IDS417" i="48"/>
  <c r="IDL417" i="48"/>
  <c r="IDK417" i="48"/>
  <c r="IDD417" i="48"/>
  <c r="IDC417" i="48"/>
  <c r="ICV417" i="48"/>
  <c r="ICU417" i="48"/>
  <c r="ICN417" i="48"/>
  <c r="ICM417" i="48"/>
  <c r="ICF417" i="48"/>
  <c r="ICE417" i="48"/>
  <c r="IBX417" i="48"/>
  <c r="IBW417" i="48"/>
  <c r="IBP417" i="48"/>
  <c r="IBO417" i="48"/>
  <c r="IBH417" i="48"/>
  <c r="IBG417" i="48"/>
  <c r="IAZ417" i="48"/>
  <c r="IAY417" i="48"/>
  <c r="IAR417" i="48"/>
  <c r="IAQ417" i="48"/>
  <c r="IAJ417" i="48"/>
  <c r="IAI417" i="48"/>
  <c r="IAB417" i="48"/>
  <c r="IAA417" i="48"/>
  <c r="HZT417" i="48"/>
  <c r="HZS417" i="48"/>
  <c r="HZL417" i="48"/>
  <c r="HZK417" i="48"/>
  <c r="HZD417" i="48"/>
  <c r="HZC417" i="48"/>
  <c r="HYV417" i="48"/>
  <c r="HYU417" i="48"/>
  <c r="HYN417" i="48"/>
  <c r="HYM417" i="48"/>
  <c r="HYF417" i="48"/>
  <c r="HYE417" i="48"/>
  <c r="HXX417" i="48"/>
  <c r="HXW417" i="48"/>
  <c r="HXP417" i="48"/>
  <c r="HXO417" i="48"/>
  <c r="HXH417" i="48"/>
  <c r="HXG417" i="48"/>
  <c r="HWZ417" i="48"/>
  <c r="HWY417" i="48"/>
  <c r="HWR417" i="48"/>
  <c r="HWQ417" i="48"/>
  <c r="HWJ417" i="48"/>
  <c r="HWI417" i="48"/>
  <c r="HWB417" i="48"/>
  <c r="HWA417" i="48"/>
  <c r="HVT417" i="48"/>
  <c r="HVS417" i="48"/>
  <c r="HVL417" i="48"/>
  <c r="HVK417" i="48"/>
  <c r="HVD417" i="48"/>
  <c r="HVC417" i="48"/>
  <c r="HUV417" i="48"/>
  <c r="HUU417" i="48"/>
  <c r="HUN417" i="48"/>
  <c r="HUM417" i="48"/>
  <c r="HUF417" i="48"/>
  <c r="HUE417" i="48"/>
  <c r="HTX417" i="48"/>
  <c r="HTW417" i="48"/>
  <c r="HTP417" i="48"/>
  <c r="HTO417" i="48"/>
  <c r="HTH417" i="48"/>
  <c r="HTG417" i="48"/>
  <c r="HSZ417" i="48"/>
  <c r="HSY417" i="48"/>
  <c r="HSR417" i="48"/>
  <c r="HSQ417" i="48"/>
  <c r="HSJ417" i="48"/>
  <c r="HSI417" i="48"/>
  <c r="HSB417" i="48"/>
  <c r="HSA417" i="48"/>
  <c r="HRT417" i="48"/>
  <c r="HRS417" i="48"/>
  <c r="HRL417" i="48"/>
  <c r="HRK417" i="48"/>
  <c r="HRD417" i="48"/>
  <c r="HRC417" i="48"/>
  <c r="HQV417" i="48"/>
  <c r="HQU417" i="48"/>
  <c r="HQN417" i="48"/>
  <c r="HQM417" i="48"/>
  <c r="HQF417" i="48"/>
  <c r="HQE417" i="48"/>
  <c r="HPX417" i="48"/>
  <c r="HPW417" i="48"/>
  <c r="HPP417" i="48"/>
  <c r="HPO417" i="48"/>
  <c r="HPH417" i="48"/>
  <c r="HPG417" i="48"/>
  <c r="HOZ417" i="48"/>
  <c r="HOY417" i="48"/>
  <c r="HOR417" i="48"/>
  <c r="HOQ417" i="48"/>
  <c r="HOJ417" i="48"/>
  <c r="HOI417" i="48"/>
  <c r="HOB417" i="48"/>
  <c r="HOA417" i="48"/>
  <c r="HNT417" i="48"/>
  <c r="HNS417" i="48"/>
  <c r="HNL417" i="48"/>
  <c r="HNK417" i="48"/>
  <c r="HND417" i="48"/>
  <c r="HNC417" i="48"/>
  <c r="HMV417" i="48"/>
  <c r="HMU417" i="48"/>
  <c r="HMN417" i="48"/>
  <c r="HMM417" i="48"/>
  <c r="HMF417" i="48"/>
  <c r="HME417" i="48"/>
  <c r="HLX417" i="48"/>
  <c r="HLW417" i="48"/>
  <c r="HLP417" i="48"/>
  <c r="HLO417" i="48"/>
  <c r="HLH417" i="48"/>
  <c r="HLG417" i="48"/>
  <c r="HKZ417" i="48"/>
  <c r="HKY417" i="48"/>
  <c r="HKR417" i="48"/>
  <c r="HKQ417" i="48"/>
  <c r="HKJ417" i="48"/>
  <c r="HKI417" i="48"/>
  <c r="HKB417" i="48"/>
  <c r="HKA417" i="48"/>
  <c r="HJT417" i="48"/>
  <c r="HJS417" i="48"/>
  <c r="HJL417" i="48"/>
  <c r="HJK417" i="48"/>
  <c r="HJD417" i="48"/>
  <c r="HJC417" i="48"/>
  <c r="HIV417" i="48"/>
  <c r="HIU417" i="48"/>
  <c r="HIN417" i="48"/>
  <c r="HIM417" i="48"/>
  <c r="HIF417" i="48"/>
  <c r="HIE417" i="48"/>
  <c r="HHX417" i="48"/>
  <c r="HHW417" i="48"/>
  <c r="HHP417" i="48"/>
  <c r="HHO417" i="48"/>
  <c r="HHH417" i="48"/>
  <c r="HHG417" i="48"/>
  <c r="HGZ417" i="48"/>
  <c r="HGY417" i="48"/>
  <c r="HGR417" i="48"/>
  <c r="HGQ417" i="48"/>
  <c r="HGJ417" i="48"/>
  <c r="HGI417" i="48"/>
  <c r="HGB417" i="48"/>
  <c r="HGA417" i="48"/>
  <c r="HFT417" i="48"/>
  <c r="HFS417" i="48"/>
  <c r="HFL417" i="48"/>
  <c r="HFK417" i="48"/>
  <c r="HFD417" i="48"/>
  <c r="HFC417" i="48"/>
  <c r="HEV417" i="48"/>
  <c r="HEU417" i="48"/>
  <c r="HEN417" i="48"/>
  <c r="HEM417" i="48"/>
  <c r="HEF417" i="48"/>
  <c r="HEE417" i="48"/>
  <c r="HDX417" i="48"/>
  <c r="HDW417" i="48"/>
  <c r="HDP417" i="48"/>
  <c r="HDO417" i="48"/>
  <c r="HDH417" i="48"/>
  <c r="HDG417" i="48"/>
  <c r="HCZ417" i="48"/>
  <c r="HCY417" i="48"/>
  <c r="HCR417" i="48"/>
  <c r="HCQ417" i="48"/>
  <c r="HCJ417" i="48"/>
  <c r="HCI417" i="48"/>
  <c r="HCB417" i="48"/>
  <c r="HCA417" i="48"/>
  <c r="HBT417" i="48"/>
  <c r="HBS417" i="48"/>
  <c r="HBL417" i="48"/>
  <c r="HBK417" i="48"/>
  <c r="HBD417" i="48"/>
  <c r="HBC417" i="48"/>
  <c r="HAV417" i="48"/>
  <c r="HAU417" i="48"/>
  <c r="HAN417" i="48"/>
  <c r="HAM417" i="48"/>
  <c r="HAF417" i="48"/>
  <c r="HAE417" i="48"/>
  <c r="GZX417" i="48"/>
  <c r="GZW417" i="48"/>
  <c r="GZP417" i="48"/>
  <c r="GZO417" i="48"/>
  <c r="GZH417" i="48"/>
  <c r="GZG417" i="48"/>
  <c r="GYZ417" i="48"/>
  <c r="GYY417" i="48"/>
  <c r="GYR417" i="48"/>
  <c r="GYQ417" i="48"/>
  <c r="GYJ417" i="48"/>
  <c r="GYI417" i="48"/>
  <c r="GYB417" i="48"/>
  <c r="GYA417" i="48"/>
  <c r="GXT417" i="48"/>
  <c r="GXS417" i="48"/>
  <c r="GXL417" i="48"/>
  <c r="GXK417" i="48"/>
  <c r="GXD417" i="48"/>
  <c r="GXC417" i="48"/>
  <c r="GWV417" i="48"/>
  <c r="GWU417" i="48"/>
  <c r="GWN417" i="48"/>
  <c r="GWM417" i="48"/>
  <c r="GWF417" i="48"/>
  <c r="GWE417" i="48"/>
  <c r="GVX417" i="48"/>
  <c r="GVW417" i="48"/>
  <c r="GVP417" i="48"/>
  <c r="GVO417" i="48"/>
  <c r="GVH417" i="48"/>
  <c r="GVG417" i="48"/>
  <c r="GUZ417" i="48"/>
  <c r="GUY417" i="48"/>
  <c r="GUR417" i="48"/>
  <c r="GUQ417" i="48"/>
  <c r="GUJ417" i="48"/>
  <c r="GUI417" i="48"/>
  <c r="GUB417" i="48"/>
  <c r="GUA417" i="48"/>
  <c r="GTT417" i="48"/>
  <c r="GTS417" i="48"/>
  <c r="GTL417" i="48"/>
  <c r="GTK417" i="48"/>
  <c r="GTD417" i="48"/>
  <c r="GTC417" i="48"/>
  <c r="GSV417" i="48"/>
  <c r="GSU417" i="48"/>
  <c r="GSN417" i="48"/>
  <c r="GSM417" i="48"/>
  <c r="GSF417" i="48"/>
  <c r="GSE417" i="48"/>
  <c r="GRX417" i="48"/>
  <c r="GRW417" i="48"/>
  <c r="GRP417" i="48"/>
  <c r="GRO417" i="48"/>
  <c r="GRH417" i="48"/>
  <c r="GRG417" i="48"/>
  <c r="GQZ417" i="48"/>
  <c r="GQY417" i="48"/>
  <c r="GQR417" i="48"/>
  <c r="GQQ417" i="48"/>
  <c r="GQJ417" i="48"/>
  <c r="GQI417" i="48"/>
  <c r="GQB417" i="48"/>
  <c r="GQA417" i="48"/>
  <c r="GPT417" i="48"/>
  <c r="GPS417" i="48"/>
  <c r="GPL417" i="48"/>
  <c r="GPK417" i="48"/>
  <c r="GPD417" i="48"/>
  <c r="GPC417" i="48"/>
  <c r="GOV417" i="48"/>
  <c r="GOU417" i="48"/>
  <c r="GON417" i="48"/>
  <c r="GOM417" i="48"/>
  <c r="GOF417" i="48"/>
  <c r="GOE417" i="48"/>
  <c r="GNX417" i="48"/>
  <c r="GNW417" i="48"/>
  <c r="GNP417" i="48"/>
  <c r="GNO417" i="48"/>
  <c r="GNH417" i="48"/>
  <c r="GNG417" i="48"/>
  <c r="GMZ417" i="48"/>
  <c r="GMY417" i="48"/>
  <c r="GMR417" i="48"/>
  <c r="GMQ417" i="48"/>
  <c r="GMJ417" i="48"/>
  <c r="GMI417" i="48"/>
  <c r="GMB417" i="48"/>
  <c r="GMA417" i="48"/>
  <c r="GLT417" i="48"/>
  <c r="GLS417" i="48"/>
  <c r="GLL417" i="48"/>
  <c r="GLK417" i="48"/>
  <c r="GLD417" i="48"/>
  <c r="GLC417" i="48"/>
  <c r="GKV417" i="48"/>
  <c r="GKU417" i="48"/>
  <c r="GKN417" i="48"/>
  <c r="GKM417" i="48"/>
  <c r="GKF417" i="48"/>
  <c r="GKE417" i="48"/>
  <c r="GJX417" i="48"/>
  <c r="GJW417" i="48"/>
  <c r="GJP417" i="48"/>
  <c r="GJO417" i="48"/>
  <c r="GJH417" i="48"/>
  <c r="GJG417" i="48"/>
  <c r="GIZ417" i="48"/>
  <c r="GIY417" i="48"/>
  <c r="GIR417" i="48"/>
  <c r="GIQ417" i="48"/>
  <c r="GIJ417" i="48"/>
  <c r="GII417" i="48"/>
  <c r="GIB417" i="48"/>
  <c r="GIA417" i="48"/>
  <c r="GHT417" i="48"/>
  <c r="GHS417" i="48"/>
  <c r="GHL417" i="48"/>
  <c r="GHK417" i="48"/>
  <c r="GHD417" i="48"/>
  <c r="GHC417" i="48"/>
  <c r="GGV417" i="48"/>
  <c r="GGU417" i="48"/>
  <c r="GGN417" i="48"/>
  <c r="GGM417" i="48"/>
  <c r="GGF417" i="48"/>
  <c r="GGE417" i="48"/>
  <c r="GFX417" i="48"/>
  <c r="GFW417" i="48"/>
  <c r="GFP417" i="48"/>
  <c r="GFO417" i="48"/>
  <c r="GFH417" i="48"/>
  <c r="GFG417" i="48"/>
  <c r="GEZ417" i="48"/>
  <c r="GEY417" i="48"/>
  <c r="GER417" i="48"/>
  <c r="GEQ417" i="48"/>
  <c r="GEJ417" i="48"/>
  <c r="GEI417" i="48"/>
  <c r="GEB417" i="48"/>
  <c r="GEA417" i="48"/>
  <c r="GDT417" i="48"/>
  <c r="GDS417" i="48"/>
  <c r="GDL417" i="48"/>
  <c r="GDK417" i="48"/>
  <c r="GDD417" i="48"/>
  <c r="GDC417" i="48"/>
  <c r="GCV417" i="48"/>
  <c r="GCU417" i="48"/>
  <c r="GCN417" i="48"/>
  <c r="GCM417" i="48"/>
  <c r="GCF417" i="48"/>
  <c r="GCE417" i="48"/>
  <c r="GBX417" i="48"/>
  <c r="GBW417" i="48"/>
  <c r="GBP417" i="48"/>
  <c r="GBO417" i="48"/>
  <c r="GBH417" i="48"/>
  <c r="GBG417" i="48"/>
  <c r="GAZ417" i="48"/>
  <c r="GAY417" i="48"/>
  <c r="GAR417" i="48"/>
  <c r="GAQ417" i="48"/>
  <c r="GAJ417" i="48"/>
  <c r="GAI417" i="48"/>
  <c r="GAB417" i="48"/>
  <c r="GAA417" i="48"/>
  <c r="FZT417" i="48"/>
  <c r="FZS417" i="48"/>
  <c r="FZL417" i="48"/>
  <c r="FZK417" i="48"/>
  <c r="FZD417" i="48"/>
  <c r="FZC417" i="48"/>
  <c r="FYV417" i="48"/>
  <c r="FYU417" i="48"/>
  <c r="FYN417" i="48"/>
  <c r="FYM417" i="48"/>
  <c r="FYF417" i="48"/>
  <c r="FYE417" i="48"/>
  <c r="FXX417" i="48"/>
  <c r="FXW417" i="48"/>
  <c r="FXP417" i="48"/>
  <c r="FXO417" i="48"/>
  <c r="FXH417" i="48"/>
  <c r="FXG417" i="48"/>
  <c r="FWZ417" i="48"/>
  <c r="FWY417" i="48"/>
  <c r="FWR417" i="48"/>
  <c r="FWQ417" i="48"/>
  <c r="FWJ417" i="48"/>
  <c r="FWI417" i="48"/>
  <c r="FWB417" i="48"/>
  <c r="FWA417" i="48"/>
  <c r="FVT417" i="48"/>
  <c r="FVS417" i="48"/>
  <c r="FVL417" i="48"/>
  <c r="FVK417" i="48"/>
  <c r="FVD417" i="48"/>
  <c r="FVC417" i="48"/>
  <c r="FUV417" i="48"/>
  <c r="FUU417" i="48"/>
  <c r="FUN417" i="48"/>
  <c r="FUM417" i="48"/>
  <c r="FUF417" i="48"/>
  <c r="FUE417" i="48"/>
  <c r="FTX417" i="48"/>
  <c r="FTW417" i="48"/>
  <c r="FTP417" i="48"/>
  <c r="FTO417" i="48"/>
  <c r="FTH417" i="48"/>
  <c r="FTG417" i="48"/>
  <c r="FSZ417" i="48"/>
  <c r="FSY417" i="48"/>
  <c r="FSR417" i="48"/>
  <c r="FSQ417" i="48"/>
  <c r="FSJ417" i="48"/>
  <c r="FSI417" i="48"/>
  <c r="FSB417" i="48"/>
  <c r="FSA417" i="48"/>
  <c r="FRT417" i="48"/>
  <c r="FRS417" i="48"/>
  <c r="FRL417" i="48"/>
  <c r="FRK417" i="48"/>
  <c r="FRD417" i="48"/>
  <c r="FRC417" i="48"/>
  <c r="FQV417" i="48"/>
  <c r="FQU417" i="48"/>
  <c r="FQN417" i="48"/>
  <c r="FQM417" i="48"/>
  <c r="FQF417" i="48"/>
  <c r="FQE417" i="48"/>
  <c r="FPX417" i="48"/>
  <c r="FPW417" i="48"/>
  <c r="FPP417" i="48"/>
  <c r="FPO417" i="48"/>
  <c r="FPH417" i="48"/>
  <c r="FPG417" i="48"/>
  <c r="FOZ417" i="48"/>
  <c r="FOY417" i="48"/>
  <c r="FOR417" i="48"/>
  <c r="FOQ417" i="48"/>
  <c r="FOJ417" i="48"/>
  <c r="FOI417" i="48"/>
  <c r="FOB417" i="48"/>
  <c r="FOA417" i="48"/>
  <c r="FNT417" i="48"/>
  <c r="FNS417" i="48"/>
  <c r="FNL417" i="48"/>
  <c r="FNK417" i="48"/>
  <c r="FND417" i="48"/>
  <c r="FNC417" i="48"/>
  <c r="FMV417" i="48"/>
  <c r="FMU417" i="48"/>
  <c r="FMN417" i="48"/>
  <c r="FMM417" i="48"/>
  <c r="FMF417" i="48"/>
  <c r="FME417" i="48"/>
  <c r="FLX417" i="48"/>
  <c r="FLW417" i="48"/>
  <c r="FLP417" i="48"/>
  <c r="FLO417" i="48"/>
  <c r="FLH417" i="48"/>
  <c r="FLG417" i="48"/>
  <c r="FKZ417" i="48"/>
  <c r="FKY417" i="48"/>
  <c r="FKR417" i="48"/>
  <c r="FKQ417" i="48"/>
  <c r="FKJ417" i="48"/>
  <c r="FKI417" i="48"/>
  <c r="FKB417" i="48"/>
  <c r="FKA417" i="48"/>
  <c r="FJT417" i="48"/>
  <c r="FJS417" i="48"/>
  <c r="FJL417" i="48"/>
  <c r="FJK417" i="48"/>
  <c r="FJD417" i="48"/>
  <c r="FJC417" i="48"/>
  <c r="FIV417" i="48"/>
  <c r="FIU417" i="48"/>
  <c r="FIN417" i="48"/>
  <c r="FIM417" i="48"/>
  <c r="FIF417" i="48"/>
  <c r="FIE417" i="48"/>
  <c r="FHX417" i="48"/>
  <c r="FHW417" i="48"/>
  <c r="FHP417" i="48"/>
  <c r="FHO417" i="48"/>
  <c r="FHH417" i="48"/>
  <c r="FHG417" i="48"/>
  <c r="FGZ417" i="48"/>
  <c r="FGY417" i="48"/>
  <c r="FGR417" i="48"/>
  <c r="FGQ417" i="48"/>
  <c r="FGJ417" i="48"/>
  <c r="FGI417" i="48"/>
  <c r="FGB417" i="48"/>
  <c r="FGA417" i="48"/>
  <c r="FFT417" i="48"/>
  <c r="FFS417" i="48"/>
  <c r="FFL417" i="48"/>
  <c r="FFK417" i="48"/>
  <c r="FFD417" i="48"/>
  <c r="FFC417" i="48"/>
  <c r="FEV417" i="48"/>
  <c r="FEU417" i="48"/>
  <c r="FEN417" i="48"/>
  <c r="FEM417" i="48"/>
  <c r="FEF417" i="48"/>
  <c r="FEE417" i="48"/>
  <c r="FDX417" i="48"/>
  <c r="FDW417" i="48"/>
  <c r="FDP417" i="48"/>
  <c r="FDO417" i="48"/>
  <c r="FDH417" i="48"/>
  <c r="FDG417" i="48"/>
  <c r="FCZ417" i="48"/>
  <c r="FCY417" i="48"/>
  <c r="FCR417" i="48"/>
  <c r="FCQ417" i="48"/>
  <c r="FCJ417" i="48"/>
  <c r="FCI417" i="48"/>
  <c r="FCB417" i="48"/>
  <c r="FCA417" i="48"/>
  <c r="FBT417" i="48"/>
  <c r="FBS417" i="48"/>
  <c r="FBL417" i="48"/>
  <c r="FBK417" i="48"/>
  <c r="FBD417" i="48"/>
  <c r="FBC417" i="48"/>
  <c r="FAV417" i="48"/>
  <c r="FAU417" i="48"/>
  <c r="FAN417" i="48"/>
  <c r="FAM417" i="48"/>
  <c r="FAF417" i="48"/>
  <c r="FAE417" i="48"/>
  <c r="EZX417" i="48"/>
  <c r="EZW417" i="48"/>
  <c r="EZP417" i="48"/>
  <c r="EZO417" i="48"/>
  <c r="EZH417" i="48"/>
  <c r="EZG417" i="48"/>
  <c r="EYZ417" i="48"/>
  <c r="EYY417" i="48"/>
  <c r="EYR417" i="48"/>
  <c r="EYQ417" i="48"/>
  <c r="EYJ417" i="48"/>
  <c r="EYI417" i="48"/>
  <c r="EYB417" i="48"/>
  <c r="EYA417" i="48"/>
  <c r="EXT417" i="48"/>
  <c r="EXS417" i="48"/>
  <c r="EXL417" i="48"/>
  <c r="EXK417" i="48"/>
  <c r="EXD417" i="48"/>
  <c r="EXC417" i="48"/>
  <c r="EWV417" i="48"/>
  <c r="EWU417" i="48"/>
  <c r="EWN417" i="48"/>
  <c r="EWM417" i="48"/>
  <c r="EWF417" i="48"/>
  <c r="EWE417" i="48"/>
  <c r="EVX417" i="48"/>
  <c r="EVW417" i="48"/>
  <c r="EVP417" i="48"/>
  <c r="EVO417" i="48"/>
  <c r="EVH417" i="48"/>
  <c r="EVG417" i="48"/>
  <c r="EUZ417" i="48"/>
  <c r="EUY417" i="48"/>
  <c r="EUR417" i="48"/>
  <c r="EUQ417" i="48"/>
  <c r="EUJ417" i="48"/>
  <c r="EUI417" i="48"/>
  <c r="EUB417" i="48"/>
  <c r="EUA417" i="48"/>
  <c r="ETT417" i="48"/>
  <c r="ETS417" i="48"/>
  <c r="ETL417" i="48"/>
  <c r="ETK417" i="48"/>
  <c r="ETD417" i="48"/>
  <c r="ETC417" i="48"/>
  <c r="ESV417" i="48"/>
  <c r="ESU417" i="48"/>
  <c r="ESN417" i="48"/>
  <c r="ESM417" i="48"/>
  <c r="ESF417" i="48"/>
  <c r="ESE417" i="48"/>
  <c r="ERX417" i="48"/>
  <c r="ERW417" i="48"/>
  <c r="ERP417" i="48"/>
  <c r="ERO417" i="48"/>
  <c r="ERH417" i="48"/>
  <c r="ERG417" i="48"/>
  <c r="EQZ417" i="48"/>
  <c r="EQY417" i="48"/>
  <c r="EQR417" i="48"/>
  <c r="EQQ417" i="48"/>
  <c r="EQJ417" i="48"/>
  <c r="EQI417" i="48"/>
  <c r="EQB417" i="48"/>
  <c r="EQA417" i="48"/>
  <c r="EPT417" i="48"/>
  <c r="EPS417" i="48"/>
  <c r="EPL417" i="48"/>
  <c r="EPK417" i="48"/>
  <c r="EPD417" i="48"/>
  <c r="EPC417" i="48"/>
  <c r="EOV417" i="48"/>
  <c r="EOU417" i="48"/>
  <c r="EON417" i="48"/>
  <c r="EOM417" i="48"/>
  <c r="EOF417" i="48"/>
  <c r="EOE417" i="48"/>
  <c r="ENX417" i="48"/>
  <c r="ENW417" i="48"/>
  <c r="ENP417" i="48"/>
  <c r="ENO417" i="48"/>
  <c r="ENH417" i="48"/>
  <c r="ENG417" i="48"/>
  <c r="EMZ417" i="48"/>
  <c r="EMY417" i="48"/>
  <c r="EMR417" i="48"/>
  <c r="EMQ417" i="48"/>
  <c r="EMJ417" i="48"/>
  <c r="EMI417" i="48"/>
  <c r="EMB417" i="48"/>
  <c r="EMA417" i="48"/>
  <c r="ELT417" i="48"/>
  <c r="ELS417" i="48"/>
  <c r="ELL417" i="48"/>
  <c r="ELK417" i="48"/>
  <c r="ELD417" i="48"/>
  <c r="ELC417" i="48"/>
  <c r="EKV417" i="48"/>
  <c r="EKU417" i="48"/>
  <c r="EKN417" i="48"/>
  <c r="EKM417" i="48"/>
  <c r="EKF417" i="48"/>
  <c r="EKE417" i="48"/>
  <c r="EJX417" i="48"/>
  <c r="EJW417" i="48"/>
  <c r="EJP417" i="48"/>
  <c r="EJO417" i="48"/>
  <c r="EJH417" i="48"/>
  <c r="EJG417" i="48"/>
  <c r="EIZ417" i="48"/>
  <c r="EIY417" i="48"/>
  <c r="EIR417" i="48"/>
  <c r="EIQ417" i="48"/>
  <c r="EIJ417" i="48"/>
  <c r="EII417" i="48"/>
  <c r="EIB417" i="48"/>
  <c r="EIA417" i="48"/>
  <c r="EHT417" i="48"/>
  <c r="EHS417" i="48"/>
  <c r="EHL417" i="48"/>
  <c r="EHK417" i="48"/>
  <c r="EHD417" i="48"/>
  <c r="EHC417" i="48"/>
  <c r="EGV417" i="48"/>
  <c r="EGU417" i="48"/>
  <c r="EGN417" i="48"/>
  <c r="EGM417" i="48"/>
  <c r="EGF417" i="48"/>
  <c r="EGE417" i="48"/>
  <c r="EFX417" i="48"/>
  <c r="EFW417" i="48"/>
  <c r="EFP417" i="48"/>
  <c r="EFO417" i="48"/>
  <c r="EFH417" i="48"/>
  <c r="EFG417" i="48"/>
  <c r="EEZ417" i="48"/>
  <c r="EEY417" i="48"/>
  <c r="EER417" i="48"/>
  <c r="EEQ417" i="48"/>
  <c r="EEJ417" i="48"/>
  <c r="EEI417" i="48"/>
  <c r="EEB417" i="48"/>
  <c r="EEA417" i="48"/>
  <c r="EDT417" i="48"/>
  <c r="EDS417" i="48"/>
  <c r="EDL417" i="48"/>
  <c r="EDK417" i="48"/>
  <c r="EDD417" i="48"/>
  <c r="EDC417" i="48"/>
  <c r="ECV417" i="48"/>
  <c r="ECU417" i="48"/>
  <c r="ECN417" i="48"/>
  <c r="ECM417" i="48"/>
  <c r="ECF417" i="48"/>
  <c r="ECE417" i="48"/>
  <c r="EBX417" i="48"/>
  <c r="EBW417" i="48"/>
  <c r="EBP417" i="48"/>
  <c r="EBO417" i="48"/>
  <c r="EBH417" i="48"/>
  <c r="EBG417" i="48"/>
  <c r="EAZ417" i="48"/>
  <c r="EAY417" i="48"/>
  <c r="EAR417" i="48"/>
  <c r="EAQ417" i="48"/>
  <c r="EAJ417" i="48"/>
  <c r="EAI417" i="48"/>
  <c r="EAB417" i="48"/>
  <c r="EAA417" i="48"/>
  <c r="DZT417" i="48"/>
  <c r="DZS417" i="48"/>
  <c r="DZL417" i="48"/>
  <c r="DZK417" i="48"/>
  <c r="DZD417" i="48"/>
  <c r="DZC417" i="48"/>
  <c r="DYV417" i="48"/>
  <c r="DYU417" i="48"/>
  <c r="DYN417" i="48"/>
  <c r="DYM417" i="48"/>
  <c r="DYF417" i="48"/>
  <c r="DYE417" i="48"/>
  <c r="DXX417" i="48"/>
  <c r="DXW417" i="48"/>
  <c r="DXP417" i="48"/>
  <c r="DXO417" i="48"/>
  <c r="DXH417" i="48"/>
  <c r="DXG417" i="48"/>
  <c r="DWZ417" i="48"/>
  <c r="DWY417" i="48"/>
  <c r="DWR417" i="48"/>
  <c r="DWQ417" i="48"/>
  <c r="DWJ417" i="48"/>
  <c r="DWI417" i="48"/>
  <c r="DWB417" i="48"/>
  <c r="DWA417" i="48"/>
  <c r="DVT417" i="48"/>
  <c r="DVS417" i="48"/>
  <c r="DVL417" i="48"/>
  <c r="DVK417" i="48"/>
  <c r="DVD417" i="48"/>
  <c r="DVC417" i="48"/>
  <c r="DUV417" i="48"/>
  <c r="DUU417" i="48"/>
  <c r="DUN417" i="48"/>
  <c r="DUM417" i="48"/>
  <c r="DUF417" i="48"/>
  <c r="DUE417" i="48"/>
  <c r="DTX417" i="48"/>
  <c r="DTW417" i="48"/>
  <c r="DTP417" i="48"/>
  <c r="DTO417" i="48"/>
  <c r="DTH417" i="48"/>
  <c r="DTG417" i="48"/>
  <c r="DSZ417" i="48"/>
  <c r="DSY417" i="48"/>
  <c r="DSR417" i="48"/>
  <c r="DSQ417" i="48"/>
  <c r="DSJ417" i="48"/>
  <c r="DSI417" i="48"/>
  <c r="DSB417" i="48"/>
  <c r="DSA417" i="48"/>
  <c r="DRT417" i="48"/>
  <c r="DRS417" i="48"/>
  <c r="DRL417" i="48"/>
  <c r="DRK417" i="48"/>
  <c r="DRD417" i="48"/>
  <c r="DRC417" i="48"/>
  <c r="DQV417" i="48"/>
  <c r="DQU417" i="48"/>
  <c r="DQN417" i="48"/>
  <c r="DQM417" i="48"/>
  <c r="DQF417" i="48"/>
  <c r="DQE417" i="48"/>
  <c r="DPX417" i="48"/>
  <c r="DPW417" i="48"/>
  <c r="DPP417" i="48"/>
  <c r="DPO417" i="48"/>
  <c r="DPH417" i="48"/>
  <c r="DPG417" i="48"/>
  <c r="DOZ417" i="48"/>
  <c r="DOY417" i="48"/>
  <c r="DOR417" i="48"/>
  <c r="DOQ417" i="48"/>
  <c r="DOJ417" i="48"/>
  <c r="DOI417" i="48"/>
  <c r="DOB417" i="48"/>
  <c r="DOA417" i="48"/>
  <c r="DNT417" i="48"/>
  <c r="DNS417" i="48"/>
  <c r="DNL417" i="48"/>
  <c r="DNK417" i="48"/>
  <c r="DND417" i="48"/>
  <c r="DNC417" i="48"/>
  <c r="DMV417" i="48"/>
  <c r="DMU417" i="48"/>
  <c r="DMN417" i="48"/>
  <c r="DMM417" i="48"/>
  <c r="DMF417" i="48"/>
  <c r="DME417" i="48"/>
  <c r="DLX417" i="48"/>
  <c r="DLW417" i="48"/>
  <c r="DLP417" i="48"/>
  <c r="DLO417" i="48"/>
  <c r="DLH417" i="48"/>
  <c r="DLG417" i="48"/>
  <c r="DKZ417" i="48"/>
  <c r="DKY417" i="48"/>
  <c r="DKR417" i="48"/>
  <c r="DKQ417" i="48"/>
  <c r="DKJ417" i="48"/>
  <c r="DKI417" i="48"/>
  <c r="DKB417" i="48"/>
  <c r="DKA417" i="48"/>
  <c r="DJT417" i="48"/>
  <c r="DJS417" i="48"/>
  <c r="DJL417" i="48"/>
  <c r="DJK417" i="48"/>
  <c r="DJD417" i="48"/>
  <c r="DJC417" i="48"/>
  <c r="DIV417" i="48"/>
  <c r="DIU417" i="48"/>
  <c r="DIN417" i="48"/>
  <c r="DIM417" i="48"/>
  <c r="DIF417" i="48"/>
  <c r="DIE417" i="48"/>
  <c r="DHX417" i="48"/>
  <c r="DHW417" i="48"/>
  <c r="DHP417" i="48"/>
  <c r="DHO417" i="48"/>
  <c r="DHH417" i="48"/>
  <c r="DHG417" i="48"/>
  <c r="DGZ417" i="48"/>
  <c r="DGY417" i="48"/>
  <c r="DGR417" i="48"/>
  <c r="DGQ417" i="48"/>
  <c r="DGJ417" i="48"/>
  <c r="DGI417" i="48"/>
  <c r="DGB417" i="48"/>
  <c r="DGA417" i="48"/>
  <c r="DFT417" i="48"/>
  <c r="DFS417" i="48"/>
  <c r="DFL417" i="48"/>
  <c r="DFK417" i="48"/>
  <c r="DFD417" i="48"/>
  <c r="DFC417" i="48"/>
  <c r="DEV417" i="48"/>
  <c r="DEU417" i="48"/>
  <c r="DEN417" i="48"/>
  <c r="DEM417" i="48"/>
  <c r="DEF417" i="48"/>
  <c r="DEE417" i="48"/>
  <c r="DDX417" i="48"/>
  <c r="DDW417" i="48"/>
  <c r="DDP417" i="48"/>
  <c r="DDO417" i="48"/>
  <c r="DDH417" i="48"/>
  <c r="DDG417" i="48"/>
  <c r="DCZ417" i="48"/>
  <c r="DCY417" i="48"/>
  <c r="DCR417" i="48"/>
  <c r="DCQ417" i="48"/>
  <c r="DCJ417" i="48"/>
  <c r="DCI417" i="48"/>
  <c r="DCB417" i="48"/>
  <c r="DCA417" i="48"/>
  <c r="DBT417" i="48"/>
  <c r="DBS417" i="48"/>
  <c r="DBL417" i="48"/>
  <c r="DBK417" i="48"/>
  <c r="DBD417" i="48"/>
  <c r="DBC417" i="48"/>
  <c r="DAV417" i="48"/>
  <c r="DAU417" i="48"/>
  <c r="DAN417" i="48"/>
  <c r="DAM417" i="48"/>
  <c r="DAF417" i="48"/>
  <c r="DAE417" i="48"/>
  <c r="CZX417" i="48"/>
  <c r="CZW417" i="48"/>
  <c r="CZP417" i="48"/>
  <c r="CZO417" i="48"/>
  <c r="CZH417" i="48"/>
  <c r="CZG417" i="48"/>
  <c r="CYZ417" i="48"/>
  <c r="CYY417" i="48"/>
  <c r="CYR417" i="48"/>
  <c r="CYQ417" i="48"/>
  <c r="CYJ417" i="48"/>
  <c r="CYI417" i="48"/>
  <c r="CYB417" i="48"/>
  <c r="CYA417" i="48"/>
  <c r="CXT417" i="48"/>
  <c r="CXS417" i="48"/>
  <c r="CXL417" i="48"/>
  <c r="CXK417" i="48"/>
  <c r="CXD417" i="48"/>
  <c r="CXC417" i="48"/>
  <c r="CWV417" i="48"/>
  <c r="CWU417" i="48"/>
  <c r="CWN417" i="48"/>
  <c r="CWM417" i="48"/>
  <c r="CWF417" i="48"/>
  <c r="CWE417" i="48"/>
  <c r="CVX417" i="48"/>
  <c r="CVW417" i="48"/>
  <c r="CVP417" i="48"/>
  <c r="CVO417" i="48"/>
  <c r="CVH417" i="48"/>
  <c r="CVG417" i="48"/>
  <c r="CUZ417" i="48"/>
  <c r="CUY417" i="48"/>
  <c r="CUR417" i="48"/>
  <c r="CUQ417" i="48"/>
  <c r="CUJ417" i="48"/>
  <c r="CUI417" i="48"/>
  <c r="CUB417" i="48"/>
  <c r="CUA417" i="48"/>
  <c r="CTT417" i="48"/>
  <c r="CTS417" i="48"/>
  <c r="CTL417" i="48"/>
  <c r="CTK417" i="48"/>
  <c r="CTD417" i="48"/>
  <c r="CTC417" i="48"/>
  <c r="CSV417" i="48"/>
  <c r="CSU417" i="48"/>
  <c r="CSN417" i="48"/>
  <c r="CSM417" i="48"/>
  <c r="CSF417" i="48"/>
  <c r="CSE417" i="48"/>
  <c r="CRX417" i="48"/>
  <c r="CRW417" i="48"/>
  <c r="CRP417" i="48"/>
  <c r="CRO417" i="48"/>
  <c r="CRH417" i="48"/>
  <c r="CRG417" i="48"/>
  <c r="CQZ417" i="48"/>
  <c r="CQY417" i="48"/>
  <c r="CQR417" i="48"/>
  <c r="CQQ417" i="48"/>
  <c r="CQJ417" i="48"/>
  <c r="CQI417" i="48"/>
  <c r="CQB417" i="48"/>
  <c r="CQA417" i="48"/>
  <c r="CPT417" i="48"/>
  <c r="CPS417" i="48"/>
  <c r="CPL417" i="48"/>
  <c r="CPK417" i="48"/>
  <c r="CPD417" i="48"/>
  <c r="CPC417" i="48"/>
  <c r="COV417" i="48"/>
  <c r="COU417" i="48"/>
  <c r="CON417" i="48"/>
  <c r="COM417" i="48"/>
  <c r="COF417" i="48"/>
  <c r="COE417" i="48"/>
  <c r="CNX417" i="48"/>
  <c r="CNW417" i="48"/>
  <c r="CNP417" i="48"/>
  <c r="CNO417" i="48"/>
  <c r="CNH417" i="48"/>
  <c r="CNG417" i="48"/>
  <c r="CMZ417" i="48"/>
  <c r="CMY417" i="48"/>
  <c r="CMR417" i="48"/>
  <c r="CMQ417" i="48"/>
  <c r="CMJ417" i="48"/>
  <c r="CMI417" i="48"/>
  <c r="CMB417" i="48"/>
  <c r="CMA417" i="48"/>
  <c r="CLT417" i="48"/>
  <c r="CLS417" i="48"/>
  <c r="CLL417" i="48"/>
  <c r="CLK417" i="48"/>
  <c r="CLD417" i="48"/>
  <c r="CLC417" i="48"/>
  <c r="CKV417" i="48"/>
  <c r="CKU417" i="48"/>
  <c r="CKN417" i="48"/>
  <c r="CKM417" i="48"/>
  <c r="CKF417" i="48"/>
  <c r="CKE417" i="48"/>
  <c r="CJX417" i="48"/>
  <c r="CJW417" i="48"/>
  <c r="CJP417" i="48"/>
  <c r="CJO417" i="48"/>
  <c r="CJH417" i="48"/>
  <c r="CJG417" i="48"/>
  <c r="CIZ417" i="48"/>
  <c r="CIY417" i="48"/>
  <c r="CIR417" i="48"/>
  <c r="CIQ417" i="48"/>
  <c r="CIJ417" i="48"/>
  <c r="CII417" i="48"/>
  <c r="CIB417" i="48"/>
  <c r="CIA417" i="48"/>
  <c r="CHT417" i="48"/>
  <c r="CHS417" i="48"/>
  <c r="CHL417" i="48"/>
  <c r="CHK417" i="48"/>
  <c r="CHD417" i="48"/>
  <c r="CHC417" i="48"/>
  <c r="CGV417" i="48"/>
  <c r="CGU417" i="48"/>
  <c r="CGN417" i="48"/>
  <c r="CGM417" i="48"/>
  <c r="CGF417" i="48"/>
  <c r="CGE417" i="48"/>
  <c r="CFX417" i="48"/>
  <c r="CFW417" i="48"/>
  <c r="CFP417" i="48"/>
  <c r="CFO417" i="48"/>
  <c r="CFH417" i="48"/>
  <c r="CFG417" i="48"/>
  <c r="CEZ417" i="48"/>
  <c r="CEY417" i="48"/>
  <c r="CER417" i="48"/>
  <c r="CEQ417" i="48"/>
  <c r="CEJ417" i="48"/>
  <c r="CEI417" i="48"/>
  <c r="CEB417" i="48"/>
  <c r="CEA417" i="48"/>
  <c r="CDT417" i="48"/>
  <c r="CDS417" i="48"/>
  <c r="CDL417" i="48"/>
  <c r="CDK417" i="48"/>
  <c r="CDD417" i="48"/>
  <c r="CDC417" i="48"/>
  <c r="CCV417" i="48"/>
  <c r="CCU417" i="48"/>
  <c r="CCN417" i="48"/>
  <c r="CCM417" i="48"/>
  <c r="CCF417" i="48"/>
  <c r="CCE417" i="48"/>
  <c r="CBX417" i="48"/>
  <c r="CBW417" i="48"/>
  <c r="CBP417" i="48"/>
  <c r="CBO417" i="48"/>
  <c r="CBH417" i="48"/>
  <c r="CBG417" i="48"/>
  <c r="CAZ417" i="48"/>
  <c r="CAY417" i="48"/>
  <c r="CAR417" i="48"/>
  <c r="CAQ417" i="48"/>
  <c r="CAJ417" i="48"/>
  <c r="CAI417" i="48"/>
  <c r="CAB417" i="48"/>
  <c r="CAA417" i="48"/>
  <c r="BZT417" i="48"/>
  <c r="BZS417" i="48"/>
  <c r="BZL417" i="48"/>
  <c r="BZK417" i="48"/>
  <c r="BZD417" i="48"/>
  <c r="BZC417" i="48"/>
  <c r="BYV417" i="48"/>
  <c r="BYU417" i="48"/>
  <c r="BYN417" i="48"/>
  <c r="BYM417" i="48"/>
  <c r="BYF417" i="48"/>
  <c r="BYE417" i="48"/>
  <c r="BXX417" i="48"/>
  <c r="BXW417" i="48"/>
  <c r="BXP417" i="48"/>
  <c r="BXO417" i="48"/>
  <c r="BXH417" i="48"/>
  <c r="BXG417" i="48"/>
  <c r="BWZ417" i="48"/>
  <c r="BWY417" i="48"/>
  <c r="BWR417" i="48"/>
  <c r="BWQ417" i="48"/>
  <c r="BWJ417" i="48"/>
  <c r="BWI417" i="48"/>
  <c r="BWB417" i="48"/>
  <c r="BWA417" i="48"/>
  <c r="BVT417" i="48"/>
  <c r="BVS417" i="48"/>
  <c r="BVL417" i="48"/>
  <c r="BVK417" i="48"/>
  <c r="BVD417" i="48"/>
  <c r="BVC417" i="48"/>
  <c r="BUV417" i="48"/>
  <c r="BUU417" i="48"/>
  <c r="BUN417" i="48"/>
  <c r="BUM417" i="48"/>
  <c r="BUF417" i="48"/>
  <c r="BUE417" i="48"/>
  <c r="BTX417" i="48"/>
  <c r="BTW417" i="48"/>
  <c r="BTP417" i="48"/>
  <c r="BTO417" i="48"/>
  <c r="BTH417" i="48"/>
  <c r="BTG417" i="48"/>
  <c r="BSZ417" i="48"/>
  <c r="BSY417" i="48"/>
  <c r="BSR417" i="48"/>
  <c r="BSQ417" i="48"/>
  <c r="BSJ417" i="48"/>
  <c r="BSI417" i="48"/>
  <c r="BSB417" i="48"/>
  <c r="BSA417" i="48"/>
  <c r="BRT417" i="48"/>
  <c r="BRS417" i="48"/>
  <c r="BRL417" i="48"/>
  <c r="BRK417" i="48"/>
  <c r="BRD417" i="48"/>
  <c r="BRC417" i="48"/>
  <c r="BQV417" i="48"/>
  <c r="BQU417" i="48"/>
  <c r="BQN417" i="48"/>
  <c r="BQM417" i="48"/>
  <c r="BQF417" i="48"/>
  <c r="BQE417" i="48"/>
  <c r="BPX417" i="48"/>
  <c r="BPW417" i="48"/>
  <c r="BPP417" i="48"/>
  <c r="BPO417" i="48"/>
  <c r="BPH417" i="48"/>
  <c r="BPG417" i="48"/>
  <c r="BOZ417" i="48"/>
  <c r="BOY417" i="48"/>
  <c r="BOR417" i="48"/>
  <c r="BOQ417" i="48"/>
  <c r="BOJ417" i="48"/>
  <c r="BOI417" i="48"/>
  <c r="BOB417" i="48"/>
  <c r="BOA417" i="48"/>
  <c r="BNT417" i="48"/>
  <c r="BNS417" i="48"/>
  <c r="BNL417" i="48"/>
  <c r="BNK417" i="48"/>
  <c r="BND417" i="48"/>
  <c r="BNC417" i="48"/>
  <c r="BMV417" i="48"/>
  <c r="BMU417" i="48"/>
  <c r="BMN417" i="48"/>
  <c r="BMM417" i="48"/>
  <c r="BMF417" i="48"/>
  <c r="BME417" i="48"/>
  <c r="BLX417" i="48"/>
  <c r="BLW417" i="48"/>
  <c r="BLP417" i="48"/>
  <c r="BLO417" i="48"/>
  <c r="BLH417" i="48"/>
  <c r="BLG417" i="48"/>
  <c r="BKZ417" i="48"/>
  <c r="BKY417" i="48"/>
  <c r="BKR417" i="48"/>
  <c r="BKQ417" i="48"/>
  <c r="BKJ417" i="48"/>
  <c r="BKI417" i="48"/>
  <c r="BKB417" i="48"/>
  <c r="BKA417" i="48"/>
  <c r="BJT417" i="48"/>
  <c r="BJS417" i="48"/>
  <c r="BJL417" i="48"/>
  <c r="BJK417" i="48"/>
  <c r="BJD417" i="48"/>
  <c r="BJC417" i="48"/>
  <c r="BIV417" i="48"/>
  <c r="BIU417" i="48"/>
  <c r="BIN417" i="48"/>
  <c r="BIM417" i="48"/>
  <c r="BIF417" i="48"/>
  <c r="BIE417" i="48"/>
  <c r="BHX417" i="48"/>
  <c r="BHW417" i="48"/>
  <c r="BHP417" i="48"/>
  <c r="BHO417" i="48"/>
  <c r="BHH417" i="48"/>
  <c r="BHG417" i="48"/>
  <c r="BGZ417" i="48"/>
  <c r="BGY417" i="48"/>
  <c r="BGR417" i="48"/>
  <c r="BGQ417" i="48"/>
  <c r="BGJ417" i="48"/>
  <c r="BGI417" i="48"/>
  <c r="BGB417" i="48"/>
  <c r="BGA417" i="48"/>
  <c r="BFT417" i="48"/>
  <c r="BFS417" i="48"/>
  <c r="BFL417" i="48"/>
  <c r="BFK417" i="48"/>
  <c r="BFD417" i="48"/>
  <c r="BFC417" i="48"/>
  <c r="BEV417" i="48"/>
  <c r="BEU417" i="48"/>
  <c r="BEN417" i="48"/>
  <c r="BEM417" i="48"/>
  <c r="BEF417" i="48"/>
  <c r="BEE417" i="48"/>
  <c r="BDX417" i="48"/>
  <c r="BDW417" i="48"/>
  <c r="BDP417" i="48"/>
  <c r="BDO417" i="48"/>
  <c r="BDH417" i="48"/>
  <c r="BDG417" i="48"/>
  <c r="BCZ417" i="48"/>
  <c r="BCY417" i="48"/>
  <c r="BCR417" i="48"/>
  <c r="BCQ417" i="48"/>
  <c r="BCJ417" i="48"/>
  <c r="BCI417" i="48"/>
  <c r="BCB417" i="48"/>
  <c r="BCA417" i="48"/>
  <c r="BBT417" i="48"/>
  <c r="BBS417" i="48"/>
  <c r="BBL417" i="48"/>
  <c r="BBK417" i="48"/>
  <c r="BBD417" i="48"/>
  <c r="BBC417" i="48"/>
  <c r="BAV417" i="48"/>
  <c r="BAU417" i="48"/>
  <c r="BAN417" i="48"/>
  <c r="BAM417" i="48"/>
  <c r="BAF417" i="48"/>
  <c r="BAE417" i="48"/>
  <c r="AZX417" i="48"/>
  <c r="AZW417" i="48"/>
  <c r="AZP417" i="48"/>
  <c r="AZO417" i="48"/>
  <c r="AZH417" i="48"/>
  <c r="AZG417" i="48"/>
  <c r="AYZ417" i="48"/>
  <c r="AYY417" i="48"/>
  <c r="AYR417" i="48"/>
  <c r="AYQ417" i="48"/>
  <c r="AYJ417" i="48"/>
  <c r="AYI417" i="48"/>
  <c r="AYB417" i="48"/>
  <c r="AYA417" i="48"/>
  <c r="AXT417" i="48"/>
  <c r="AXS417" i="48"/>
  <c r="AXL417" i="48"/>
  <c r="AXK417" i="48"/>
  <c r="AXD417" i="48"/>
  <c r="AXC417" i="48"/>
  <c r="AWV417" i="48"/>
  <c r="AWU417" i="48"/>
  <c r="AWN417" i="48"/>
  <c r="AWM417" i="48"/>
  <c r="AWF417" i="48"/>
  <c r="AWE417" i="48"/>
  <c r="AVX417" i="48"/>
  <c r="AVW417" i="48"/>
  <c r="AVP417" i="48"/>
  <c r="AVO417" i="48"/>
  <c r="AVH417" i="48"/>
  <c r="AVG417" i="48"/>
  <c r="AUZ417" i="48"/>
  <c r="AUY417" i="48"/>
  <c r="AUR417" i="48"/>
  <c r="AUQ417" i="48"/>
  <c r="AUJ417" i="48"/>
  <c r="AUI417" i="48"/>
  <c r="AUB417" i="48"/>
  <c r="AUA417" i="48"/>
  <c r="ATT417" i="48"/>
  <c r="ATS417" i="48"/>
  <c r="ATL417" i="48"/>
  <c r="ATK417" i="48"/>
  <c r="ATD417" i="48"/>
  <c r="ATC417" i="48"/>
  <c r="ASV417" i="48"/>
  <c r="ASU417" i="48"/>
  <c r="ASN417" i="48"/>
  <c r="ASM417" i="48"/>
  <c r="ASF417" i="48"/>
  <c r="ASE417" i="48"/>
  <c r="ARX417" i="48"/>
  <c r="ARW417" i="48"/>
  <c r="ARP417" i="48"/>
  <c r="ARO417" i="48"/>
  <c r="ARH417" i="48"/>
  <c r="ARG417" i="48"/>
  <c r="AQZ417" i="48"/>
  <c r="AQY417" i="48"/>
  <c r="AQR417" i="48"/>
  <c r="AQQ417" i="48"/>
  <c r="AQJ417" i="48"/>
  <c r="AQI417" i="48"/>
  <c r="AQB417" i="48"/>
  <c r="AQA417" i="48"/>
  <c r="APT417" i="48"/>
  <c r="APS417" i="48"/>
  <c r="APL417" i="48"/>
  <c r="APK417" i="48"/>
  <c r="APD417" i="48"/>
  <c r="APC417" i="48"/>
  <c r="AOV417" i="48"/>
  <c r="AOU417" i="48"/>
  <c r="AON417" i="48"/>
  <c r="AOM417" i="48"/>
  <c r="AOF417" i="48"/>
  <c r="AOE417" i="48"/>
  <c r="ANX417" i="48"/>
  <c r="ANW417" i="48"/>
  <c r="ANP417" i="48"/>
  <c r="ANO417" i="48"/>
  <c r="ANH417" i="48"/>
  <c r="ANG417" i="48"/>
  <c r="AMZ417" i="48"/>
  <c r="AMY417" i="48"/>
  <c r="AMR417" i="48"/>
  <c r="AMQ417" i="48"/>
  <c r="AMJ417" i="48"/>
  <c r="AMI417" i="48"/>
  <c r="AMB417" i="48"/>
  <c r="AMA417" i="48"/>
  <c r="ALT417" i="48"/>
  <c r="ALS417" i="48"/>
  <c r="ALL417" i="48"/>
  <c r="ALK417" i="48"/>
  <c r="ALD417" i="48"/>
  <c r="ALC417" i="48"/>
  <c r="AKV417" i="48"/>
  <c r="AKU417" i="48"/>
  <c r="AKN417" i="48"/>
  <c r="AKM417" i="48"/>
  <c r="AKF417" i="48"/>
  <c r="AKE417" i="48"/>
  <c r="AJX417" i="48"/>
  <c r="AJW417" i="48"/>
  <c r="AJP417" i="48"/>
  <c r="AJO417" i="48"/>
  <c r="AJH417" i="48"/>
  <c r="AJG417" i="48"/>
  <c r="AIZ417" i="48"/>
  <c r="AIY417" i="48"/>
  <c r="AIR417" i="48"/>
  <c r="AIQ417" i="48"/>
  <c r="AIJ417" i="48"/>
  <c r="AII417" i="48"/>
  <c r="AIB417" i="48"/>
  <c r="AIA417" i="48"/>
  <c r="AHT417" i="48"/>
  <c r="AHS417" i="48"/>
  <c r="AHL417" i="48"/>
  <c r="AHK417" i="48"/>
  <c r="AHD417" i="48"/>
  <c r="AHC417" i="48"/>
  <c r="AGV417" i="48"/>
  <c r="AGU417" i="48"/>
  <c r="AGN417" i="48"/>
  <c r="AGM417" i="48"/>
  <c r="AGF417" i="48"/>
  <c r="AGE417" i="48"/>
  <c r="AFX417" i="48"/>
  <c r="AFW417" i="48"/>
  <c r="AFP417" i="48"/>
  <c r="AFO417" i="48"/>
  <c r="AFH417" i="48"/>
  <c r="AFG417" i="48"/>
  <c r="AEZ417" i="48"/>
  <c r="AEY417" i="48"/>
  <c r="AER417" i="48"/>
  <c r="AEQ417" i="48"/>
  <c r="AEJ417" i="48"/>
  <c r="AEI417" i="48"/>
  <c r="AEB417" i="48"/>
  <c r="AEA417" i="48"/>
  <c r="ADT417" i="48"/>
  <c r="ADS417" i="48"/>
  <c r="ADL417" i="48"/>
  <c r="ADK417" i="48"/>
  <c r="ADD417" i="48"/>
  <c r="ADC417" i="48"/>
  <c r="ACV417" i="48"/>
  <c r="ACU417" i="48"/>
  <c r="ACN417" i="48"/>
  <c r="ACM417" i="48"/>
  <c r="ACF417" i="48"/>
  <c r="ACE417" i="48"/>
  <c r="ABX417" i="48"/>
  <c r="ABW417" i="48"/>
  <c r="ABP417" i="48"/>
  <c r="ABO417" i="48"/>
  <c r="ABH417" i="48"/>
  <c r="ABG417" i="48"/>
  <c r="AAZ417" i="48"/>
  <c r="AAY417" i="48"/>
  <c r="AAR417" i="48"/>
  <c r="AAQ417" i="48"/>
  <c r="AAJ417" i="48"/>
  <c r="AAI417" i="48"/>
  <c r="AAB417" i="48"/>
  <c r="AAA417" i="48"/>
  <c r="ZT417" i="48"/>
  <c r="ZS417" i="48"/>
  <c r="ZL417" i="48"/>
  <c r="ZK417" i="48"/>
  <c r="ZD417" i="48"/>
  <c r="ZC417" i="48"/>
  <c r="YV417" i="48"/>
  <c r="YU417" i="48"/>
  <c r="YN417" i="48"/>
  <c r="YM417" i="48"/>
  <c r="YF417" i="48"/>
  <c r="YE417" i="48"/>
  <c r="XX417" i="48"/>
  <c r="XW417" i="48"/>
  <c r="XP417" i="48"/>
  <c r="XO417" i="48"/>
  <c r="XH417" i="48"/>
  <c r="XG417" i="48"/>
  <c r="WZ417" i="48"/>
  <c r="WY417" i="48"/>
  <c r="WR417" i="48"/>
  <c r="WQ417" i="48"/>
  <c r="WJ417" i="48"/>
  <c r="WI417" i="48"/>
  <c r="WB417" i="48"/>
  <c r="WA417" i="48"/>
  <c r="VT417" i="48"/>
  <c r="VS417" i="48"/>
  <c r="VL417" i="48"/>
  <c r="VK417" i="48"/>
  <c r="VD417" i="48"/>
  <c r="VC417" i="48"/>
  <c r="UV417" i="48"/>
  <c r="UU417" i="48"/>
  <c r="UN417" i="48"/>
  <c r="UM417" i="48"/>
  <c r="UF417" i="48"/>
  <c r="UE417" i="48"/>
  <c r="TX417" i="48"/>
  <c r="TW417" i="48"/>
  <c r="TP417" i="48"/>
  <c r="TO417" i="48"/>
  <c r="TH417" i="48"/>
  <c r="TG417" i="48"/>
  <c r="SZ417" i="48"/>
  <c r="SY417" i="48"/>
  <c r="SR417" i="48"/>
  <c r="SQ417" i="48"/>
  <c r="SJ417" i="48"/>
  <c r="SI417" i="48"/>
  <c r="SB417" i="48"/>
  <c r="SA417" i="48"/>
  <c r="RT417" i="48"/>
  <c r="RS417" i="48"/>
  <c r="RL417" i="48"/>
  <c r="RK417" i="48"/>
  <c r="RD417" i="48"/>
  <c r="RC417" i="48"/>
  <c r="QV417" i="48"/>
  <c r="QU417" i="48"/>
  <c r="QN417" i="48"/>
  <c r="QM417" i="48"/>
  <c r="QF417" i="48"/>
  <c r="QE417" i="48"/>
  <c r="PX417" i="48"/>
  <c r="PW417" i="48"/>
  <c r="PP417" i="48"/>
  <c r="PO417" i="48"/>
  <c r="PH417" i="48"/>
  <c r="PG417" i="48"/>
  <c r="OZ417" i="48"/>
  <c r="OY417" i="48"/>
  <c r="OR417" i="48"/>
  <c r="OQ417" i="48"/>
  <c r="OJ417" i="48"/>
  <c r="OI417" i="48"/>
  <c r="OB417" i="48"/>
  <c r="OA417" i="48"/>
  <c r="NT417" i="48"/>
  <c r="NS417" i="48"/>
  <c r="NL417" i="48"/>
  <c r="NK417" i="48"/>
  <c r="ND417" i="48"/>
  <c r="NC417" i="48"/>
  <c r="MV417" i="48"/>
  <c r="MU417" i="48"/>
  <c r="MN417" i="48"/>
  <c r="MM417" i="48"/>
  <c r="MF417" i="48"/>
  <c r="ME417" i="48"/>
  <c r="LX417" i="48"/>
  <c r="LW417" i="48"/>
  <c r="LP417" i="48"/>
  <c r="LO417" i="48"/>
  <c r="LH417" i="48"/>
  <c r="LG417" i="48"/>
  <c r="KZ417" i="48"/>
  <c r="KY417" i="48"/>
  <c r="KR417" i="48"/>
  <c r="KQ417" i="48"/>
  <c r="KJ417" i="48"/>
  <c r="KI417" i="48"/>
  <c r="KB417" i="48"/>
  <c r="KA417" i="48"/>
  <c r="JT417" i="48"/>
  <c r="JS417" i="48"/>
  <c r="JL417" i="48"/>
  <c r="JK417" i="48"/>
  <c r="JD417" i="48"/>
  <c r="JC417" i="48"/>
  <c r="IV417" i="48"/>
  <c r="IU417" i="48"/>
  <c r="IN417" i="48"/>
  <c r="IM417" i="48"/>
  <c r="IF417" i="48"/>
  <c r="IE417" i="48"/>
  <c r="HX417" i="48"/>
  <c r="HW417" i="48"/>
  <c r="HP417" i="48"/>
  <c r="HO417" i="48"/>
  <c r="HH417" i="48"/>
  <c r="HG417" i="48"/>
  <c r="GZ417" i="48"/>
  <c r="GY417" i="48"/>
  <c r="GR417" i="48"/>
  <c r="GQ417" i="48"/>
  <c r="GJ417" i="48"/>
  <c r="GI417" i="48"/>
  <c r="GB417" i="48"/>
  <c r="GA417" i="48"/>
  <c r="FT417" i="48"/>
  <c r="FS417" i="48"/>
  <c r="FL417" i="48"/>
  <c r="FK417" i="48"/>
  <c r="FD417" i="48"/>
  <c r="FC417" i="48"/>
  <c r="EV417" i="48"/>
  <c r="EU417" i="48"/>
  <c r="EN417" i="48"/>
  <c r="EM417" i="48"/>
  <c r="EF417" i="48"/>
  <c r="EE417" i="48"/>
  <c r="DX417" i="48"/>
  <c r="DW417" i="48"/>
  <c r="DP417" i="48"/>
  <c r="DO417" i="48"/>
  <c r="DH417" i="48"/>
  <c r="DG417" i="48"/>
  <c r="CZ417" i="48"/>
  <c r="CY417" i="48"/>
  <c r="CR417" i="48"/>
  <c r="CQ417" i="48"/>
  <c r="CJ417" i="48"/>
  <c r="CI417" i="48"/>
  <c r="CB417" i="48"/>
  <c r="CA417" i="48"/>
  <c r="BT417" i="48"/>
  <c r="BS417" i="48"/>
  <c r="BL417" i="48"/>
  <c r="BK417" i="48"/>
  <c r="BD417" i="48"/>
  <c r="BC417" i="48"/>
  <c r="AV417" i="48"/>
  <c r="AU417" i="48"/>
  <c r="AN417" i="48"/>
  <c r="AM417" i="48"/>
  <c r="AF417" i="48"/>
  <c r="AE417" i="48"/>
  <c r="X417" i="48"/>
  <c r="W417" i="48"/>
  <c r="P417" i="48"/>
  <c r="O417" i="48"/>
  <c r="H417" i="48"/>
  <c r="G417" i="48"/>
  <c r="XFD313" i="48"/>
  <c r="XFC313" i="48"/>
  <c r="XEV313" i="48"/>
  <c r="XEU313" i="48"/>
  <c r="XEN313" i="48"/>
  <c r="XEM313" i="48"/>
  <c r="XEF313" i="48"/>
  <c r="XEE313" i="48"/>
  <c r="XDX313" i="48"/>
  <c r="XDW313" i="48"/>
  <c r="XDP313" i="48"/>
  <c r="XDO313" i="48"/>
  <c r="XDH313" i="48"/>
  <c r="XDG313" i="48"/>
  <c r="XCZ313" i="48"/>
  <c r="XCY313" i="48"/>
  <c r="XCR313" i="48"/>
  <c r="XCQ313" i="48"/>
  <c r="XCJ313" i="48"/>
  <c r="XCI313" i="48"/>
  <c r="XCB313" i="48"/>
  <c r="XCA313" i="48"/>
  <c r="XBT313" i="48"/>
  <c r="XBS313" i="48"/>
  <c r="XBL313" i="48"/>
  <c r="XBK313" i="48"/>
  <c r="XBD313" i="48"/>
  <c r="XBC313" i="48"/>
  <c r="XAV313" i="48"/>
  <c r="XAU313" i="48"/>
  <c r="XAN313" i="48"/>
  <c r="XAM313" i="48"/>
  <c r="XAF313" i="48"/>
  <c r="XAE313" i="48"/>
  <c r="WZX313" i="48"/>
  <c r="WZW313" i="48"/>
  <c r="WZP313" i="48"/>
  <c r="WZO313" i="48"/>
  <c r="WZH313" i="48"/>
  <c r="WZG313" i="48"/>
  <c r="WYZ313" i="48"/>
  <c r="WYY313" i="48"/>
  <c r="WYR313" i="48"/>
  <c r="WYQ313" i="48"/>
  <c r="WYJ313" i="48"/>
  <c r="WYI313" i="48"/>
  <c r="WYB313" i="48"/>
  <c r="WYA313" i="48"/>
  <c r="WXT313" i="48"/>
  <c r="WXS313" i="48"/>
  <c r="WXL313" i="48"/>
  <c r="WXK313" i="48"/>
  <c r="WXD313" i="48"/>
  <c r="WXC313" i="48"/>
  <c r="WWV313" i="48"/>
  <c r="WWU313" i="48"/>
  <c r="WWN313" i="48"/>
  <c r="WWM313" i="48"/>
  <c r="WWF313" i="48"/>
  <c r="WWE313" i="48"/>
  <c r="WVX313" i="48"/>
  <c r="WVW313" i="48"/>
  <c r="WVP313" i="48"/>
  <c r="WVO313" i="48"/>
  <c r="WVH313" i="48"/>
  <c r="WVG313" i="48"/>
  <c r="WUZ313" i="48"/>
  <c r="WUY313" i="48"/>
  <c r="WUR313" i="48"/>
  <c r="WUQ313" i="48"/>
  <c r="WUJ313" i="48"/>
  <c r="WUI313" i="48"/>
  <c r="WUB313" i="48"/>
  <c r="WUA313" i="48"/>
  <c r="WTT313" i="48"/>
  <c r="WTS313" i="48"/>
  <c r="WTL313" i="48"/>
  <c r="WTK313" i="48"/>
  <c r="WTD313" i="48"/>
  <c r="WTC313" i="48"/>
  <c r="WSV313" i="48"/>
  <c r="WSU313" i="48"/>
  <c r="WSN313" i="48"/>
  <c r="WSM313" i="48"/>
  <c r="WSF313" i="48"/>
  <c r="WSE313" i="48"/>
  <c r="WRX313" i="48"/>
  <c r="WRW313" i="48"/>
  <c r="WRP313" i="48"/>
  <c r="WRO313" i="48"/>
  <c r="WRH313" i="48"/>
  <c r="WRG313" i="48"/>
  <c r="WQZ313" i="48"/>
  <c r="WQY313" i="48"/>
  <c r="WQR313" i="48"/>
  <c r="WQQ313" i="48"/>
  <c r="WQJ313" i="48"/>
  <c r="WQI313" i="48"/>
  <c r="WQB313" i="48"/>
  <c r="WQA313" i="48"/>
  <c r="WPT313" i="48"/>
  <c r="WPS313" i="48"/>
  <c r="WPL313" i="48"/>
  <c r="WPK313" i="48"/>
  <c r="WPD313" i="48"/>
  <c r="WPC313" i="48"/>
  <c r="WOV313" i="48"/>
  <c r="WOU313" i="48"/>
  <c r="WON313" i="48"/>
  <c r="WOM313" i="48"/>
  <c r="WOF313" i="48"/>
  <c r="WOE313" i="48"/>
  <c r="WNX313" i="48"/>
  <c r="WNW313" i="48"/>
  <c r="WNP313" i="48"/>
  <c r="WNO313" i="48"/>
  <c r="WNH313" i="48"/>
  <c r="WNG313" i="48"/>
  <c r="WMZ313" i="48"/>
  <c r="WMY313" i="48"/>
  <c r="WMR313" i="48"/>
  <c r="WMQ313" i="48"/>
  <c r="WMJ313" i="48"/>
  <c r="WMI313" i="48"/>
  <c r="WMB313" i="48"/>
  <c r="WMA313" i="48"/>
  <c r="WLT313" i="48"/>
  <c r="WLS313" i="48"/>
  <c r="WLL313" i="48"/>
  <c r="WLK313" i="48"/>
  <c r="WLD313" i="48"/>
  <c r="WLC313" i="48"/>
  <c r="WKV313" i="48"/>
  <c r="WKU313" i="48"/>
  <c r="WKN313" i="48"/>
  <c r="WKM313" i="48"/>
  <c r="WKF313" i="48"/>
  <c r="WKE313" i="48"/>
  <c r="WJX313" i="48"/>
  <c r="WJW313" i="48"/>
  <c r="WJP313" i="48"/>
  <c r="WJO313" i="48"/>
  <c r="WJH313" i="48"/>
  <c r="WJG313" i="48"/>
  <c r="WIZ313" i="48"/>
  <c r="WIY313" i="48"/>
  <c r="WIR313" i="48"/>
  <c r="WIQ313" i="48"/>
  <c r="WIJ313" i="48"/>
  <c r="WII313" i="48"/>
  <c r="WIB313" i="48"/>
  <c r="WIA313" i="48"/>
  <c r="WHT313" i="48"/>
  <c r="WHS313" i="48"/>
  <c r="WHL313" i="48"/>
  <c r="WHK313" i="48"/>
  <c r="WHD313" i="48"/>
  <c r="WHC313" i="48"/>
  <c r="WGV313" i="48"/>
  <c r="WGU313" i="48"/>
  <c r="WGN313" i="48"/>
  <c r="WGM313" i="48"/>
  <c r="WGF313" i="48"/>
  <c r="WGE313" i="48"/>
  <c r="WFX313" i="48"/>
  <c r="WFW313" i="48"/>
  <c r="WFP313" i="48"/>
  <c r="WFO313" i="48"/>
  <c r="WFH313" i="48"/>
  <c r="WFG313" i="48"/>
  <c r="WEZ313" i="48"/>
  <c r="WEY313" i="48"/>
  <c r="WER313" i="48"/>
  <c r="WEQ313" i="48"/>
  <c r="WEJ313" i="48"/>
  <c r="WEI313" i="48"/>
  <c r="WEB313" i="48"/>
  <c r="WEA313" i="48"/>
  <c r="WDT313" i="48"/>
  <c r="WDS313" i="48"/>
  <c r="WDL313" i="48"/>
  <c r="WDK313" i="48"/>
  <c r="WDD313" i="48"/>
  <c r="WDC313" i="48"/>
  <c r="WCV313" i="48"/>
  <c r="WCU313" i="48"/>
  <c r="WCN313" i="48"/>
  <c r="WCM313" i="48"/>
  <c r="WCF313" i="48"/>
  <c r="WCE313" i="48"/>
  <c r="WBX313" i="48"/>
  <c r="WBW313" i="48"/>
  <c r="WBP313" i="48"/>
  <c r="WBO313" i="48"/>
  <c r="WBH313" i="48"/>
  <c r="WBG313" i="48"/>
  <c r="WAZ313" i="48"/>
  <c r="WAY313" i="48"/>
  <c r="WAR313" i="48"/>
  <c r="WAQ313" i="48"/>
  <c r="WAJ313" i="48"/>
  <c r="WAI313" i="48"/>
  <c r="WAB313" i="48"/>
  <c r="WAA313" i="48"/>
  <c r="VZT313" i="48"/>
  <c r="VZS313" i="48"/>
  <c r="VZL313" i="48"/>
  <c r="VZK313" i="48"/>
  <c r="VZD313" i="48"/>
  <c r="VZC313" i="48"/>
  <c r="VYV313" i="48"/>
  <c r="VYU313" i="48"/>
  <c r="VYN313" i="48"/>
  <c r="VYM313" i="48"/>
  <c r="VYF313" i="48"/>
  <c r="VYE313" i="48"/>
  <c r="VXX313" i="48"/>
  <c r="VXW313" i="48"/>
  <c r="VXP313" i="48"/>
  <c r="VXO313" i="48"/>
  <c r="VXH313" i="48"/>
  <c r="VXG313" i="48"/>
  <c r="VWZ313" i="48"/>
  <c r="VWY313" i="48"/>
  <c r="VWR313" i="48"/>
  <c r="VWQ313" i="48"/>
  <c r="VWJ313" i="48"/>
  <c r="VWI313" i="48"/>
  <c r="VWB313" i="48"/>
  <c r="VWA313" i="48"/>
  <c r="VVT313" i="48"/>
  <c r="VVS313" i="48"/>
  <c r="VVL313" i="48"/>
  <c r="VVK313" i="48"/>
  <c r="VVD313" i="48"/>
  <c r="VVC313" i="48"/>
  <c r="VUV313" i="48"/>
  <c r="VUU313" i="48"/>
  <c r="VUN313" i="48"/>
  <c r="VUM313" i="48"/>
  <c r="VUF313" i="48"/>
  <c r="VUE313" i="48"/>
  <c r="VTX313" i="48"/>
  <c r="VTW313" i="48"/>
  <c r="VTP313" i="48"/>
  <c r="VTO313" i="48"/>
  <c r="VTH313" i="48"/>
  <c r="VTG313" i="48"/>
  <c r="VSZ313" i="48"/>
  <c r="VSY313" i="48"/>
  <c r="VSR313" i="48"/>
  <c r="VSQ313" i="48"/>
  <c r="VSJ313" i="48"/>
  <c r="VSI313" i="48"/>
  <c r="VSB313" i="48"/>
  <c r="VSA313" i="48"/>
  <c r="VRT313" i="48"/>
  <c r="VRS313" i="48"/>
  <c r="VRL313" i="48"/>
  <c r="VRK313" i="48"/>
  <c r="VRD313" i="48"/>
  <c r="VRC313" i="48"/>
  <c r="VQV313" i="48"/>
  <c r="VQU313" i="48"/>
  <c r="VQN313" i="48"/>
  <c r="VQM313" i="48"/>
  <c r="VQF313" i="48"/>
  <c r="VQE313" i="48"/>
  <c r="VPX313" i="48"/>
  <c r="VPW313" i="48"/>
  <c r="VPP313" i="48"/>
  <c r="VPO313" i="48"/>
  <c r="VPH313" i="48"/>
  <c r="VPG313" i="48"/>
  <c r="VOZ313" i="48"/>
  <c r="VOY313" i="48"/>
  <c r="VOR313" i="48"/>
  <c r="VOQ313" i="48"/>
  <c r="VOJ313" i="48"/>
  <c r="VOI313" i="48"/>
  <c r="VOB313" i="48"/>
  <c r="VOA313" i="48"/>
  <c r="VNT313" i="48"/>
  <c r="VNS313" i="48"/>
  <c r="VNL313" i="48"/>
  <c r="VNK313" i="48"/>
  <c r="VND313" i="48"/>
  <c r="VNC313" i="48"/>
  <c r="VMV313" i="48"/>
  <c r="VMU313" i="48"/>
  <c r="VMN313" i="48"/>
  <c r="VMM313" i="48"/>
  <c r="VMF313" i="48"/>
  <c r="VME313" i="48"/>
  <c r="VLX313" i="48"/>
  <c r="VLW313" i="48"/>
  <c r="VLP313" i="48"/>
  <c r="VLO313" i="48"/>
  <c r="VLH313" i="48"/>
  <c r="VLG313" i="48"/>
  <c r="VKZ313" i="48"/>
  <c r="VKY313" i="48"/>
  <c r="VKR313" i="48"/>
  <c r="VKQ313" i="48"/>
  <c r="VKJ313" i="48"/>
  <c r="VKI313" i="48"/>
  <c r="VKB313" i="48"/>
  <c r="VKA313" i="48"/>
  <c r="VJT313" i="48"/>
  <c r="VJS313" i="48"/>
  <c r="VJL313" i="48"/>
  <c r="VJK313" i="48"/>
  <c r="VJD313" i="48"/>
  <c r="VJC313" i="48"/>
  <c r="VIV313" i="48"/>
  <c r="VIU313" i="48"/>
  <c r="VIN313" i="48"/>
  <c r="VIM313" i="48"/>
  <c r="VIF313" i="48"/>
  <c r="VIE313" i="48"/>
  <c r="VHX313" i="48"/>
  <c r="VHW313" i="48"/>
  <c r="VHP313" i="48"/>
  <c r="VHO313" i="48"/>
  <c r="VHH313" i="48"/>
  <c r="VHG313" i="48"/>
  <c r="VGZ313" i="48"/>
  <c r="VGY313" i="48"/>
  <c r="VGR313" i="48"/>
  <c r="VGQ313" i="48"/>
  <c r="VGJ313" i="48"/>
  <c r="VGI313" i="48"/>
  <c r="VGB313" i="48"/>
  <c r="VGA313" i="48"/>
  <c r="VFT313" i="48"/>
  <c r="VFS313" i="48"/>
  <c r="VFL313" i="48"/>
  <c r="VFK313" i="48"/>
  <c r="VFD313" i="48"/>
  <c r="VFC313" i="48"/>
  <c r="VEV313" i="48"/>
  <c r="VEU313" i="48"/>
  <c r="VEN313" i="48"/>
  <c r="VEM313" i="48"/>
  <c r="VEF313" i="48"/>
  <c r="VEE313" i="48"/>
  <c r="VDX313" i="48"/>
  <c r="VDW313" i="48"/>
  <c r="VDP313" i="48"/>
  <c r="VDO313" i="48"/>
  <c r="VDH313" i="48"/>
  <c r="VDG313" i="48"/>
  <c r="VCZ313" i="48"/>
  <c r="VCY313" i="48"/>
  <c r="VCR313" i="48"/>
  <c r="VCQ313" i="48"/>
  <c r="VCJ313" i="48"/>
  <c r="VCI313" i="48"/>
  <c r="VCB313" i="48"/>
  <c r="VCA313" i="48"/>
  <c r="VBT313" i="48"/>
  <c r="VBS313" i="48"/>
  <c r="VBL313" i="48"/>
  <c r="VBK313" i="48"/>
  <c r="VBD313" i="48"/>
  <c r="VBC313" i="48"/>
  <c r="VAV313" i="48"/>
  <c r="VAU313" i="48"/>
  <c r="VAN313" i="48"/>
  <c r="VAM313" i="48"/>
  <c r="VAF313" i="48"/>
  <c r="VAE313" i="48"/>
  <c r="UZX313" i="48"/>
  <c r="UZW313" i="48"/>
  <c r="UZP313" i="48"/>
  <c r="UZO313" i="48"/>
  <c r="UZH313" i="48"/>
  <c r="UZG313" i="48"/>
  <c r="UYZ313" i="48"/>
  <c r="UYY313" i="48"/>
  <c r="UYR313" i="48"/>
  <c r="UYQ313" i="48"/>
  <c r="UYJ313" i="48"/>
  <c r="UYI313" i="48"/>
  <c r="UYB313" i="48"/>
  <c r="UYA313" i="48"/>
  <c r="UXT313" i="48"/>
  <c r="UXS313" i="48"/>
  <c r="UXL313" i="48"/>
  <c r="UXK313" i="48"/>
  <c r="UXD313" i="48"/>
  <c r="UXC313" i="48"/>
  <c r="UWV313" i="48"/>
  <c r="UWU313" i="48"/>
  <c r="UWN313" i="48"/>
  <c r="UWM313" i="48"/>
  <c r="UWF313" i="48"/>
  <c r="UWE313" i="48"/>
  <c r="UVX313" i="48"/>
  <c r="UVW313" i="48"/>
  <c r="UVP313" i="48"/>
  <c r="UVO313" i="48"/>
  <c r="UVH313" i="48"/>
  <c r="UVG313" i="48"/>
  <c r="UUZ313" i="48"/>
  <c r="UUY313" i="48"/>
  <c r="UUR313" i="48"/>
  <c r="UUQ313" i="48"/>
  <c r="UUJ313" i="48"/>
  <c r="UUI313" i="48"/>
  <c r="UUB313" i="48"/>
  <c r="UUA313" i="48"/>
  <c r="UTT313" i="48"/>
  <c r="UTS313" i="48"/>
  <c r="UTL313" i="48"/>
  <c r="UTK313" i="48"/>
  <c r="UTD313" i="48"/>
  <c r="UTC313" i="48"/>
  <c r="USV313" i="48"/>
  <c r="USU313" i="48"/>
  <c r="USN313" i="48"/>
  <c r="USM313" i="48"/>
  <c r="USF313" i="48"/>
  <c r="USE313" i="48"/>
  <c r="URX313" i="48"/>
  <c r="URW313" i="48"/>
  <c r="URP313" i="48"/>
  <c r="URO313" i="48"/>
  <c r="URH313" i="48"/>
  <c r="URG313" i="48"/>
  <c r="UQZ313" i="48"/>
  <c r="UQY313" i="48"/>
  <c r="UQR313" i="48"/>
  <c r="UQQ313" i="48"/>
  <c r="UQJ313" i="48"/>
  <c r="UQI313" i="48"/>
  <c r="UQB313" i="48"/>
  <c r="UQA313" i="48"/>
  <c r="UPT313" i="48"/>
  <c r="UPS313" i="48"/>
  <c r="UPL313" i="48"/>
  <c r="UPK313" i="48"/>
  <c r="UPD313" i="48"/>
  <c r="UPC313" i="48"/>
  <c r="UOV313" i="48"/>
  <c r="UOU313" i="48"/>
  <c r="UON313" i="48"/>
  <c r="UOM313" i="48"/>
  <c r="UOF313" i="48"/>
  <c r="UOE313" i="48"/>
  <c r="UNX313" i="48"/>
  <c r="UNW313" i="48"/>
  <c r="UNP313" i="48"/>
  <c r="UNO313" i="48"/>
  <c r="UNH313" i="48"/>
  <c r="UNG313" i="48"/>
  <c r="UMZ313" i="48"/>
  <c r="UMY313" i="48"/>
  <c r="UMR313" i="48"/>
  <c r="UMQ313" i="48"/>
  <c r="UMJ313" i="48"/>
  <c r="UMI313" i="48"/>
  <c r="UMB313" i="48"/>
  <c r="UMA313" i="48"/>
  <c r="ULT313" i="48"/>
  <c r="ULS313" i="48"/>
  <c r="ULL313" i="48"/>
  <c r="ULK313" i="48"/>
  <c r="ULD313" i="48"/>
  <c r="ULC313" i="48"/>
  <c r="UKV313" i="48"/>
  <c r="UKU313" i="48"/>
  <c r="UKN313" i="48"/>
  <c r="UKM313" i="48"/>
  <c r="UKF313" i="48"/>
  <c r="UKE313" i="48"/>
  <c r="UJX313" i="48"/>
  <c r="UJW313" i="48"/>
  <c r="UJP313" i="48"/>
  <c r="UJO313" i="48"/>
  <c r="UJH313" i="48"/>
  <c r="UJG313" i="48"/>
  <c r="UIZ313" i="48"/>
  <c r="UIY313" i="48"/>
  <c r="UIR313" i="48"/>
  <c r="UIQ313" i="48"/>
  <c r="UIJ313" i="48"/>
  <c r="UII313" i="48"/>
  <c r="UIB313" i="48"/>
  <c r="UIA313" i="48"/>
  <c r="UHT313" i="48"/>
  <c r="UHS313" i="48"/>
  <c r="UHL313" i="48"/>
  <c r="UHK313" i="48"/>
  <c r="UHD313" i="48"/>
  <c r="UHC313" i="48"/>
  <c r="UGV313" i="48"/>
  <c r="UGU313" i="48"/>
  <c r="UGN313" i="48"/>
  <c r="UGM313" i="48"/>
  <c r="UGF313" i="48"/>
  <c r="UGE313" i="48"/>
  <c r="UFX313" i="48"/>
  <c r="UFW313" i="48"/>
  <c r="UFP313" i="48"/>
  <c r="UFO313" i="48"/>
  <c r="UFH313" i="48"/>
  <c r="UFG313" i="48"/>
  <c r="UEZ313" i="48"/>
  <c r="UEY313" i="48"/>
  <c r="UER313" i="48"/>
  <c r="UEQ313" i="48"/>
  <c r="UEJ313" i="48"/>
  <c r="UEI313" i="48"/>
  <c r="UEB313" i="48"/>
  <c r="UEA313" i="48"/>
  <c r="UDT313" i="48"/>
  <c r="UDS313" i="48"/>
  <c r="UDL313" i="48"/>
  <c r="UDK313" i="48"/>
  <c r="UDD313" i="48"/>
  <c r="UDC313" i="48"/>
  <c r="UCV313" i="48"/>
  <c r="UCU313" i="48"/>
  <c r="UCN313" i="48"/>
  <c r="UCM313" i="48"/>
  <c r="UCF313" i="48"/>
  <c r="UCE313" i="48"/>
  <c r="UBX313" i="48"/>
  <c r="UBW313" i="48"/>
  <c r="UBP313" i="48"/>
  <c r="UBO313" i="48"/>
  <c r="UBH313" i="48"/>
  <c r="UBG313" i="48"/>
  <c r="UAZ313" i="48"/>
  <c r="UAY313" i="48"/>
  <c r="UAR313" i="48"/>
  <c r="UAQ313" i="48"/>
  <c r="UAJ313" i="48"/>
  <c r="UAI313" i="48"/>
  <c r="UAB313" i="48"/>
  <c r="UAA313" i="48"/>
  <c r="TZT313" i="48"/>
  <c r="TZS313" i="48"/>
  <c r="TZL313" i="48"/>
  <c r="TZK313" i="48"/>
  <c r="TZD313" i="48"/>
  <c r="TZC313" i="48"/>
  <c r="TYV313" i="48"/>
  <c r="TYU313" i="48"/>
  <c r="TYN313" i="48"/>
  <c r="TYM313" i="48"/>
  <c r="TYF313" i="48"/>
  <c r="TYE313" i="48"/>
  <c r="TXX313" i="48"/>
  <c r="TXW313" i="48"/>
  <c r="TXP313" i="48"/>
  <c r="TXO313" i="48"/>
  <c r="TXH313" i="48"/>
  <c r="TXG313" i="48"/>
  <c r="TWZ313" i="48"/>
  <c r="TWY313" i="48"/>
  <c r="TWR313" i="48"/>
  <c r="TWQ313" i="48"/>
  <c r="TWJ313" i="48"/>
  <c r="TWI313" i="48"/>
  <c r="TWB313" i="48"/>
  <c r="TWA313" i="48"/>
  <c r="TVT313" i="48"/>
  <c r="TVS313" i="48"/>
  <c r="TVL313" i="48"/>
  <c r="TVK313" i="48"/>
  <c r="TVD313" i="48"/>
  <c r="TVC313" i="48"/>
  <c r="TUV313" i="48"/>
  <c r="TUU313" i="48"/>
  <c r="TUN313" i="48"/>
  <c r="TUM313" i="48"/>
  <c r="TUF313" i="48"/>
  <c r="TUE313" i="48"/>
  <c r="TTX313" i="48"/>
  <c r="TTW313" i="48"/>
  <c r="TTP313" i="48"/>
  <c r="TTO313" i="48"/>
  <c r="TTH313" i="48"/>
  <c r="TTG313" i="48"/>
  <c r="TSZ313" i="48"/>
  <c r="TSY313" i="48"/>
  <c r="TSR313" i="48"/>
  <c r="TSQ313" i="48"/>
  <c r="TSJ313" i="48"/>
  <c r="TSI313" i="48"/>
  <c r="TSB313" i="48"/>
  <c r="TSA313" i="48"/>
  <c r="TRT313" i="48"/>
  <c r="TRS313" i="48"/>
  <c r="TRL313" i="48"/>
  <c r="TRK313" i="48"/>
  <c r="TRD313" i="48"/>
  <c r="TRC313" i="48"/>
  <c r="TQV313" i="48"/>
  <c r="TQU313" i="48"/>
  <c r="TQN313" i="48"/>
  <c r="TQM313" i="48"/>
  <c r="TQF313" i="48"/>
  <c r="TQE313" i="48"/>
  <c r="TPX313" i="48"/>
  <c r="TPW313" i="48"/>
  <c r="TPP313" i="48"/>
  <c r="TPO313" i="48"/>
  <c r="TPH313" i="48"/>
  <c r="TPG313" i="48"/>
  <c r="TOZ313" i="48"/>
  <c r="TOY313" i="48"/>
  <c r="TOR313" i="48"/>
  <c r="TOQ313" i="48"/>
  <c r="TOJ313" i="48"/>
  <c r="TOI313" i="48"/>
  <c r="TOB313" i="48"/>
  <c r="TOA313" i="48"/>
  <c r="TNT313" i="48"/>
  <c r="TNS313" i="48"/>
  <c r="TNL313" i="48"/>
  <c r="TNK313" i="48"/>
  <c r="TND313" i="48"/>
  <c r="TNC313" i="48"/>
  <c r="TMV313" i="48"/>
  <c r="TMU313" i="48"/>
  <c r="TMN313" i="48"/>
  <c r="TMM313" i="48"/>
  <c r="TMF313" i="48"/>
  <c r="TME313" i="48"/>
  <c r="TLX313" i="48"/>
  <c r="TLW313" i="48"/>
  <c r="TLP313" i="48"/>
  <c r="TLO313" i="48"/>
  <c r="TLH313" i="48"/>
  <c r="TLG313" i="48"/>
  <c r="TKZ313" i="48"/>
  <c r="TKY313" i="48"/>
  <c r="TKR313" i="48"/>
  <c r="TKQ313" i="48"/>
  <c r="TKJ313" i="48"/>
  <c r="TKI313" i="48"/>
  <c r="TKB313" i="48"/>
  <c r="TKA313" i="48"/>
  <c r="TJT313" i="48"/>
  <c r="TJS313" i="48"/>
  <c r="TJL313" i="48"/>
  <c r="TJK313" i="48"/>
  <c r="TJD313" i="48"/>
  <c r="TJC313" i="48"/>
  <c r="TIV313" i="48"/>
  <c r="TIU313" i="48"/>
  <c r="TIN313" i="48"/>
  <c r="TIM313" i="48"/>
  <c r="TIF313" i="48"/>
  <c r="TIE313" i="48"/>
  <c r="THX313" i="48"/>
  <c r="THW313" i="48"/>
  <c r="THP313" i="48"/>
  <c r="THO313" i="48"/>
  <c r="THH313" i="48"/>
  <c r="THG313" i="48"/>
  <c r="TGZ313" i="48"/>
  <c r="TGY313" i="48"/>
  <c r="TGR313" i="48"/>
  <c r="TGQ313" i="48"/>
  <c r="TGJ313" i="48"/>
  <c r="TGI313" i="48"/>
  <c r="TGB313" i="48"/>
  <c r="TGA313" i="48"/>
  <c r="TFT313" i="48"/>
  <c r="TFS313" i="48"/>
  <c r="TFL313" i="48"/>
  <c r="TFK313" i="48"/>
  <c r="TFD313" i="48"/>
  <c r="TFC313" i="48"/>
  <c r="TEV313" i="48"/>
  <c r="TEU313" i="48"/>
  <c r="TEN313" i="48"/>
  <c r="TEM313" i="48"/>
  <c r="TEF313" i="48"/>
  <c r="TEE313" i="48"/>
  <c r="TDX313" i="48"/>
  <c r="TDW313" i="48"/>
  <c r="TDP313" i="48"/>
  <c r="TDO313" i="48"/>
  <c r="TDH313" i="48"/>
  <c r="TDG313" i="48"/>
  <c r="TCZ313" i="48"/>
  <c r="TCY313" i="48"/>
  <c r="TCR313" i="48"/>
  <c r="TCQ313" i="48"/>
  <c r="TCJ313" i="48"/>
  <c r="TCI313" i="48"/>
  <c r="TCB313" i="48"/>
  <c r="TCA313" i="48"/>
  <c r="TBT313" i="48"/>
  <c r="TBS313" i="48"/>
  <c r="TBL313" i="48"/>
  <c r="TBK313" i="48"/>
  <c r="TBD313" i="48"/>
  <c r="TBC313" i="48"/>
  <c r="TAV313" i="48"/>
  <c r="TAU313" i="48"/>
  <c r="TAN313" i="48"/>
  <c r="TAM313" i="48"/>
  <c r="TAF313" i="48"/>
  <c r="TAE313" i="48"/>
  <c r="SZX313" i="48"/>
  <c r="SZW313" i="48"/>
  <c r="SZP313" i="48"/>
  <c r="SZO313" i="48"/>
  <c r="SZH313" i="48"/>
  <c r="SZG313" i="48"/>
  <c r="SYZ313" i="48"/>
  <c r="SYY313" i="48"/>
  <c r="SYR313" i="48"/>
  <c r="SYQ313" i="48"/>
  <c r="SYJ313" i="48"/>
  <c r="SYI313" i="48"/>
  <c r="SYB313" i="48"/>
  <c r="SYA313" i="48"/>
  <c r="SXT313" i="48"/>
  <c r="SXS313" i="48"/>
  <c r="SXL313" i="48"/>
  <c r="SXK313" i="48"/>
  <c r="SXD313" i="48"/>
  <c r="SXC313" i="48"/>
  <c r="SWV313" i="48"/>
  <c r="SWU313" i="48"/>
  <c r="SWN313" i="48"/>
  <c r="SWM313" i="48"/>
  <c r="SWF313" i="48"/>
  <c r="SWE313" i="48"/>
  <c r="SVX313" i="48"/>
  <c r="SVW313" i="48"/>
  <c r="SVP313" i="48"/>
  <c r="SVO313" i="48"/>
  <c r="SVH313" i="48"/>
  <c r="SVG313" i="48"/>
  <c r="SUZ313" i="48"/>
  <c r="SUY313" i="48"/>
  <c r="SUR313" i="48"/>
  <c r="SUQ313" i="48"/>
  <c r="SUJ313" i="48"/>
  <c r="SUI313" i="48"/>
  <c r="SUB313" i="48"/>
  <c r="SUA313" i="48"/>
  <c r="STT313" i="48"/>
  <c r="STS313" i="48"/>
  <c r="STL313" i="48"/>
  <c r="STK313" i="48"/>
  <c r="STD313" i="48"/>
  <c r="STC313" i="48"/>
  <c r="SSV313" i="48"/>
  <c r="SSU313" i="48"/>
  <c r="SSN313" i="48"/>
  <c r="SSM313" i="48"/>
  <c r="SSF313" i="48"/>
  <c r="SSE313" i="48"/>
  <c r="SRX313" i="48"/>
  <c r="SRW313" i="48"/>
  <c r="SRP313" i="48"/>
  <c r="SRO313" i="48"/>
  <c r="SRH313" i="48"/>
  <c r="SRG313" i="48"/>
  <c r="SQZ313" i="48"/>
  <c r="SQY313" i="48"/>
  <c r="SQR313" i="48"/>
  <c r="SQQ313" i="48"/>
  <c r="SQJ313" i="48"/>
  <c r="SQI313" i="48"/>
  <c r="SQB313" i="48"/>
  <c r="SQA313" i="48"/>
  <c r="SPT313" i="48"/>
  <c r="SPS313" i="48"/>
  <c r="SPL313" i="48"/>
  <c r="SPK313" i="48"/>
  <c r="SPD313" i="48"/>
  <c r="SPC313" i="48"/>
  <c r="SOV313" i="48"/>
  <c r="SOU313" i="48"/>
  <c r="SON313" i="48"/>
  <c r="SOM313" i="48"/>
  <c r="SOF313" i="48"/>
  <c r="SOE313" i="48"/>
  <c r="SNX313" i="48"/>
  <c r="SNW313" i="48"/>
  <c r="SNP313" i="48"/>
  <c r="SNO313" i="48"/>
  <c r="SNH313" i="48"/>
  <c r="SNG313" i="48"/>
  <c r="SMZ313" i="48"/>
  <c r="SMY313" i="48"/>
  <c r="SMR313" i="48"/>
  <c r="SMQ313" i="48"/>
  <c r="SMJ313" i="48"/>
  <c r="SMI313" i="48"/>
  <c r="SMB313" i="48"/>
  <c r="SMA313" i="48"/>
  <c r="SLT313" i="48"/>
  <c r="SLS313" i="48"/>
  <c r="SLL313" i="48"/>
  <c r="SLK313" i="48"/>
  <c r="SLD313" i="48"/>
  <c r="SLC313" i="48"/>
  <c r="SKV313" i="48"/>
  <c r="SKU313" i="48"/>
  <c r="SKN313" i="48"/>
  <c r="SKM313" i="48"/>
  <c r="SKF313" i="48"/>
  <c r="SKE313" i="48"/>
  <c r="SJX313" i="48"/>
  <c r="SJW313" i="48"/>
  <c r="SJP313" i="48"/>
  <c r="SJO313" i="48"/>
  <c r="SJH313" i="48"/>
  <c r="SJG313" i="48"/>
  <c r="SIZ313" i="48"/>
  <c r="SIY313" i="48"/>
  <c r="SIR313" i="48"/>
  <c r="SIQ313" i="48"/>
  <c r="SIJ313" i="48"/>
  <c r="SII313" i="48"/>
  <c r="SIB313" i="48"/>
  <c r="SIA313" i="48"/>
  <c r="SHT313" i="48"/>
  <c r="SHS313" i="48"/>
  <c r="SHL313" i="48"/>
  <c r="SHK313" i="48"/>
  <c r="SHD313" i="48"/>
  <c r="SHC313" i="48"/>
  <c r="SGV313" i="48"/>
  <c r="SGU313" i="48"/>
  <c r="SGN313" i="48"/>
  <c r="SGM313" i="48"/>
  <c r="SGF313" i="48"/>
  <c r="SGE313" i="48"/>
  <c r="SFX313" i="48"/>
  <c r="SFW313" i="48"/>
  <c r="SFP313" i="48"/>
  <c r="SFO313" i="48"/>
  <c r="SFH313" i="48"/>
  <c r="SFG313" i="48"/>
  <c r="SEZ313" i="48"/>
  <c r="SEY313" i="48"/>
  <c r="SER313" i="48"/>
  <c r="SEQ313" i="48"/>
  <c r="SEJ313" i="48"/>
  <c r="SEI313" i="48"/>
  <c r="SEB313" i="48"/>
  <c r="SEA313" i="48"/>
  <c r="SDT313" i="48"/>
  <c r="SDS313" i="48"/>
  <c r="SDL313" i="48"/>
  <c r="SDK313" i="48"/>
  <c r="SDD313" i="48"/>
  <c r="SDC313" i="48"/>
  <c r="SCV313" i="48"/>
  <c r="SCU313" i="48"/>
  <c r="SCN313" i="48"/>
  <c r="SCM313" i="48"/>
  <c r="SCF313" i="48"/>
  <c r="SCE313" i="48"/>
  <c r="SBX313" i="48"/>
  <c r="SBW313" i="48"/>
  <c r="SBP313" i="48"/>
  <c r="SBO313" i="48"/>
  <c r="SBH313" i="48"/>
  <c r="SBG313" i="48"/>
  <c r="SAZ313" i="48"/>
  <c r="SAY313" i="48"/>
  <c r="SAR313" i="48"/>
  <c r="SAQ313" i="48"/>
  <c r="SAJ313" i="48"/>
  <c r="SAI313" i="48"/>
  <c r="SAB313" i="48"/>
  <c r="SAA313" i="48"/>
  <c r="RZT313" i="48"/>
  <c r="RZS313" i="48"/>
  <c r="RZL313" i="48"/>
  <c r="RZK313" i="48"/>
  <c r="RZD313" i="48"/>
  <c r="RZC313" i="48"/>
  <c r="RYV313" i="48"/>
  <c r="RYU313" i="48"/>
  <c r="RYN313" i="48"/>
  <c r="RYM313" i="48"/>
  <c r="RYF313" i="48"/>
  <c r="RYE313" i="48"/>
  <c r="RXX313" i="48"/>
  <c r="RXW313" i="48"/>
  <c r="RXP313" i="48"/>
  <c r="RXO313" i="48"/>
  <c r="RXH313" i="48"/>
  <c r="RXG313" i="48"/>
  <c r="RWZ313" i="48"/>
  <c r="RWY313" i="48"/>
  <c r="RWR313" i="48"/>
  <c r="RWQ313" i="48"/>
  <c r="RWJ313" i="48"/>
  <c r="RWI313" i="48"/>
  <c r="RWB313" i="48"/>
  <c r="RWA313" i="48"/>
  <c r="RVT313" i="48"/>
  <c r="RVS313" i="48"/>
  <c r="RVL313" i="48"/>
  <c r="RVK313" i="48"/>
  <c r="RVD313" i="48"/>
  <c r="RVC313" i="48"/>
  <c r="RUV313" i="48"/>
  <c r="RUU313" i="48"/>
  <c r="RUN313" i="48"/>
  <c r="RUM313" i="48"/>
  <c r="RUF313" i="48"/>
  <c r="RUE313" i="48"/>
  <c r="RTX313" i="48"/>
  <c r="RTW313" i="48"/>
  <c r="RTP313" i="48"/>
  <c r="RTO313" i="48"/>
  <c r="RTH313" i="48"/>
  <c r="RTG313" i="48"/>
  <c r="RSZ313" i="48"/>
  <c r="RSY313" i="48"/>
  <c r="RSR313" i="48"/>
  <c r="RSQ313" i="48"/>
  <c r="RSJ313" i="48"/>
  <c r="RSI313" i="48"/>
  <c r="RSB313" i="48"/>
  <c r="RSA313" i="48"/>
  <c r="RRT313" i="48"/>
  <c r="RRS313" i="48"/>
  <c r="RRL313" i="48"/>
  <c r="RRK313" i="48"/>
  <c r="RRD313" i="48"/>
  <c r="RRC313" i="48"/>
  <c r="RQV313" i="48"/>
  <c r="RQU313" i="48"/>
  <c r="RQN313" i="48"/>
  <c r="RQM313" i="48"/>
  <c r="RQF313" i="48"/>
  <c r="RQE313" i="48"/>
  <c r="RPX313" i="48"/>
  <c r="RPW313" i="48"/>
  <c r="RPP313" i="48"/>
  <c r="RPO313" i="48"/>
  <c r="RPH313" i="48"/>
  <c r="RPG313" i="48"/>
  <c r="ROZ313" i="48"/>
  <c r="ROY313" i="48"/>
  <c r="ROR313" i="48"/>
  <c r="ROQ313" i="48"/>
  <c r="ROJ313" i="48"/>
  <c r="ROI313" i="48"/>
  <c r="ROB313" i="48"/>
  <c r="ROA313" i="48"/>
  <c r="RNT313" i="48"/>
  <c r="RNS313" i="48"/>
  <c r="RNL313" i="48"/>
  <c r="RNK313" i="48"/>
  <c r="RND313" i="48"/>
  <c r="RNC313" i="48"/>
  <c r="RMV313" i="48"/>
  <c r="RMU313" i="48"/>
  <c r="RMN313" i="48"/>
  <c r="RMM313" i="48"/>
  <c r="RMF313" i="48"/>
  <c r="RME313" i="48"/>
  <c r="RLX313" i="48"/>
  <c r="RLW313" i="48"/>
  <c r="RLP313" i="48"/>
  <c r="RLO313" i="48"/>
  <c r="RLH313" i="48"/>
  <c r="RLG313" i="48"/>
  <c r="RKZ313" i="48"/>
  <c r="RKY313" i="48"/>
  <c r="RKR313" i="48"/>
  <c r="RKQ313" i="48"/>
  <c r="RKJ313" i="48"/>
  <c r="RKI313" i="48"/>
  <c r="RKB313" i="48"/>
  <c r="RKA313" i="48"/>
  <c r="RJT313" i="48"/>
  <c r="RJS313" i="48"/>
  <c r="RJL313" i="48"/>
  <c r="RJK313" i="48"/>
  <c r="RJD313" i="48"/>
  <c r="RJC313" i="48"/>
  <c r="RIV313" i="48"/>
  <c r="RIU313" i="48"/>
  <c r="RIN313" i="48"/>
  <c r="RIM313" i="48"/>
  <c r="RIF313" i="48"/>
  <c r="RIE313" i="48"/>
  <c r="RHX313" i="48"/>
  <c r="RHW313" i="48"/>
  <c r="RHP313" i="48"/>
  <c r="RHO313" i="48"/>
  <c r="RHH313" i="48"/>
  <c r="RHG313" i="48"/>
  <c r="RGZ313" i="48"/>
  <c r="RGY313" i="48"/>
  <c r="RGR313" i="48"/>
  <c r="RGQ313" i="48"/>
  <c r="RGJ313" i="48"/>
  <c r="RGI313" i="48"/>
  <c r="RGB313" i="48"/>
  <c r="RGA313" i="48"/>
  <c r="RFT313" i="48"/>
  <c r="RFS313" i="48"/>
  <c r="RFL313" i="48"/>
  <c r="RFK313" i="48"/>
  <c r="RFD313" i="48"/>
  <c r="RFC313" i="48"/>
  <c r="REV313" i="48"/>
  <c r="REU313" i="48"/>
  <c r="REN313" i="48"/>
  <c r="REM313" i="48"/>
  <c r="REF313" i="48"/>
  <c r="REE313" i="48"/>
  <c r="RDX313" i="48"/>
  <c r="RDW313" i="48"/>
  <c r="RDP313" i="48"/>
  <c r="RDO313" i="48"/>
  <c r="RDH313" i="48"/>
  <c r="RDG313" i="48"/>
  <c r="RCZ313" i="48"/>
  <c r="RCY313" i="48"/>
  <c r="RCR313" i="48"/>
  <c r="RCQ313" i="48"/>
  <c r="RCJ313" i="48"/>
  <c r="RCI313" i="48"/>
  <c r="RCB313" i="48"/>
  <c r="RCA313" i="48"/>
  <c r="RBT313" i="48"/>
  <c r="RBS313" i="48"/>
  <c r="RBL313" i="48"/>
  <c r="RBK313" i="48"/>
  <c r="RBD313" i="48"/>
  <c r="RBC313" i="48"/>
  <c r="RAV313" i="48"/>
  <c r="RAU313" i="48"/>
  <c r="RAN313" i="48"/>
  <c r="RAM313" i="48"/>
  <c r="RAF313" i="48"/>
  <c r="RAE313" i="48"/>
  <c r="QZX313" i="48"/>
  <c r="QZW313" i="48"/>
  <c r="QZP313" i="48"/>
  <c r="QZO313" i="48"/>
  <c r="QZH313" i="48"/>
  <c r="QZG313" i="48"/>
  <c r="QYZ313" i="48"/>
  <c r="QYY313" i="48"/>
  <c r="QYR313" i="48"/>
  <c r="QYQ313" i="48"/>
  <c r="QYJ313" i="48"/>
  <c r="QYI313" i="48"/>
  <c r="QYB313" i="48"/>
  <c r="QYA313" i="48"/>
  <c r="QXT313" i="48"/>
  <c r="QXS313" i="48"/>
  <c r="QXL313" i="48"/>
  <c r="QXK313" i="48"/>
  <c r="QXD313" i="48"/>
  <c r="QXC313" i="48"/>
  <c r="QWV313" i="48"/>
  <c r="QWU313" i="48"/>
  <c r="QWN313" i="48"/>
  <c r="QWM313" i="48"/>
  <c r="QWF313" i="48"/>
  <c r="QWE313" i="48"/>
  <c r="QVX313" i="48"/>
  <c r="QVW313" i="48"/>
  <c r="QVP313" i="48"/>
  <c r="QVO313" i="48"/>
  <c r="QVH313" i="48"/>
  <c r="QVG313" i="48"/>
  <c r="QUZ313" i="48"/>
  <c r="QUY313" i="48"/>
  <c r="QUR313" i="48"/>
  <c r="QUQ313" i="48"/>
  <c r="QUJ313" i="48"/>
  <c r="QUI313" i="48"/>
  <c r="QUB313" i="48"/>
  <c r="QUA313" i="48"/>
  <c r="QTT313" i="48"/>
  <c r="QTS313" i="48"/>
  <c r="QTL313" i="48"/>
  <c r="QTK313" i="48"/>
  <c r="QTD313" i="48"/>
  <c r="QTC313" i="48"/>
  <c r="QSV313" i="48"/>
  <c r="QSU313" i="48"/>
  <c r="QSN313" i="48"/>
  <c r="QSM313" i="48"/>
  <c r="QSF313" i="48"/>
  <c r="QSE313" i="48"/>
  <c r="QRX313" i="48"/>
  <c r="QRW313" i="48"/>
  <c r="QRP313" i="48"/>
  <c r="QRO313" i="48"/>
  <c r="QRH313" i="48"/>
  <c r="QRG313" i="48"/>
  <c r="QQZ313" i="48"/>
  <c r="QQY313" i="48"/>
  <c r="QQR313" i="48"/>
  <c r="QQQ313" i="48"/>
  <c r="QQJ313" i="48"/>
  <c r="QQI313" i="48"/>
  <c r="QQB313" i="48"/>
  <c r="QQA313" i="48"/>
  <c r="QPT313" i="48"/>
  <c r="QPS313" i="48"/>
  <c r="QPL313" i="48"/>
  <c r="QPK313" i="48"/>
  <c r="QPD313" i="48"/>
  <c r="QPC313" i="48"/>
  <c r="QOV313" i="48"/>
  <c r="QOU313" i="48"/>
  <c r="QON313" i="48"/>
  <c r="QOM313" i="48"/>
  <c r="QOF313" i="48"/>
  <c r="QOE313" i="48"/>
  <c r="QNX313" i="48"/>
  <c r="QNW313" i="48"/>
  <c r="QNP313" i="48"/>
  <c r="QNO313" i="48"/>
  <c r="QNH313" i="48"/>
  <c r="QNG313" i="48"/>
  <c r="QMZ313" i="48"/>
  <c r="QMY313" i="48"/>
  <c r="QMR313" i="48"/>
  <c r="QMQ313" i="48"/>
  <c r="QMJ313" i="48"/>
  <c r="QMI313" i="48"/>
  <c r="QMB313" i="48"/>
  <c r="QMA313" i="48"/>
  <c r="QLT313" i="48"/>
  <c r="QLS313" i="48"/>
  <c r="QLL313" i="48"/>
  <c r="QLK313" i="48"/>
  <c r="QLD313" i="48"/>
  <c r="QLC313" i="48"/>
  <c r="QKV313" i="48"/>
  <c r="QKU313" i="48"/>
  <c r="QKN313" i="48"/>
  <c r="QKM313" i="48"/>
  <c r="QKF313" i="48"/>
  <c r="QKE313" i="48"/>
  <c r="QJX313" i="48"/>
  <c r="QJW313" i="48"/>
  <c r="QJP313" i="48"/>
  <c r="QJO313" i="48"/>
  <c r="QJH313" i="48"/>
  <c r="QJG313" i="48"/>
  <c r="QIZ313" i="48"/>
  <c r="QIY313" i="48"/>
  <c r="QIR313" i="48"/>
  <c r="QIQ313" i="48"/>
  <c r="QIJ313" i="48"/>
  <c r="QII313" i="48"/>
  <c r="QIB313" i="48"/>
  <c r="QIA313" i="48"/>
  <c r="QHT313" i="48"/>
  <c r="QHS313" i="48"/>
  <c r="QHL313" i="48"/>
  <c r="QHK313" i="48"/>
  <c r="QHD313" i="48"/>
  <c r="QHC313" i="48"/>
  <c r="QGV313" i="48"/>
  <c r="QGU313" i="48"/>
  <c r="QGN313" i="48"/>
  <c r="QGM313" i="48"/>
  <c r="QGF313" i="48"/>
  <c r="QGE313" i="48"/>
  <c r="QFX313" i="48"/>
  <c r="QFW313" i="48"/>
  <c r="QFP313" i="48"/>
  <c r="QFO313" i="48"/>
  <c r="QFH313" i="48"/>
  <c r="QFG313" i="48"/>
  <c r="QEZ313" i="48"/>
  <c r="QEY313" i="48"/>
  <c r="QER313" i="48"/>
  <c r="QEQ313" i="48"/>
  <c r="QEJ313" i="48"/>
  <c r="QEI313" i="48"/>
  <c r="QEB313" i="48"/>
  <c r="QEA313" i="48"/>
  <c r="QDT313" i="48"/>
  <c r="QDS313" i="48"/>
  <c r="QDL313" i="48"/>
  <c r="QDK313" i="48"/>
  <c r="QDD313" i="48"/>
  <c r="QDC313" i="48"/>
  <c r="QCV313" i="48"/>
  <c r="QCU313" i="48"/>
  <c r="QCN313" i="48"/>
  <c r="QCM313" i="48"/>
  <c r="QCF313" i="48"/>
  <c r="QCE313" i="48"/>
  <c r="QBX313" i="48"/>
  <c r="QBW313" i="48"/>
  <c r="QBP313" i="48"/>
  <c r="QBO313" i="48"/>
  <c r="QBH313" i="48"/>
  <c r="QBG313" i="48"/>
  <c r="QAZ313" i="48"/>
  <c r="QAY313" i="48"/>
  <c r="QAR313" i="48"/>
  <c r="QAQ313" i="48"/>
  <c r="QAJ313" i="48"/>
  <c r="QAI313" i="48"/>
  <c r="QAB313" i="48"/>
  <c r="QAA313" i="48"/>
  <c r="PZT313" i="48"/>
  <c r="PZS313" i="48"/>
  <c r="PZL313" i="48"/>
  <c r="PZK313" i="48"/>
  <c r="PZD313" i="48"/>
  <c r="PZC313" i="48"/>
  <c r="PYV313" i="48"/>
  <c r="PYU313" i="48"/>
  <c r="PYN313" i="48"/>
  <c r="PYM313" i="48"/>
  <c r="PYF313" i="48"/>
  <c r="PYE313" i="48"/>
  <c r="PXX313" i="48"/>
  <c r="PXW313" i="48"/>
  <c r="PXP313" i="48"/>
  <c r="PXO313" i="48"/>
  <c r="PXH313" i="48"/>
  <c r="PXG313" i="48"/>
  <c r="PWZ313" i="48"/>
  <c r="PWY313" i="48"/>
  <c r="PWR313" i="48"/>
  <c r="PWQ313" i="48"/>
  <c r="PWJ313" i="48"/>
  <c r="PWI313" i="48"/>
  <c r="PWB313" i="48"/>
  <c r="PWA313" i="48"/>
  <c r="PVT313" i="48"/>
  <c r="PVS313" i="48"/>
  <c r="PVL313" i="48"/>
  <c r="PVK313" i="48"/>
  <c r="PVD313" i="48"/>
  <c r="PVC313" i="48"/>
  <c r="PUV313" i="48"/>
  <c r="PUU313" i="48"/>
  <c r="PUN313" i="48"/>
  <c r="PUM313" i="48"/>
  <c r="PUF313" i="48"/>
  <c r="PUE313" i="48"/>
  <c r="PTX313" i="48"/>
  <c r="PTW313" i="48"/>
  <c r="PTP313" i="48"/>
  <c r="PTO313" i="48"/>
  <c r="PTH313" i="48"/>
  <c r="PTG313" i="48"/>
  <c r="PSZ313" i="48"/>
  <c r="PSY313" i="48"/>
  <c r="PSR313" i="48"/>
  <c r="PSQ313" i="48"/>
  <c r="PSJ313" i="48"/>
  <c r="PSI313" i="48"/>
  <c r="PSB313" i="48"/>
  <c r="PSA313" i="48"/>
  <c r="PRT313" i="48"/>
  <c r="PRS313" i="48"/>
  <c r="PRL313" i="48"/>
  <c r="PRK313" i="48"/>
  <c r="PRD313" i="48"/>
  <c r="PRC313" i="48"/>
  <c r="PQV313" i="48"/>
  <c r="PQU313" i="48"/>
  <c r="PQN313" i="48"/>
  <c r="PQM313" i="48"/>
  <c r="PQF313" i="48"/>
  <c r="PQE313" i="48"/>
  <c r="PPX313" i="48"/>
  <c r="PPW313" i="48"/>
  <c r="PPP313" i="48"/>
  <c r="PPO313" i="48"/>
  <c r="PPH313" i="48"/>
  <c r="PPG313" i="48"/>
  <c r="POZ313" i="48"/>
  <c r="POY313" i="48"/>
  <c r="POR313" i="48"/>
  <c r="POQ313" i="48"/>
  <c r="POJ313" i="48"/>
  <c r="POI313" i="48"/>
  <c r="POB313" i="48"/>
  <c r="POA313" i="48"/>
  <c r="PNT313" i="48"/>
  <c r="PNS313" i="48"/>
  <c r="PNL313" i="48"/>
  <c r="PNK313" i="48"/>
  <c r="PND313" i="48"/>
  <c r="PNC313" i="48"/>
  <c r="PMV313" i="48"/>
  <c r="PMU313" i="48"/>
  <c r="PMN313" i="48"/>
  <c r="PMM313" i="48"/>
  <c r="PMF313" i="48"/>
  <c r="PME313" i="48"/>
  <c r="PLX313" i="48"/>
  <c r="PLW313" i="48"/>
  <c r="PLP313" i="48"/>
  <c r="PLO313" i="48"/>
  <c r="PLH313" i="48"/>
  <c r="PLG313" i="48"/>
  <c r="PKZ313" i="48"/>
  <c r="PKY313" i="48"/>
  <c r="PKR313" i="48"/>
  <c r="PKQ313" i="48"/>
  <c r="PKJ313" i="48"/>
  <c r="PKI313" i="48"/>
  <c r="PKB313" i="48"/>
  <c r="PKA313" i="48"/>
  <c r="PJT313" i="48"/>
  <c r="PJS313" i="48"/>
  <c r="PJL313" i="48"/>
  <c r="PJK313" i="48"/>
  <c r="PJD313" i="48"/>
  <c r="PJC313" i="48"/>
  <c r="PIV313" i="48"/>
  <c r="PIU313" i="48"/>
  <c r="PIN313" i="48"/>
  <c r="PIM313" i="48"/>
  <c r="PIF313" i="48"/>
  <c r="PIE313" i="48"/>
  <c r="PHX313" i="48"/>
  <c r="PHW313" i="48"/>
  <c r="PHP313" i="48"/>
  <c r="PHO313" i="48"/>
  <c r="PHH313" i="48"/>
  <c r="PHG313" i="48"/>
  <c r="PGZ313" i="48"/>
  <c r="PGY313" i="48"/>
  <c r="PGR313" i="48"/>
  <c r="PGQ313" i="48"/>
  <c r="PGJ313" i="48"/>
  <c r="PGI313" i="48"/>
  <c r="PGB313" i="48"/>
  <c r="PGA313" i="48"/>
  <c r="PFT313" i="48"/>
  <c r="PFS313" i="48"/>
  <c r="PFL313" i="48"/>
  <c r="PFK313" i="48"/>
  <c r="PFD313" i="48"/>
  <c r="PFC313" i="48"/>
  <c r="PEV313" i="48"/>
  <c r="PEU313" i="48"/>
  <c r="PEN313" i="48"/>
  <c r="PEM313" i="48"/>
  <c r="PEF313" i="48"/>
  <c r="PEE313" i="48"/>
  <c r="PDX313" i="48"/>
  <c r="PDW313" i="48"/>
  <c r="PDP313" i="48"/>
  <c r="PDO313" i="48"/>
  <c r="PDH313" i="48"/>
  <c r="PDG313" i="48"/>
  <c r="PCZ313" i="48"/>
  <c r="PCY313" i="48"/>
  <c r="PCR313" i="48"/>
  <c r="PCQ313" i="48"/>
  <c r="PCJ313" i="48"/>
  <c r="PCI313" i="48"/>
  <c r="PCB313" i="48"/>
  <c r="PCA313" i="48"/>
  <c r="PBT313" i="48"/>
  <c r="PBS313" i="48"/>
  <c r="PBL313" i="48"/>
  <c r="PBK313" i="48"/>
  <c r="PBD313" i="48"/>
  <c r="PBC313" i="48"/>
  <c r="PAV313" i="48"/>
  <c r="PAU313" i="48"/>
  <c r="PAN313" i="48"/>
  <c r="PAM313" i="48"/>
  <c r="PAF313" i="48"/>
  <c r="PAE313" i="48"/>
  <c r="OZX313" i="48"/>
  <c r="OZW313" i="48"/>
  <c r="OZP313" i="48"/>
  <c r="OZO313" i="48"/>
  <c r="OZH313" i="48"/>
  <c r="OZG313" i="48"/>
  <c r="OYZ313" i="48"/>
  <c r="OYY313" i="48"/>
  <c r="OYR313" i="48"/>
  <c r="OYQ313" i="48"/>
  <c r="OYJ313" i="48"/>
  <c r="OYI313" i="48"/>
  <c r="OYB313" i="48"/>
  <c r="OYA313" i="48"/>
  <c r="OXT313" i="48"/>
  <c r="OXS313" i="48"/>
  <c r="OXL313" i="48"/>
  <c r="OXK313" i="48"/>
  <c r="OXD313" i="48"/>
  <c r="OXC313" i="48"/>
  <c r="OWV313" i="48"/>
  <c r="OWU313" i="48"/>
  <c r="OWN313" i="48"/>
  <c r="OWM313" i="48"/>
  <c r="OWF313" i="48"/>
  <c r="OWE313" i="48"/>
  <c r="OVX313" i="48"/>
  <c r="OVW313" i="48"/>
  <c r="OVP313" i="48"/>
  <c r="OVO313" i="48"/>
  <c r="OVH313" i="48"/>
  <c r="OVG313" i="48"/>
  <c r="OUZ313" i="48"/>
  <c r="OUY313" i="48"/>
  <c r="OUR313" i="48"/>
  <c r="OUQ313" i="48"/>
  <c r="OUJ313" i="48"/>
  <c r="OUI313" i="48"/>
  <c r="OUB313" i="48"/>
  <c r="OUA313" i="48"/>
  <c r="OTT313" i="48"/>
  <c r="OTS313" i="48"/>
  <c r="OTL313" i="48"/>
  <c r="OTK313" i="48"/>
  <c r="OTD313" i="48"/>
  <c r="OTC313" i="48"/>
  <c r="OSV313" i="48"/>
  <c r="OSU313" i="48"/>
  <c r="OSN313" i="48"/>
  <c r="OSM313" i="48"/>
  <c r="OSF313" i="48"/>
  <c r="OSE313" i="48"/>
  <c r="ORX313" i="48"/>
  <c r="ORW313" i="48"/>
  <c r="ORP313" i="48"/>
  <c r="ORO313" i="48"/>
  <c r="ORH313" i="48"/>
  <c r="ORG313" i="48"/>
  <c r="OQZ313" i="48"/>
  <c r="OQY313" i="48"/>
  <c r="OQR313" i="48"/>
  <c r="OQQ313" i="48"/>
  <c r="OQJ313" i="48"/>
  <c r="OQI313" i="48"/>
  <c r="OQB313" i="48"/>
  <c r="OQA313" i="48"/>
  <c r="OPT313" i="48"/>
  <c r="OPS313" i="48"/>
  <c r="OPL313" i="48"/>
  <c r="OPK313" i="48"/>
  <c r="OPD313" i="48"/>
  <c r="OPC313" i="48"/>
  <c r="OOV313" i="48"/>
  <c r="OOU313" i="48"/>
  <c r="OON313" i="48"/>
  <c r="OOM313" i="48"/>
  <c r="OOF313" i="48"/>
  <c r="OOE313" i="48"/>
  <c r="ONX313" i="48"/>
  <c r="ONW313" i="48"/>
  <c r="ONP313" i="48"/>
  <c r="ONO313" i="48"/>
  <c r="ONH313" i="48"/>
  <c r="ONG313" i="48"/>
  <c r="OMZ313" i="48"/>
  <c r="OMY313" i="48"/>
  <c r="OMR313" i="48"/>
  <c r="OMQ313" i="48"/>
  <c r="OMJ313" i="48"/>
  <c r="OMI313" i="48"/>
  <c r="OMB313" i="48"/>
  <c r="OMA313" i="48"/>
  <c r="OLT313" i="48"/>
  <c r="OLS313" i="48"/>
  <c r="OLL313" i="48"/>
  <c r="OLK313" i="48"/>
  <c r="OLD313" i="48"/>
  <c r="OLC313" i="48"/>
  <c r="OKV313" i="48"/>
  <c r="OKU313" i="48"/>
  <c r="OKN313" i="48"/>
  <c r="OKM313" i="48"/>
  <c r="OKF313" i="48"/>
  <c r="OKE313" i="48"/>
  <c r="OJX313" i="48"/>
  <c r="OJW313" i="48"/>
  <c r="OJP313" i="48"/>
  <c r="OJO313" i="48"/>
  <c r="OJH313" i="48"/>
  <c r="OJG313" i="48"/>
  <c r="OIZ313" i="48"/>
  <c r="OIY313" i="48"/>
  <c r="OIR313" i="48"/>
  <c r="OIQ313" i="48"/>
  <c r="OIJ313" i="48"/>
  <c r="OII313" i="48"/>
  <c r="OIB313" i="48"/>
  <c r="OIA313" i="48"/>
  <c r="OHT313" i="48"/>
  <c r="OHS313" i="48"/>
  <c r="OHL313" i="48"/>
  <c r="OHK313" i="48"/>
  <c r="OHD313" i="48"/>
  <c r="OHC313" i="48"/>
  <c r="OGV313" i="48"/>
  <c r="OGU313" i="48"/>
  <c r="OGN313" i="48"/>
  <c r="OGM313" i="48"/>
  <c r="OGF313" i="48"/>
  <c r="OGE313" i="48"/>
  <c r="OFX313" i="48"/>
  <c r="OFW313" i="48"/>
  <c r="OFP313" i="48"/>
  <c r="OFO313" i="48"/>
  <c r="OFH313" i="48"/>
  <c r="OFG313" i="48"/>
  <c r="OEZ313" i="48"/>
  <c r="OEY313" i="48"/>
  <c r="OER313" i="48"/>
  <c r="OEQ313" i="48"/>
  <c r="OEJ313" i="48"/>
  <c r="OEI313" i="48"/>
  <c r="OEB313" i="48"/>
  <c r="OEA313" i="48"/>
  <c r="ODT313" i="48"/>
  <c r="ODS313" i="48"/>
  <c r="ODL313" i="48"/>
  <c r="ODK313" i="48"/>
  <c r="ODD313" i="48"/>
  <c r="ODC313" i="48"/>
  <c r="OCV313" i="48"/>
  <c r="OCU313" i="48"/>
  <c r="OCN313" i="48"/>
  <c r="OCM313" i="48"/>
  <c r="OCF313" i="48"/>
  <c r="OCE313" i="48"/>
  <c r="OBX313" i="48"/>
  <c r="OBW313" i="48"/>
  <c r="OBP313" i="48"/>
  <c r="OBO313" i="48"/>
  <c r="OBH313" i="48"/>
  <c r="OBG313" i="48"/>
  <c r="OAZ313" i="48"/>
  <c r="OAY313" i="48"/>
  <c r="OAR313" i="48"/>
  <c r="OAQ313" i="48"/>
  <c r="OAJ313" i="48"/>
  <c r="OAI313" i="48"/>
  <c r="OAB313" i="48"/>
  <c r="OAA313" i="48"/>
  <c r="NZT313" i="48"/>
  <c r="NZS313" i="48"/>
  <c r="NZL313" i="48"/>
  <c r="NZK313" i="48"/>
  <c r="NZD313" i="48"/>
  <c r="NZC313" i="48"/>
  <c r="NYV313" i="48"/>
  <c r="NYU313" i="48"/>
  <c r="NYN313" i="48"/>
  <c r="NYM313" i="48"/>
  <c r="NYF313" i="48"/>
  <c r="NYE313" i="48"/>
  <c r="NXX313" i="48"/>
  <c r="NXW313" i="48"/>
  <c r="NXP313" i="48"/>
  <c r="NXO313" i="48"/>
  <c r="NXH313" i="48"/>
  <c r="NXG313" i="48"/>
  <c r="NWZ313" i="48"/>
  <c r="NWY313" i="48"/>
  <c r="NWR313" i="48"/>
  <c r="NWQ313" i="48"/>
  <c r="NWJ313" i="48"/>
  <c r="NWI313" i="48"/>
  <c r="NWB313" i="48"/>
  <c r="NWA313" i="48"/>
  <c r="NVT313" i="48"/>
  <c r="NVS313" i="48"/>
  <c r="NVL313" i="48"/>
  <c r="NVK313" i="48"/>
  <c r="NVD313" i="48"/>
  <c r="NVC313" i="48"/>
  <c r="NUV313" i="48"/>
  <c r="NUU313" i="48"/>
  <c r="NUN313" i="48"/>
  <c r="NUM313" i="48"/>
  <c r="NUF313" i="48"/>
  <c r="NUE313" i="48"/>
  <c r="NTX313" i="48"/>
  <c r="NTW313" i="48"/>
  <c r="NTP313" i="48"/>
  <c r="NTO313" i="48"/>
  <c r="NTH313" i="48"/>
  <c r="NTG313" i="48"/>
  <c r="NSZ313" i="48"/>
  <c r="NSY313" i="48"/>
  <c r="NSR313" i="48"/>
  <c r="NSQ313" i="48"/>
  <c r="NSJ313" i="48"/>
  <c r="NSI313" i="48"/>
  <c r="NSB313" i="48"/>
  <c r="NSA313" i="48"/>
  <c r="NRT313" i="48"/>
  <c r="NRS313" i="48"/>
  <c r="NRL313" i="48"/>
  <c r="NRK313" i="48"/>
  <c r="NRD313" i="48"/>
  <c r="NRC313" i="48"/>
  <c r="NQV313" i="48"/>
  <c r="NQU313" i="48"/>
  <c r="NQN313" i="48"/>
  <c r="NQM313" i="48"/>
  <c r="NQF313" i="48"/>
  <c r="NQE313" i="48"/>
  <c r="NPX313" i="48"/>
  <c r="NPW313" i="48"/>
  <c r="NPP313" i="48"/>
  <c r="NPO313" i="48"/>
  <c r="NPH313" i="48"/>
  <c r="NPG313" i="48"/>
  <c r="NOZ313" i="48"/>
  <c r="NOY313" i="48"/>
  <c r="NOR313" i="48"/>
  <c r="NOQ313" i="48"/>
  <c r="NOJ313" i="48"/>
  <c r="NOI313" i="48"/>
  <c r="NOB313" i="48"/>
  <c r="NOA313" i="48"/>
  <c r="NNT313" i="48"/>
  <c r="NNS313" i="48"/>
  <c r="NNL313" i="48"/>
  <c r="NNK313" i="48"/>
  <c r="NND313" i="48"/>
  <c r="NNC313" i="48"/>
  <c r="NMV313" i="48"/>
  <c r="NMU313" i="48"/>
  <c r="NMN313" i="48"/>
  <c r="NMM313" i="48"/>
  <c r="NMF313" i="48"/>
  <c r="NME313" i="48"/>
  <c r="NLX313" i="48"/>
  <c r="NLW313" i="48"/>
  <c r="NLP313" i="48"/>
  <c r="NLO313" i="48"/>
  <c r="NLH313" i="48"/>
  <c r="NLG313" i="48"/>
  <c r="NKZ313" i="48"/>
  <c r="NKY313" i="48"/>
  <c r="NKR313" i="48"/>
  <c r="NKQ313" i="48"/>
  <c r="NKJ313" i="48"/>
  <c r="NKI313" i="48"/>
  <c r="NKB313" i="48"/>
  <c r="NKA313" i="48"/>
  <c r="NJT313" i="48"/>
  <c r="NJS313" i="48"/>
  <c r="NJL313" i="48"/>
  <c r="NJK313" i="48"/>
  <c r="NJD313" i="48"/>
  <c r="NJC313" i="48"/>
  <c r="NIV313" i="48"/>
  <c r="NIU313" i="48"/>
  <c r="NIN313" i="48"/>
  <c r="NIM313" i="48"/>
  <c r="NIF313" i="48"/>
  <c r="NIE313" i="48"/>
  <c r="NHX313" i="48"/>
  <c r="NHW313" i="48"/>
  <c r="NHP313" i="48"/>
  <c r="NHO313" i="48"/>
  <c r="NHH313" i="48"/>
  <c r="NHG313" i="48"/>
  <c r="NGZ313" i="48"/>
  <c r="NGY313" i="48"/>
  <c r="NGR313" i="48"/>
  <c r="NGQ313" i="48"/>
  <c r="NGJ313" i="48"/>
  <c r="NGI313" i="48"/>
  <c r="NGB313" i="48"/>
  <c r="NGA313" i="48"/>
  <c r="NFT313" i="48"/>
  <c r="NFS313" i="48"/>
  <c r="NFL313" i="48"/>
  <c r="NFK313" i="48"/>
  <c r="NFD313" i="48"/>
  <c r="NFC313" i="48"/>
  <c r="NEV313" i="48"/>
  <c r="NEU313" i="48"/>
  <c r="NEN313" i="48"/>
  <c r="NEM313" i="48"/>
  <c r="NEF313" i="48"/>
  <c r="NEE313" i="48"/>
  <c r="NDX313" i="48"/>
  <c r="NDW313" i="48"/>
  <c r="NDP313" i="48"/>
  <c r="NDO313" i="48"/>
  <c r="NDH313" i="48"/>
  <c r="NDG313" i="48"/>
  <c r="NCZ313" i="48"/>
  <c r="NCY313" i="48"/>
  <c r="NCR313" i="48"/>
  <c r="NCQ313" i="48"/>
  <c r="NCJ313" i="48"/>
  <c r="NCI313" i="48"/>
  <c r="NCB313" i="48"/>
  <c r="NCA313" i="48"/>
  <c r="NBT313" i="48"/>
  <c r="NBS313" i="48"/>
  <c r="NBL313" i="48"/>
  <c r="NBK313" i="48"/>
  <c r="NBD313" i="48"/>
  <c r="NBC313" i="48"/>
  <c r="NAV313" i="48"/>
  <c r="NAU313" i="48"/>
  <c r="NAN313" i="48"/>
  <c r="NAM313" i="48"/>
  <c r="NAF313" i="48"/>
  <c r="NAE313" i="48"/>
  <c r="MZX313" i="48"/>
  <c r="MZW313" i="48"/>
  <c r="MZP313" i="48"/>
  <c r="MZO313" i="48"/>
  <c r="MZH313" i="48"/>
  <c r="MZG313" i="48"/>
  <c r="MYZ313" i="48"/>
  <c r="MYY313" i="48"/>
  <c r="MYR313" i="48"/>
  <c r="MYQ313" i="48"/>
  <c r="MYJ313" i="48"/>
  <c r="MYI313" i="48"/>
  <c r="MYB313" i="48"/>
  <c r="MYA313" i="48"/>
  <c r="MXT313" i="48"/>
  <c r="MXS313" i="48"/>
  <c r="MXL313" i="48"/>
  <c r="MXK313" i="48"/>
  <c r="MXD313" i="48"/>
  <c r="MXC313" i="48"/>
  <c r="MWV313" i="48"/>
  <c r="MWU313" i="48"/>
  <c r="MWN313" i="48"/>
  <c r="MWM313" i="48"/>
  <c r="MWF313" i="48"/>
  <c r="MWE313" i="48"/>
  <c r="MVX313" i="48"/>
  <c r="MVW313" i="48"/>
  <c r="MVP313" i="48"/>
  <c r="MVO313" i="48"/>
  <c r="MVH313" i="48"/>
  <c r="MVG313" i="48"/>
  <c r="MUZ313" i="48"/>
  <c r="MUY313" i="48"/>
  <c r="MUR313" i="48"/>
  <c r="MUQ313" i="48"/>
  <c r="MUJ313" i="48"/>
  <c r="MUI313" i="48"/>
  <c r="MUB313" i="48"/>
  <c r="MUA313" i="48"/>
  <c r="MTT313" i="48"/>
  <c r="MTS313" i="48"/>
  <c r="MTL313" i="48"/>
  <c r="MTK313" i="48"/>
  <c r="MTD313" i="48"/>
  <c r="MTC313" i="48"/>
  <c r="MSV313" i="48"/>
  <c r="MSU313" i="48"/>
  <c r="MSN313" i="48"/>
  <c r="MSM313" i="48"/>
  <c r="MSF313" i="48"/>
  <c r="MSE313" i="48"/>
  <c r="MRX313" i="48"/>
  <c r="MRW313" i="48"/>
  <c r="MRP313" i="48"/>
  <c r="MRO313" i="48"/>
  <c r="MRH313" i="48"/>
  <c r="MRG313" i="48"/>
  <c r="MQZ313" i="48"/>
  <c r="MQY313" i="48"/>
  <c r="MQR313" i="48"/>
  <c r="MQQ313" i="48"/>
  <c r="MQJ313" i="48"/>
  <c r="MQI313" i="48"/>
  <c r="MQB313" i="48"/>
  <c r="MQA313" i="48"/>
  <c r="MPT313" i="48"/>
  <c r="MPS313" i="48"/>
  <c r="MPL313" i="48"/>
  <c r="MPK313" i="48"/>
  <c r="MPD313" i="48"/>
  <c r="MPC313" i="48"/>
  <c r="MOV313" i="48"/>
  <c r="MOU313" i="48"/>
  <c r="MON313" i="48"/>
  <c r="MOM313" i="48"/>
  <c r="MOF313" i="48"/>
  <c r="MOE313" i="48"/>
  <c r="MNX313" i="48"/>
  <c r="MNW313" i="48"/>
  <c r="MNP313" i="48"/>
  <c r="MNO313" i="48"/>
  <c r="MNH313" i="48"/>
  <c r="MNG313" i="48"/>
  <c r="MMZ313" i="48"/>
  <c r="MMY313" i="48"/>
  <c r="MMR313" i="48"/>
  <c r="MMQ313" i="48"/>
  <c r="MMJ313" i="48"/>
  <c r="MMI313" i="48"/>
  <c r="MMB313" i="48"/>
  <c r="MMA313" i="48"/>
  <c r="MLT313" i="48"/>
  <c r="MLS313" i="48"/>
  <c r="MLL313" i="48"/>
  <c r="MLK313" i="48"/>
  <c r="MLD313" i="48"/>
  <c r="MLC313" i="48"/>
  <c r="MKV313" i="48"/>
  <c r="MKU313" i="48"/>
  <c r="MKN313" i="48"/>
  <c r="MKM313" i="48"/>
  <c r="MKF313" i="48"/>
  <c r="MKE313" i="48"/>
  <c r="MJX313" i="48"/>
  <c r="MJW313" i="48"/>
  <c r="MJP313" i="48"/>
  <c r="MJO313" i="48"/>
  <c r="MJH313" i="48"/>
  <c r="MJG313" i="48"/>
  <c r="MIZ313" i="48"/>
  <c r="MIY313" i="48"/>
  <c r="MIR313" i="48"/>
  <c r="MIQ313" i="48"/>
  <c r="MIJ313" i="48"/>
  <c r="MII313" i="48"/>
  <c r="MIB313" i="48"/>
  <c r="MIA313" i="48"/>
  <c r="MHT313" i="48"/>
  <c r="MHS313" i="48"/>
  <c r="MHL313" i="48"/>
  <c r="MHK313" i="48"/>
  <c r="MHD313" i="48"/>
  <c r="MHC313" i="48"/>
  <c r="MGV313" i="48"/>
  <c r="MGU313" i="48"/>
  <c r="MGN313" i="48"/>
  <c r="MGM313" i="48"/>
  <c r="MGF313" i="48"/>
  <c r="MGE313" i="48"/>
  <c r="MFX313" i="48"/>
  <c r="MFW313" i="48"/>
  <c r="MFP313" i="48"/>
  <c r="MFO313" i="48"/>
  <c r="MFH313" i="48"/>
  <c r="MFG313" i="48"/>
  <c r="MEZ313" i="48"/>
  <c r="MEY313" i="48"/>
  <c r="MER313" i="48"/>
  <c r="MEQ313" i="48"/>
  <c r="MEJ313" i="48"/>
  <c r="MEI313" i="48"/>
  <c r="MEB313" i="48"/>
  <c r="MEA313" i="48"/>
  <c r="MDT313" i="48"/>
  <c r="MDS313" i="48"/>
  <c r="MDL313" i="48"/>
  <c r="MDK313" i="48"/>
  <c r="MDD313" i="48"/>
  <c r="MDC313" i="48"/>
  <c r="MCV313" i="48"/>
  <c r="MCU313" i="48"/>
  <c r="MCN313" i="48"/>
  <c r="MCM313" i="48"/>
  <c r="MCF313" i="48"/>
  <c r="MCE313" i="48"/>
  <c r="MBX313" i="48"/>
  <c r="MBW313" i="48"/>
  <c r="MBP313" i="48"/>
  <c r="MBO313" i="48"/>
  <c r="MBH313" i="48"/>
  <c r="MBG313" i="48"/>
  <c r="MAZ313" i="48"/>
  <c r="MAY313" i="48"/>
  <c r="MAR313" i="48"/>
  <c r="MAQ313" i="48"/>
  <c r="MAJ313" i="48"/>
  <c r="MAI313" i="48"/>
  <c r="MAB313" i="48"/>
  <c r="MAA313" i="48"/>
  <c r="LZT313" i="48"/>
  <c r="LZS313" i="48"/>
  <c r="LZL313" i="48"/>
  <c r="LZK313" i="48"/>
  <c r="LZD313" i="48"/>
  <c r="LZC313" i="48"/>
  <c r="LYV313" i="48"/>
  <c r="LYU313" i="48"/>
  <c r="LYN313" i="48"/>
  <c r="LYM313" i="48"/>
  <c r="LYF313" i="48"/>
  <c r="LYE313" i="48"/>
  <c r="LXX313" i="48"/>
  <c r="LXW313" i="48"/>
  <c r="LXP313" i="48"/>
  <c r="LXO313" i="48"/>
  <c r="LXH313" i="48"/>
  <c r="LXG313" i="48"/>
  <c r="LWZ313" i="48"/>
  <c r="LWY313" i="48"/>
  <c r="LWR313" i="48"/>
  <c r="LWQ313" i="48"/>
  <c r="LWJ313" i="48"/>
  <c r="LWI313" i="48"/>
  <c r="LWB313" i="48"/>
  <c r="LWA313" i="48"/>
  <c r="LVT313" i="48"/>
  <c r="LVS313" i="48"/>
  <c r="LVL313" i="48"/>
  <c r="LVK313" i="48"/>
  <c r="LVD313" i="48"/>
  <c r="LVC313" i="48"/>
  <c r="LUV313" i="48"/>
  <c r="LUU313" i="48"/>
  <c r="LUN313" i="48"/>
  <c r="LUM313" i="48"/>
  <c r="LUF313" i="48"/>
  <c r="LUE313" i="48"/>
  <c r="LTX313" i="48"/>
  <c r="LTW313" i="48"/>
  <c r="LTP313" i="48"/>
  <c r="LTO313" i="48"/>
  <c r="LTH313" i="48"/>
  <c r="LTG313" i="48"/>
  <c r="LSZ313" i="48"/>
  <c r="LSY313" i="48"/>
  <c r="LSR313" i="48"/>
  <c r="LSQ313" i="48"/>
  <c r="LSJ313" i="48"/>
  <c r="LSI313" i="48"/>
  <c r="LSB313" i="48"/>
  <c r="LSA313" i="48"/>
  <c r="LRT313" i="48"/>
  <c r="LRS313" i="48"/>
  <c r="LRL313" i="48"/>
  <c r="LRK313" i="48"/>
  <c r="LRD313" i="48"/>
  <c r="LRC313" i="48"/>
  <c r="LQV313" i="48"/>
  <c r="LQU313" i="48"/>
  <c r="LQN313" i="48"/>
  <c r="LQM313" i="48"/>
  <c r="LQF313" i="48"/>
  <c r="LQE313" i="48"/>
  <c r="LPX313" i="48"/>
  <c r="LPW313" i="48"/>
  <c r="LPP313" i="48"/>
  <c r="LPO313" i="48"/>
  <c r="LPH313" i="48"/>
  <c r="LPG313" i="48"/>
  <c r="LOZ313" i="48"/>
  <c r="LOY313" i="48"/>
  <c r="LOR313" i="48"/>
  <c r="LOQ313" i="48"/>
  <c r="LOJ313" i="48"/>
  <c r="LOI313" i="48"/>
  <c r="LOB313" i="48"/>
  <c r="LOA313" i="48"/>
  <c r="LNT313" i="48"/>
  <c r="LNS313" i="48"/>
  <c r="LNL313" i="48"/>
  <c r="LNK313" i="48"/>
  <c r="LND313" i="48"/>
  <c r="LNC313" i="48"/>
  <c r="LMV313" i="48"/>
  <c r="LMU313" i="48"/>
  <c r="LMN313" i="48"/>
  <c r="LMM313" i="48"/>
  <c r="LMF313" i="48"/>
  <c r="LME313" i="48"/>
  <c r="LLX313" i="48"/>
  <c r="LLW313" i="48"/>
  <c r="LLP313" i="48"/>
  <c r="LLO313" i="48"/>
  <c r="LLH313" i="48"/>
  <c r="LLG313" i="48"/>
  <c r="LKZ313" i="48"/>
  <c r="LKY313" i="48"/>
  <c r="LKR313" i="48"/>
  <c r="LKQ313" i="48"/>
  <c r="LKJ313" i="48"/>
  <c r="LKI313" i="48"/>
  <c r="LKB313" i="48"/>
  <c r="LKA313" i="48"/>
  <c r="LJT313" i="48"/>
  <c r="LJS313" i="48"/>
  <c r="LJL313" i="48"/>
  <c r="LJK313" i="48"/>
  <c r="LJD313" i="48"/>
  <c r="LJC313" i="48"/>
  <c r="LIV313" i="48"/>
  <c r="LIU313" i="48"/>
  <c r="LIN313" i="48"/>
  <c r="LIM313" i="48"/>
  <c r="LIF313" i="48"/>
  <c r="LIE313" i="48"/>
  <c r="LHX313" i="48"/>
  <c r="LHW313" i="48"/>
  <c r="LHP313" i="48"/>
  <c r="LHO313" i="48"/>
  <c r="LHH313" i="48"/>
  <c r="LHG313" i="48"/>
  <c r="LGZ313" i="48"/>
  <c r="LGY313" i="48"/>
  <c r="LGR313" i="48"/>
  <c r="LGQ313" i="48"/>
  <c r="LGJ313" i="48"/>
  <c r="LGI313" i="48"/>
  <c r="LGB313" i="48"/>
  <c r="LGA313" i="48"/>
  <c r="LFT313" i="48"/>
  <c r="LFS313" i="48"/>
  <c r="LFL313" i="48"/>
  <c r="LFK313" i="48"/>
  <c r="LFD313" i="48"/>
  <c r="LFC313" i="48"/>
  <c r="LEV313" i="48"/>
  <c r="LEU313" i="48"/>
  <c r="LEN313" i="48"/>
  <c r="LEM313" i="48"/>
  <c r="LEF313" i="48"/>
  <c r="LEE313" i="48"/>
  <c r="LDX313" i="48"/>
  <c r="LDW313" i="48"/>
  <c r="LDP313" i="48"/>
  <c r="LDO313" i="48"/>
  <c r="LDH313" i="48"/>
  <c r="LDG313" i="48"/>
  <c r="LCZ313" i="48"/>
  <c r="LCY313" i="48"/>
  <c r="LCR313" i="48"/>
  <c r="LCQ313" i="48"/>
  <c r="LCJ313" i="48"/>
  <c r="LCI313" i="48"/>
  <c r="LCB313" i="48"/>
  <c r="LCA313" i="48"/>
  <c r="LBT313" i="48"/>
  <c r="LBS313" i="48"/>
  <c r="LBL313" i="48"/>
  <c r="LBK313" i="48"/>
  <c r="LBD313" i="48"/>
  <c r="LBC313" i="48"/>
  <c r="LAV313" i="48"/>
  <c r="LAU313" i="48"/>
  <c r="LAN313" i="48"/>
  <c r="LAM313" i="48"/>
  <c r="LAF313" i="48"/>
  <c r="LAE313" i="48"/>
  <c r="KZX313" i="48"/>
  <c r="KZW313" i="48"/>
  <c r="KZP313" i="48"/>
  <c r="KZO313" i="48"/>
  <c r="KZH313" i="48"/>
  <c r="KZG313" i="48"/>
  <c r="KYZ313" i="48"/>
  <c r="KYY313" i="48"/>
  <c r="KYR313" i="48"/>
  <c r="KYQ313" i="48"/>
  <c r="KYJ313" i="48"/>
  <c r="KYI313" i="48"/>
  <c r="KYB313" i="48"/>
  <c r="KYA313" i="48"/>
  <c r="KXT313" i="48"/>
  <c r="KXS313" i="48"/>
  <c r="KXL313" i="48"/>
  <c r="KXK313" i="48"/>
  <c r="KXD313" i="48"/>
  <c r="KXC313" i="48"/>
  <c r="KWV313" i="48"/>
  <c r="KWU313" i="48"/>
  <c r="KWN313" i="48"/>
  <c r="KWM313" i="48"/>
  <c r="KWF313" i="48"/>
  <c r="KWE313" i="48"/>
  <c r="KVX313" i="48"/>
  <c r="KVW313" i="48"/>
  <c r="KVP313" i="48"/>
  <c r="KVO313" i="48"/>
  <c r="KVH313" i="48"/>
  <c r="KVG313" i="48"/>
  <c r="KUZ313" i="48"/>
  <c r="KUY313" i="48"/>
  <c r="KUR313" i="48"/>
  <c r="KUQ313" i="48"/>
  <c r="KUJ313" i="48"/>
  <c r="KUI313" i="48"/>
  <c r="KUB313" i="48"/>
  <c r="KUA313" i="48"/>
  <c r="KTT313" i="48"/>
  <c r="KTS313" i="48"/>
  <c r="KTL313" i="48"/>
  <c r="KTK313" i="48"/>
  <c r="KTD313" i="48"/>
  <c r="KTC313" i="48"/>
  <c r="KSV313" i="48"/>
  <c r="KSU313" i="48"/>
  <c r="KSN313" i="48"/>
  <c r="KSM313" i="48"/>
  <c r="KSF313" i="48"/>
  <c r="KSE313" i="48"/>
  <c r="KRX313" i="48"/>
  <c r="KRW313" i="48"/>
  <c r="KRP313" i="48"/>
  <c r="KRO313" i="48"/>
  <c r="KRH313" i="48"/>
  <c r="KRG313" i="48"/>
  <c r="KQZ313" i="48"/>
  <c r="KQY313" i="48"/>
  <c r="KQR313" i="48"/>
  <c r="KQQ313" i="48"/>
  <c r="KQJ313" i="48"/>
  <c r="KQI313" i="48"/>
  <c r="KQB313" i="48"/>
  <c r="KQA313" i="48"/>
  <c r="KPT313" i="48"/>
  <c r="KPS313" i="48"/>
  <c r="KPL313" i="48"/>
  <c r="KPK313" i="48"/>
  <c r="KPD313" i="48"/>
  <c r="KPC313" i="48"/>
  <c r="KOV313" i="48"/>
  <c r="KOU313" i="48"/>
  <c r="KON313" i="48"/>
  <c r="KOM313" i="48"/>
  <c r="KOF313" i="48"/>
  <c r="KOE313" i="48"/>
  <c r="KNX313" i="48"/>
  <c r="KNW313" i="48"/>
  <c r="KNP313" i="48"/>
  <c r="KNO313" i="48"/>
  <c r="KNH313" i="48"/>
  <c r="KNG313" i="48"/>
  <c r="KMZ313" i="48"/>
  <c r="KMY313" i="48"/>
  <c r="KMR313" i="48"/>
  <c r="KMQ313" i="48"/>
  <c r="KMJ313" i="48"/>
  <c r="KMI313" i="48"/>
  <c r="KMB313" i="48"/>
  <c r="KMA313" i="48"/>
  <c r="KLT313" i="48"/>
  <c r="KLS313" i="48"/>
  <c r="KLL313" i="48"/>
  <c r="KLK313" i="48"/>
  <c r="KLD313" i="48"/>
  <c r="KLC313" i="48"/>
  <c r="KKV313" i="48"/>
  <c r="KKU313" i="48"/>
  <c r="KKN313" i="48"/>
  <c r="KKM313" i="48"/>
  <c r="KKF313" i="48"/>
  <c r="KKE313" i="48"/>
  <c r="KJX313" i="48"/>
  <c r="KJW313" i="48"/>
  <c r="KJP313" i="48"/>
  <c r="KJO313" i="48"/>
  <c r="KJH313" i="48"/>
  <c r="KJG313" i="48"/>
  <c r="KIZ313" i="48"/>
  <c r="KIY313" i="48"/>
  <c r="KIR313" i="48"/>
  <c r="KIQ313" i="48"/>
  <c r="KIJ313" i="48"/>
  <c r="KII313" i="48"/>
  <c r="KIB313" i="48"/>
  <c r="KIA313" i="48"/>
  <c r="KHT313" i="48"/>
  <c r="KHS313" i="48"/>
  <c r="KHL313" i="48"/>
  <c r="KHK313" i="48"/>
  <c r="KHD313" i="48"/>
  <c r="KHC313" i="48"/>
  <c r="KGV313" i="48"/>
  <c r="KGU313" i="48"/>
  <c r="KGN313" i="48"/>
  <c r="KGM313" i="48"/>
  <c r="KGF313" i="48"/>
  <c r="KGE313" i="48"/>
  <c r="KFX313" i="48"/>
  <c r="KFW313" i="48"/>
  <c r="KFP313" i="48"/>
  <c r="KFO313" i="48"/>
  <c r="KFH313" i="48"/>
  <c r="KFG313" i="48"/>
  <c r="KEZ313" i="48"/>
  <c r="KEY313" i="48"/>
  <c r="KER313" i="48"/>
  <c r="KEQ313" i="48"/>
  <c r="KEJ313" i="48"/>
  <c r="KEI313" i="48"/>
  <c r="KEB313" i="48"/>
  <c r="KEA313" i="48"/>
  <c r="KDT313" i="48"/>
  <c r="KDS313" i="48"/>
  <c r="KDL313" i="48"/>
  <c r="KDK313" i="48"/>
  <c r="KDD313" i="48"/>
  <c r="KDC313" i="48"/>
  <c r="KCV313" i="48"/>
  <c r="KCU313" i="48"/>
  <c r="KCN313" i="48"/>
  <c r="KCM313" i="48"/>
  <c r="KCF313" i="48"/>
  <c r="KCE313" i="48"/>
  <c r="KBX313" i="48"/>
  <c r="KBW313" i="48"/>
  <c r="KBP313" i="48"/>
  <c r="KBO313" i="48"/>
  <c r="KBH313" i="48"/>
  <c r="KBG313" i="48"/>
  <c r="KAZ313" i="48"/>
  <c r="KAY313" i="48"/>
  <c r="KAR313" i="48"/>
  <c r="KAQ313" i="48"/>
  <c r="KAJ313" i="48"/>
  <c r="KAI313" i="48"/>
  <c r="KAB313" i="48"/>
  <c r="KAA313" i="48"/>
  <c r="JZT313" i="48"/>
  <c r="JZS313" i="48"/>
  <c r="JZL313" i="48"/>
  <c r="JZK313" i="48"/>
  <c r="JZD313" i="48"/>
  <c r="JZC313" i="48"/>
  <c r="JYV313" i="48"/>
  <c r="JYU313" i="48"/>
  <c r="JYN313" i="48"/>
  <c r="JYM313" i="48"/>
  <c r="JYF313" i="48"/>
  <c r="JYE313" i="48"/>
  <c r="JXX313" i="48"/>
  <c r="JXW313" i="48"/>
  <c r="JXP313" i="48"/>
  <c r="JXO313" i="48"/>
  <c r="JXH313" i="48"/>
  <c r="JXG313" i="48"/>
  <c r="JWZ313" i="48"/>
  <c r="JWY313" i="48"/>
  <c r="JWR313" i="48"/>
  <c r="JWQ313" i="48"/>
  <c r="JWJ313" i="48"/>
  <c r="JWI313" i="48"/>
  <c r="JWB313" i="48"/>
  <c r="JWA313" i="48"/>
  <c r="JVT313" i="48"/>
  <c r="JVS313" i="48"/>
  <c r="JVL313" i="48"/>
  <c r="JVK313" i="48"/>
  <c r="JVD313" i="48"/>
  <c r="JVC313" i="48"/>
  <c r="JUV313" i="48"/>
  <c r="JUU313" i="48"/>
  <c r="JUN313" i="48"/>
  <c r="JUM313" i="48"/>
  <c r="JUF313" i="48"/>
  <c r="JUE313" i="48"/>
  <c r="JTX313" i="48"/>
  <c r="JTW313" i="48"/>
  <c r="JTP313" i="48"/>
  <c r="JTO313" i="48"/>
  <c r="JTH313" i="48"/>
  <c r="JTG313" i="48"/>
  <c r="JSZ313" i="48"/>
  <c r="JSY313" i="48"/>
  <c r="JSR313" i="48"/>
  <c r="JSQ313" i="48"/>
  <c r="JSJ313" i="48"/>
  <c r="JSI313" i="48"/>
  <c r="JSB313" i="48"/>
  <c r="JSA313" i="48"/>
  <c r="JRT313" i="48"/>
  <c r="JRS313" i="48"/>
  <c r="JRL313" i="48"/>
  <c r="JRK313" i="48"/>
  <c r="JRD313" i="48"/>
  <c r="JRC313" i="48"/>
  <c r="JQV313" i="48"/>
  <c r="JQU313" i="48"/>
  <c r="JQN313" i="48"/>
  <c r="JQM313" i="48"/>
  <c r="JQF313" i="48"/>
  <c r="JQE313" i="48"/>
  <c r="JPX313" i="48"/>
  <c r="JPW313" i="48"/>
  <c r="JPP313" i="48"/>
  <c r="JPO313" i="48"/>
  <c r="JPH313" i="48"/>
  <c r="JPG313" i="48"/>
  <c r="JOZ313" i="48"/>
  <c r="JOY313" i="48"/>
  <c r="JOR313" i="48"/>
  <c r="JOQ313" i="48"/>
  <c r="JOJ313" i="48"/>
  <c r="JOI313" i="48"/>
  <c r="JOB313" i="48"/>
  <c r="JOA313" i="48"/>
  <c r="JNT313" i="48"/>
  <c r="JNS313" i="48"/>
  <c r="JNL313" i="48"/>
  <c r="JNK313" i="48"/>
  <c r="JND313" i="48"/>
  <c r="JNC313" i="48"/>
  <c r="JMV313" i="48"/>
  <c r="JMU313" i="48"/>
  <c r="JMN313" i="48"/>
  <c r="JMM313" i="48"/>
  <c r="JMF313" i="48"/>
  <c r="JME313" i="48"/>
  <c r="JLX313" i="48"/>
  <c r="JLW313" i="48"/>
  <c r="JLP313" i="48"/>
  <c r="JLO313" i="48"/>
  <c r="JLH313" i="48"/>
  <c r="JLG313" i="48"/>
  <c r="JKZ313" i="48"/>
  <c r="JKY313" i="48"/>
  <c r="JKR313" i="48"/>
  <c r="JKQ313" i="48"/>
  <c r="JKJ313" i="48"/>
  <c r="JKI313" i="48"/>
  <c r="JKB313" i="48"/>
  <c r="JKA313" i="48"/>
  <c r="JJT313" i="48"/>
  <c r="JJS313" i="48"/>
  <c r="JJL313" i="48"/>
  <c r="JJK313" i="48"/>
  <c r="JJD313" i="48"/>
  <c r="JJC313" i="48"/>
  <c r="JIV313" i="48"/>
  <c r="JIU313" i="48"/>
  <c r="JIN313" i="48"/>
  <c r="JIM313" i="48"/>
  <c r="JIF313" i="48"/>
  <c r="JIE313" i="48"/>
  <c r="JHX313" i="48"/>
  <c r="JHW313" i="48"/>
  <c r="JHP313" i="48"/>
  <c r="JHO313" i="48"/>
  <c r="JHH313" i="48"/>
  <c r="JHG313" i="48"/>
  <c r="JGZ313" i="48"/>
  <c r="JGY313" i="48"/>
  <c r="JGR313" i="48"/>
  <c r="JGQ313" i="48"/>
  <c r="JGJ313" i="48"/>
  <c r="JGI313" i="48"/>
  <c r="JGB313" i="48"/>
  <c r="JGA313" i="48"/>
  <c r="JFT313" i="48"/>
  <c r="JFS313" i="48"/>
  <c r="JFL313" i="48"/>
  <c r="JFK313" i="48"/>
  <c r="JFD313" i="48"/>
  <c r="JFC313" i="48"/>
  <c r="JEV313" i="48"/>
  <c r="JEU313" i="48"/>
  <c r="JEN313" i="48"/>
  <c r="JEM313" i="48"/>
  <c r="JEF313" i="48"/>
  <c r="JEE313" i="48"/>
  <c r="JDX313" i="48"/>
  <c r="JDW313" i="48"/>
  <c r="JDP313" i="48"/>
  <c r="JDO313" i="48"/>
  <c r="JDH313" i="48"/>
  <c r="JDG313" i="48"/>
  <c r="JCZ313" i="48"/>
  <c r="JCY313" i="48"/>
  <c r="JCR313" i="48"/>
  <c r="JCQ313" i="48"/>
  <c r="JCJ313" i="48"/>
  <c r="JCI313" i="48"/>
  <c r="JCB313" i="48"/>
  <c r="JCA313" i="48"/>
  <c r="JBT313" i="48"/>
  <c r="JBS313" i="48"/>
  <c r="JBL313" i="48"/>
  <c r="JBK313" i="48"/>
  <c r="JBD313" i="48"/>
  <c r="JBC313" i="48"/>
  <c r="JAV313" i="48"/>
  <c r="JAU313" i="48"/>
  <c r="JAN313" i="48"/>
  <c r="JAM313" i="48"/>
  <c r="JAF313" i="48"/>
  <c r="JAE313" i="48"/>
  <c r="IZX313" i="48"/>
  <c r="IZW313" i="48"/>
  <c r="IZP313" i="48"/>
  <c r="IZO313" i="48"/>
  <c r="IZH313" i="48"/>
  <c r="IZG313" i="48"/>
  <c r="IYZ313" i="48"/>
  <c r="IYY313" i="48"/>
  <c r="IYR313" i="48"/>
  <c r="IYQ313" i="48"/>
  <c r="IYJ313" i="48"/>
  <c r="IYI313" i="48"/>
  <c r="IYB313" i="48"/>
  <c r="IYA313" i="48"/>
  <c r="IXT313" i="48"/>
  <c r="IXS313" i="48"/>
  <c r="IXL313" i="48"/>
  <c r="IXK313" i="48"/>
  <c r="IXD313" i="48"/>
  <c r="IXC313" i="48"/>
  <c r="IWV313" i="48"/>
  <c r="IWU313" i="48"/>
  <c r="IWN313" i="48"/>
  <c r="IWM313" i="48"/>
  <c r="IWF313" i="48"/>
  <c r="IWE313" i="48"/>
  <c r="IVX313" i="48"/>
  <c r="IVW313" i="48"/>
  <c r="IVP313" i="48"/>
  <c r="IVO313" i="48"/>
  <c r="IVH313" i="48"/>
  <c r="IVG313" i="48"/>
  <c r="IUZ313" i="48"/>
  <c r="IUY313" i="48"/>
  <c r="IUR313" i="48"/>
  <c r="IUQ313" i="48"/>
  <c r="IUJ313" i="48"/>
  <c r="IUI313" i="48"/>
  <c r="IUB313" i="48"/>
  <c r="IUA313" i="48"/>
  <c r="ITT313" i="48"/>
  <c r="ITS313" i="48"/>
  <c r="ITL313" i="48"/>
  <c r="ITK313" i="48"/>
  <c r="ITD313" i="48"/>
  <c r="ITC313" i="48"/>
  <c r="ISV313" i="48"/>
  <c r="ISU313" i="48"/>
  <c r="ISN313" i="48"/>
  <c r="ISM313" i="48"/>
  <c r="ISF313" i="48"/>
  <c r="ISE313" i="48"/>
  <c r="IRX313" i="48"/>
  <c r="IRW313" i="48"/>
  <c r="IRP313" i="48"/>
  <c r="IRO313" i="48"/>
  <c r="IRH313" i="48"/>
  <c r="IRG313" i="48"/>
  <c r="IQZ313" i="48"/>
  <c r="IQY313" i="48"/>
  <c r="IQR313" i="48"/>
  <c r="IQQ313" i="48"/>
  <c r="IQJ313" i="48"/>
  <c r="IQI313" i="48"/>
  <c r="IQB313" i="48"/>
  <c r="IQA313" i="48"/>
  <c r="IPT313" i="48"/>
  <c r="IPS313" i="48"/>
  <c r="IPL313" i="48"/>
  <c r="IPK313" i="48"/>
  <c r="IPD313" i="48"/>
  <c r="IPC313" i="48"/>
  <c r="IOV313" i="48"/>
  <c r="IOU313" i="48"/>
  <c r="ION313" i="48"/>
  <c r="IOM313" i="48"/>
  <c r="IOF313" i="48"/>
  <c r="IOE313" i="48"/>
  <c r="INX313" i="48"/>
  <c r="INW313" i="48"/>
  <c r="INP313" i="48"/>
  <c r="INO313" i="48"/>
  <c r="INH313" i="48"/>
  <c r="ING313" i="48"/>
  <c r="IMZ313" i="48"/>
  <c r="IMY313" i="48"/>
  <c r="IMR313" i="48"/>
  <c r="IMQ313" i="48"/>
  <c r="IMJ313" i="48"/>
  <c r="IMI313" i="48"/>
  <c r="IMB313" i="48"/>
  <c r="IMA313" i="48"/>
  <c r="ILT313" i="48"/>
  <c r="ILS313" i="48"/>
  <c r="ILL313" i="48"/>
  <c r="ILK313" i="48"/>
  <c r="ILD313" i="48"/>
  <c r="ILC313" i="48"/>
  <c r="IKV313" i="48"/>
  <c r="IKU313" i="48"/>
  <c r="IKN313" i="48"/>
  <c r="IKM313" i="48"/>
  <c r="IKF313" i="48"/>
  <c r="IKE313" i="48"/>
  <c r="IJX313" i="48"/>
  <c r="IJW313" i="48"/>
  <c r="IJP313" i="48"/>
  <c r="IJO313" i="48"/>
  <c r="IJH313" i="48"/>
  <c r="IJG313" i="48"/>
  <c r="IIZ313" i="48"/>
  <c r="IIY313" i="48"/>
  <c r="IIR313" i="48"/>
  <c r="IIQ313" i="48"/>
  <c r="IIJ313" i="48"/>
  <c r="III313" i="48"/>
  <c r="IIB313" i="48"/>
  <c r="IIA313" i="48"/>
  <c r="IHT313" i="48"/>
  <c r="IHS313" i="48"/>
  <c r="IHL313" i="48"/>
  <c r="IHK313" i="48"/>
  <c r="IHD313" i="48"/>
  <c r="IHC313" i="48"/>
  <c r="IGV313" i="48"/>
  <c r="IGU313" i="48"/>
  <c r="IGN313" i="48"/>
  <c r="IGM313" i="48"/>
  <c r="IGF313" i="48"/>
  <c r="IGE313" i="48"/>
  <c r="IFX313" i="48"/>
  <c r="IFW313" i="48"/>
  <c r="IFP313" i="48"/>
  <c r="IFO313" i="48"/>
  <c r="IFH313" i="48"/>
  <c r="IFG313" i="48"/>
  <c r="IEZ313" i="48"/>
  <c r="IEY313" i="48"/>
  <c r="IER313" i="48"/>
  <c r="IEQ313" i="48"/>
  <c r="IEJ313" i="48"/>
  <c r="IEI313" i="48"/>
  <c r="IEB313" i="48"/>
  <c r="IEA313" i="48"/>
  <c r="IDT313" i="48"/>
  <c r="IDS313" i="48"/>
  <c r="IDL313" i="48"/>
  <c r="IDK313" i="48"/>
  <c r="IDD313" i="48"/>
  <c r="IDC313" i="48"/>
  <c r="ICV313" i="48"/>
  <c r="ICU313" i="48"/>
  <c r="ICN313" i="48"/>
  <c r="ICM313" i="48"/>
  <c r="ICF313" i="48"/>
  <c r="ICE313" i="48"/>
  <c r="IBX313" i="48"/>
  <c r="IBW313" i="48"/>
  <c r="IBP313" i="48"/>
  <c r="IBO313" i="48"/>
  <c r="IBH313" i="48"/>
  <c r="IBG313" i="48"/>
  <c r="IAZ313" i="48"/>
  <c r="IAY313" i="48"/>
  <c r="IAR313" i="48"/>
  <c r="IAQ313" i="48"/>
  <c r="IAJ313" i="48"/>
  <c r="IAI313" i="48"/>
  <c r="IAB313" i="48"/>
  <c r="IAA313" i="48"/>
  <c r="HZT313" i="48"/>
  <c r="HZS313" i="48"/>
  <c r="HZL313" i="48"/>
  <c r="HZK313" i="48"/>
  <c r="HZD313" i="48"/>
  <c r="HZC313" i="48"/>
  <c r="HYV313" i="48"/>
  <c r="HYU313" i="48"/>
  <c r="HYN313" i="48"/>
  <c r="HYM313" i="48"/>
  <c r="HYF313" i="48"/>
  <c r="HYE313" i="48"/>
  <c r="HXX313" i="48"/>
  <c r="HXW313" i="48"/>
  <c r="HXP313" i="48"/>
  <c r="HXO313" i="48"/>
  <c r="HXH313" i="48"/>
  <c r="HXG313" i="48"/>
  <c r="HWZ313" i="48"/>
  <c r="HWY313" i="48"/>
  <c r="HWR313" i="48"/>
  <c r="HWQ313" i="48"/>
  <c r="HWJ313" i="48"/>
  <c r="HWI313" i="48"/>
  <c r="HWB313" i="48"/>
  <c r="HWA313" i="48"/>
  <c r="HVT313" i="48"/>
  <c r="HVS313" i="48"/>
  <c r="HVL313" i="48"/>
  <c r="HVK313" i="48"/>
  <c r="HVD313" i="48"/>
  <c r="HVC313" i="48"/>
  <c r="HUV313" i="48"/>
  <c r="HUU313" i="48"/>
  <c r="HUN313" i="48"/>
  <c r="HUM313" i="48"/>
  <c r="HUF313" i="48"/>
  <c r="HUE313" i="48"/>
  <c r="HTX313" i="48"/>
  <c r="HTW313" i="48"/>
  <c r="HTP313" i="48"/>
  <c r="HTO313" i="48"/>
  <c r="HTH313" i="48"/>
  <c r="HTG313" i="48"/>
  <c r="HSZ313" i="48"/>
  <c r="HSY313" i="48"/>
  <c r="HSR313" i="48"/>
  <c r="HSQ313" i="48"/>
  <c r="HSJ313" i="48"/>
  <c r="HSI313" i="48"/>
  <c r="HSB313" i="48"/>
  <c r="HSA313" i="48"/>
  <c r="HRT313" i="48"/>
  <c r="HRS313" i="48"/>
  <c r="HRL313" i="48"/>
  <c r="HRK313" i="48"/>
  <c r="HRD313" i="48"/>
  <c r="HRC313" i="48"/>
  <c r="HQV313" i="48"/>
  <c r="HQU313" i="48"/>
  <c r="HQN313" i="48"/>
  <c r="HQM313" i="48"/>
  <c r="HQF313" i="48"/>
  <c r="HQE313" i="48"/>
  <c r="HPX313" i="48"/>
  <c r="HPW313" i="48"/>
  <c r="HPP313" i="48"/>
  <c r="HPO313" i="48"/>
  <c r="HPH313" i="48"/>
  <c r="HPG313" i="48"/>
  <c r="HOZ313" i="48"/>
  <c r="HOY313" i="48"/>
  <c r="HOR313" i="48"/>
  <c r="HOQ313" i="48"/>
  <c r="HOJ313" i="48"/>
  <c r="HOI313" i="48"/>
  <c r="HOB313" i="48"/>
  <c r="HOA313" i="48"/>
  <c r="HNT313" i="48"/>
  <c r="HNS313" i="48"/>
  <c r="HNL313" i="48"/>
  <c r="HNK313" i="48"/>
  <c r="HND313" i="48"/>
  <c r="HNC313" i="48"/>
  <c r="HMV313" i="48"/>
  <c r="HMU313" i="48"/>
  <c r="HMN313" i="48"/>
  <c r="HMM313" i="48"/>
  <c r="HMF313" i="48"/>
  <c r="HME313" i="48"/>
  <c r="HLX313" i="48"/>
  <c r="HLW313" i="48"/>
  <c r="HLP313" i="48"/>
  <c r="HLO313" i="48"/>
  <c r="HLH313" i="48"/>
  <c r="HLG313" i="48"/>
  <c r="HKZ313" i="48"/>
  <c r="HKY313" i="48"/>
  <c r="HKR313" i="48"/>
  <c r="HKQ313" i="48"/>
  <c r="HKJ313" i="48"/>
  <c r="HKI313" i="48"/>
  <c r="HKB313" i="48"/>
  <c r="HKA313" i="48"/>
  <c r="HJT313" i="48"/>
  <c r="HJS313" i="48"/>
  <c r="HJL313" i="48"/>
  <c r="HJK313" i="48"/>
  <c r="HJD313" i="48"/>
  <c r="HJC313" i="48"/>
  <c r="HIV313" i="48"/>
  <c r="HIU313" i="48"/>
  <c r="HIN313" i="48"/>
  <c r="HIM313" i="48"/>
  <c r="HIF313" i="48"/>
  <c r="HIE313" i="48"/>
  <c r="HHX313" i="48"/>
  <c r="HHW313" i="48"/>
  <c r="HHP313" i="48"/>
  <c r="HHO313" i="48"/>
  <c r="HHH313" i="48"/>
  <c r="HHG313" i="48"/>
  <c r="HGZ313" i="48"/>
  <c r="HGY313" i="48"/>
  <c r="HGR313" i="48"/>
  <c r="HGQ313" i="48"/>
  <c r="HGJ313" i="48"/>
  <c r="HGI313" i="48"/>
  <c r="HGB313" i="48"/>
  <c r="HGA313" i="48"/>
  <c r="HFT313" i="48"/>
  <c r="HFS313" i="48"/>
  <c r="HFL313" i="48"/>
  <c r="HFK313" i="48"/>
  <c r="HFD313" i="48"/>
  <c r="HFC313" i="48"/>
  <c r="HEV313" i="48"/>
  <c r="HEU313" i="48"/>
  <c r="HEN313" i="48"/>
  <c r="HEM313" i="48"/>
  <c r="HEF313" i="48"/>
  <c r="HEE313" i="48"/>
  <c r="HDX313" i="48"/>
  <c r="HDW313" i="48"/>
  <c r="HDP313" i="48"/>
  <c r="HDO313" i="48"/>
  <c r="HDH313" i="48"/>
  <c r="HDG313" i="48"/>
  <c r="HCZ313" i="48"/>
  <c r="HCY313" i="48"/>
  <c r="HCR313" i="48"/>
  <c r="HCQ313" i="48"/>
  <c r="HCJ313" i="48"/>
  <c r="HCI313" i="48"/>
  <c r="HCB313" i="48"/>
  <c r="HCA313" i="48"/>
  <c r="HBT313" i="48"/>
  <c r="HBS313" i="48"/>
  <c r="HBL313" i="48"/>
  <c r="HBK313" i="48"/>
  <c r="HBD313" i="48"/>
  <c r="HBC313" i="48"/>
  <c r="HAV313" i="48"/>
  <c r="HAU313" i="48"/>
  <c r="HAN313" i="48"/>
  <c r="HAM313" i="48"/>
  <c r="HAF313" i="48"/>
  <c r="HAE313" i="48"/>
  <c r="GZX313" i="48"/>
  <c r="GZW313" i="48"/>
  <c r="GZP313" i="48"/>
  <c r="GZO313" i="48"/>
  <c r="GZH313" i="48"/>
  <c r="GZG313" i="48"/>
  <c r="GYZ313" i="48"/>
  <c r="GYY313" i="48"/>
  <c r="GYR313" i="48"/>
  <c r="GYQ313" i="48"/>
  <c r="GYJ313" i="48"/>
  <c r="GYI313" i="48"/>
  <c r="GYB313" i="48"/>
  <c r="GYA313" i="48"/>
  <c r="GXT313" i="48"/>
  <c r="GXS313" i="48"/>
  <c r="GXL313" i="48"/>
  <c r="GXK313" i="48"/>
  <c r="GXD313" i="48"/>
  <c r="GXC313" i="48"/>
  <c r="GWV313" i="48"/>
  <c r="GWU313" i="48"/>
  <c r="GWN313" i="48"/>
  <c r="GWM313" i="48"/>
  <c r="GWF313" i="48"/>
  <c r="GWE313" i="48"/>
  <c r="GVX313" i="48"/>
  <c r="GVW313" i="48"/>
  <c r="GVP313" i="48"/>
  <c r="GVO313" i="48"/>
  <c r="GVH313" i="48"/>
  <c r="GVG313" i="48"/>
  <c r="GUZ313" i="48"/>
  <c r="GUY313" i="48"/>
  <c r="GUR313" i="48"/>
  <c r="GUQ313" i="48"/>
  <c r="GUJ313" i="48"/>
  <c r="GUI313" i="48"/>
  <c r="GUB313" i="48"/>
  <c r="GUA313" i="48"/>
  <c r="GTT313" i="48"/>
  <c r="GTS313" i="48"/>
  <c r="GTL313" i="48"/>
  <c r="GTK313" i="48"/>
  <c r="GTD313" i="48"/>
  <c r="GTC313" i="48"/>
  <c r="GSV313" i="48"/>
  <c r="GSU313" i="48"/>
  <c r="GSN313" i="48"/>
  <c r="GSM313" i="48"/>
  <c r="GSF313" i="48"/>
  <c r="GSE313" i="48"/>
  <c r="GRX313" i="48"/>
  <c r="GRW313" i="48"/>
  <c r="GRP313" i="48"/>
  <c r="GRO313" i="48"/>
  <c r="GRH313" i="48"/>
  <c r="GRG313" i="48"/>
  <c r="GQZ313" i="48"/>
  <c r="GQY313" i="48"/>
  <c r="GQR313" i="48"/>
  <c r="GQQ313" i="48"/>
  <c r="GQJ313" i="48"/>
  <c r="GQI313" i="48"/>
  <c r="GQB313" i="48"/>
  <c r="GQA313" i="48"/>
  <c r="GPT313" i="48"/>
  <c r="GPS313" i="48"/>
  <c r="GPL313" i="48"/>
  <c r="GPK313" i="48"/>
  <c r="GPD313" i="48"/>
  <c r="GPC313" i="48"/>
  <c r="GOV313" i="48"/>
  <c r="GOU313" i="48"/>
  <c r="GON313" i="48"/>
  <c r="GOM313" i="48"/>
  <c r="GOF313" i="48"/>
  <c r="GOE313" i="48"/>
  <c r="GNX313" i="48"/>
  <c r="GNW313" i="48"/>
  <c r="GNP313" i="48"/>
  <c r="GNO313" i="48"/>
  <c r="GNH313" i="48"/>
  <c r="GNG313" i="48"/>
  <c r="GMZ313" i="48"/>
  <c r="GMY313" i="48"/>
  <c r="GMR313" i="48"/>
  <c r="GMQ313" i="48"/>
  <c r="GMJ313" i="48"/>
  <c r="GMI313" i="48"/>
  <c r="GMB313" i="48"/>
  <c r="GMA313" i="48"/>
  <c r="GLT313" i="48"/>
  <c r="GLS313" i="48"/>
  <c r="GLL313" i="48"/>
  <c r="GLK313" i="48"/>
  <c r="GLD313" i="48"/>
  <c r="GLC313" i="48"/>
  <c r="GKV313" i="48"/>
  <c r="GKU313" i="48"/>
  <c r="GKN313" i="48"/>
  <c r="GKM313" i="48"/>
  <c r="GKF313" i="48"/>
  <c r="GKE313" i="48"/>
  <c r="GJX313" i="48"/>
  <c r="GJW313" i="48"/>
  <c r="GJP313" i="48"/>
  <c r="GJO313" i="48"/>
  <c r="GJH313" i="48"/>
  <c r="GJG313" i="48"/>
  <c r="GIZ313" i="48"/>
  <c r="GIY313" i="48"/>
  <c r="GIR313" i="48"/>
  <c r="GIQ313" i="48"/>
  <c r="GIJ313" i="48"/>
  <c r="GII313" i="48"/>
  <c r="GIB313" i="48"/>
  <c r="GIA313" i="48"/>
  <c r="GHT313" i="48"/>
  <c r="GHS313" i="48"/>
  <c r="GHL313" i="48"/>
  <c r="GHK313" i="48"/>
  <c r="GHD313" i="48"/>
  <c r="GHC313" i="48"/>
  <c r="GGV313" i="48"/>
  <c r="GGU313" i="48"/>
  <c r="GGN313" i="48"/>
  <c r="GGM313" i="48"/>
  <c r="GGF313" i="48"/>
  <c r="GGE313" i="48"/>
  <c r="GFX313" i="48"/>
  <c r="GFW313" i="48"/>
  <c r="GFP313" i="48"/>
  <c r="GFO313" i="48"/>
  <c r="GFH313" i="48"/>
  <c r="GFG313" i="48"/>
  <c r="GEZ313" i="48"/>
  <c r="GEY313" i="48"/>
  <c r="GER313" i="48"/>
  <c r="GEQ313" i="48"/>
  <c r="GEJ313" i="48"/>
  <c r="GEI313" i="48"/>
  <c r="GEB313" i="48"/>
  <c r="GEA313" i="48"/>
  <c r="GDT313" i="48"/>
  <c r="GDS313" i="48"/>
  <c r="GDL313" i="48"/>
  <c r="GDK313" i="48"/>
  <c r="GDD313" i="48"/>
  <c r="GDC313" i="48"/>
  <c r="GCV313" i="48"/>
  <c r="GCU313" i="48"/>
  <c r="GCN313" i="48"/>
  <c r="GCM313" i="48"/>
  <c r="GCF313" i="48"/>
  <c r="GCE313" i="48"/>
  <c r="GBX313" i="48"/>
  <c r="GBW313" i="48"/>
  <c r="GBP313" i="48"/>
  <c r="GBO313" i="48"/>
  <c r="GBH313" i="48"/>
  <c r="GBG313" i="48"/>
  <c r="GAZ313" i="48"/>
  <c r="GAY313" i="48"/>
  <c r="GAR313" i="48"/>
  <c r="GAQ313" i="48"/>
  <c r="GAJ313" i="48"/>
  <c r="GAI313" i="48"/>
  <c r="GAB313" i="48"/>
  <c r="GAA313" i="48"/>
  <c r="FZT313" i="48"/>
  <c r="FZS313" i="48"/>
  <c r="FZL313" i="48"/>
  <c r="FZK313" i="48"/>
  <c r="FZD313" i="48"/>
  <c r="FZC313" i="48"/>
  <c r="FYV313" i="48"/>
  <c r="FYU313" i="48"/>
  <c r="FYN313" i="48"/>
  <c r="FYM313" i="48"/>
  <c r="FYF313" i="48"/>
  <c r="FYE313" i="48"/>
  <c r="FXX313" i="48"/>
  <c r="FXW313" i="48"/>
  <c r="FXP313" i="48"/>
  <c r="FXO313" i="48"/>
  <c r="FXH313" i="48"/>
  <c r="FXG313" i="48"/>
  <c r="FWZ313" i="48"/>
  <c r="FWY313" i="48"/>
  <c r="FWR313" i="48"/>
  <c r="FWQ313" i="48"/>
  <c r="FWJ313" i="48"/>
  <c r="FWI313" i="48"/>
  <c r="FWB313" i="48"/>
  <c r="FWA313" i="48"/>
  <c r="FVT313" i="48"/>
  <c r="FVS313" i="48"/>
  <c r="FVL313" i="48"/>
  <c r="FVK313" i="48"/>
  <c r="FVD313" i="48"/>
  <c r="FVC313" i="48"/>
  <c r="FUV313" i="48"/>
  <c r="FUU313" i="48"/>
  <c r="FUN313" i="48"/>
  <c r="FUM313" i="48"/>
  <c r="FUF313" i="48"/>
  <c r="FUE313" i="48"/>
  <c r="FTX313" i="48"/>
  <c r="FTW313" i="48"/>
  <c r="FTP313" i="48"/>
  <c r="FTO313" i="48"/>
  <c r="FTH313" i="48"/>
  <c r="FTG313" i="48"/>
  <c r="FSZ313" i="48"/>
  <c r="FSY313" i="48"/>
  <c r="FSR313" i="48"/>
  <c r="FSQ313" i="48"/>
  <c r="FSJ313" i="48"/>
  <c r="FSI313" i="48"/>
  <c r="FSB313" i="48"/>
  <c r="FSA313" i="48"/>
  <c r="FRT313" i="48"/>
  <c r="FRS313" i="48"/>
  <c r="FRL313" i="48"/>
  <c r="FRK313" i="48"/>
  <c r="FRD313" i="48"/>
  <c r="FRC313" i="48"/>
  <c r="FQV313" i="48"/>
  <c r="FQU313" i="48"/>
  <c r="FQN313" i="48"/>
  <c r="FQM313" i="48"/>
  <c r="FQF313" i="48"/>
  <c r="FQE313" i="48"/>
  <c r="FPX313" i="48"/>
  <c r="FPW313" i="48"/>
  <c r="FPP313" i="48"/>
  <c r="FPO313" i="48"/>
  <c r="FPH313" i="48"/>
  <c r="FPG313" i="48"/>
  <c r="FOZ313" i="48"/>
  <c r="FOY313" i="48"/>
  <c r="FOR313" i="48"/>
  <c r="FOQ313" i="48"/>
  <c r="FOJ313" i="48"/>
  <c r="FOI313" i="48"/>
  <c r="FOB313" i="48"/>
  <c r="FOA313" i="48"/>
  <c r="FNT313" i="48"/>
  <c r="FNS313" i="48"/>
  <c r="FNL313" i="48"/>
  <c r="FNK313" i="48"/>
  <c r="FND313" i="48"/>
  <c r="FNC313" i="48"/>
  <c r="FMV313" i="48"/>
  <c r="FMU313" i="48"/>
  <c r="FMN313" i="48"/>
  <c r="FMM313" i="48"/>
  <c r="FMF313" i="48"/>
  <c r="FME313" i="48"/>
  <c r="FLX313" i="48"/>
  <c r="FLW313" i="48"/>
  <c r="FLP313" i="48"/>
  <c r="FLO313" i="48"/>
  <c r="FLH313" i="48"/>
  <c r="FLG313" i="48"/>
  <c r="FKZ313" i="48"/>
  <c r="FKY313" i="48"/>
  <c r="FKR313" i="48"/>
  <c r="FKQ313" i="48"/>
  <c r="FKJ313" i="48"/>
  <c r="FKI313" i="48"/>
  <c r="FKB313" i="48"/>
  <c r="FKA313" i="48"/>
  <c r="FJT313" i="48"/>
  <c r="FJS313" i="48"/>
  <c r="FJL313" i="48"/>
  <c r="FJK313" i="48"/>
  <c r="FJD313" i="48"/>
  <c r="FJC313" i="48"/>
  <c r="FIV313" i="48"/>
  <c r="FIU313" i="48"/>
  <c r="FIN313" i="48"/>
  <c r="FIM313" i="48"/>
  <c r="FIF313" i="48"/>
  <c r="FIE313" i="48"/>
  <c r="FHX313" i="48"/>
  <c r="FHW313" i="48"/>
  <c r="FHP313" i="48"/>
  <c r="FHO313" i="48"/>
  <c r="FHH313" i="48"/>
  <c r="FHG313" i="48"/>
  <c r="FGZ313" i="48"/>
  <c r="FGY313" i="48"/>
  <c r="FGR313" i="48"/>
  <c r="FGQ313" i="48"/>
  <c r="FGJ313" i="48"/>
  <c r="FGI313" i="48"/>
  <c r="FGB313" i="48"/>
  <c r="FGA313" i="48"/>
  <c r="FFT313" i="48"/>
  <c r="FFS313" i="48"/>
  <c r="FFL313" i="48"/>
  <c r="FFK313" i="48"/>
  <c r="FFD313" i="48"/>
  <c r="FFC313" i="48"/>
  <c r="FEV313" i="48"/>
  <c r="FEU313" i="48"/>
  <c r="FEN313" i="48"/>
  <c r="FEM313" i="48"/>
  <c r="FEF313" i="48"/>
  <c r="FEE313" i="48"/>
  <c r="FDX313" i="48"/>
  <c r="FDW313" i="48"/>
  <c r="FDP313" i="48"/>
  <c r="FDO313" i="48"/>
  <c r="FDH313" i="48"/>
  <c r="FDG313" i="48"/>
  <c r="FCZ313" i="48"/>
  <c r="FCY313" i="48"/>
  <c r="FCR313" i="48"/>
  <c r="FCQ313" i="48"/>
  <c r="FCJ313" i="48"/>
  <c r="FCI313" i="48"/>
  <c r="FCB313" i="48"/>
  <c r="FCA313" i="48"/>
  <c r="FBT313" i="48"/>
  <c r="FBS313" i="48"/>
  <c r="FBL313" i="48"/>
  <c r="FBK313" i="48"/>
  <c r="FBD313" i="48"/>
  <c r="FBC313" i="48"/>
  <c r="FAV313" i="48"/>
  <c r="FAU313" i="48"/>
  <c r="FAN313" i="48"/>
  <c r="FAM313" i="48"/>
  <c r="FAF313" i="48"/>
  <c r="FAE313" i="48"/>
  <c r="EZX313" i="48"/>
  <c r="EZW313" i="48"/>
  <c r="EZP313" i="48"/>
  <c r="EZO313" i="48"/>
  <c r="EZH313" i="48"/>
  <c r="EZG313" i="48"/>
  <c r="EYZ313" i="48"/>
  <c r="EYY313" i="48"/>
  <c r="EYR313" i="48"/>
  <c r="EYQ313" i="48"/>
  <c r="EYJ313" i="48"/>
  <c r="EYI313" i="48"/>
  <c r="EYB313" i="48"/>
  <c r="EYA313" i="48"/>
  <c r="EXT313" i="48"/>
  <c r="EXS313" i="48"/>
  <c r="EXL313" i="48"/>
  <c r="EXK313" i="48"/>
  <c r="EXD313" i="48"/>
  <c r="EXC313" i="48"/>
  <c r="EWV313" i="48"/>
  <c r="EWU313" i="48"/>
  <c r="EWN313" i="48"/>
  <c r="EWM313" i="48"/>
  <c r="EWF313" i="48"/>
  <c r="EWE313" i="48"/>
  <c r="EVX313" i="48"/>
  <c r="EVW313" i="48"/>
  <c r="EVP313" i="48"/>
  <c r="EVO313" i="48"/>
  <c r="EVH313" i="48"/>
  <c r="EVG313" i="48"/>
  <c r="EUZ313" i="48"/>
  <c r="EUY313" i="48"/>
  <c r="EUR313" i="48"/>
  <c r="EUQ313" i="48"/>
  <c r="EUJ313" i="48"/>
  <c r="EUI313" i="48"/>
  <c r="EUB313" i="48"/>
  <c r="EUA313" i="48"/>
  <c r="ETT313" i="48"/>
  <c r="ETS313" i="48"/>
  <c r="ETL313" i="48"/>
  <c r="ETK313" i="48"/>
  <c r="ETD313" i="48"/>
  <c r="ETC313" i="48"/>
  <c r="ESV313" i="48"/>
  <c r="ESU313" i="48"/>
  <c r="ESN313" i="48"/>
  <c r="ESM313" i="48"/>
  <c r="ESF313" i="48"/>
  <c r="ESE313" i="48"/>
  <c r="ERX313" i="48"/>
  <c r="ERW313" i="48"/>
  <c r="ERP313" i="48"/>
  <c r="ERO313" i="48"/>
  <c r="ERH313" i="48"/>
  <c r="ERG313" i="48"/>
  <c r="EQZ313" i="48"/>
  <c r="EQY313" i="48"/>
  <c r="EQR313" i="48"/>
  <c r="EQQ313" i="48"/>
  <c r="EQJ313" i="48"/>
  <c r="EQI313" i="48"/>
  <c r="EQB313" i="48"/>
  <c r="EQA313" i="48"/>
  <c r="EPT313" i="48"/>
  <c r="EPS313" i="48"/>
  <c r="EPL313" i="48"/>
  <c r="EPK313" i="48"/>
  <c r="EPD313" i="48"/>
  <c r="EPC313" i="48"/>
  <c r="EOV313" i="48"/>
  <c r="EOU313" i="48"/>
  <c r="EON313" i="48"/>
  <c r="EOM313" i="48"/>
  <c r="EOF313" i="48"/>
  <c r="EOE313" i="48"/>
  <c r="ENX313" i="48"/>
  <c r="ENW313" i="48"/>
  <c r="ENP313" i="48"/>
  <c r="ENO313" i="48"/>
  <c r="ENH313" i="48"/>
  <c r="ENG313" i="48"/>
  <c r="EMZ313" i="48"/>
  <c r="EMY313" i="48"/>
  <c r="EMR313" i="48"/>
  <c r="EMQ313" i="48"/>
  <c r="EMJ313" i="48"/>
  <c r="EMI313" i="48"/>
  <c r="EMB313" i="48"/>
  <c r="EMA313" i="48"/>
  <c r="ELT313" i="48"/>
  <c r="ELS313" i="48"/>
  <c r="ELL313" i="48"/>
  <c r="ELK313" i="48"/>
  <c r="ELD313" i="48"/>
  <c r="ELC313" i="48"/>
  <c r="EKV313" i="48"/>
  <c r="EKU313" i="48"/>
  <c r="EKN313" i="48"/>
  <c r="EKM313" i="48"/>
  <c r="EKF313" i="48"/>
  <c r="EKE313" i="48"/>
  <c r="EJX313" i="48"/>
  <c r="EJW313" i="48"/>
  <c r="EJP313" i="48"/>
  <c r="EJO313" i="48"/>
  <c r="EJH313" i="48"/>
  <c r="EJG313" i="48"/>
  <c r="EIZ313" i="48"/>
  <c r="EIY313" i="48"/>
  <c r="EIR313" i="48"/>
  <c r="EIQ313" i="48"/>
  <c r="EIJ313" i="48"/>
  <c r="EII313" i="48"/>
  <c r="EIB313" i="48"/>
  <c r="EIA313" i="48"/>
  <c r="EHT313" i="48"/>
  <c r="EHS313" i="48"/>
  <c r="EHL313" i="48"/>
  <c r="EHK313" i="48"/>
  <c r="EHD313" i="48"/>
  <c r="EHC313" i="48"/>
  <c r="EGV313" i="48"/>
  <c r="EGU313" i="48"/>
  <c r="EGN313" i="48"/>
  <c r="EGM313" i="48"/>
  <c r="EGF313" i="48"/>
  <c r="EGE313" i="48"/>
  <c r="EFX313" i="48"/>
  <c r="EFW313" i="48"/>
  <c r="EFP313" i="48"/>
  <c r="EFO313" i="48"/>
  <c r="EFH313" i="48"/>
  <c r="EFG313" i="48"/>
  <c r="EEZ313" i="48"/>
  <c r="EEY313" i="48"/>
  <c r="EER313" i="48"/>
  <c r="EEQ313" i="48"/>
  <c r="EEJ313" i="48"/>
  <c r="EEI313" i="48"/>
  <c r="EEB313" i="48"/>
  <c r="EEA313" i="48"/>
  <c r="EDT313" i="48"/>
  <c r="EDS313" i="48"/>
  <c r="EDL313" i="48"/>
  <c r="EDK313" i="48"/>
  <c r="EDD313" i="48"/>
  <c r="EDC313" i="48"/>
  <c r="ECV313" i="48"/>
  <c r="ECU313" i="48"/>
  <c r="ECN313" i="48"/>
  <c r="ECM313" i="48"/>
  <c r="ECF313" i="48"/>
  <c r="ECE313" i="48"/>
  <c r="EBX313" i="48"/>
  <c r="EBW313" i="48"/>
  <c r="EBP313" i="48"/>
  <c r="EBO313" i="48"/>
  <c r="EBH313" i="48"/>
  <c r="EBG313" i="48"/>
  <c r="EAZ313" i="48"/>
  <c r="EAY313" i="48"/>
  <c r="EAR313" i="48"/>
  <c r="EAQ313" i="48"/>
  <c r="EAJ313" i="48"/>
  <c r="EAI313" i="48"/>
  <c r="EAB313" i="48"/>
  <c r="EAA313" i="48"/>
  <c r="DZT313" i="48"/>
  <c r="DZS313" i="48"/>
  <c r="DZL313" i="48"/>
  <c r="DZK313" i="48"/>
  <c r="DZD313" i="48"/>
  <c r="DZC313" i="48"/>
  <c r="DYV313" i="48"/>
  <c r="DYU313" i="48"/>
  <c r="DYN313" i="48"/>
  <c r="DYM313" i="48"/>
  <c r="DYF313" i="48"/>
  <c r="DYE313" i="48"/>
  <c r="DXX313" i="48"/>
  <c r="DXW313" i="48"/>
  <c r="DXP313" i="48"/>
  <c r="DXO313" i="48"/>
  <c r="DXH313" i="48"/>
  <c r="DXG313" i="48"/>
  <c r="DWZ313" i="48"/>
  <c r="DWY313" i="48"/>
  <c r="DWR313" i="48"/>
  <c r="DWQ313" i="48"/>
  <c r="DWJ313" i="48"/>
  <c r="DWI313" i="48"/>
  <c r="DWB313" i="48"/>
  <c r="DWA313" i="48"/>
  <c r="DVT313" i="48"/>
  <c r="DVS313" i="48"/>
  <c r="DVL313" i="48"/>
  <c r="DVK313" i="48"/>
  <c r="DVD313" i="48"/>
  <c r="DVC313" i="48"/>
  <c r="DUV313" i="48"/>
  <c r="DUU313" i="48"/>
  <c r="DUN313" i="48"/>
  <c r="DUM313" i="48"/>
  <c r="DUF313" i="48"/>
  <c r="DUE313" i="48"/>
  <c r="DTX313" i="48"/>
  <c r="DTW313" i="48"/>
  <c r="DTP313" i="48"/>
  <c r="DTO313" i="48"/>
  <c r="DTH313" i="48"/>
  <c r="DTG313" i="48"/>
  <c r="DSZ313" i="48"/>
  <c r="DSY313" i="48"/>
  <c r="DSR313" i="48"/>
  <c r="DSQ313" i="48"/>
  <c r="DSJ313" i="48"/>
  <c r="DSI313" i="48"/>
  <c r="DSB313" i="48"/>
  <c r="DSA313" i="48"/>
  <c r="DRT313" i="48"/>
  <c r="DRS313" i="48"/>
  <c r="DRL313" i="48"/>
  <c r="DRK313" i="48"/>
  <c r="DRD313" i="48"/>
  <c r="DRC313" i="48"/>
  <c r="DQV313" i="48"/>
  <c r="DQU313" i="48"/>
  <c r="DQN313" i="48"/>
  <c r="DQM313" i="48"/>
  <c r="DQF313" i="48"/>
  <c r="DQE313" i="48"/>
  <c r="DPX313" i="48"/>
  <c r="DPW313" i="48"/>
  <c r="DPP313" i="48"/>
  <c r="DPO313" i="48"/>
  <c r="DPH313" i="48"/>
  <c r="DPG313" i="48"/>
  <c r="DOZ313" i="48"/>
  <c r="DOY313" i="48"/>
  <c r="DOR313" i="48"/>
  <c r="DOQ313" i="48"/>
  <c r="DOJ313" i="48"/>
  <c r="DOI313" i="48"/>
  <c r="DOB313" i="48"/>
  <c r="DOA313" i="48"/>
  <c r="DNT313" i="48"/>
  <c r="DNS313" i="48"/>
  <c r="DNL313" i="48"/>
  <c r="DNK313" i="48"/>
  <c r="DND313" i="48"/>
  <c r="DNC313" i="48"/>
  <c r="DMV313" i="48"/>
  <c r="DMU313" i="48"/>
  <c r="DMN313" i="48"/>
  <c r="DMM313" i="48"/>
  <c r="DMF313" i="48"/>
  <c r="DME313" i="48"/>
  <c r="DLX313" i="48"/>
  <c r="DLW313" i="48"/>
  <c r="DLP313" i="48"/>
  <c r="DLO313" i="48"/>
  <c r="DLH313" i="48"/>
  <c r="DLG313" i="48"/>
  <c r="DKZ313" i="48"/>
  <c r="DKY313" i="48"/>
  <c r="DKR313" i="48"/>
  <c r="DKQ313" i="48"/>
  <c r="DKJ313" i="48"/>
  <c r="DKI313" i="48"/>
  <c r="DKB313" i="48"/>
  <c r="DKA313" i="48"/>
  <c r="DJT313" i="48"/>
  <c r="DJS313" i="48"/>
  <c r="DJL313" i="48"/>
  <c r="DJK313" i="48"/>
  <c r="DJD313" i="48"/>
  <c r="DJC313" i="48"/>
  <c r="DIV313" i="48"/>
  <c r="DIU313" i="48"/>
  <c r="DIN313" i="48"/>
  <c r="DIM313" i="48"/>
  <c r="DIF313" i="48"/>
  <c r="DIE313" i="48"/>
  <c r="DHX313" i="48"/>
  <c r="DHW313" i="48"/>
  <c r="DHP313" i="48"/>
  <c r="DHO313" i="48"/>
  <c r="DHH313" i="48"/>
  <c r="DHG313" i="48"/>
  <c r="DGZ313" i="48"/>
  <c r="DGY313" i="48"/>
  <c r="DGR313" i="48"/>
  <c r="DGQ313" i="48"/>
  <c r="DGJ313" i="48"/>
  <c r="DGI313" i="48"/>
  <c r="DGB313" i="48"/>
  <c r="DGA313" i="48"/>
  <c r="DFT313" i="48"/>
  <c r="DFS313" i="48"/>
  <c r="DFL313" i="48"/>
  <c r="DFK313" i="48"/>
  <c r="DFD313" i="48"/>
  <c r="DFC313" i="48"/>
  <c r="DEV313" i="48"/>
  <c r="DEU313" i="48"/>
  <c r="DEN313" i="48"/>
  <c r="DEM313" i="48"/>
  <c r="DEF313" i="48"/>
  <c r="DEE313" i="48"/>
  <c r="DDX313" i="48"/>
  <c r="DDW313" i="48"/>
  <c r="DDP313" i="48"/>
  <c r="DDO313" i="48"/>
  <c r="DDH313" i="48"/>
  <c r="DDG313" i="48"/>
  <c r="DCZ313" i="48"/>
  <c r="DCY313" i="48"/>
  <c r="DCR313" i="48"/>
  <c r="DCQ313" i="48"/>
  <c r="DCJ313" i="48"/>
  <c r="DCI313" i="48"/>
  <c r="DCB313" i="48"/>
  <c r="DCA313" i="48"/>
  <c r="DBT313" i="48"/>
  <c r="DBS313" i="48"/>
  <c r="DBL313" i="48"/>
  <c r="DBK313" i="48"/>
  <c r="DBD313" i="48"/>
  <c r="DBC313" i="48"/>
  <c r="DAV313" i="48"/>
  <c r="DAU313" i="48"/>
  <c r="DAN313" i="48"/>
  <c r="DAM313" i="48"/>
  <c r="DAF313" i="48"/>
  <c r="DAE313" i="48"/>
  <c r="CZX313" i="48"/>
  <c r="CZW313" i="48"/>
  <c r="CZP313" i="48"/>
  <c r="CZO313" i="48"/>
  <c r="CZH313" i="48"/>
  <c r="CZG313" i="48"/>
  <c r="CYZ313" i="48"/>
  <c r="CYY313" i="48"/>
  <c r="CYR313" i="48"/>
  <c r="CYQ313" i="48"/>
  <c r="CYJ313" i="48"/>
  <c r="CYI313" i="48"/>
  <c r="CYB313" i="48"/>
  <c r="CYA313" i="48"/>
  <c r="CXT313" i="48"/>
  <c r="CXS313" i="48"/>
  <c r="CXL313" i="48"/>
  <c r="CXK313" i="48"/>
  <c r="CXD313" i="48"/>
  <c r="CXC313" i="48"/>
  <c r="CWV313" i="48"/>
  <c r="CWU313" i="48"/>
  <c r="CWN313" i="48"/>
  <c r="CWM313" i="48"/>
  <c r="CWF313" i="48"/>
  <c r="CWE313" i="48"/>
  <c r="CVX313" i="48"/>
  <c r="CVW313" i="48"/>
  <c r="CVP313" i="48"/>
  <c r="CVO313" i="48"/>
  <c r="CVH313" i="48"/>
  <c r="CVG313" i="48"/>
  <c r="CUZ313" i="48"/>
  <c r="CUY313" i="48"/>
  <c r="CUR313" i="48"/>
  <c r="CUQ313" i="48"/>
  <c r="CUJ313" i="48"/>
  <c r="CUI313" i="48"/>
  <c r="CUB313" i="48"/>
  <c r="CUA313" i="48"/>
  <c r="CTT313" i="48"/>
  <c r="CTS313" i="48"/>
  <c r="CTL313" i="48"/>
  <c r="CTK313" i="48"/>
  <c r="CTD313" i="48"/>
  <c r="CTC313" i="48"/>
  <c r="CSV313" i="48"/>
  <c r="CSU313" i="48"/>
  <c r="CSN313" i="48"/>
  <c r="CSM313" i="48"/>
  <c r="CSF313" i="48"/>
  <c r="CSE313" i="48"/>
  <c r="CRX313" i="48"/>
  <c r="CRW313" i="48"/>
  <c r="CRP313" i="48"/>
  <c r="CRO313" i="48"/>
  <c r="CRH313" i="48"/>
  <c r="CRG313" i="48"/>
  <c r="CQZ313" i="48"/>
  <c r="CQY313" i="48"/>
  <c r="CQR313" i="48"/>
  <c r="CQQ313" i="48"/>
  <c r="CQJ313" i="48"/>
  <c r="CQI313" i="48"/>
  <c r="CQB313" i="48"/>
  <c r="CQA313" i="48"/>
  <c r="CPT313" i="48"/>
  <c r="CPS313" i="48"/>
  <c r="CPL313" i="48"/>
  <c r="CPK313" i="48"/>
  <c r="CPD313" i="48"/>
  <c r="CPC313" i="48"/>
  <c r="COV313" i="48"/>
  <c r="COU313" i="48"/>
  <c r="CON313" i="48"/>
  <c r="COM313" i="48"/>
  <c r="COF313" i="48"/>
  <c r="COE313" i="48"/>
  <c r="CNX313" i="48"/>
  <c r="CNW313" i="48"/>
  <c r="CNP313" i="48"/>
  <c r="CNO313" i="48"/>
  <c r="CNH313" i="48"/>
  <c r="CNG313" i="48"/>
  <c r="CMZ313" i="48"/>
  <c r="CMY313" i="48"/>
  <c r="CMR313" i="48"/>
  <c r="CMQ313" i="48"/>
  <c r="CMJ313" i="48"/>
  <c r="CMI313" i="48"/>
  <c r="CMB313" i="48"/>
  <c r="CMA313" i="48"/>
  <c r="CLT313" i="48"/>
  <c r="CLS313" i="48"/>
  <c r="CLL313" i="48"/>
  <c r="CLK313" i="48"/>
  <c r="CLD313" i="48"/>
  <c r="CLC313" i="48"/>
  <c r="CKV313" i="48"/>
  <c r="CKU313" i="48"/>
  <c r="CKN313" i="48"/>
  <c r="CKM313" i="48"/>
  <c r="CKF313" i="48"/>
  <c r="CKE313" i="48"/>
  <c r="CJX313" i="48"/>
  <c r="CJW313" i="48"/>
  <c r="CJP313" i="48"/>
  <c r="CJO313" i="48"/>
  <c r="CJH313" i="48"/>
  <c r="CJG313" i="48"/>
  <c r="CIZ313" i="48"/>
  <c r="CIY313" i="48"/>
  <c r="CIR313" i="48"/>
  <c r="CIQ313" i="48"/>
  <c r="CIJ313" i="48"/>
  <c r="CII313" i="48"/>
  <c r="CIB313" i="48"/>
  <c r="CIA313" i="48"/>
  <c r="CHT313" i="48"/>
  <c r="CHS313" i="48"/>
  <c r="CHL313" i="48"/>
  <c r="CHK313" i="48"/>
  <c r="CHD313" i="48"/>
  <c r="CHC313" i="48"/>
  <c r="CGV313" i="48"/>
  <c r="CGU313" i="48"/>
  <c r="CGN313" i="48"/>
  <c r="CGM313" i="48"/>
  <c r="CGF313" i="48"/>
  <c r="CGE313" i="48"/>
  <c r="CFX313" i="48"/>
  <c r="CFW313" i="48"/>
  <c r="CFP313" i="48"/>
  <c r="CFO313" i="48"/>
  <c r="CFH313" i="48"/>
  <c r="CFG313" i="48"/>
  <c r="CEZ313" i="48"/>
  <c r="CEY313" i="48"/>
  <c r="CER313" i="48"/>
  <c r="CEQ313" i="48"/>
  <c r="CEJ313" i="48"/>
  <c r="CEI313" i="48"/>
  <c r="CEB313" i="48"/>
  <c r="CEA313" i="48"/>
  <c r="CDT313" i="48"/>
  <c r="CDS313" i="48"/>
  <c r="CDL313" i="48"/>
  <c r="CDK313" i="48"/>
  <c r="CDD313" i="48"/>
  <c r="CDC313" i="48"/>
  <c r="CCV313" i="48"/>
  <c r="CCU313" i="48"/>
  <c r="CCN313" i="48"/>
  <c r="CCM313" i="48"/>
  <c r="CCF313" i="48"/>
  <c r="CCE313" i="48"/>
  <c r="CBX313" i="48"/>
  <c r="CBW313" i="48"/>
  <c r="CBP313" i="48"/>
  <c r="CBO313" i="48"/>
  <c r="CBH313" i="48"/>
  <c r="CBG313" i="48"/>
  <c r="CAZ313" i="48"/>
  <c r="CAY313" i="48"/>
  <c r="CAR313" i="48"/>
  <c r="CAQ313" i="48"/>
  <c r="CAJ313" i="48"/>
  <c r="CAI313" i="48"/>
  <c r="CAB313" i="48"/>
  <c r="CAA313" i="48"/>
  <c r="BZT313" i="48"/>
  <c r="BZS313" i="48"/>
  <c r="BZL313" i="48"/>
  <c r="BZK313" i="48"/>
  <c r="BZD313" i="48"/>
  <c r="BZC313" i="48"/>
  <c r="BYV313" i="48"/>
  <c r="BYU313" i="48"/>
  <c r="BYN313" i="48"/>
  <c r="BYM313" i="48"/>
  <c r="BYF313" i="48"/>
  <c r="BYE313" i="48"/>
  <c r="BXX313" i="48"/>
  <c r="BXW313" i="48"/>
  <c r="BXP313" i="48"/>
  <c r="BXO313" i="48"/>
  <c r="BXH313" i="48"/>
  <c r="BXG313" i="48"/>
  <c r="BWZ313" i="48"/>
  <c r="BWY313" i="48"/>
  <c r="BWR313" i="48"/>
  <c r="BWQ313" i="48"/>
  <c r="BWJ313" i="48"/>
  <c r="BWI313" i="48"/>
  <c r="BWB313" i="48"/>
  <c r="BWA313" i="48"/>
  <c r="BVT313" i="48"/>
  <c r="BVS313" i="48"/>
  <c r="BVL313" i="48"/>
  <c r="BVK313" i="48"/>
  <c r="BVD313" i="48"/>
  <c r="BVC313" i="48"/>
  <c r="BUV313" i="48"/>
  <c r="BUU313" i="48"/>
  <c r="BUN313" i="48"/>
  <c r="BUM313" i="48"/>
  <c r="BUF313" i="48"/>
  <c r="BUE313" i="48"/>
  <c r="BTX313" i="48"/>
  <c r="BTW313" i="48"/>
  <c r="BTP313" i="48"/>
  <c r="BTO313" i="48"/>
  <c r="BTH313" i="48"/>
  <c r="BTG313" i="48"/>
  <c r="BSZ313" i="48"/>
  <c r="BSY313" i="48"/>
  <c r="BSR313" i="48"/>
  <c r="BSQ313" i="48"/>
  <c r="BSJ313" i="48"/>
  <c r="BSI313" i="48"/>
  <c r="BSB313" i="48"/>
  <c r="BSA313" i="48"/>
  <c r="BRT313" i="48"/>
  <c r="BRS313" i="48"/>
  <c r="BRL313" i="48"/>
  <c r="BRK313" i="48"/>
  <c r="BRD313" i="48"/>
  <c r="BRC313" i="48"/>
  <c r="BQV313" i="48"/>
  <c r="BQU313" i="48"/>
  <c r="BQN313" i="48"/>
  <c r="BQM313" i="48"/>
  <c r="BQF313" i="48"/>
  <c r="BQE313" i="48"/>
  <c r="BPX313" i="48"/>
  <c r="BPW313" i="48"/>
  <c r="BPP313" i="48"/>
  <c r="BPO313" i="48"/>
  <c r="BPH313" i="48"/>
  <c r="BPG313" i="48"/>
  <c r="BOZ313" i="48"/>
  <c r="BOY313" i="48"/>
  <c r="BOR313" i="48"/>
  <c r="BOQ313" i="48"/>
  <c r="BOJ313" i="48"/>
  <c r="BOI313" i="48"/>
  <c r="BOB313" i="48"/>
  <c r="BOA313" i="48"/>
  <c r="BNT313" i="48"/>
  <c r="BNS313" i="48"/>
  <c r="BNL313" i="48"/>
  <c r="BNK313" i="48"/>
  <c r="BND313" i="48"/>
  <c r="BNC313" i="48"/>
  <c r="BMV313" i="48"/>
  <c r="BMU313" i="48"/>
  <c r="BMN313" i="48"/>
  <c r="BMM313" i="48"/>
  <c r="BMF313" i="48"/>
  <c r="BME313" i="48"/>
  <c r="BLX313" i="48"/>
  <c r="BLW313" i="48"/>
  <c r="BLP313" i="48"/>
  <c r="BLO313" i="48"/>
  <c r="BLH313" i="48"/>
  <c r="BLG313" i="48"/>
  <c r="BKZ313" i="48"/>
  <c r="BKY313" i="48"/>
  <c r="BKR313" i="48"/>
  <c r="BKQ313" i="48"/>
  <c r="BKJ313" i="48"/>
  <c r="BKI313" i="48"/>
  <c r="BKB313" i="48"/>
  <c r="BKA313" i="48"/>
  <c r="BJT313" i="48"/>
  <c r="BJS313" i="48"/>
  <c r="BJL313" i="48"/>
  <c r="BJK313" i="48"/>
  <c r="BJD313" i="48"/>
  <c r="BJC313" i="48"/>
  <c r="BIV313" i="48"/>
  <c r="BIU313" i="48"/>
  <c r="BIN313" i="48"/>
  <c r="BIM313" i="48"/>
  <c r="BIF313" i="48"/>
  <c r="BIE313" i="48"/>
  <c r="BHX313" i="48"/>
  <c r="BHW313" i="48"/>
  <c r="BHP313" i="48"/>
  <c r="BHO313" i="48"/>
  <c r="BHH313" i="48"/>
  <c r="BHG313" i="48"/>
  <c r="BGZ313" i="48"/>
  <c r="BGY313" i="48"/>
  <c r="BGR313" i="48"/>
  <c r="BGQ313" i="48"/>
  <c r="BGJ313" i="48"/>
  <c r="BGI313" i="48"/>
  <c r="BGB313" i="48"/>
  <c r="BGA313" i="48"/>
  <c r="BFT313" i="48"/>
  <c r="BFS313" i="48"/>
  <c r="BFL313" i="48"/>
  <c r="BFK313" i="48"/>
  <c r="BFD313" i="48"/>
  <c r="BFC313" i="48"/>
  <c r="BEV313" i="48"/>
  <c r="BEU313" i="48"/>
  <c r="BEN313" i="48"/>
  <c r="BEM313" i="48"/>
  <c r="BEF313" i="48"/>
  <c r="BEE313" i="48"/>
  <c r="BDX313" i="48"/>
  <c r="BDW313" i="48"/>
  <c r="BDP313" i="48"/>
  <c r="BDO313" i="48"/>
  <c r="BDH313" i="48"/>
  <c r="BDG313" i="48"/>
  <c r="BCZ313" i="48"/>
  <c r="BCY313" i="48"/>
  <c r="BCR313" i="48"/>
  <c r="BCQ313" i="48"/>
  <c r="BCJ313" i="48"/>
  <c r="BCI313" i="48"/>
  <c r="BCB313" i="48"/>
  <c r="BCA313" i="48"/>
  <c r="BBT313" i="48"/>
  <c r="BBS313" i="48"/>
  <c r="BBL313" i="48"/>
  <c r="BBK313" i="48"/>
  <c r="BBD313" i="48"/>
  <c r="BBC313" i="48"/>
  <c r="BAV313" i="48"/>
  <c r="BAU313" i="48"/>
  <c r="BAN313" i="48"/>
  <c r="BAM313" i="48"/>
  <c r="BAF313" i="48"/>
  <c r="BAE313" i="48"/>
  <c r="AZX313" i="48"/>
  <c r="AZW313" i="48"/>
  <c r="AZP313" i="48"/>
  <c r="AZO313" i="48"/>
  <c r="AZH313" i="48"/>
  <c r="AZG313" i="48"/>
  <c r="AYZ313" i="48"/>
  <c r="AYY313" i="48"/>
  <c r="AYR313" i="48"/>
  <c r="AYQ313" i="48"/>
  <c r="AYJ313" i="48"/>
  <c r="AYI313" i="48"/>
  <c r="AYB313" i="48"/>
  <c r="AYA313" i="48"/>
  <c r="AXT313" i="48"/>
  <c r="AXS313" i="48"/>
  <c r="AXL313" i="48"/>
  <c r="AXK313" i="48"/>
  <c r="AXD313" i="48"/>
  <c r="AXC313" i="48"/>
  <c r="AWV313" i="48"/>
  <c r="AWU313" i="48"/>
  <c r="AWN313" i="48"/>
  <c r="AWM313" i="48"/>
  <c r="AWF313" i="48"/>
  <c r="AWE313" i="48"/>
  <c r="AVX313" i="48"/>
  <c r="AVW313" i="48"/>
  <c r="AVP313" i="48"/>
  <c r="AVO313" i="48"/>
  <c r="AVH313" i="48"/>
  <c r="AVG313" i="48"/>
  <c r="AUZ313" i="48"/>
  <c r="AUY313" i="48"/>
  <c r="AUR313" i="48"/>
  <c r="AUQ313" i="48"/>
  <c r="AUJ313" i="48"/>
  <c r="AUI313" i="48"/>
  <c r="AUB313" i="48"/>
  <c r="AUA313" i="48"/>
  <c r="ATT313" i="48"/>
  <c r="ATS313" i="48"/>
  <c r="ATL313" i="48"/>
  <c r="ATK313" i="48"/>
  <c r="ATD313" i="48"/>
  <c r="ATC313" i="48"/>
  <c r="ASV313" i="48"/>
  <c r="ASU313" i="48"/>
  <c r="ASN313" i="48"/>
  <c r="ASM313" i="48"/>
  <c r="ASF313" i="48"/>
  <c r="ASE313" i="48"/>
  <c r="ARX313" i="48"/>
  <c r="ARW313" i="48"/>
  <c r="ARP313" i="48"/>
  <c r="ARO313" i="48"/>
  <c r="ARH313" i="48"/>
  <c r="ARG313" i="48"/>
  <c r="AQZ313" i="48"/>
  <c r="AQY313" i="48"/>
  <c r="AQR313" i="48"/>
  <c r="AQQ313" i="48"/>
  <c r="AQJ313" i="48"/>
  <c r="AQI313" i="48"/>
  <c r="AQB313" i="48"/>
  <c r="AQA313" i="48"/>
  <c r="APT313" i="48"/>
  <c r="APS313" i="48"/>
  <c r="APL313" i="48"/>
  <c r="APK313" i="48"/>
  <c r="APD313" i="48"/>
  <c r="APC313" i="48"/>
  <c r="AOV313" i="48"/>
  <c r="AOU313" i="48"/>
  <c r="AON313" i="48"/>
  <c r="AOM313" i="48"/>
  <c r="AOF313" i="48"/>
  <c r="AOE313" i="48"/>
  <c r="ANX313" i="48"/>
  <c r="ANW313" i="48"/>
  <c r="ANP313" i="48"/>
  <c r="ANO313" i="48"/>
  <c r="ANH313" i="48"/>
  <c r="ANG313" i="48"/>
  <c r="AMZ313" i="48"/>
  <c r="AMY313" i="48"/>
  <c r="AMR313" i="48"/>
  <c r="AMQ313" i="48"/>
  <c r="AMJ313" i="48"/>
  <c r="AMI313" i="48"/>
  <c r="AMB313" i="48"/>
  <c r="AMA313" i="48"/>
  <c r="ALT313" i="48"/>
  <c r="ALS313" i="48"/>
  <c r="ALL313" i="48"/>
  <c r="ALK313" i="48"/>
  <c r="ALD313" i="48"/>
  <c r="ALC313" i="48"/>
  <c r="AKV313" i="48"/>
  <c r="AKU313" i="48"/>
  <c r="AKN313" i="48"/>
  <c r="AKM313" i="48"/>
  <c r="AKF313" i="48"/>
  <c r="AKE313" i="48"/>
  <c r="AJX313" i="48"/>
  <c r="AJW313" i="48"/>
  <c r="AJP313" i="48"/>
  <c r="AJO313" i="48"/>
  <c r="AJH313" i="48"/>
  <c r="AJG313" i="48"/>
  <c r="AIZ313" i="48"/>
  <c r="AIY313" i="48"/>
  <c r="AIR313" i="48"/>
  <c r="AIQ313" i="48"/>
  <c r="AIJ313" i="48"/>
  <c r="AII313" i="48"/>
  <c r="AIB313" i="48"/>
  <c r="AIA313" i="48"/>
  <c r="AHT313" i="48"/>
  <c r="AHS313" i="48"/>
  <c r="AHL313" i="48"/>
  <c r="AHK313" i="48"/>
  <c r="AHD313" i="48"/>
  <c r="AHC313" i="48"/>
  <c r="AGV313" i="48"/>
  <c r="AGU313" i="48"/>
  <c r="AGN313" i="48"/>
  <c r="AGM313" i="48"/>
  <c r="AGF313" i="48"/>
  <c r="AGE313" i="48"/>
  <c r="AFX313" i="48"/>
  <c r="AFW313" i="48"/>
  <c r="AFP313" i="48"/>
  <c r="AFO313" i="48"/>
  <c r="AFH313" i="48"/>
  <c r="AFG313" i="48"/>
  <c r="AEZ313" i="48"/>
  <c r="AEY313" i="48"/>
  <c r="AER313" i="48"/>
  <c r="AEQ313" i="48"/>
  <c r="AEJ313" i="48"/>
  <c r="AEI313" i="48"/>
  <c r="AEB313" i="48"/>
  <c r="AEA313" i="48"/>
  <c r="ADT313" i="48"/>
  <c r="ADS313" i="48"/>
  <c r="ADL313" i="48"/>
  <c r="ADK313" i="48"/>
  <c r="ADD313" i="48"/>
  <c r="ADC313" i="48"/>
  <c r="ACV313" i="48"/>
  <c r="ACU313" i="48"/>
  <c r="ACN313" i="48"/>
  <c r="ACM313" i="48"/>
  <c r="ACF313" i="48"/>
  <c r="ACE313" i="48"/>
  <c r="ABX313" i="48"/>
  <c r="ABW313" i="48"/>
  <c r="ABP313" i="48"/>
  <c r="ABO313" i="48"/>
  <c r="ABH313" i="48"/>
  <c r="ABG313" i="48"/>
  <c r="AAZ313" i="48"/>
  <c r="AAY313" i="48"/>
  <c r="AAR313" i="48"/>
  <c r="AAQ313" i="48"/>
  <c r="AAJ313" i="48"/>
  <c r="AAI313" i="48"/>
  <c r="AAB313" i="48"/>
  <c r="AAA313" i="48"/>
  <c r="ZT313" i="48"/>
  <c r="ZS313" i="48"/>
  <c r="ZL313" i="48"/>
  <c r="ZK313" i="48"/>
  <c r="ZD313" i="48"/>
  <c r="ZC313" i="48"/>
  <c r="YV313" i="48"/>
  <c r="YU313" i="48"/>
  <c r="YN313" i="48"/>
  <c r="YM313" i="48"/>
  <c r="YF313" i="48"/>
  <c r="YE313" i="48"/>
  <c r="XX313" i="48"/>
  <c r="XW313" i="48"/>
  <c r="XP313" i="48"/>
  <c r="XO313" i="48"/>
  <c r="XH313" i="48"/>
  <c r="XG313" i="48"/>
  <c r="WZ313" i="48"/>
  <c r="WY313" i="48"/>
  <c r="WR313" i="48"/>
  <c r="WQ313" i="48"/>
  <c r="WJ313" i="48"/>
  <c r="WI313" i="48"/>
  <c r="WB313" i="48"/>
  <c r="WA313" i="48"/>
  <c r="VT313" i="48"/>
  <c r="VS313" i="48"/>
  <c r="VL313" i="48"/>
  <c r="VK313" i="48"/>
  <c r="VD313" i="48"/>
  <c r="VC313" i="48"/>
  <c r="UV313" i="48"/>
  <c r="UU313" i="48"/>
  <c r="UN313" i="48"/>
  <c r="UM313" i="48"/>
  <c r="UF313" i="48"/>
  <c r="UE313" i="48"/>
  <c r="TX313" i="48"/>
  <c r="TW313" i="48"/>
  <c r="TP313" i="48"/>
  <c r="TO313" i="48"/>
  <c r="TH313" i="48"/>
  <c r="TG313" i="48"/>
  <c r="SZ313" i="48"/>
  <c r="SY313" i="48"/>
  <c r="SR313" i="48"/>
  <c r="SQ313" i="48"/>
  <c r="SJ313" i="48"/>
  <c r="SI313" i="48"/>
  <c r="SB313" i="48"/>
  <c r="SA313" i="48"/>
  <c r="RT313" i="48"/>
  <c r="RS313" i="48"/>
  <c r="RL313" i="48"/>
  <c r="RK313" i="48"/>
  <c r="RD313" i="48"/>
  <c r="RC313" i="48"/>
  <c r="QV313" i="48"/>
  <c r="QU313" i="48"/>
  <c r="QN313" i="48"/>
  <c r="QM313" i="48"/>
  <c r="QF313" i="48"/>
  <c r="QE313" i="48"/>
  <c r="PX313" i="48"/>
  <c r="PW313" i="48"/>
  <c r="PP313" i="48"/>
  <c r="PO313" i="48"/>
  <c r="PH313" i="48"/>
  <c r="PG313" i="48"/>
  <c r="OZ313" i="48"/>
  <c r="OY313" i="48"/>
  <c r="OR313" i="48"/>
  <c r="OQ313" i="48"/>
  <c r="OJ313" i="48"/>
  <c r="OI313" i="48"/>
  <c r="OB313" i="48"/>
  <c r="OA313" i="48"/>
  <c r="NT313" i="48"/>
  <c r="NS313" i="48"/>
  <c r="NL313" i="48"/>
  <c r="NK313" i="48"/>
  <c r="ND313" i="48"/>
  <c r="NC313" i="48"/>
  <c r="MV313" i="48"/>
  <c r="MU313" i="48"/>
  <c r="MN313" i="48"/>
  <c r="MM313" i="48"/>
  <c r="MF313" i="48"/>
  <c r="ME313" i="48"/>
  <c r="LX313" i="48"/>
  <c r="LW313" i="48"/>
  <c r="LP313" i="48"/>
  <c r="LO313" i="48"/>
  <c r="LH313" i="48"/>
  <c r="LG313" i="48"/>
  <c r="KZ313" i="48"/>
  <c r="KY313" i="48"/>
  <c r="KR313" i="48"/>
  <c r="KQ313" i="48"/>
  <c r="KJ313" i="48"/>
  <c r="KI313" i="48"/>
  <c r="KB313" i="48"/>
  <c r="KA313" i="48"/>
  <c r="JT313" i="48"/>
  <c r="JS313" i="48"/>
  <c r="JL313" i="48"/>
  <c r="JK313" i="48"/>
  <c r="JD313" i="48"/>
  <c r="JC313" i="48"/>
  <c r="IV313" i="48"/>
  <c r="IU313" i="48"/>
  <c r="IN313" i="48"/>
  <c r="IM313" i="48"/>
  <c r="IF313" i="48"/>
  <c r="IE313" i="48"/>
  <c r="HX313" i="48"/>
  <c r="HW313" i="48"/>
  <c r="HP313" i="48"/>
  <c r="HO313" i="48"/>
  <c r="HH313" i="48"/>
  <c r="HG313" i="48"/>
  <c r="GZ313" i="48"/>
  <c r="GY313" i="48"/>
  <c r="GR313" i="48"/>
  <c r="GQ313" i="48"/>
  <c r="GJ313" i="48"/>
  <c r="GI313" i="48"/>
  <c r="GB313" i="48"/>
  <c r="GA313" i="48"/>
  <c r="FT313" i="48"/>
  <c r="FS313" i="48"/>
  <c r="FL313" i="48"/>
  <c r="FK313" i="48"/>
  <c r="FD313" i="48"/>
  <c r="FC313" i="48"/>
  <c r="EV313" i="48"/>
  <c r="EU313" i="48"/>
  <c r="EN313" i="48"/>
  <c r="EM313" i="48"/>
  <c r="EF313" i="48"/>
  <c r="EE313" i="48"/>
  <c r="DX313" i="48"/>
  <c r="DW313" i="48"/>
  <c r="DP313" i="48"/>
  <c r="DO313" i="48"/>
  <c r="DH313" i="48"/>
  <c r="DG313" i="48"/>
  <c r="CZ313" i="48"/>
  <c r="CY313" i="48"/>
  <c r="CR313" i="48"/>
  <c r="CQ313" i="48"/>
  <c r="CJ313" i="48"/>
  <c r="CI313" i="48"/>
  <c r="CB313" i="48"/>
  <c r="CA313" i="48"/>
  <c r="BT313" i="48"/>
  <c r="BS313" i="48"/>
  <c r="BL313" i="48"/>
  <c r="BK313" i="48"/>
  <c r="BD313" i="48"/>
  <c r="BC313" i="48"/>
  <c r="AV313" i="48"/>
  <c r="AU313" i="48"/>
  <c r="AN313" i="48"/>
  <c r="AM313" i="48"/>
  <c r="AF313" i="48"/>
  <c r="AE313" i="48"/>
  <c r="X313" i="48"/>
  <c r="W313" i="48"/>
  <c r="P313" i="48"/>
  <c r="O313" i="48"/>
  <c r="H313" i="48"/>
  <c r="G313" i="48"/>
  <c r="XFD80" i="48"/>
  <c r="XFC80" i="48"/>
  <c r="XEV80" i="48"/>
  <c r="XEU80" i="48"/>
  <c r="XEN80" i="48"/>
  <c r="XEM80" i="48"/>
  <c r="XEF80" i="48"/>
  <c r="XEE80" i="48"/>
  <c r="XDX80" i="48"/>
  <c r="XDW80" i="48"/>
  <c r="XDP80" i="48"/>
  <c r="XDO80" i="48"/>
  <c r="XDH80" i="48"/>
  <c r="XDG80" i="48"/>
  <c r="XCZ80" i="48"/>
  <c r="XCY80" i="48"/>
  <c r="XCR80" i="48"/>
  <c r="XCQ80" i="48"/>
  <c r="XCJ80" i="48"/>
  <c r="XCI80" i="48"/>
  <c r="XCB80" i="48"/>
  <c r="XCA80" i="48"/>
  <c r="XBT80" i="48"/>
  <c r="XBS80" i="48"/>
  <c r="XBL80" i="48"/>
  <c r="XBK80" i="48"/>
  <c r="XBD80" i="48"/>
  <c r="XBC80" i="48"/>
  <c r="XAV80" i="48"/>
  <c r="XAU80" i="48"/>
  <c r="XAN80" i="48"/>
  <c r="XAM80" i="48"/>
  <c r="XAF80" i="48"/>
  <c r="XAE80" i="48"/>
  <c r="WZX80" i="48"/>
  <c r="WZW80" i="48"/>
  <c r="WZP80" i="48"/>
  <c r="WZO80" i="48"/>
  <c r="WZH80" i="48"/>
  <c r="WZG80" i="48"/>
  <c r="WYZ80" i="48"/>
  <c r="WYY80" i="48"/>
  <c r="WYR80" i="48"/>
  <c r="WYQ80" i="48"/>
  <c r="WYJ80" i="48"/>
  <c r="WYI80" i="48"/>
  <c r="WYB80" i="48"/>
  <c r="WYA80" i="48"/>
  <c r="WXT80" i="48"/>
  <c r="WXS80" i="48"/>
  <c r="WXL80" i="48"/>
  <c r="WXK80" i="48"/>
  <c r="WXD80" i="48"/>
  <c r="WXC80" i="48"/>
  <c r="WWV80" i="48"/>
  <c r="WWU80" i="48"/>
  <c r="WWN80" i="48"/>
  <c r="WWM80" i="48"/>
  <c r="WWF80" i="48"/>
  <c r="WWE80" i="48"/>
  <c r="WVX80" i="48"/>
  <c r="WVW80" i="48"/>
  <c r="WVP80" i="48"/>
  <c r="WVO80" i="48"/>
  <c r="WVH80" i="48"/>
  <c r="WVG80" i="48"/>
  <c r="WUZ80" i="48"/>
  <c r="WUY80" i="48"/>
  <c r="WUR80" i="48"/>
  <c r="WUQ80" i="48"/>
  <c r="WUJ80" i="48"/>
  <c r="WUI80" i="48"/>
  <c r="WUB80" i="48"/>
  <c r="WUA80" i="48"/>
  <c r="WTT80" i="48"/>
  <c r="WTS80" i="48"/>
  <c r="WTL80" i="48"/>
  <c r="WTK80" i="48"/>
  <c r="WTD80" i="48"/>
  <c r="WTC80" i="48"/>
  <c r="WSV80" i="48"/>
  <c r="WSU80" i="48"/>
  <c r="WSN80" i="48"/>
  <c r="WSM80" i="48"/>
  <c r="WSF80" i="48"/>
  <c r="WSE80" i="48"/>
  <c r="WRX80" i="48"/>
  <c r="WRW80" i="48"/>
  <c r="WRP80" i="48"/>
  <c r="WRO80" i="48"/>
  <c r="WRH80" i="48"/>
  <c r="WRG80" i="48"/>
  <c r="WQZ80" i="48"/>
  <c r="WQY80" i="48"/>
  <c r="WQR80" i="48"/>
  <c r="WQQ80" i="48"/>
  <c r="WQJ80" i="48"/>
  <c r="WQI80" i="48"/>
  <c r="WQB80" i="48"/>
  <c r="WQA80" i="48"/>
  <c r="WPT80" i="48"/>
  <c r="WPS80" i="48"/>
  <c r="WPL80" i="48"/>
  <c r="WPK80" i="48"/>
  <c r="WPD80" i="48"/>
  <c r="WPC80" i="48"/>
  <c r="WOV80" i="48"/>
  <c r="WOU80" i="48"/>
  <c r="WON80" i="48"/>
  <c r="WOM80" i="48"/>
  <c r="WOF80" i="48"/>
  <c r="WOE80" i="48"/>
  <c r="WNX80" i="48"/>
  <c r="WNW80" i="48"/>
  <c r="WNP80" i="48"/>
  <c r="WNO80" i="48"/>
  <c r="WNH80" i="48"/>
  <c r="WNG80" i="48"/>
  <c r="WMZ80" i="48"/>
  <c r="WMY80" i="48"/>
  <c r="WMR80" i="48"/>
  <c r="WMQ80" i="48"/>
  <c r="WMJ80" i="48"/>
  <c r="WMI80" i="48"/>
  <c r="WMB80" i="48"/>
  <c r="WMA80" i="48"/>
  <c r="WLT80" i="48"/>
  <c r="WLS80" i="48"/>
  <c r="WLL80" i="48"/>
  <c r="WLK80" i="48"/>
  <c r="WLD80" i="48"/>
  <c r="WLC80" i="48"/>
  <c r="WKV80" i="48"/>
  <c r="WKU80" i="48"/>
  <c r="WKN80" i="48"/>
  <c r="WKM80" i="48"/>
  <c r="WKF80" i="48"/>
  <c r="WKE80" i="48"/>
  <c r="WJX80" i="48"/>
  <c r="WJW80" i="48"/>
  <c r="WJP80" i="48"/>
  <c r="WJO80" i="48"/>
  <c r="WJH80" i="48"/>
  <c r="WJG80" i="48"/>
  <c r="WIZ80" i="48"/>
  <c r="WIY80" i="48"/>
  <c r="WIR80" i="48"/>
  <c r="WIQ80" i="48"/>
  <c r="WIJ80" i="48"/>
  <c r="WII80" i="48"/>
  <c r="WIB80" i="48"/>
  <c r="WIA80" i="48"/>
  <c r="WHT80" i="48"/>
  <c r="WHS80" i="48"/>
  <c r="WHL80" i="48"/>
  <c r="WHK80" i="48"/>
  <c r="WHD80" i="48"/>
  <c r="WHC80" i="48"/>
  <c r="WGV80" i="48"/>
  <c r="WGU80" i="48"/>
  <c r="WGN80" i="48"/>
  <c r="WGM80" i="48"/>
  <c r="WGF80" i="48"/>
  <c r="WGE80" i="48"/>
  <c r="WFX80" i="48"/>
  <c r="WFW80" i="48"/>
  <c r="WFP80" i="48"/>
  <c r="WFO80" i="48"/>
  <c r="WFH80" i="48"/>
  <c r="WFG80" i="48"/>
  <c r="WEZ80" i="48"/>
  <c r="WEY80" i="48"/>
  <c r="WER80" i="48"/>
  <c r="WEQ80" i="48"/>
  <c r="WEJ80" i="48"/>
  <c r="WEI80" i="48"/>
  <c r="WEB80" i="48"/>
  <c r="WEA80" i="48"/>
  <c r="WDT80" i="48"/>
  <c r="WDS80" i="48"/>
  <c r="WDL80" i="48"/>
  <c r="WDK80" i="48"/>
  <c r="WDD80" i="48"/>
  <c r="WDC80" i="48"/>
  <c r="WCV80" i="48"/>
  <c r="WCU80" i="48"/>
  <c r="WCN80" i="48"/>
  <c r="WCM80" i="48"/>
  <c r="WCF80" i="48"/>
  <c r="WCE80" i="48"/>
  <c r="WBX80" i="48"/>
  <c r="WBW80" i="48"/>
  <c r="WBP80" i="48"/>
  <c r="WBO80" i="48"/>
  <c r="WBH80" i="48"/>
  <c r="WBG80" i="48"/>
  <c r="WAZ80" i="48"/>
  <c r="WAY80" i="48"/>
  <c r="WAR80" i="48"/>
  <c r="WAQ80" i="48"/>
  <c r="WAJ80" i="48"/>
  <c r="WAI80" i="48"/>
  <c r="WAB80" i="48"/>
  <c r="WAA80" i="48"/>
  <c r="VZT80" i="48"/>
  <c r="VZS80" i="48"/>
  <c r="VZL80" i="48"/>
  <c r="VZK80" i="48"/>
  <c r="VZD80" i="48"/>
  <c r="VZC80" i="48"/>
  <c r="VYV80" i="48"/>
  <c r="VYU80" i="48"/>
  <c r="VYN80" i="48"/>
  <c r="VYM80" i="48"/>
  <c r="VYF80" i="48"/>
  <c r="VYE80" i="48"/>
  <c r="VXX80" i="48"/>
  <c r="VXW80" i="48"/>
  <c r="VXP80" i="48"/>
  <c r="VXO80" i="48"/>
  <c r="VXH80" i="48"/>
  <c r="VXG80" i="48"/>
  <c r="VWZ80" i="48"/>
  <c r="VWY80" i="48"/>
  <c r="VWR80" i="48"/>
  <c r="VWQ80" i="48"/>
  <c r="VWJ80" i="48"/>
  <c r="VWI80" i="48"/>
  <c r="VWB80" i="48"/>
  <c r="VWA80" i="48"/>
  <c r="VVT80" i="48"/>
  <c r="VVS80" i="48"/>
  <c r="VVL80" i="48"/>
  <c r="VVK80" i="48"/>
  <c r="VVD80" i="48"/>
  <c r="VVC80" i="48"/>
  <c r="VUV80" i="48"/>
  <c r="VUU80" i="48"/>
  <c r="VUN80" i="48"/>
  <c r="VUM80" i="48"/>
  <c r="VUF80" i="48"/>
  <c r="VUE80" i="48"/>
  <c r="VTX80" i="48"/>
  <c r="VTW80" i="48"/>
  <c r="VTP80" i="48"/>
  <c r="VTO80" i="48"/>
  <c r="VTH80" i="48"/>
  <c r="VTG80" i="48"/>
  <c r="VSZ80" i="48"/>
  <c r="VSY80" i="48"/>
  <c r="VSR80" i="48"/>
  <c r="VSQ80" i="48"/>
  <c r="VSJ80" i="48"/>
  <c r="VSI80" i="48"/>
  <c r="VSB80" i="48"/>
  <c r="VSA80" i="48"/>
  <c r="VRT80" i="48"/>
  <c r="VRS80" i="48"/>
  <c r="VRL80" i="48"/>
  <c r="VRK80" i="48"/>
  <c r="VRD80" i="48"/>
  <c r="VRC80" i="48"/>
  <c r="VQV80" i="48"/>
  <c r="VQU80" i="48"/>
  <c r="VQN80" i="48"/>
  <c r="VQM80" i="48"/>
  <c r="VQF80" i="48"/>
  <c r="VQE80" i="48"/>
  <c r="VPX80" i="48"/>
  <c r="VPW80" i="48"/>
  <c r="VPP80" i="48"/>
  <c r="VPO80" i="48"/>
  <c r="VPH80" i="48"/>
  <c r="VPG80" i="48"/>
  <c r="VOZ80" i="48"/>
  <c r="VOY80" i="48"/>
  <c r="VOR80" i="48"/>
  <c r="VOQ80" i="48"/>
  <c r="VOJ80" i="48"/>
  <c r="VOI80" i="48"/>
  <c r="VOB80" i="48"/>
  <c r="VOA80" i="48"/>
  <c r="VNT80" i="48"/>
  <c r="VNS80" i="48"/>
  <c r="VNL80" i="48"/>
  <c r="VNK80" i="48"/>
  <c r="VND80" i="48"/>
  <c r="VNC80" i="48"/>
  <c r="VMV80" i="48"/>
  <c r="VMU80" i="48"/>
  <c r="VMN80" i="48"/>
  <c r="VMM80" i="48"/>
  <c r="VMF80" i="48"/>
  <c r="VME80" i="48"/>
  <c r="VLX80" i="48"/>
  <c r="VLW80" i="48"/>
  <c r="VLP80" i="48"/>
  <c r="VLO80" i="48"/>
  <c r="VLH80" i="48"/>
  <c r="VLG80" i="48"/>
  <c r="VKZ80" i="48"/>
  <c r="VKY80" i="48"/>
  <c r="VKR80" i="48"/>
  <c r="VKQ80" i="48"/>
  <c r="VKJ80" i="48"/>
  <c r="VKI80" i="48"/>
  <c r="VKB80" i="48"/>
  <c r="VKA80" i="48"/>
  <c r="VJT80" i="48"/>
  <c r="VJS80" i="48"/>
  <c r="VJL80" i="48"/>
  <c r="VJK80" i="48"/>
  <c r="VJD80" i="48"/>
  <c r="VJC80" i="48"/>
  <c r="VIV80" i="48"/>
  <c r="VIU80" i="48"/>
  <c r="VIN80" i="48"/>
  <c r="VIM80" i="48"/>
  <c r="VIF80" i="48"/>
  <c r="VIE80" i="48"/>
  <c r="VHX80" i="48"/>
  <c r="VHW80" i="48"/>
  <c r="VHP80" i="48"/>
  <c r="VHO80" i="48"/>
  <c r="VHH80" i="48"/>
  <c r="VHG80" i="48"/>
  <c r="VGZ80" i="48"/>
  <c r="VGY80" i="48"/>
  <c r="VGR80" i="48"/>
  <c r="VGQ80" i="48"/>
  <c r="VGJ80" i="48"/>
  <c r="VGI80" i="48"/>
  <c r="VGB80" i="48"/>
  <c r="VGA80" i="48"/>
  <c r="VFT80" i="48"/>
  <c r="VFS80" i="48"/>
  <c r="VFL80" i="48"/>
  <c r="VFK80" i="48"/>
  <c r="VFD80" i="48"/>
  <c r="VFC80" i="48"/>
  <c r="VEV80" i="48"/>
  <c r="VEU80" i="48"/>
  <c r="VEN80" i="48"/>
  <c r="VEM80" i="48"/>
  <c r="VEF80" i="48"/>
  <c r="VEE80" i="48"/>
  <c r="VDX80" i="48"/>
  <c r="VDW80" i="48"/>
  <c r="VDP80" i="48"/>
  <c r="VDO80" i="48"/>
  <c r="VDH80" i="48"/>
  <c r="VDG80" i="48"/>
  <c r="VCZ80" i="48"/>
  <c r="VCY80" i="48"/>
  <c r="VCR80" i="48"/>
  <c r="VCQ80" i="48"/>
  <c r="VCJ80" i="48"/>
  <c r="VCI80" i="48"/>
  <c r="VCB80" i="48"/>
  <c r="VCA80" i="48"/>
  <c r="VBT80" i="48"/>
  <c r="VBS80" i="48"/>
  <c r="VBL80" i="48"/>
  <c r="VBK80" i="48"/>
  <c r="VBD80" i="48"/>
  <c r="VBC80" i="48"/>
  <c r="VAV80" i="48"/>
  <c r="VAU80" i="48"/>
  <c r="VAN80" i="48"/>
  <c r="VAM80" i="48"/>
  <c r="VAF80" i="48"/>
  <c r="VAE80" i="48"/>
  <c r="UZX80" i="48"/>
  <c r="UZW80" i="48"/>
  <c r="UZP80" i="48"/>
  <c r="UZO80" i="48"/>
  <c r="UZH80" i="48"/>
  <c r="UZG80" i="48"/>
  <c r="UYZ80" i="48"/>
  <c r="UYY80" i="48"/>
  <c r="UYR80" i="48"/>
  <c r="UYQ80" i="48"/>
  <c r="UYJ80" i="48"/>
  <c r="UYI80" i="48"/>
  <c r="UYB80" i="48"/>
  <c r="UYA80" i="48"/>
  <c r="UXT80" i="48"/>
  <c r="UXS80" i="48"/>
  <c r="UXL80" i="48"/>
  <c r="UXK80" i="48"/>
  <c r="UXD80" i="48"/>
  <c r="UXC80" i="48"/>
  <c r="UWV80" i="48"/>
  <c r="UWU80" i="48"/>
  <c r="UWN80" i="48"/>
  <c r="UWM80" i="48"/>
  <c r="UWF80" i="48"/>
  <c r="UWE80" i="48"/>
  <c r="UVX80" i="48"/>
  <c r="UVW80" i="48"/>
  <c r="UVP80" i="48"/>
  <c r="UVO80" i="48"/>
  <c r="UVH80" i="48"/>
  <c r="UVG80" i="48"/>
  <c r="UUZ80" i="48"/>
  <c r="UUY80" i="48"/>
  <c r="UUR80" i="48"/>
  <c r="UUQ80" i="48"/>
  <c r="UUJ80" i="48"/>
  <c r="UUI80" i="48"/>
  <c r="UUB80" i="48"/>
  <c r="UUA80" i="48"/>
  <c r="UTT80" i="48"/>
  <c r="UTS80" i="48"/>
  <c r="UTL80" i="48"/>
  <c r="UTK80" i="48"/>
  <c r="UTD80" i="48"/>
  <c r="UTC80" i="48"/>
  <c r="USV80" i="48"/>
  <c r="USU80" i="48"/>
  <c r="USN80" i="48"/>
  <c r="USM80" i="48"/>
  <c r="USF80" i="48"/>
  <c r="USE80" i="48"/>
  <c r="URX80" i="48"/>
  <c r="URW80" i="48"/>
  <c r="URP80" i="48"/>
  <c r="URO80" i="48"/>
  <c r="URH80" i="48"/>
  <c r="URG80" i="48"/>
  <c r="UQZ80" i="48"/>
  <c r="UQY80" i="48"/>
  <c r="UQR80" i="48"/>
  <c r="UQQ80" i="48"/>
  <c r="UQJ80" i="48"/>
  <c r="UQI80" i="48"/>
  <c r="UQB80" i="48"/>
  <c r="UQA80" i="48"/>
  <c r="UPT80" i="48"/>
  <c r="UPS80" i="48"/>
  <c r="UPL80" i="48"/>
  <c r="UPK80" i="48"/>
  <c r="UPD80" i="48"/>
  <c r="UPC80" i="48"/>
  <c r="UOV80" i="48"/>
  <c r="UOU80" i="48"/>
  <c r="UON80" i="48"/>
  <c r="UOM80" i="48"/>
  <c r="UOF80" i="48"/>
  <c r="UOE80" i="48"/>
  <c r="UNX80" i="48"/>
  <c r="UNW80" i="48"/>
  <c r="UNP80" i="48"/>
  <c r="UNO80" i="48"/>
  <c r="UNH80" i="48"/>
  <c r="UNG80" i="48"/>
  <c r="UMZ80" i="48"/>
  <c r="UMY80" i="48"/>
  <c r="UMR80" i="48"/>
  <c r="UMQ80" i="48"/>
  <c r="UMJ80" i="48"/>
  <c r="UMI80" i="48"/>
  <c r="UMB80" i="48"/>
  <c r="UMA80" i="48"/>
  <c r="ULT80" i="48"/>
  <c r="ULS80" i="48"/>
  <c r="ULL80" i="48"/>
  <c r="ULK80" i="48"/>
  <c r="ULD80" i="48"/>
  <c r="ULC80" i="48"/>
  <c r="UKV80" i="48"/>
  <c r="UKU80" i="48"/>
  <c r="UKN80" i="48"/>
  <c r="UKM80" i="48"/>
  <c r="UKF80" i="48"/>
  <c r="UKE80" i="48"/>
  <c r="UJX80" i="48"/>
  <c r="UJW80" i="48"/>
  <c r="UJP80" i="48"/>
  <c r="UJO80" i="48"/>
  <c r="UJH80" i="48"/>
  <c r="UJG80" i="48"/>
  <c r="UIZ80" i="48"/>
  <c r="UIY80" i="48"/>
  <c r="UIR80" i="48"/>
  <c r="UIQ80" i="48"/>
  <c r="UIJ80" i="48"/>
  <c r="UII80" i="48"/>
  <c r="UIB80" i="48"/>
  <c r="UIA80" i="48"/>
  <c r="UHT80" i="48"/>
  <c r="UHS80" i="48"/>
  <c r="UHL80" i="48"/>
  <c r="UHK80" i="48"/>
  <c r="UHD80" i="48"/>
  <c r="UHC80" i="48"/>
  <c r="UGV80" i="48"/>
  <c r="UGU80" i="48"/>
  <c r="UGN80" i="48"/>
  <c r="UGM80" i="48"/>
  <c r="UGF80" i="48"/>
  <c r="UGE80" i="48"/>
  <c r="UFX80" i="48"/>
  <c r="UFW80" i="48"/>
  <c r="UFP80" i="48"/>
  <c r="UFO80" i="48"/>
  <c r="UFH80" i="48"/>
  <c r="UFG80" i="48"/>
  <c r="UEZ80" i="48"/>
  <c r="UEY80" i="48"/>
  <c r="UER80" i="48"/>
  <c r="UEQ80" i="48"/>
  <c r="UEJ80" i="48"/>
  <c r="UEI80" i="48"/>
  <c r="UEB80" i="48"/>
  <c r="UEA80" i="48"/>
  <c r="UDT80" i="48"/>
  <c r="UDS80" i="48"/>
  <c r="UDL80" i="48"/>
  <c r="UDK80" i="48"/>
  <c r="UDD80" i="48"/>
  <c r="UDC80" i="48"/>
  <c r="UCV80" i="48"/>
  <c r="UCU80" i="48"/>
  <c r="UCN80" i="48"/>
  <c r="UCM80" i="48"/>
  <c r="UCF80" i="48"/>
  <c r="UCE80" i="48"/>
  <c r="UBX80" i="48"/>
  <c r="UBW80" i="48"/>
  <c r="UBP80" i="48"/>
  <c r="UBO80" i="48"/>
  <c r="UBH80" i="48"/>
  <c r="UBG80" i="48"/>
  <c r="UAZ80" i="48"/>
  <c r="UAY80" i="48"/>
  <c r="UAR80" i="48"/>
  <c r="UAQ80" i="48"/>
  <c r="UAJ80" i="48"/>
  <c r="UAI80" i="48"/>
  <c r="UAB80" i="48"/>
  <c r="UAA80" i="48"/>
  <c r="TZT80" i="48"/>
  <c r="TZS80" i="48"/>
  <c r="TZL80" i="48"/>
  <c r="TZK80" i="48"/>
  <c r="TZD80" i="48"/>
  <c r="TZC80" i="48"/>
  <c r="TYV80" i="48"/>
  <c r="TYU80" i="48"/>
  <c r="TYN80" i="48"/>
  <c r="TYM80" i="48"/>
  <c r="TYF80" i="48"/>
  <c r="TYE80" i="48"/>
  <c r="TXX80" i="48"/>
  <c r="TXW80" i="48"/>
  <c r="TXP80" i="48"/>
  <c r="TXO80" i="48"/>
  <c r="TXH80" i="48"/>
  <c r="TXG80" i="48"/>
  <c r="TWZ80" i="48"/>
  <c r="TWY80" i="48"/>
  <c r="TWR80" i="48"/>
  <c r="TWQ80" i="48"/>
  <c r="TWJ80" i="48"/>
  <c r="TWI80" i="48"/>
  <c r="TWB80" i="48"/>
  <c r="TWA80" i="48"/>
  <c r="TVT80" i="48"/>
  <c r="TVS80" i="48"/>
  <c r="TVL80" i="48"/>
  <c r="TVK80" i="48"/>
  <c r="TVD80" i="48"/>
  <c r="TVC80" i="48"/>
  <c r="TUV80" i="48"/>
  <c r="TUU80" i="48"/>
  <c r="TUN80" i="48"/>
  <c r="TUM80" i="48"/>
  <c r="TUF80" i="48"/>
  <c r="TUE80" i="48"/>
  <c r="TTX80" i="48"/>
  <c r="TTW80" i="48"/>
  <c r="TTP80" i="48"/>
  <c r="TTO80" i="48"/>
  <c r="TTH80" i="48"/>
  <c r="TTG80" i="48"/>
  <c r="TSZ80" i="48"/>
  <c r="TSY80" i="48"/>
  <c r="TSR80" i="48"/>
  <c r="TSQ80" i="48"/>
  <c r="TSJ80" i="48"/>
  <c r="TSI80" i="48"/>
  <c r="TSB80" i="48"/>
  <c r="TSA80" i="48"/>
  <c r="TRT80" i="48"/>
  <c r="TRS80" i="48"/>
  <c r="TRL80" i="48"/>
  <c r="TRK80" i="48"/>
  <c r="TRD80" i="48"/>
  <c r="TRC80" i="48"/>
  <c r="TQV80" i="48"/>
  <c r="TQU80" i="48"/>
  <c r="TQN80" i="48"/>
  <c r="TQM80" i="48"/>
  <c r="TQF80" i="48"/>
  <c r="TQE80" i="48"/>
  <c r="TPX80" i="48"/>
  <c r="TPW80" i="48"/>
  <c r="TPP80" i="48"/>
  <c r="TPO80" i="48"/>
  <c r="TPH80" i="48"/>
  <c r="TPG80" i="48"/>
  <c r="TOZ80" i="48"/>
  <c r="TOY80" i="48"/>
  <c r="TOR80" i="48"/>
  <c r="TOQ80" i="48"/>
  <c r="TOJ80" i="48"/>
  <c r="TOI80" i="48"/>
  <c r="TOB80" i="48"/>
  <c r="TOA80" i="48"/>
  <c r="TNT80" i="48"/>
  <c r="TNS80" i="48"/>
  <c r="TNL80" i="48"/>
  <c r="TNK80" i="48"/>
  <c r="TND80" i="48"/>
  <c r="TNC80" i="48"/>
  <c r="TMV80" i="48"/>
  <c r="TMU80" i="48"/>
  <c r="TMN80" i="48"/>
  <c r="TMM80" i="48"/>
  <c r="TMF80" i="48"/>
  <c r="TME80" i="48"/>
  <c r="TLX80" i="48"/>
  <c r="TLW80" i="48"/>
  <c r="TLP80" i="48"/>
  <c r="TLO80" i="48"/>
  <c r="TLH80" i="48"/>
  <c r="TLG80" i="48"/>
  <c r="TKZ80" i="48"/>
  <c r="TKY80" i="48"/>
  <c r="TKR80" i="48"/>
  <c r="TKQ80" i="48"/>
  <c r="TKJ80" i="48"/>
  <c r="TKI80" i="48"/>
  <c r="TKB80" i="48"/>
  <c r="TKA80" i="48"/>
  <c r="TJT80" i="48"/>
  <c r="TJS80" i="48"/>
  <c r="TJL80" i="48"/>
  <c r="TJK80" i="48"/>
  <c r="TJD80" i="48"/>
  <c r="TJC80" i="48"/>
  <c r="TIV80" i="48"/>
  <c r="TIU80" i="48"/>
  <c r="TIN80" i="48"/>
  <c r="TIM80" i="48"/>
  <c r="TIF80" i="48"/>
  <c r="TIE80" i="48"/>
  <c r="THX80" i="48"/>
  <c r="THW80" i="48"/>
  <c r="THP80" i="48"/>
  <c r="THO80" i="48"/>
  <c r="THH80" i="48"/>
  <c r="THG80" i="48"/>
  <c r="TGZ80" i="48"/>
  <c r="TGY80" i="48"/>
  <c r="TGR80" i="48"/>
  <c r="TGQ80" i="48"/>
  <c r="TGJ80" i="48"/>
  <c r="TGI80" i="48"/>
  <c r="TGB80" i="48"/>
  <c r="TGA80" i="48"/>
  <c r="TFT80" i="48"/>
  <c r="TFS80" i="48"/>
  <c r="TFL80" i="48"/>
  <c r="TFK80" i="48"/>
  <c r="TFD80" i="48"/>
  <c r="TFC80" i="48"/>
  <c r="TEV80" i="48"/>
  <c r="TEU80" i="48"/>
  <c r="TEN80" i="48"/>
  <c r="TEM80" i="48"/>
  <c r="TEF80" i="48"/>
  <c r="TEE80" i="48"/>
  <c r="TDX80" i="48"/>
  <c r="TDW80" i="48"/>
  <c r="TDP80" i="48"/>
  <c r="TDO80" i="48"/>
  <c r="TDH80" i="48"/>
  <c r="TDG80" i="48"/>
  <c r="TCZ80" i="48"/>
  <c r="TCY80" i="48"/>
  <c r="TCR80" i="48"/>
  <c r="TCQ80" i="48"/>
  <c r="TCJ80" i="48"/>
  <c r="TCI80" i="48"/>
  <c r="TCB80" i="48"/>
  <c r="TCA80" i="48"/>
  <c r="TBT80" i="48"/>
  <c r="TBS80" i="48"/>
  <c r="TBL80" i="48"/>
  <c r="TBK80" i="48"/>
  <c r="TBD80" i="48"/>
  <c r="TBC80" i="48"/>
  <c r="TAV80" i="48"/>
  <c r="TAU80" i="48"/>
  <c r="TAN80" i="48"/>
  <c r="TAM80" i="48"/>
  <c r="TAF80" i="48"/>
  <c r="TAE80" i="48"/>
  <c r="SZX80" i="48"/>
  <c r="SZW80" i="48"/>
  <c r="SZP80" i="48"/>
  <c r="SZO80" i="48"/>
  <c r="SZH80" i="48"/>
  <c r="SZG80" i="48"/>
  <c r="SYZ80" i="48"/>
  <c r="SYY80" i="48"/>
  <c r="SYR80" i="48"/>
  <c r="SYQ80" i="48"/>
  <c r="SYJ80" i="48"/>
  <c r="SYI80" i="48"/>
  <c r="SYB80" i="48"/>
  <c r="SYA80" i="48"/>
  <c r="SXT80" i="48"/>
  <c r="SXS80" i="48"/>
  <c r="SXL80" i="48"/>
  <c r="SXK80" i="48"/>
  <c r="SXD80" i="48"/>
  <c r="SXC80" i="48"/>
  <c r="SWV80" i="48"/>
  <c r="SWU80" i="48"/>
  <c r="SWN80" i="48"/>
  <c r="SWM80" i="48"/>
  <c r="SWF80" i="48"/>
  <c r="SWE80" i="48"/>
  <c r="SVX80" i="48"/>
  <c r="SVW80" i="48"/>
  <c r="SVP80" i="48"/>
  <c r="SVO80" i="48"/>
  <c r="SVH80" i="48"/>
  <c r="SVG80" i="48"/>
  <c r="SUZ80" i="48"/>
  <c r="SUY80" i="48"/>
  <c r="SUR80" i="48"/>
  <c r="SUQ80" i="48"/>
  <c r="SUJ80" i="48"/>
  <c r="SUI80" i="48"/>
  <c r="SUB80" i="48"/>
  <c r="SUA80" i="48"/>
  <c r="STT80" i="48"/>
  <c r="STS80" i="48"/>
  <c r="STL80" i="48"/>
  <c r="STK80" i="48"/>
  <c r="STD80" i="48"/>
  <c r="STC80" i="48"/>
  <c r="SSV80" i="48"/>
  <c r="SSU80" i="48"/>
  <c r="SSN80" i="48"/>
  <c r="SSM80" i="48"/>
  <c r="SSF80" i="48"/>
  <c r="SSE80" i="48"/>
  <c r="SRX80" i="48"/>
  <c r="SRW80" i="48"/>
  <c r="SRP80" i="48"/>
  <c r="SRO80" i="48"/>
  <c r="SRH80" i="48"/>
  <c r="SRG80" i="48"/>
  <c r="SQZ80" i="48"/>
  <c r="SQY80" i="48"/>
  <c r="SQR80" i="48"/>
  <c r="SQQ80" i="48"/>
  <c r="SQJ80" i="48"/>
  <c r="SQI80" i="48"/>
  <c r="SQB80" i="48"/>
  <c r="SQA80" i="48"/>
  <c r="SPT80" i="48"/>
  <c r="SPS80" i="48"/>
  <c r="SPL80" i="48"/>
  <c r="SPK80" i="48"/>
  <c r="SPD80" i="48"/>
  <c r="SPC80" i="48"/>
  <c r="SOV80" i="48"/>
  <c r="SOU80" i="48"/>
  <c r="SON80" i="48"/>
  <c r="SOM80" i="48"/>
  <c r="SOF80" i="48"/>
  <c r="SOE80" i="48"/>
  <c r="SNX80" i="48"/>
  <c r="SNW80" i="48"/>
  <c r="SNP80" i="48"/>
  <c r="SNO80" i="48"/>
  <c r="SNH80" i="48"/>
  <c r="SNG80" i="48"/>
  <c r="SMZ80" i="48"/>
  <c r="SMY80" i="48"/>
  <c r="SMR80" i="48"/>
  <c r="SMQ80" i="48"/>
  <c r="SMJ80" i="48"/>
  <c r="SMI80" i="48"/>
  <c r="SMB80" i="48"/>
  <c r="SMA80" i="48"/>
  <c r="SLT80" i="48"/>
  <c r="SLS80" i="48"/>
  <c r="SLL80" i="48"/>
  <c r="SLK80" i="48"/>
  <c r="SLD80" i="48"/>
  <c r="SLC80" i="48"/>
  <c r="SKV80" i="48"/>
  <c r="SKU80" i="48"/>
  <c r="SKN80" i="48"/>
  <c r="SKM80" i="48"/>
  <c r="SKF80" i="48"/>
  <c r="SKE80" i="48"/>
  <c r="SJX80" i="48"/>
  <c r="SJW80" i="48"/>
  <c r="SJP80" i="48"/>
  <c r="SJO80" i="48"/>
  <c r="SJH80" i="48"/>
  <c r="SJG80" i="48"/>
  <c r="SIZ80" i="48"/>
  <c r="SIY80" i="48"/>
  <c r="SIR80" i="48"/>
  <c r="SIQ80" i="48"/>
  <c r="SIJ80" i="48"/>
  <c r="SII80" i="48"/>
  <c r="SIB80" i="48"/>
  <c r="SIA80" i="48"/>
  <c r="SHT80" i="48"/>
  <c r="SHS80" i="48"/>
  <c r="SHL80" i="48"/>
  <c r="SHK80" i="48"/>
  <c r="SHD80" i="48"/>
  <c r="SHC80" i="48"/>
  <c r="SGV80" i="48"/>
  <c r="SGU80" i="48"/>
  <c r="SGN80" i="48"/>
  <c r="SGM80" i="48"/>
  <c r="SGF80" i="48"/>
  <c r="SGE80" i="48"/>
  <c r="SFX80" i="48"/>
  <c r="SFW80" i="48"/>
  <c r="SFP80" i="48"/>
  <c r="SFO80" i="48"/>
  <c r="SFH80" i="48"/>
  <c r="SFG80" i="48"/>
  <c r="SEZ80" i="48"/>
  <c r="SEY80" i="48"/>
  <c r="SER80" i="48"/>
  <c r="SEQ80" i="48"/>
  <c r="SEJ80" i="48"/>
  <c r="SEI80" i="48"/>
  <c r="SEB80" i="48"/>
  <c r="SEA80" i="48"/>
  <c r="SDT80" i="48"/>
  <c r="SDS80" i="48"/>
  <c r="SDL80" i="48"/>
  <c r="SDK80" i="48"/>
  <c r="SDD80" i="48"/>
  <c r="SDC80" i="48"/>
  <c r="SCV80" i="48"/>
  <c r="SCU80" i="48"/>
  <c r="SCN80" i="48"/>
  <c r="SCM80" i="48"/>
  <c r="SCF80" i="48"/>
  <c r="SCE80" i="48"/>
  <c r="SBX80" i="48"/>
  <c r="SBW80" i="48"/>
  <c r="SBP80" i="48"/>
  <c r="SBO80" i="48"/>
  <c r="SBH80" i="48"/>
  <c r="SBG80" i="48"/>
  <c r="SAZ80" i="48"/>
  <c r="SAY80" i="48"/>
  <c r="SAR80" i="48"/>
  <c r="SAQ80" i="48"/>
  <c r="SAJ80" i="48"/>
  <c r="SAI80" i="48"/>
  <c r="SAB80" i="48"/>
  <c r="SAA80" i="48"/>
  <c r="RZT80" i="48"/>
  <c r="RZS80" i="48"/>
  <c r="RZL80" i="48"/>
  <c r="RZK80" i="48"/>
  <c r="RZD80" i="48"/>
  <c r="RZC80" i="48"/>
  <c r="RYV80" i="48"/>
  <c r="RYU80" i="48"/>
  <c r="RYN80" i="48"/>
  <c r="RYM80" i="48"/>
  <c r="RYF80" i="48"/>
  <c r="RYE80" i="48"/>
  <c r="RXX80" i="48"/>
  <c r="RXW80" i="48"/>
  <c r="RXP80" i="48"/>
  <c r="RXO80" i="48"/>
  <c r="RXH80" i="48"/>
  <c r="RXG80" i="48"/>
  <c r="RWZ80" i="48"/>
  <c r="RWY80" i="48"/>
  <c r="RWR80" i="48"/>
  <c r="RWQ80" i="48"/>
  <c r="RWJ80" i="48"/>
  <c r="RWI80" i="48"/>
  <c r="RWB80" i="48"/>
  <c r="RWA80" i="48"/>
  <c r="RVT80" i="48"/>
  <c r="RVS80" i="48"/>
  <c r="RVL80" i="48"/>
  <c r="RVK80" i="48"/>
  <c r="RVD80" i="48"/>
  <c r="RVC80" i="48"/>
  <c r="RUV80" i="48"/>
  <c r="RUU80" i="48"/>
  <c r="RUN80" i="48"/>
  <c r="RUM80" i="48"/>
  <c r="RUF80" i="48"/>
  <c r="RUE80" i="48"/>
  <c r="RTX80" i="48"/>
  <c r="RTW80" i="48"/>
  <c r="RTP80" i="48"/>
  <c r="RTO80" i="48"/>
  <c r="RTH80" i="48"/>
  <c r="RTG80" i="48"/>
  <c r="RSZ80" i="48"/>
  <c r="RSY80" i="48"/>
  <c r="RSR80" i="48"/>
  <c r="RSQ80" i="48"/>
  <c r="RSJ80" i="48"/>
  <c r="RSI80" i="48"/>
  <c r="RSB80" i="48"/>
  <c r="RSA80" i="48"/>
  <c r="RRT80" i="48"/>
  <c r="RRS80" i="48"/>
  <c r="RRL80" i="48"/>
  <c r="RRK80" i="48"/>
  <c r="RRD80" i="48"/>
  <c r="RRC80" i="48"/>
  <c r="RQV80" i="48"/>
  <c r="RQU80" i="48"/>
  <c r="RQN80" i="48"/>
  <c r="RQM80" i="48"/>
  <c r="RQF80" i="48"/>
  <c r="RQE80" i="48"/>
  <c r="RPX80" i="48"/>
  <c r="RPW80" i="48"/>
  <c r="RPP80" i="48"/>
  <c r="RPO80" i="48"/>
  <c r="RPH80" i="48"/>
  <c r="RPG80" i="48"/>
  <c r="ROZ80" i="48"/>
  <c r="ROY80" i="48"/>
  <c r="ROR80" i="48"/>
  <c r="ROQ80" i="48"/>
  <c r="ROJ80" i="48"/>
  <c r="ROI80" i="48"/>
  <c r="ROB80" i="48"/>
  <c r="ROA80" i="48"/>
  <c r="RNT80" i="48"/>
  <c r="RNS80" i="48"/>
  <c r="RNL80" i="48"/>
  <c r="RNK80" i="48"/>
  <c r="RND80" i="48"/>
  <c r="RNC80" i="48"/>
  <c r="RMV80" i="48"/>
  <c r="RMU80" i="48"/>
  <c r="RMN80" i="48"/>
  <c r="RMM80" i="48"/>
  <c r="RMF80" i="48"/>
  <c r="RME80" i="48"/>
  <c r="RLX80" i="48"/>
  <c r="RLW80" i="48"/>
  <c r="RLP80" i="48"/>
  <c r="RLO80" i="48"/>
  <c r="RLH80" i="48"/>
  <c r="RLG80" i="48"/>
  <c r="RKZ80" i="48"/>
  <c r="RKY80" i="48"/>
  <c r="RKR80" i="48"/>
  <c r="RKQ80" i="48"/>
  <c r="RKJ80" i="48"/>
  <c r="RKI80" i="48"/>
  <c r="RKB80" i="48"/>
  <c r="RKA80" i="48"/>
  <c r="RJT80" i="48"/>
  <c r="RJS80" i="48"/>
  <c r="RJL80" i="48"/>
  <c r="RJK80" i="48"/>
  <c r="RJD80" i="48"/>
  <c r="RJC80" i="48"/>
  <c r="RIV80" i="48"/>
  <c r="RIU80" i="48"/>
  <c r="RIN80" i="48"/>
  <c r="RIM80" i="48"/>
  <c r="RIF80" i="48"/>
  <c r="RIE80" i="48"/>
  <c r="RHX80" i="48"/>
  <c r="RHW80" i="48"/>
  <c r="RHP80" i="48"/>
  <c r="RHO80" i="48"/>
  <c r="RHH80" i="48"/>
  <c r="RHG80" i="48"/>
  <c r="RGZ80" i="48"/>
  <c r="RGY80" i="48"/>
  <c r="RGR80" i="48"/>
  <c r="RGQ80" i="48"/>
  <c r="RGJ80" i="48"/>
  <c r="RGI80" i="48"/>
  <c r="RGB80" i="48"/>
  <c r="RGA80" i="48"/>
  <c r="RFT80" i="48"/>
  <c r="RFS80" i="48"/>
  <c r="RFL80" i="48"/>
  <c r="RFK80" i="48"/>
  <c r="RFD80" i="48"/>
  <c r="RFC80" i="48"/>
  <c r="REV80" i="48"/>
  <c r="REU80" i="48"/>
  <c r="REN80" i="48"/>
  <c r="REM80" i="48"/>
  <c r="REF80" i="48"/>
  <c r="REE80" i="48"/>
  <c r="RDX80" i="48"/>
  <c r="RDW80" i="48"/>
  <c r="RDP80" i="48"/>
  <c r="RDO80" i="48"/>
  <c r="RDH80" i="48"/>
  <c r="RDG80" i="48"/>
  <c r="RCZ80" i="48"/>
  <c r="RCY80" i="48"/>
  <c r="RCR80" i="48"/>
  <c r="RCQ80" i="48"/>
  <c r="RCJ80" i="48"/>
  <c r="RCI80" i="48"/>
  <c r="RCB80" i="48"/>
  <c r="RCA80" i="48"/>
  <c r="RBT80" i="48"/>
  <c r="RBS80" i="48"/>
  <c r="RBL80" i="48"/>
  <c r="RBK80" i="48"/>
  <c r="RBD80" i="48"/>
  <c r="RBC80" i="48"/>
  <c r="RAV80" i="48"/>
  <c r="RAU80" i="48"/>
  <c r="RAN80" i="48"/>
  <c r="RAM80" i="48"/>
  <c r="RAF80" i="48"/>
  <c r="RAE80" i="48"/>
  <c r="QZX80" i="48"/>
  <c r="QZW80" i="48"/>
  <c r="QZP80" i="48"/>
  <c r="QZO80" i="48"/>
  <c r="QZH80" i="48"/>
  <c r="QZG80" i="48"/>
  <c r="QYZ80" i="48"/>
  <c r="QYY80" i="48"/>
  <c r="QYR80" i="48"/>
  <c r="QYQ80" i="48"/>
  <c r="QYJ80" i="48"/>
  <c r="QYI80" i="48"/>
  <c r="QYB80" i="48"/>
  <c r="QYA80" i="48"/>
  <c r="QXT80" i="48"/>
  <c r="QXS80" i="48"/>
  <c r="QXL80" i="48"/>
  <c r="QXK80" i="48"/>
  <c r="QXD80" i="48"/>
  <c r="QXC80" i="48"/>
  <c r="QWV80" i="48"/>
  <c r="QWU80" i="48"/>
  <c r="QWN80" i="48"/>
  <c r="QWM80" i="48"/>
  <c r="QWF80" i="48"/>
  <c r="QWE80" i="48"/>
  <c r="QVX80" i="48"/>
  <c r="QVW80" i="48"/>
  <c r="QVP80" i="48"/>
  <c r="QVO80" i="48"/>
  <c r="QVH80" i="48"/>
  <c r="QVG80" i="48"/>
  <c r="QUZ80" i="48"/>
  <c r="QUY80" i="48"/>
  <c r="QUR80" i="48"/>
  <c r="QUQ80" i="48"/>
  <c r="QUJ80" i="48"/>
  <c r="QUI80" i="48"/>
  <c r="QUB80" i="48"/>
  <c r="QUA80" i="48"/>
  <c r="QTT80" i="48"/>
  <c r="QTS80" i="48"/>
  <c r="QTL80" i="48"/>
  <c r="QTK80" i="48"/>
  <c r="QTD80" i="48"/>
  <c r="QTC80" i="48"/>
  <c r="QSV80" i="48"/>
  <c r="QSU80" i="48"/>
  <c r="QSN80" i="48"/>
  <c r="QSM80" i="48"/>
  <c r="QSF80" i="48"/>
  <c r="QSE80" i="48"/>
  <c r="QRX80" i="48"/>
  <c r="QRW80" i="48"/>
  <c r="QRP80" i="48"/>
  <c r="QRO80" i="48"/>
  <c r="QRH80" i="48"/>
  <c r="QRG80" i="48"/>
  <c r="QQZ80" i="48"/>
  <c r="QQY80" i="48"/>
  <c r="QQR80" i="48"/>
  <c r="QQQ80" i="48"/>
  <c r="QQJ80" i="48"/>
  <c r="QQI80" i="48"/>
  <c r="QQB80" i="48"/>
  <c r="QQA80" i="48"/>
  <c r="QPT80" i="48"/>
  <c r="QPS80" i="48"/>
  <c r="QPL80" i="48"/>
  <c r="QPK80" i="48"/>
  <c r="QPD80" i="48"/>
  <c r="QPC80" i="48"/>
  <c r="QOV80" i="48"/>
  <c r="QOU80" i="48"/>
  <c r="QON80" i="48"/>
  <c r="QOM80" i="48"/>
  <c r="QOF80" i="48"/>
  <c r="QOE80" i="48"/>
  <c r="QNX80" i="48"/>
  <c r="QNW80" i="48"/>
  <c r="QNP80" i="48"/>
  <c r="QNO80" i="48"/>
  <c r="QNH80" i="48"/>
  <c r="QNG80" i="48"/>
  <c r="QMZ80" i="48"/>
  <c r="QMY80" i="48"/>
  <c r="QMR80" i="48"/>
  <c r="QMQ80" i="48"/>
  <c r="QMJ80" i="48"/>
  <c r="QMI80" i="48"/>
  <c r="QMB80" i="48"/>
  <c r="QMA80" i="48"/>
  <c r="QLT80" i="48"/>
  <c r="QLS80" i="48"/>
  <c r="QLL80" i="48"/>
  <c r="QLK80" i="48"/>
  <c r="QLD80" i="48"/>
  <c r="QLC80" i="48"/>
  <c r="QKV80" i="48"/>
  <c r="QKU80" i="48"/>
  <c r="QKN80" i="48"/>
  <c r="QKM80" i="48"/>
  <c r="QKF80" i="48"/>
  <c r="QKE80" i="48"/>
  <c r="QJX80" i="48"/>
  <c r="QJW80" i="48"/>
  <c r="QJP80" i="48"/>
  <c r="QJO80" i="48"/>
  <c r="QJH80" i="48"/>
  <c r="QJG80" i="48"/>
  <c r="QIZ80" i="48"/>
  <c r="QIY80" i="48"/>
  <c r="QIR80" i="48"/>
  <c r="QIQ80" i="48"/>
  <c r="QIJ80" i="48"/>
  <c r="QII80" i="48"/>
  <c r="QIB80" i="48"/>
  <c r="QIA80" i="48"/>
  <c r="QHT80" i="48"/>
  <c r="QHS80" i="48"/>
  <c r="QHL80" i="48"/>
  <c r="QHK80" i="48"/>
  <c r="QHD80" i="48"/>
  <c r="QHC80" i="48"/>
  <c r="QGV80" i="48"/>
  <c r="QGU80" i="48"/>
  <c r="QGN80" i="48"/>
  <c r="QGM80" i="48"/>
  <c r="QGF80" i="48"/>
  <c r="QGE80" i="48"/>
  <c r="QFX80" i="48"/>
  <c r="QFW80" i="48"/>
  <c r="QFP80" i="48"/>
  <c r="QFO80" i="48"/>
  <c r="QFH80" i="48"/>
  <c r="QFG80" i="48"/>
  <c r="QEZ80" i="48"/>
  <c r="QEY80" i="48"/>
  <c r="QER80" i="48"/>
  <c r="QEQ80" i="48"/>
  <c r="QEJ80" i="48"/>
  <c r="QEI80" i="48"/>
  <c r="QEB80" i="48"/>
  <c r="QEA80" i="48"/>
  <c r="QDT80" i="48"/>
  <c r="QDS80" i="48"/>
  <c r="QDL80" i="48"/>
  <c r="QDK80" i="48"/>
  <c r="QDD80" i="48"/>
  <c r="QDC80" i="48"/>
  <c r="QCV80" i="48"/>
  <c r="QCU80" i="48"/>
  <c r="QCN80" i="48"/>
  <c r="QCM80" i="48"/>
  <c r="QCF80" i="48"/>
  <c r="QCE80" i="48"/>
  <c r="QBX80" i="48"/>
  <c r="QBW80" i="48"/>
  <c r="QBP80" i="48"/>
  <c r="QBO80" i="48"/>
  <c r="QBH80" i="48"/>
  <c r="QBG80" i="48"/>
  <c r="QAZ80" i="48"/>
  <c r="QAY80" i="48"/>
  <c r="QAR80" i="48"/>
  <c r="QAQ80" i="48"/>
  <c r="QAJ80" i="48"/>
  <c r="QAI80" i="48"/>
  <c r="QAB80" i="48"/>
  <c r="QAA80" i="48"/>
  <c r="PZT80" i="48"/>
  <c r="PZS80" i="48"/>
  <c r="PZL80" i="48"/>
  <c r="PZK80" i="48"/>
  <c r="PZD80" i="48"/>
  <c r="PZC80" i="48"/>
  <c r="PYV80" i="48"/>
  <c r="PYU80" i="48"/>
  <c r="PYN80" i="48"/>
  <c r="PYM80" i="48"/>
  <c r="PYF80" i="48"/>
  <c r="PYE80" i="48"/>
  <c r="PXX80" i="48"/>
  <c r="PXW80" i="48"/>
  <c r="PXP80" i="48"/>
  <c r="PXO80" i="48"/>
  <c r="PXH80" i="48"/>
  <c r="PXG80" i="48"/>
  <c r="PWZ80" i="48"/>
  <c r="PWY80" i="48"/>
  <c r="PWR80" i="48"/>
  <c r="PWQ80" i="48"/>
  <c r="PWJ80" i="48"/>
  <c r="PWI80" i="48"/>
  <c r="PWB80" i="48"/>
  <c r="PWA80" i="48"/>
  <c r="PVT80" i="48"/>
  <c r="PVS80" i="48"/>
  <c r="PVL80" i="48"/>
  <c r="PVK80" i="48"/>
  <c r="PVD80" i="48"/>
  <c r="PVC80" i="48"/>
  <c r="PUV80" i="48"/>
  <c r="PUU80" i="48"/>
  <c r="PUN80" i="48"/>
  <c r="PUM80" i="48"/>
  <c r="PUF80" i="48"/>
  <c r="PUE80" i="48"/>
  <c r="PTX80" i="48"/>
  <c r="PTW80" i="48"/>
  <c r="PTP80" i="48"/>
  <c r="PTO80" i="48"/>
  <c r="PTH80" i="48"/>
  <c r="PTG80" i="48"/>
  <c r="PSZ80" i="48"/>
  <c r="PSY80" i="48"/>
  <c r="PSR80" i="48"/>
  <c r="PSQ80" i="48"/>
  <c r="PSJ80" i="48"/>
  <c r="PSI80" i="48"/>
  <c r="PSB80" i="48"/>
  <c r="PSA80" i="48"/>
  <c r="PRT80" i="48"/>
  <c r="PRS80" i="48"/>
  <c r="PRL80" i="48"/>
  <c r="PRK80" i="48"/>
  <c r="PRD80" i="48"/>
  <c r="PRC80" i="48"/>
  <c r="PQV80" i="48"/>
  <c r="PQU80" i="48"/>
  <c r="PQN80" i="48"/>
  <c r="PQM80" i="48"/>
  <c r="PQF80" i="48"/>
  <c r="PQE80" i="48"/>
  <c r="PPX80" i="48"/>
  <c r="PPW80" i="48"/>
  <c r="PPP80" i="48"/>
  <c r="PPO80" i="48"/>
  <c r="PPH80" i="48"/>
  <c r="PPG80" i="48"/>
  <c r="POZ80" i="48"/>
  <c r="POY80" i="48"/>
  <c r="POR80" i="48"/>
  <c r="POQ80" i="48"/>
  <c r="POJ80" i="48"/>
  <c r="POI80" i="48"/>
  <c r="POB80" i="48"/>
  <c r="POA80" i="48"/>
  <c r="PNT80" i="48"/>
  <c r="PNS80" i="48"/>
  <c r="PNL80" i="48"/>
  <c r="PNK80" i="48"/>
  <c r="PND80" i="48"/>
  <c r="PNC80" i="48"/>
  <c r="PMV80" i="48"/>
  <c r="PMU80" i="48"/>
  <c r="PMN80" i="48"/>
  <c r="PMM80" i="48"/>
  <c r="PMF80" i="48"/>
  <c r="PME80" i="48"/>
  <c r="PLX80" i="48"/>
  <c r="PLW80" i="48"/>
  <c r="PLP80" i="48"/>
  <c r="PLO80" i="48"/>
  <c r="PLH80" i="48"/>
  <c r="PLG80" i="48"/>
  <c r="PKZ80" i="48"/>
  <c r="PKY80" i="48"/>
  <c r="PKR80" i="48"/>
  <c r="PKQ80" i="48"/>
  <c r="PKJ80" i="48"/>
  <c r="PKI80" i="48"/>
  <c r="PKB80" i="48"/>
  <c r="PKA80" i="48"/>
  <c r="PJT80" i="48"/>
  <c r="PJS80" i="48"/>
  <c r="PJL80" i="48"/>
  <c r="PJK80" i="48"/>
  <c r="PJD80" i="48"/>
  <c r="PJC80" i="48"/>
  <c r="PIV80" i="48"/>
  <c r="PIU80" i="48"/>
  <c r="PIN80" i="48"/>
  <c r="PIM80" i="48"/>
  <c r="PIF80" i="48"/>
  <c r="PIE80" i="48"/>
  <c r="PHX80" i="48"/>
  <c r="PHW80" i="48"/>
  <c r="PHP80" i="48"/>
  <c r="PHO80" i="48"/>
  <c r="PHH80" i="48"/>
  <c r="PHG80" i="48"/>
  <c r="PGZ80" i="48"/>
  <c r="PGY80" i="48"/>
  <c r="PGR80" i="48"/>
  <c r="PGQ80" i="48"/>
  <c r="PGJ80" i="48"/>
  <c r="PGI80" i="48"/>
  <c r="PGB80" i="48"/>
  <c r="PGA80" i="48"/>
  <c r="PFT80" i="48"/>
  <c r="PFS80" i="48"/>
  <c r="PFL80" i="48"/>
  <c r="PFK80" i="48"/>
  <c r="PFD80" i="48"/>
  <c r="PFC80" i="48"/>
  <c r="PEV80" i="48"/>
  <c r="PEU80" i="48"/>
  <c r="PEN80" i="48"/>
  <c r="PEM80" i="48"/>
  <c r="PEF80" i="48"/>
  <c r="PEE80" i="48"/>
  <c r="PDX80" i="48"/>
  <c r="PDW80" i="48"/>
  <c r="PDP80" i="48"/>
  <c r="PDO80" i="48"/>
  <c r="PDH80" i="48"/>
  <c r="PDG80" i="48"/>
  <c r="PCZ80" i="48"/>
  <c r="PCY80" i="48"/>
  <c r="PCR80" i="48"/>
  <c r="PCQ80" i="48"/>
  <c r="PCJ80" i="48"/>
  <c r="PCI80" i="48"/>
  <c r="PCB80" i="48"/>
  <c r="PCA80" i="48"/>
  <c r="PBT80" i="48"/>
  <c r="PBS80" i="48"/>
  <c r="PBL80" i="48"/>
  <c r="PBK80" i="48"/>
  <c r="PBD80" i="48"/>
  <c r="PBC80" i="48"/>
  <c r="PAV80" i="48"/>
  <c r="PAU80" i="48"/>
  <c r="PAN80" i="48"/>
  <c r="PAM80" i="48"/>
  <c r="PAF80" i="48"/>
  <c r="PAE80" i="48"/>
  <c r="OZX80" i="48"/>
  <c r="OZW80" i="48"/>
  <c r="OZP80" i="48"/>
  <c r="OZO80" i="48"/>
  <c r="OZH80" i="48"/>
  <c r="OZG80" i="48"/>
  <c r="OYZ80" i="48"/>
  <c r="OYY80" i="48"/>
  <c r="OYR80" i="48"/>
  <c r="OYQ80" i="48"/>
  <c r="OYJ80" i="48"/>
  <c r="OYI80" i="48"/>
  <c r="OYB80" i="48"/>
  <c r="OYA80" i="48"/>
  <c r="OXT80" i="48"/>
  <c r="OXS80" i="48"/>
  <c r="OXL80" i="48"/>
  <c r="OXK80" i="48"/>
  <c r="OXD80" i="48"/>
  <c r="OXC80" i="48"/>
  <c r="OWV80" i="48"/>
  <c r="OWU80" i="48"/>
  <c r="OWN80" i="48"/>
  <c r="OWM80" i="48"/>
  <c r="OWF80" i="48"/>
  <c r="OWE80" i="48"/>
  <c r="OVX80" i="48"/>
  <c r="OVW80" i="48"/>
  <c r="OVP80" i="48"/>
  <c r="OVO80" i="48"/>
  <c r="OVH80" i="48"/>
  <c r="OVG80" i="48"/>
  <c r="OUZ80" i="48"/>
  <c r="OUY80" i="48"/>
  <c r="OUR80" i="48"/>
  <c r="OUQ80" i="48"/>
  <c r="OUJ80" i="48"/>
  <c r="OUI80" i="48"/>
  <c r="OUB80" i="48"/>
  <c r="OUA80" i="48"/>
  <c r="OTT80" i="48"/>
  <c r="OTS80" i="48"/>
  <c r="OTL80" i="48"/>
  <c r="OTK80" i="48"/>
  <c r="OTD80" i="48"/>
  <c r="OTC80" i="48"/>
  <c r="OSV80" i="48"/>
  <c r="OSU80" i="48"/>
  <c r="OSN80" i="48"/>
  <c r="OSM80" i="48"/>
  <c r="OSF80" i="48"/>
  <c r="OSE80" i="48"/>
  <c r="ORX80" i="48"/>
  <c r="ORW80" i="48"/>
  <c r="ORP80" i="48"/>
  <c r="ORO80" i="48"/>
  <c r="ORH80" i="48"/>
  <c r="ORG80" i="48"/>
  <c r="OQZ80" i="48"/>
  <c r="OQY80" i="48"/>
  <c r="OQR80" i="48"/>
  <c r="OQQ80" i="48"/>
  <c r="OQJ80" i="48"/>
  <c r="OQI80" i="48"/>
  <c r="OQB80" i="48"/>
  <c r="OQA80" i="48"/>
  <c r="OPT80" i="48"/>
  <c r="OPS80" i="48"/>
  <c r="OPL80" i="48"/>
  <c r="OPK80" i="48"/>
  <c r="OPD80" i="48"/>
  <c r="OPC80" i="48"/>
  <c r="OOV80" i="48"/>
  <c r="OOU80" i="48"/>
  <c r="OON80" i="48"/>
  <c r="OOM80" i="48"/>
  <c r="OOF80" i="48"/>
  <c r="OOE80" i="48"/>
  <c r="ONX80" i="48"/>
  <c r="ONW80" i="48"/>
  <c r="ONP80" i="48"/>
  <c r="ONO80" i="48"/>
  <c r="ONH80" i="48"/>
  <c r="ONG80" i="48"/>
  <c r="OMZ80" i="48"/>
  <c r="OMY80" i="48"/>
  <c r="OMR80" i="48"/>
  <c r="OMQ80" i="48"/>
  <c r="OMJ80" i="48"/>
  <c r="OMI80" i="48"/>
  <c r="OMB80" i="48"/>
  <c r="OMA80" i="48"/>
  <c r="OLT80" i="48"/>
  <c r="OLS80" i="48"/>
  <c r="OLL80" i="48"/>
  <c r="OLK80" i="48"/>
  <c r="OLD80" i="48"/>
  <c r="OLC80" i="48"/>
  <c r="OKV80" i="48"/>
  <c r="OKU80" i="48"/>
  <c r="OKN80" i="48"/>
  <c r="OKM80" i="48"/>
  <c r="OKF80" i="48"/>
  <c r="OKE80" i="48"/>
  <c r="OJX80" i="48"/>
  <c r="OJW80" i="48"/>
  <c r="OJP80" i="48"/>
  <c r="OJO80" i="48"/>
  <c r="OJH80" i="48"/>
  <c r="OJG80" i="48"/>
  <c r="OIZ80" i="48"/>
  <c r="OIY80" i="48"/>
  <c r="OIR80" i="48"/>
  <c r="OIQ80" i="48"/>
  <c r="OIJ80" i="48"/>
  <c r="OII80" i="48"/>
  <c r="OIB80" i="48"/>
  <c r="OIA80" i="48"/>
  <c r="OHT80" i="48"/>
  <c r="OHS80" i="48"/>
  <c r="OHL80" i="48"/>
  <c r="OHK80" i="48"/>
  <c r="OHD80" i="48"/>
  <c r="OHC80" i="48"/>
  <c r="OGV80" i="48"/>
  <c r="OGU80" i="48"/>
  <c r="OGN80" i="48"/>
  <c r="OGM80" i="48"/>
  <c r="OGF80" i="48"/>
  <c r="OGE80" i="48"/>
  <c r="OFX80" i="48"/>
  <c r="OFW80" i="48"/>
  <c r="OFP80" i="48"/>
  <c r="OFO80" i="48"/>
  <c r="OFH80" i="48"/>
  <c r="OFG80" i="48"/>
  <c r="OEZ80" i="48"/>
  <c r="OEY80" i="48"/>
  <c r="OER80" i="48"/>
  <c r="OEQ80" i="48"/>
  <c r="OEJ80" i="48"/>
  <c r="OEI80" i="48"/>
  <c r="OEB80" i="48"/>
  <c r="OEA80" i="48"/>
  <c r="ODT80" i="48"/>
  <c r="ODS80" i="48"/>
  <c r="ODL80" i="48"/>
  <c r="ODK80" i="48"/>
  <c r="ODD80" i="48"/>
  <c r="ODC80" i="48"/>
  <c r="OCV80" i="48"/>
  <c r="OCU80" i="48"/>
  <c r="OCN80" i="48"/>
  <c r="OCM80" i="48"/>
  <c r="OCF80" i="48"/>
  <c r="OCE80" i="48"/>
  <c r="OBX80" i="48"/>
  <c r="OBW80" i="48"/>
  <c r="OBP80" i="48"/>
  <c r="OBO80" i="48"/>
  <c r="OBH80" i="48"/>
  <c r="OBG80" i="48"/>
  <c r="OAZ80" i="48"/>
  <c r="OAY80" i="48"/>
  <c r="OAR80" i="48"/>
  <c r="OAQ80" i="48"/>
  <c r="OAJ80" i="48"/>
  <c r="OAI80" i="48"/>
  <c r="OAB80" i="48"/>
  <c r="OAA80" i="48"/>
  <c r="NZT80" i="48"/>
  <c r="NZS80" i="48"/>
  <c r="NZL80" i="48"/>
  <c r="NZK80" i="48"/>
  <c r="NZD80" i="48"/>
  <c r="NZC80" i="48"/>
  <c r="NYV80" i="48"/>
  <c r="NYU80" i="48"/>
  <c r="NYN80" i="48"/>
  <c r="NYM80" i="48"/>
  <c r="NYF80" i="48"/>
  <c r="NYE80" i="48"/>
  <c r="NXX80" i="48"/>
  <c r="NXW80" i="48"/>
  <c r="NXP80" i="48"/>
  <c r="NXO80" i="48"/>
  <c r="NXH80" i="48"/>
  <c r="NXG80" i="48"/>
  <c r="NWZ80" i="48"/>
  <c r="NWY80" i="48"/>
  <c r="NWR80" i="48"/>
  <c r="NWQ80" i="48"/>
  <c r="NWJ80" i="48"/>
  <c r="NWI80" i="48"/>
  <c r="NWB80" i="48"/>
  <c r="NWA80" i="48"/>
  <c r="NVT80" i="48"/>
  <c r="NVS80" i="48"/>
  <c r="NVL80" i="48"/>
  <c r="NVK80" i="48"/>
  <c r="NVD80" i="48"/>
  <c r="NVC80" i="48"/>
  <c r="NUV80" i="48"/>
  <c r="NUU80" i="48"/>
  <c r="NUN80" i="48"/>
  <c r="NUM80" i="48"/>
  <c r="NUF80" i="48"/>
  <c r="NUE80" i="48"/>
  <c r="NTX80" i="48"/>
  <c r="NTW80" i="48"/>
  <c r="NTP80" i="48"/>
  <c r="NTO80" i="48"/>
  <c r="NTH80" i="48"/>
  <c r="NTG80" i="48"/>
  <c r="NSZ80" i="48"/>
  <c r="NSY80" i="48"/>
  <c r="NSR80" i="48"/>
  <c r="NSQ80" i="48"/>
  <c r="NSJ80" i="48"/>
  <c r="NSI80" i="48"/>
  <c r="NSB80" i="48"/>
  <c r="NSA80" i="48"/>
  <c r="NRT80" i="48"/>
  <c r="NRS80" i="48"/>
  <c r="NRL80" i="48"/>
  <c r="NRK80" i="48"/>
  <c r="NRD80" i="48"/>
  <c r="NRC80" i="48"/>
  <c r="NQV80" i="48"/>
  <c r="NQU80" i="48"/>
  <c r="NQN80" i="48"/>
  <c r="NQM80" i="48"/>
  <c r="NQF80" i="48"/>
  <c r="NQE80" i="48"/>
  <c r="NPX80" i="48"/>
  <c r="NPW80" i="48"/>
  <c r="NPP80" i="48"/>
  <c r="NPO80" i="48"/>
  <c r="NPH80" i="48"/>
  <c r="NPG80" i="48"/>
  <c r="NOZ80" i="48"/>
  <c r="NOY80" i="48"/>
  <c r="NOR80" i="48"/>
  <c r="NOQ80" i="48"/>
  <c r="NOJ80" i="48"/>
  <c r="NOI80" i="48"/>
  <c r="NOB80" i="48"/>
  <c r="NOA80" i="48"/>
  <c r="NNT80" i="48"/>
  <c r="NNS80" i="48"/>
  <c r="NNL80" i="48"/>
  <c r="NNK80" i="48"/>
  <c r="NND80" i="48"/>
  <c r="NNC80" i="48"/>
  <c r="NMV80" i="48"/>
  <c r="NMU80" i="48"/>
  <c r="NMN80" i="48"/>
  <c r="NMM80" i="48"/>
  <c r="NMF80" i="48"/>
  <c r="NME80" i="48"/>
  <c r="NLX80" i="48"/>
  <c r="NLW80" i="48"/>
  <c r="NLP80" i="48"/>
  <c r="NLO80" i="48"/>
  <c r="NLH80" i="48"/>
  <c r="NLG80" i="48"/>
  <c r="NKZ80" i="48"/>
  <c r="NKY80" i="48"/>
  <c r="NKR80" i="48"/>
  <c r="NKQ80" i="48"/>
  <c r="NKJ80" i="48"/>
  <c r="NKI80" i="48"/>
  <c r="NKB80" i="48"/>
  <c r="NKA80" i="48"/>
  <c r="NJT80" i="48"/>
  <c r="NJS80" i="48"/>
  <c r="NJL80" i="48"/>
  <c r="NJK80" i="48"/>
  <c r="NJD80" i="48"/>
  <c r="NJC80" i="48"/>
  <c r="NIV80" i="48"/>
  <c r="NIU80" i="48"/>
  <c r="NIN80" i="48"/>
  <c r="NIM80" i="48"/>
  <c r="NIF80" i="48"/>
  <c r="NIE80" i="48"/>
  <c r="NHX80" i="48"/>
  <c r="NHW80" i="48"/>
  <c r="NHP80" i="48"/>
  <c r="NHO80" i="48"/>
  <c r="NHH80" i="48"/>
  <c r="NHG80" i="48"/>
  <c r="NGZ80" i="48"/>
  <c r="NGY80" i="48"/>
  <c r="NGR80" i="48"/>
  <c r="NGQ80" i="48"/>
  <c r="NGJ80" i="48"/>
  <c r="NGI80" i="48"/>
  <c r="NGB80" i="48"/>
  <c r="NGA80" i="48"/>
  <c r="NFT80" i="48"/>
  <c r="NFS80" i="48"/>
  <c r="NFL80" i="48"/>
  <c r="NFK80" i="48"/>
  <c r="NFD80" i="48"/>
  <c r="NFC80" i="48"/>
  <c r="NEV80" i="48"/>
  <c r="NEU80" i="48"/>
  <c r="NEN80" i="48"/>
  <c r="NEM80" i="48"/>
  <c r="NEF80" i="48"/>
  <c r="NEE80" i="48"/>
  <c r="NDX80" i="48"/>
  <c r="NDW80" i="48"/>
  <c r="NDP80" i="48"/>
  <c r="NDO80" i="48"/>
  <c r="NDH80" i="48"/>
  <c r="NDG80" i="48"/>
  <c r="NCZ80" i="48"/>
  <c r="NCY80" i="48"/>
  <c r="NCR80" i="48"/>
  <c r="NCQ80" i="48"/>
  <c r="NCJ80" i="48"/>
  <c r="NCI80" i="48"/>
  <c r="NCB80" i="48"/>
  <c r="NCA80" i="48"/>
  <c r="NBT80" i="48"/>
  <c r="NBS80" i="48"/>
  <c r="NBL80" i="48"/>
  <c r="NBK80" i="48"/>
  <c r="NBD80" i="48"/>
  <c r="NBC80" i="48"/>
  <c r="NAV80" i="48"/>
  <c r="NAU80" i="48"/>
  <c r="NAN80" i="48"/>
  <c r="NAM80" i="48"/>
  <c r="NAF80" i="48"/>
  <c r="NAE80" i="48"/>
  <c r="MZX80" i="48"/>
  <c r="MZW80" i="48"/>
  <c r="MZP80" i="48"/>
  <c r="MZO80" i="48"/>
  <c r="MZH80" i="48"/>
  <c r="MZG80" i="48"/>
  <c r="MYZ80" i="48"/>
  <c r="MYY80" i="48"/>
  <c r="MYR80" i="48"/>
  <c r="MYQ80" i="48"/>
  <c r="MYJ80" i="48"/>
  <c r="MYI80" i="48"/>
  <c r="MYB80" i="48"/>
  <c r="MYA80" i="48"/>
  <c r="MXT80" i="48"/>
  <c r="MXS80" i="48"/>
  <c r="MXL80" i="48"/>
  <c r="MXK80" i="48"/>
  <c r="MXD80" i="48"/>
  <c r="MXC80" i="48"/>
  <c r="MWV80" i="48"/>
  <c r="MWU80" i="48"/>
  <c r="MWN80" i="48"/>
  <c r="MWM80" i="48"/>
  <c r="MWF80" i="48"/>
  <c r="MWE80" i="48"/>
  <c r="MVX80" i="48"/>
  <c r="MVW80" i="48"/>
  <c r="MVP80" i="48"/>
  <c r="MVO80" i="48"/>
  <c r="MVH80" i="48"/>
  <c r="MVG80" i="48"/>
  <c r="MUZ80" i="48"/>
  <c r="MUY80" i="48"/>
  <c r="MUR80" i="48"/>
  <c r="MUQ80" i="48"/>
  <c r="MUJ80" i="48"/>
  <c r="MUI80" i="48"/>
  <c r="MUB80" i="48"/>
  <c r="MUA80" i="48"/>
  <c r="MTT80" i="48"/>
  <c r="MTS80" i="48"/>
  <c r="MTL80" i="48"/>
  <c r="MTK80" i="48"/>
  <c r="MTD80" i="48"/>
  <c r="MTC80" i="48"/>
  <c r="MSV80" i="48"/>
  <c r="MSU80" i="48"/>
  <c r="MSN80" i="48"/>
  <c r="MSM80" i="48"/>
  <c r="MSF80" i="48"/>
  <c r="MSE80" i="48"/>
  <c r="MRX80" i="48"/>
  <c r="MRW80" i="48"/>
  <c r="MRP80" i="48"/>
  <c r="MRO80" i="48"/>
  <c r="MRH80" i="48"/>
  <c r="MRG80" i="48"/>
  <c r="MQZ80" i="48"/>
  <c r="MQY80" i="48"/>
  <c r="MQR80" i="48"/>
  <c r="MQQ80" i="48"/>
  <c r="MQJ80" i="48"/>
  <c r="MQI80" i="48"/>
  <c r="MQB80" i="48"/>
  <c r="MQA80" i="48"/>
  <c r="MPT80" i="48"/>
  <c r="MPS80" i="48"/>
  <c r="MPL80" i="48"/>
  <c r="MPK80" i="48"/>
  <c r="MPD80" i="48"/>
  <c r="MPC80" i="48"/>
  <c r="MOV80" i="48"/>
  <c r="MOU80" i="48"/>
  <c r="MON80" i="48"/>
  <c r="MOM80" i="48"/>
  <c r="MOF80" i="48"/>
  <c r="MOE80" i="48"/>
  <c r="MNX80" i="48"/>
  <c r="MNW80" i="48"/>
  <c r="MNP80" i="48"/>
  <c r="MNO80" i="48"/>
  <c r="MNH80" i="48"/>
  <c r="MNG80" i="48"/>
  <c r="MMZ80" i="48"/>
  <c r="MMY80" i="48"/>
  <c r="MMR80" i="48"/>
  <c r="MMQ80" i="48"/>
  <c r="MMJ80" i="48"/>
  <c r="MMI80" i="48"/>
  <c r="MMB80" i="48"/>
  <c r="MMA80" i="48"/>
  <c r="MLT80" i="48"/>
  <c r="MLS80" i="48"/>
  <c r="MLL80" i="48"/>
  <c r="MLK80" i="48"/>
  <c r="MLD80" i="48"/>
  <c r="MLC80" i="48"/>
  <c r="MKV80" i="48"/>
  <c r="MKU80" i="48"/>
  <c r="MKN80" i="48"/>
  <c r="MKM80" i="48"/>
  <c r="MKF80" i="48"/>
  <c r="MKE80" i="48"/>
  <c r="MJX80" i="48"/>
  <c r="MJW80" i="48"/>
  <c r="MJP80" i="48"/>
  <c r="MJO80" i="48"/>
  <c r="MJH80" i="48"/>
  <c r="MJG80" i="48"/>
  <c r="MIZ80" i="48"/>
  <c r="MIY80" i="48"/>
  <c r="MIR80" i="48"/>
  <c r="MIQ80" i="48"/>
  <c r="MIJ80" i="48"/>
  <c r="MII80" i="48"/>
  <c r="MIB80" i="48"/>
  <c r="MIA80" i="48"/>
  <c r="MHT80" i="48"/>
  <c r="MHS80" i="48"/>
  <c r="MHL80" i="48"/>
  <c r="MHK80" i="48"/>
  <c r="MHD80" i="48"/>
  <c r="MHC80" i="48"/>
  <c r="MGV80" i="48"/>
  <c r="MGU80" i="48"/>
  <c r="MGN80" i="48"/>
  <c r="MGM80" i="48"/>
  <c r="MGF80" i="48"/>
  <c r="MGE80" i="48"/>
  <c r="MFX80" i="48"/>
  <c r="MFW80" i="48"/>
  <c r="MFP80" i="48"/>
  <c r="MFO80" i="48"/>
  <c r="MFH80" i="48"/>
  <c r="MFG80" i="48"/>
  <c r="MEZ80" i="48"/>
  <c r="MEY80" i="48"/>
  <c r="MER80" i="48"/>
  <c r="MEQ80" i="48"/>
  <c r="MEJ80" i="48"/>
  <c r="MEI80" i="48"/>
  <c r="MEB80" i="48"/>
  <c r="MEA80" i="48"/>
  <c r="MDT80" i="48"/>
  <c r="MDS80" i="48"/>
  <c r="MDL80" i="48"/>
  <c r="MDK80" i="48"/>
  <c r="MDD80" i="48"/>
  <c r="MDC80" i="48"/>
  <c r="MCV80" i="48"/>
  <c r="MCU80" i="48"/>
  <c r="MCN80" i="48"/>
  <c r="MCM80" i="48"/>
  <c r="MCF80" i="48"/>
  <c r="MCE80" i="48"/>
  <c r="MBX80" i="48"/>
  <c r="MBW80" i="48"/>
  <c r="MBP80" i="48"/>
  <c r="MBO80" i="48"/>
  <c r="MBH80" i="48"/>
  <c r="MBG80" i="48"/>
  <c r="MAZ80" i="48"/>
  <c r="MAY80" i="48"/>
  <c r="MAR80" i="48"/>
  <c r="MAQ80" i="48"/>
  <c r="MAJ80" i="48"/>
  <c r="MAI80" i="48"/>
  <c r="MAB80" i="48"/>
  <c r="MAA80" i="48"/>
  <c r="LZT80" i="48"/>
  <c r="LZS80" i="48"/>
  <c r="LZL80" i="48"/>
  <c r="LZK80" i="48"/>
  <c r="LZD80" i="48"/>
  <c r="LZC80" i="48"/>
  <c r="LYV80" i="48"/>
  <c r="LYU80" i="48"/>
  <c r="LYN80" i="48"/>
  <c r="LYM80" i="48"/>
  <c r="LYF80" i="48"/>
  <c r="LYE80" i="48"/>
  <c r="LXX80" i="48"/>
  <c r="LXW80" i="48"/>
  <c r="LXP80" i="48"/>
  <c r="LXO80" i="48"/>
  <c r="LXH80" i="48"/>
  <c r="LXG80" i="48"/>
  <c r="LWZ80" i="48"/>
  <c r="LWY80" i="48"/>
  <c r="LWR80" i="48"/>
  <c r="LWQ80" i="48"/>
  <c r="LWJ80" i="48"/>
  <c r="LWI80" i="48"/>
  <c r="LWB80" i="48"/>
  <c r="LWA80" i="48"/>
  <c r="LVT80" i="48"/>
  <c r="LVS80" i="48"/>
  <c r="LVL80" i="48"/>
  <c r="LVK80" i="48"/>
  <c r="LVD80" i="48"/>
  <c r="LVC80" i="48"/>
  <c r="LUV80" i="48"/>
  <c r="LUU80" i="48"/>
  <c r="LUN80" i="48"/>
  <c r="LUM80" i="48"/>
  <c r="LUF80" i="48"/>
  <c r="LUE80" i="48"/>
  <c r="LTX80" i="48"/>
  <c r="LTW80" i="48"/>
  <c r="LTP80" i="48"/>
  <c r="LTO80" i="48"/>
  <c r="LTH80" i="48"/>
  <c r="LTG80" i="48"/>
  <c r="LSZ80" i="48"/>
  <c r="LSY80" i="48"/>
  <c r="LSR80" i="48"/>
  <c r="LSQ80" i="48"/>
  <c r="LSJ80" i="48"/>
  <c r="LSI80" i="48"/>
  <c r="LSB80" i="48"/>
  <c r="LSA80" i="48"/>
  <c r="LRT80" i="48"/>
  <c r="LRS80" i="48"/>
  <c r="LRL80" i="48"/>
  <c r="LRK80" i="48"/>
  <c r="LRD80" i="48"/>
  <c r="LRC80" i="48"/>
  <c r="LQV80" i="48"/>
  <c r="LQU80" i="48"/>
  <c r="LQN80" i="48"/>
  <c r="LQM80" i="48"/>
  <c r="LQF80" i="48"/>
  <c r="LQE80" i="48"/>
  <c r="LPX80" i="48"/>
  <c r="LPW80" i="48"/>
  <c r="LPP80" i="48"/>
  <c r="LPO80" i="48"/>
  <c r="LPH80" i="48"/>
  <c r="LPG80" i="48"/>
  <c r="LOZ80" i="48"/>
  <c r="LOY80" i="48"/>
  <c r="LOR80" i="48"/>
  <c r="LOQ80" i="48"/>
  <c r="LOJ80" i="48"/>
  <c r="LOI80" i="48"/>
  <c r="LOB80" i="48"/>
  <c r="LOA80" i="48"/>
  <c r="LNT80" i="48"/>
  <c r="LNS80" i="48"/>
  <c r="LNL80" i="48"/>
  <c r="LNK80" i="48"/>
  <c r="LND80" i="48"/>
  <c r="LNC80" i="48"/>
  <c r="LMV80" i="48"/>
  <c r="LMU80" i="48"/>
  <c r="LMN80" i="48"/>
  <c r="LMM80" i="48"/>
  <c r="LMF80" i="48"/>
  <c r="LME80" i="48"/>
  <c r="LLX80" i="48"/>
  <c r="LLW80" i="48"/>
  <c r="LLP80" i="48"/>
  <c r="LLO80" i="48"/>
  <c r="LLH80" i="48"/>
  <c r="LLG80" i="48"/>
  <c r="LKZ80" i="48"/>
  <c r="LKY80" i="48"/>
  <c r="LKR80" i="48"/>
  <c r="LKQ80" i="48"/>
  <c r="LKJ80" i="48"/>
  <c r="LKI80" i="48"/>
  <c r="LKB80" i="48"/>
  <c r="LKA80" i="48"/>
  <c r="LJT80" i="48"/>
  <c r="LJS80" i="48"/>
  <c r="LJL80" i="48"/>
  <c r="LJK80" i="48"/>
  <c r="LJD80" i="48"/>
  <c r="LJC80" i="48"/>
  <c r="LIV80" i="48"/>
  <c r="LIU80" i="48"/>
  <c r="LIN80" i="48"/>
  <c r="LIM80" i="48"/>
  <c r="LIF80" i="48"/>
  <c r="LIE80" i="48"/>
  <c r="LHX80" i="48"/>
  <c r="LHW80" i="48"/>
  <c r="LHP80" i="48"/>
  <c r="LHO80" i="48"/>
  <c r="LHH80" i="48"/>
  <c r="LHG80" i="48"/>
  <c r="LGZ80" i="48"/>
  <c r="LGY80" i="48"/>
  <c r="LGR80" i="48"/>
  <c r="LGQ80" i="48"/>
  <c r="LGJ80" i="48"/>
  <c r="LGI80" i="48"/>
  <c r="LGB80" i="48"/>
  <c r="LGA80" i="48"/>
  <c r="LFT80" i="48"/>
  <c r="LFS80" i="48"/>
  <c r="LFL80" i="48"/>
  <c r="LFK80" i="48"/>
  <c r="LFD80" i="48"/>
  <c r="LFC80" i="48"/>
  <c r="LEV80" i="48"/>
  <c r="LEU80" i="48"/>
  <c r="LEN80" i="48"/>
  <c r="LEM80" i="48"/>
  <c r="LEF80" i="48"/>
  <c r="LEE80" i="48"/>
  <c r="LDX80" i="48"/>
  <c r="LDW80" i="48"/>
  <c r="LDP80" i="48"/>
  <c r="LDO80" i="48"/>
  <c r="LDH80" i="48"/>
  <c r="LDG80" i="48"/>
  <c r="LCZ80" i="48"/>
  <c r="LCY80" i="48"/>
  <c r="LCR80" i="48"/>
  <c r="LCQ80" i="48"/>
  <c r="LCJ80" i="48"/>
  <c r="LCI80" i="48"/>
  <c r="LCB80" i="48"/>
  <c r="LCA80" i="48"/>
  <c r="LBT80" i="48"/>
  <c r="LBS80" i="48"/>
  <c r="LBL80" i="48"/>
  <c r="LBK80" i="48"/>
  <c r="LBD80" i="48"/>
  <c r="LBC80" i="48"/>
  <c r="LAV80" i="48"/>
  <c r="LAU80" i="48"/>
  <c r="LAN80" i="48"/>
  <c r="LAM80" i="48"/>
  <c r="LAF80" i="48"/>
  <c r="LAE80" i="48"/>
  <c r="KZX80" i="48"/>
  <c r="KZW80" i="48"/>
  <c r="KZP80" i="48"/>
  <c r="KZO80" i="48"/>
  <c r="KZH80" i="48"/>
  <c r="KZG80" i="48"/>
  <c r="KYZ80" i="48"/>
  <c r="KYY80" i="48"/>
  <c r="KYR80" i="48"/>
  <c r="KYQ80" i="48"/>
  <c r="KYJ80" i="48"/>
  <c r="KYI80" i="48"/>
  <c r="KYB80" i="48"/>
  <c r="KYA80" i="48"/>
  <c r="KXT80" i="48"/>
  <c r="KXS80" i="48"/>
  <c r="KXL80" i="48"/>
  <c r="KXK80" i="48"/>
  <c r="KXD80" i="48"/>
  <c r="KXC80" i="48"/>
  <c r="KWV80" i="48"/>
  <c r="KWU80" i="48"/>
  <c r="KWN80" i="48"/>
  <c r="KWM80" i="48"/>
  <c r="KWF80" i="48"/>
  <c r="KWE80" i="48"/>
  <c r="KVX80" i="48"/>
  <c r="KVW80" i="48"/>
  <c r="KVP80" i="48"/>
  <c r="KVO80" i="48"/>
  <c r="KVH80" i="48"/>
  <c r="KVG80" i="48"/>
  <c r="KUZ80" i="48"/>
  <c r="KUY80" i="48"/>
  <c r="KUR80" i="48"/>
  <c r="KUQ80" i="48"/>
  <c r="KUJ80" i="48"/>
  <c r="KUI80" i="48"/>
  <c r="KUB80" i="48"/>
  <c r="KUA80" i="48"/>
  <c r="KTT80" i="48"/>
  <c r="KTS80" i="48"/>
  <c r="KTL80" i="48"/>
  <c r="KTK80" i="48"/>
  <c r="KTD80" i="48"/>
  <c r="KTC80" i="48"/>
  <c r="KSV80" i="48"/>
  <c r="KSU80" i="48"/>
  <c r="KSN80" i="48"/>
  <c r="KSM80" i="48"/>
  <c r="KSF80" i="48"/>
  <c r="KSE80" i="48"/>
  <c r="KRX80" i="48"/>
  <c r="KRW80" i="48"/>
  <c r="KRP80" i="48"/>
  <c r="KRO80" i="48"/>
  <c r="KRH80" i="48"/>
  <c r="KRG80" i="48"/>
  <c r="KQZ80" i="48"/>
  <c r="KQY80" i="48"/>
  <c r="KQR80" i="48"/>
  <c r="KQQ80" i="48"/>
  <c r="KQJ80" i="48"/>
  <c r="KQI80" i="48"/>
  <c r="KQB80" i="48"/>
  <c r="KQA80" i="48"/>
  <c r="KPT80" i="48"/>
  <c r="KPS80" i="48"/>
  <c r="KPL80" i="48"/>
  <c r="KPK80" i="48"/>
  <c r="KPD80" i="48"/>
  <c r="KPC80" i="48"/>
  <c r="KOV80" i="48"/>
  <c r="KOU80" i="48"/>
  <c r="KON80" i="48"/>
  <c r="KOM80" i="48"/>
  <c r="KOF80" i="48"/>
  <c r="KOE80" i="48"/>
  <c r="KNX80" i="48"/>
  <c r="KNW80" i="48"/>
  <c r="KNP80" i="48"/>
  <c r="KNO80" i="48"/>
  <c r="KNH80" i="48"/>
  <c r="KNG80" i="48"/>
  <c r="KMZ80" i="48"/>
  <c r="KMY80" i="48"/>
  <c r="KMR80" i="48"/>
  <c r="KMQ80" i="48"/>
  <c r="KMJ80" i="48"/>
  <c r="KMI80" i="48"/>
  <c r="KMB80" i="48"/>
  <c r="KMA80" i="48"/>
  <c r="KLT80" i="48"/>
  <c r="KLS80" i="48"/>
  <c r="KLL80" i="48"/>
  <c r="KLK80" i="48"/>
  <c r="KLD80" i="48"/>
  <c r="KLC80" i="48"/>
  <c r="KKV80" i="48"/>
  <c r="KKU80" i="48"/>
  <c r="KKN80" i="48"/>
  <c r="KKM80" i="48"/>
  <c r="KKF80" i="48"/>
  <c r="KKE80" i="48"/>
  <c r="KJX80" i="48"/>
  <c r="KJW80" i="48"/>
  <c r="KJP80" i="48"/>
  <c r="KJO80" i="48"/>
  <c r="KJH80" i="48"/>
  <c r="KJG80" i="48"/>
  <c r="KIZ80" i="48"/>
  <c r="KIY80" i="48"/>
  <c r="KIR80" i="48"/>
  <c r="KIQ80" i="48"/>
  <c r="KIJ80" i="48"/>
  <c r="KII80" i="48"/>
  <c r="KIB80" i="48"/>
  <c r="KIA80" i="48"/>
  <c r="KHT80" i="48"/>
  <c r="KHS80" i="48"/>
  <c r="KHL80" i="48"/>
  <c r="KHK80" i="48"/>
  <c r="KHD80" i="48"/>
  <c r="KHC80" i="48"/>
  <c r="KGV80" i="48"/>
  <c r="KGU80" i="48"/>
  <c r="KGN80" i="48"/>
  <c r="KGM80" i="48"/>
  <c r="KGF80" i="48"/>
  <c r="KGE80" i="48"/>
  <c r="KFX80" i="48"/>
  <c r="KFW80" i="48"/>
  <c r="KFP80" i="48"/>
  <c r="KFO80" i="48"/>
  <c r="KFH80" i="48"/>
  <c r="KFG80" i="48"/>
  <c r="KEZ80" i="48"/>
  <c r="KEY80" i="48"/>
  <c r="KER80" i="48"/>
  <c r="KEQ80" i="48"/>
  <c r="KEJ80" i="48"/>
  <c r="KEI80" i="48"/>
  <c r="KEB80" i="48"/>
  <c r="KEA80" i="48"/>
  <c r="KDT80" i="48"/>
  <c r="KDS80" i="48"/>
  <c r="KDL80" i="48"/>
  <c r="KDK80" i="48"/>
  <c r="KDD80" i="48"/>
  <c r="KDC80" i="48"/>
  <c r="KCV80" i="48"/>
  <c r="KCU80" i="48"/>
  <c r="KCN80" i="48"/>
  <c r="KCM80" i="48"/>
  <c r="KCF80" i="48"/>
  <c r="KCE80" i="48"/>
  <c r="KBX80" i="48"/>
  <c r="KBW80" i="48"/>
  <c r="KBP80" i="48"/>
  <c r="KBO80" i="48"/>
  <c r="KBH80" i="48"/>
  <c r="KBG80" i="48"/>
  <c r="KAZ80" i="48"/>
  <c r="KAY80" i="48"/>
  <c r="KAR80" i="48"/>
  <c r="KAQ80" i="48"/>
  <c r="KAJ80" i="48"/>
  <c r="KAI80" i="48"/>
  <c r="KAB80" i="48"/>
  <c r="KAA80" i="48"/>
  <c r="JZT80" i="48"/>
  <c r="JZS80" i="48"/>
  <c r="JZL80" i="48"/>
  <c r="JZK80" i="48"/>
  <c r="JZD80" i="48"/>
  <c r="JZC80" i="48"/>
  <c r="JYV80" i="48"/>
  <c r="JYU80" i="48"/>
  <c r="JYN80" i="48"/>
  <c r="JYM80" i="48"/>
  <c r="JYF80" i="48"/>
  <c r="JYE80" i="48"/>
  <c r="JXX80" i="48"/>
  <c r="JXW80" i="48"/>
  <c r="JXP80" i="48"/>
  <c r="JXO80" i="48"/>
  <c r="JXH80" i="48"/>
  <c r="JXG80" i="48"/>
  <c r="JWZ80" i="48"/>
  <c r="JWY80" i="48"/>
  <c r="JWR80" i="48"/>
  <c r="JWQ80" i="48"/>
  <c r="JWJ80" i="48"/>
  <c r="JWI80" i="48"/>
  <c r="JWB80" i="48"/>
  <c r="JWA80" i="48"/>
  <c r="JVT80" i="48"/>
  <c r="JVS80" i="48"/>
  <c r="JVL80" i="48"/>
  <c r="JVK80" i="48"/>
  <c r="JVD80" i="48"/>
  <c r="JVC80" i="48"/>
  <c r="JUV80" i="48"/>
  <c r="JUU80" i="48"/>
  <c r="JUN80" i="48"/>
  <c r="JUM80" i="48"/>
  <c r="JUF80" i="48"/>
  <c r="JUE80" i="48"/>
  <c r="JTX80" i="48"/>
  <c r="JTW80" i="48"/>
  <c r="JTP80" i="48"/>
  <c r="JTO80" i="48"/>
  <c r="JTH80" i="48"/>
  <c r="JTG80" i="48"/>
  <c r="JSZ80" i="48"/>
  <c r="JSY80" i="48"/>
  <c r="JSR80" i="48"/>
  <c r="JSQ80" i="48"/>
  <c r="JSJ80" i="48"/>
  <c r="JSI80" i="48"/>
  <c r="JSB80" i="48"/>
  <c r="JSA80" i="48"/>
  <c r="JRT80" i="48"/>
  <c r="JRS80" i="48"/>
  <c r="JRL80" i="48"/>
  <c r="JRK80" i="48"/>
  <c r="JRD80" i="48"/>
  <c r="JRC80" i="48"/>
  <c r="JQV80" i="48"/>
  <c r="JQU80" i="48"/>
  <c r="JQN80" i="48"/>
  <c r="JQM80" i="48"/>
  <c r="JQF80" i="48"/>
  <c r="JQE80" i="48"/>
  <c r="JPX80" i="48"/>
  <c r="JPW80" i="48"/>
  <c r="JPP80" i="48"/>
  <c r="JPO80" i="48"/>
  <c r="JPH80" i="48"/>
  <c r="JPG80" i="48"/>
  <c r="JOZ80" i="48"/>
  <c r="JOY80" i="48"/>
  <c r="JOR80" i="48"/>
  <c r="JOQ80" i="48"/>
  <c r="JOJ80" i="48"/>
  <c r="JOI80" i="48"/>
  <c r="JOB80" i="48"/>
  <c r="JOA80" i="48"/>
  <c r="JNT80" i="48"/>
  <c r="JNS80" i="48"/>
  <c r="JNL80" i="48"/>
  <c r="JNK80" i="48"/>
  <c r="JND80" i="48"/>
  <c r="JNC80" i="48"/>
  <c r="JMV80" i="48"/>
  <c r="JMU80" i="48"/>
  <c r="JMN80" i="48"/>
  <c r="JMM80" i="48"/>
  <c r="JMF80" i="48"/>
  <c r="JME80" i="48"/>
  <c r="JLX80" i="48"/>
  <c r="JLW80" i="48"/>
  <c r="JLP80" i="48"/>
  <c r="JLO80" i="48"/>
  <c r="JLH80" i="48"/>
  <c r="JLG80" i="48"/>
  <c r="JKZ80" i="48"/>
  <c r="JKY80" i="48"/>
  <c r="JKR80" i="48"/>
  <c r="JKQ80" i="48"/>
  <c r="JKJ80" i="48"/>
  <c r="JKI80" i="48"/>
  <c r="JKB80" i="48"/>
  <c r="JKA80" i="48"/>
  <c r="JJT80" i="48"/>
  <c r="JJS80" i="48"/>
  <c r="JJL80" i="48"/>
  <c r="JJK80" i="48"/>
  <c r="JJD80" i="48"/>
  <c r="JJC80" i="48"/>
  <c r="JIV80" i="48"/>
  <c r="JIU80" i="48"/>
  <c r="JIN80" i="48"/>
  <c r="JIM80" i="48"/>
  <c r="JIF80" i="48"/>
  <c r="JIE80" i="48"/>
  <c r="JHX80" i="48"/>
  <c r="JHW80" i="48"/>
  <c r="JHP80" i="48"/>
  <c r="JHO80" i="48"/>
  <c r="JHH80" i="48"/>
  <c r="JHG80" i="48"/>
  <c r="JGZ80" i="48"/>
  <c r="JGY80" i="48"/>
  <c r="JGR80" i="48"/>
  <c r="JGQ80" i="48"/>
  <c r="JGJ80" i="48"/>
  <c r="JGI80" i="48"/>
  <c r="JGB80" i="48"/>
  <c r="JGA80" i="48"/>
  <c r="JFT80" i="48"/>
  <c r="JFS80" i="48"/>
  <c r="JFL80" i="48"/>
  <c r="JFK80" i="48"/>
  <c r="JFD80" i="48"/>
  <c r="JFC80" i="48"/>
  <c r="JEV80" i="48"/>
  <c r="JEU80" i="48"/>
  <c r="JEN80" i="48"/>
  <c r="JEM80" i="48"/>
  <c r="JEF80" i="48"/>
  <c r="JEE80" i="48"/>
  <c r="JDX80" i="48"/>
  <c r="JDW80" i="48"/>
  <c r="JDP80" i="48"/>
  <c r="JDO80" i="48"/>
  <c r="JDH80" i="48"/>
  <c r="JDG80" i="48"/>
  <c r="JCZ80" i="48"/>
  <c r="JCY80" i="48"/>
  <c r="JCR80" i="48"/>
  <c r="JCQ80" i="48"/>
  <c r="JCJ80" i="48"/>
  <c r="JCI80" i="48"/>
  <c r="JCB80" i="48"/>
  <c r="JCA80" i="48"/>
  <c r="JBT80" i="48"/>
  <c r="JBS80" i="48"/>
  <c r="JBL80" i="48"/>
  <c r="JBK80" i="48"/>
  <c r="JBD80" i="48"/>
  <c r="JBC80" i="48"/>
  <c r="JAV80" i="48"/>
  <c r="JAU80" i="48"/>
  <c r="JAN80" i="48"/>
  <c r="JAM80" i="48"/>
  <c r="JAF80" i="48"/>
  <c r="JAE80" i="48"/>
  <c r="IZX80" i="48"/>
  <c r="IZW80" i="48"/>
  <c r="IZP80" i="48"/>
  <c r="IZO80" i="48"/>
  <c r="IZH80" i="48"/>
  <c r="IZG80" i="48"/>
  <c r="IYZ80" i="48"/>
  <c r="IYY80" i="48"/>
  <c r="IYR80" i="48"/>
  <c r="IYQ80" i="48"/>
  <c r="IYJ80" i="48"/>
  <c r="IYI80" i="48"/>
  <c r="IYB80" i="48"/>
  <c r="IYA80" i="48"/>
  <c r="IXT80" i="48"/>
  <c r="IXS80" i="48"/>
  <c r="IXL80" i="48"/>
  <c r="IXK80" i="48"/>
  <c r="IXD80" i="48"/>
  <c r="IXC80" i="48"/>
  <c r="IWV80" i="48"/>
  <c r="IWU80" i="48"/>
  <c r="IWN80" i="48"/>
  <c r="IWM80" i="48"/>
  <c r="IWF80" i="48"/>
  <c r="IWE80" i="48"/>
  <c r="IVX80" i="48"/>
  <c r="IVW80" i="48"/>
  <c r="IVP80" i="48"/>
  <c r="IVO80" i="48"/>
  <c r="IVH80" i="48"/>
  <c r="IVG80" i="48"/>
  <c r="IUZ80" i="48"/>
  <c r="IUY80" i="48"/>
  <c r="IUR80" i="48"/>
  <c r="IUQ80" i="48"/>
  <c r="IUJ80" i="48"/>
  <c r="IUI80" i="48"/>
  <c r="IUB80" i="48"/>
  <c r="IUA80" i="48"/>
  <c r="ITT80" i="48"/>
  <c r="ITS80" i="48"/>
  <c r="ITL80" i="48"/>
  <c r="ITK80" i="48"/>
  <c r="ITD80" i="48"/>
  <c r="ITC80" i="48"/>
  <c r="ISV80" i="48"/>
  <c r="ISU80" i="48"/>
  <c r="ISN80" i="48"/>
  <c r="ISM80" i="48"/>
  <c r="ISF80" i="48"/>
  <c r="ISE80" i="48"/>
  <c r="IRX80" i="48"/>
  <c r="IRW80" i="48"/>
  <c r="IRP80" i="48"/>
  <c r="IRO80" i="48"/>
  <c r="IRH80" i="48"/>
  <c r="IRG80" i="48"/>
  <c r="IQZ80" i="48"/>
  <c r="IQY80" i="48"/>
  <c r="IQR80" i="48"/>
  <c r="IQQ80" i="48"/>
  <c r="IQJ80" i="48"/>
  <c r="IQI80" i="48"/>
  <c r="IQB80" i="48"/>
  <c r="IQA80" i="48"/>
  <c r="IPT80" i="48"/>
  <c r="IPS80" i="48"/>
  <c r="IPL80" i="48"/>
  <c r="IPK80" i="48"/>
  <c r="IPD80" i="48"/>
  <c r="IPC80" i="48"/>
  <c r="IOV80" i="48"/>
  <c r="IOU80" i="48"/>
  <c r="ION80" i="48"/>
  <c r="IOM80" i="48"/>
  <c r="IOF80" i="48"/>
  <c r="IOE80" i="48"/>
  <c r="INX80" i="48"/>
  <c r="INW80" i="48"/>
  <c r="INP80" i="48"/>
  <c r="INO80" i="48"/>
  <c r="INH80" i="48"/>
  <c r="ING80" i="48"/>
  <c r="IMZ80" i="48"/>
  <c r="IMY80" i="48"/>
  <c r="IMR80" i="48"/>
  <c r="IMQ80" i="48"/>
  <c r="IMJ80" i="48"/>
  <c r="IMI80" i="48"/>
  <c r="IMB80" i="48"/>
  <c r="IMA80" i="48"/>
  <c r="ILT80" i="48"/>
  <c r="ILS80" i="48"/>
  <c r="ILL80" i="48"/>
  <c r="ILK80" i="48"/>
  <c r="ILD80" i="48"/>
  <c r="ILC80" i="48"/>
  <c r="IKV80" i="48"/>
  <c r="IKU80" i="48"/>
  <c r="IKN80" i="48"/>
  <c r="IKM80" i="48"/>
  <c r="IKF80" i="48"/>
  <c r="IKE80" i="48"/>
  <c r="IJX80" i="48"/>
  <c r="IJW80" i="48"/>
  <c r="IJP80" i="48"/>
  <c r="IJO80" i="48"/>
  <c r="IJH80" i="48"/>
  <c r="IJG80" i="48"/>
  <c r="IIZ80" i="48"/>
  <c r="IIY80" i="48"/>
  <c r="IIR80" i="48"/>
  <c r="IIQ80" i="48"/>
  <c r="IIJ80" i="48"/>
  <c r="III80" i="48"/>
  <c r="IIB80" i="48"/>
  <c r="IIA80" i="48"/>
  <c r="IHT80" i="48"/>
  <c r="IHS80" i="48"/>
  <c r="IHL80" i="48"/>
  <c r="IHK80" i="48"/>
  <c r="IHD80" i="48"/>
  <c r="IHC80" i="48"/>
  <c r="IGV80" i="48"/>
  <c r="IGU80" i="48"/>
  <c r="IGN80" i="48"/>
  <c r="IGM80" i="48"/>
  <c r="IGF80" i="48"/>
  <c r="IGE80" i="48"/>
  <c r="IFX80" i="48"/>
  <c r="IFW80" i="48"/>
  <c r="IFP80" i="48"/>
  <c r="IFO80" i="48"/>
  <c r="IFH80" i="48"/>
  <c r="IFG80" i="48"/>
  <c r="IEZ80" i="48"/>
  <c r="IEY80" i="48"/>
  <c r="IER80" i="48"/>
  <c r="IEQ80" i="48"/>
  <c r="IEJ80" i="48"/>
  <c r="IEI80" i="48"/>
  <c r="IEB80" i="48"/>
  <c r="IEA80" i="48"/>
  <c r="IDT80" i="48"/>
  <c r="IDS80" i="48"/>
  <c r="IDL80" i="48"/>
  <c r="IDK80" i="48"/>
  <c r="IDD80" i="48"/>
  <c r="IDC80" i="48"/>
  <c r="ICV80" i="48"/>
  <c r="ICU80" i="48"/>
  <c r="ICN80" i="48"/>
  <c r="ICM80" i="48"/>
  <c r="ICF80" i="48"/>
  <c r="ICE80" i="48"/>
  <c r="IBX80" i="48"/>
  <c r="IBW80" i="48"/>
  <c r="IBP80" i="48"/>
  <c r="IBO80" i="48"/>
  <c r="IBH80" i="48"/>
  <c r="IBG80" i="48"/>
  <c r="IAZ80" i="48"/>
  <c r="IAY80" i="48"/>
  <c r="IAR80" i="48"/>
  <c r="IAQ80" i="48"/>
  <c r="IAJ80" i="48"/>
  <c r="IAI80" i="48"/>
  <c r="IAB80" i="48"/>
  <c r="IAA80" i="48"/>
  <c r="HZT80" i="48"/>
  <c r="HZS80" i="48"/>
  <c r="HZL80" i="48"/>
  <c r="HZK80" i="48"/>
  <c r="HZD80" i="48"/>
  <c r="HZC80" i="48"/>
  <c r="HYV80" i="48"/>
  <c r="HYU80" i="48"/>
  <c r="HYN80" i="48"/>
  <c r="HYM80" i="48"/>
  <c r="HYF80" i="48"/>
  <c r="HYE80" i="48"/>
  <c r="HXX80" i="48"/>
  <c r="HXW80" i="48"/>
  <c r="HXP80" i="48"/>
  <c r="HXO80" i="48"/>
  <c r="HXH80" i="48"/>
  <c r="HXG80" i="48"/>
  <c r="HWZ80" i="48"/>
  <c r="HWY80" i="48"/>
  <c r="HWR80" i="48"/>
  <c r="HWQ80" i="48"/>
  <c r="HWJ80" i="48"/>
  <c r="HWI80" i="48"/>
  <c r="HWB80" i="48"/>
  <c r="HWA80" i="48"/>
  <c r="HVT80" i="48"/>
  <c r="HVS80" i="48"/>
  <c r="HVL80" i="48"/>
  <c r="HVK80" i="48"/>
  <c r="HVD80" i="48"/>
  <c r="HVC80" i="48"/>
  <c r="HUV80" i="48"/>
  <c r="HUU80" i="48"/>
  <c r="HUN80" i="48"/>
  <c r="HUM80" i="48"/>
  <c r="HUF80" i="48"/>
  <c r="HUE80" i="48"/>
  <c r="HTX80" i="48"/>
  <c r="HTW80" i="48"/>
  <c r="HTP80" i="48"/>
  <c r="HTO80" i="48"/>
  <c r="HTH80" i="48"/>
  <c r="HTG80" i="48"/>
  <c r="HSZ80" i="48"/>
  <c r="HSY80" i="48"/>
  <c r="HSR80" i="48"/>
  <c r="HSQ80" i="48"/>
  <c r="HSJ80" i="48"/>
  <c r="HSI80" i="48"/>
  <c r="HSB80" i="48"/>
  <c r="HSA80" i="48"/>
  <c r="HRT80" i="48"/>
  <c r="HRS80" i="48"/>
  <c r="HRL80" i="48"/>
  <c r="HRK80" i="48"/>
  <c r="HRD80" i="48"/>
  <c r="HRC80" i="48"/>
  <c r="HQV80" i="48"/>
  <c r="HQU80" i="48"/>
  <c r="HQN80" i="48"/>
  <c r="HQM80" i="48"/>
  <c r="HQF80" i="48"/>
  <c r="HQE80" i="48"/>
  <c r="HPX80" i="48"/>
  <c r="HPW80" i="48"/>
  <c r="HPP80" i="48"/>
  <c r="HPO80" i="48"/>
  <c r="HPH80" i="48"/>
  <c r="HPG80" i="48"/>
  <c r="HOZ80" i="48"/>
  <c r="HOY80" i="48"/>
  <c r="HOR80" i="48"/>
  <c r="HOQ80" i="48"/>
  <c r="HOJ80" i="48"/>
  <c r="HOI80" i="48"/>
  <c r="HOB80" i="48"/>
  <c r="HOA80" i="48"/>
  <c r="HNT80" i="48"/>
  <c r="HNS80" i="48"/>
  <c r="HNL80" i="48"/>
  <c r="HNK80" i="48"/>
  <c r="HND80" i="48"/>
  <c r="HNC80" i="48"/>
  <c r="HMV80" i="48"/>
  <c r="HMU80" i="48"/>
  <c r="HMN80" i="48"/>
  <c r="HMM80" i="48"/>
  <c r="HMF80" i="48"/>
  <c r="HME80" i="48"/>
  <c r="HLX80" i="48"/>
  <c r="HLW80" i="48"/>
  <c r="HLP80" i="48"/>
  <c r="HLO80" i="48"/>
  <c r="HLH80" i="48"/>
  <c r="HLG80" i="48"/>
  <c r="HKZ80" i="48"/>
  <c r="HKY80" i="48"/>
  <c r="HKR80" i="48"/>
  <c r="HKQ80" i="48"/>
  <c r="HKJ80" i="48"/>
  <c r="HKI80" i="48"/>
  <c r="HKB80" i="48"/>
  <c r="HKA80" i="48"/>
  <c r="HJT80" i="48"/>
  <c r="HJS80" i="48"/>
  <c r="HJL80" i="48"/>
  <c r="HJK80" i="48"/>
  <c r="HJD80" i="48"/>
  <c r="HJC80" i="48"/>
  <c r="HIV80" i="48"/>
  <c r="HIU80" i="48"/>
  <c r="HIN80" i="48"/>
  <c r="HIM80" i="48"/>
  <c r="HIF80" i="48"/>
  <c r="HIE80" i="48"/>
  <c r="HHX80" i="48"/>
  <c r="HHW80" i="48"/>
  <c r="HHP80" i="48"/>
  <c r="HHO80" i="48"/>
  <c r="HHH80" i="48"/>
  <c r="HHG80" i="48"/>
  <c r="HGZ80" i="48"/>
  <c r="HGY80" i="48"/>
  <c r="HGR80" i="48"/>
  <c r="HGQ80" i="48"/>
  <c r="HGJ80" i="48"/>
  <c r="HGI80" i="48"/>
  <c r="HGB80" i="48"/>
  <c r="HGA80" i="48"/>
  <c r="HFT80" i="48"/>
  <c r="HFS80" i="48"/>
  <c r="HFL80" i="48"/>
  <c r="HFK80" i="48"/>
  <c r="HFD80" i="48"/>
  <c r="HFC80" i="48"/>
  <c r="HEV80" i="48"/>
  <c r="HEU80" i="48"/>
  <c r="HEN80" i="48"/>
  <c r="HEM80" i="48"/>
  <c r="HEF80" i="48"/>
  <c r="HEE80" i="48"/>
  <c r="HDX80" i="48"/>
  <c r="HDW80" i="48"/>
  <c r="HDP80" i="48"/>
  <c r="HDO80" i="48"/>
  <c r="HDH80" i="48"/>
  <c r="HDG80" i="48"/>
  <c r="HCZ80" i="48"/>
  <c r="HCY80" i="48"/>
  <c r="HCR80" i="48"/>
  <c r="HCQ80" i="48"/>
  <c r="HCJ80" i="48"/>
  <c r="HCI80" i="48"/>
  <c r="HCB80" i="48"/>
  <c r="HCA80" i="48"/>
  <c r="HBT80" i="48"/>
  <c r="HBS80" i="48"/>
  <c r="HBL80" i="48"/>
  <c r="HBK80" i="48"/>
  <c r="HBD80" i="48"/>
  <c r="HBC80" i="48"/>
  <c r="HAV80" i="48"/>
  <c r="HAU80" i="48"/>
  <c r="HAN80" i="48"/>
  <c r="HAM80" i="48"/>
  <c r="HAF80" i="48"/>
  <c r="HAE80" i="48"/>
  <c r="GZX80" i="48"/>
  <c r="GZW80" i="48"/>
  <c r="GZP80" i="48"/>
  <c r="GZO80" i="48"/>
  <c r="GZH80" i="48"/>
  <c r="GZG80" i="48"/>
  <c r="GYZ80" i="48"/>
  <c r="GYY80" i="48"/>
  <c r="GYR80" i="48"/>
  <c r="GYQ80" i="48"/>
  <c r="GYJ80" i="48"/>
  <c r="GYI80" i="48"/>
  <c r="GYB80" i="48"/>
  <c r="GYA80" i="48"/>
  <c r="GXT80" i="48"/>
  <c r="GXS80" i="48"/>
  <c r="GXL80" i="48"/>
  <c r="GXK80" i="48"/>
  <c r="GXD80" i="48"/>
  <c r="GXC80" i="48"/>
  <c r="GWV80" i="48"/>
  <c r="GWU80" i="48"/>
  <c r="GWN80" i="48"/>
  <c r="GWM80" i="48"/>
  <c r="GWF80" i="48"/>
  <c r="GWE80" i="48"/>
  <c r="GVX80" i="48"/>
  <c r="GVW80" i="48"/>
  <c r="GVP80" i="48"/>
  <c r="GVO80" i="48"/>
  <c r="GVH80" i="48"/>
  <c r="GVG80" i="48"/>
  <c r="GUZ80" i="48"/>
  <c r="GUY80" i="48"/>
  <c r="GUR80" i="48"/>
  <c r="GUQ80" i="48"/>
  <c r="GUJ80" i="48"/>
  <c r="GUI80" i="48"/>
  <c r="GUB80" i="48"/>
  <c r="GUA80" i="48"/>
  <c r="GTT80" i="48"/>
  <c r="GTS80" i="48"/>
  <c r="GTL80" i="48"/>
  <c r="GTK80" i="48"/>
  <c r="GTD80" i="48"/>
  <c r="GTC80" i="48"/>
  <c r="GSV80" i="48"/>
  <c r="GSU80" i="48"/>
  <c r="GSN80" i="48"/>
  <c r="GSM80" i="48"/>
  <c r="GSF80" i="48"/>
  <c r="GSE80" i="48"/>
  <c r="GRX80" i="48"/>
  <c r="GRW80" i="48"/>
  <c r="GRP80" i="48"/>
  <c r="GRO80" i="48"/>
  <c r="GRH80" i="48"/>
  <c r="GRG80" i="48"/>
  <c r="GQZ80" i="48"/>
  <c r="GQY80" i="48"/>
  <c r="GQR80" i="48"/>
  <c r="GQQ80" i="48"/>
  <c r="GQJ80" i="48"/>
  <c r="GQI80" i="48"/>
  <c r="GQB80" i="48"/>
  <c r="GQA80" i="48"/>
  <c r="GPT80" i="48"/>
  <c r="GPS80" i="48"/>
  <c r="GPL80" i="48"/>
  <c r="GPK80" i="48"/>
  <c r="GPD80" i="48"/>
  <c r="GPC80" i="48"/>
  <c r="GOV80" i="48"/>
  <c r="GOU80" i="48"/>
  <c r="GON80" i="48"/>
  <c r="GOM80" i="48"/>
  <c r="GOF80" i="48"/>
  <c r="GOE80" i="48"/>
  <c r="GNX80" i="48"/>
  <c r="GNW80" i="48"/>
  <c r="GNP80" i="48"/>
  <c r="GNO80" i="48"/>
  <c r="GNH80" i="48"/>
  <c r="GNG80" i="48"/>
  <c r="GMZ80" i="48"/>
  <c r="GMY80" i="48"/>
  <c r="GMR80" i="48"/>
  <c r="GMQ80" i="48"/>
  <c r="GMJ80" i="48"/>
  <c r="GMI80" i="48"/>
  <c r="GMB80" i="48"/>
  <c r="GMA80" i="48"/>
  <c r="GLT80" i="48"/>
  <c r="GLS80" i="48"/>
  <c r="GLL80" i="48"/>
  <c r="GLK80" i="48"/>
  <c r="GLD80" i="48"/>
  <c r="GLC80" i="48"/>
  <c r="GKV80" i="48"/>
  <c r="GKU80" i="48"/>
  <c r="GKN80" i="48"/>
  <c r="GKM80" i="48"/>
  <c r="GKF80" i="48"/>
  <c r="GKE80" i="48"/>
  <c r="GJX80" i="48"/>
  <c r="GJW80" i="48"/>
  <c r="GJP80" i="48"/>
  <c r="GJO80" i="48"/>
  <c r="GJH80" i="48"/>
  <c r="GJG80" i="48"/>
  <c r="GIZ80" i="48"/>
  <c r="GIY80" i="48"/>
  <c r="GIR80" i="48"/>
  <c r="GIQ80" i="48"/>
  <c r="GIJ80" i="48"/>
  <c r="GII80" i="48"/>
  <c r="GIB80" i="48"/>
  <c r="GIA80" i="48"/>
  <c r="GHT80" i="48"/>
  <c r="GHS80" i="48"/>
  <c r="GHL80" i="48"/>
  <c r="GHK80" i="48"/>
  <c r="GHD80" i="48"/>
  <c r="GHC80" i="48"/>
  <c r="GGV80" i="48"/>
  <c r="GGU80" i="48"/>
  <c r="GGN80" i="48"/>
  <c r="GGM80" i="48"/>
  <c r="GGF80" i="48"/>
  <c r="GGE80" i="48"/>
  <c r="GFX80" i="48"/>
  <c r="GFW80" i="48"/>
  <c r="GFP80" i="48"/>
  <c r="GFO80" i="48"/>
  <c r="GFH80" i="48"/>
  <c r="GFG80" i="48"/>
  <c r="GEZ80" i="48"/>
  <c r="GEY80" i="48"/>
  <c r="GER80" i="48"/>
  <c r="GEQ80" i="48"/>
  <c r="GEJ80" i="48"/>
  <c r="GEI80" i="48"/>
  <c r="GEB80" i="48"/>
  <c r="GEA80" i="48"/>
  <c r="GDT80" i="48"/>
  <c r="GDS80" i="48"/>
  <c r="GDL80" i="48"/>
  <c r="GDK80" i="48"/>
  <c r="GDD80" i="48"/>
  <c r="GDC80" i="48"/>
  <c r="GCV80" i="48"/>
  <c r="GCU80" i="48"/>
  <c r="GCN80" i="48"/>
  <c r="GCM80" i="48"/>
  <c r="GCF80" i="48"/>
  <c r="GCE80" i="48"/>
  <c r="GBX80" i="48"/>
  <c r="GBW80" i="48"/>
  <c r="GBP80" i="48"/>
  <c r="GBO80" i="48"/>
  <c r="GBH80" i="48"/>
  <c r="GBG80" i="48"/>
  <c r="GAZ80" i="48"/>
  <c r="GAY80" i="48"/>
  <c r="GAR80" i="48"/>
  <c r="GAQ80" i="48"/>
  <c r="GAJ80" i="48"/>
  <c r="GAI80" i="48"/>
  <c r="GAB80" i="48"/>
  <c r="GAA80" i="48"/>
  <c r="FZT80" i="48"/>
  <c r="FZS80" i="48"/>
  <c r="FZL80" i="48"/>
  <c r="FZK80" i="48"/>
  <c r="FZD80" i="48"/>
  <c r="FZC80" i="48"/>
  <c r="FYV80" i="48"/>
  <c r="FYU80" i="48"/>
  <c r="FYN80" i="48"/>
  <c r="FYM80" i="48"/>
  <c r="FYF80" i="48"/>
  <c r="FYE80" i="48"/>
  <c r="FXX80" i="48"/>
  <c r="FXW80" i="48"/>
  <c r="FXP80" i="48"/>
  <c r="FXO80" i="48"/>
  <c r="FXH80" i="48"/>
  <c r="FXG80" i="48"/>
  <c r="FWZ80" i="48"/>
  <c r="FWY80" i="48"/>
  <c r="FWR80" i="48"/>
  <c r="FWQ80" i="48"/>
  <c r="FWJ80" i="48"/>
  <c r="FWI80" i="48"/>
  <c r="FWB80" i="48"/>
  <c r="FWA80" i="48"/>
  <c r="FVT80" i="48"/>
  <c r="FVS80" i="48"/>
  <c r="FVL80" i="48"/>
  <c r="FVK80" i="48"/>
  <c r="FVD80" i="48"/>
  <c r="FVC80" i="48"/>
  <c r="FUV80" i="48"/>
  <c r="FUU80" i="48"/>
  <c r="FUN80" i="48"/>
  <c r="FUM80" i="48"/>
  <c r="FUF80" i="48"/>
  <c r="FUE80" i="48"/>
  <c r="FTX80" i="48"/>
  <c r="FTW80" i="48"/>
  <c r="FTP80" i="48"/>
  <c r="FTO80" i="48"/>
  <c r="FTH80" i="48"/>
  <c r="FTG80" i="48"/>
  <c r="FSZ80" i="48"/>
  <c r="FSY80" i="48"/>
  <c r="FSR80" i="48"/>
  <c r="FSQ80" i="48"/>
  <c r="FSJ80" i="48"/>
  <c r="FSI80" i="48"/>
  <c r="FSB80" i="48"/>
  <c r="FSA80" i="48"/>
  <c r="FRT80" i="48"/>
  <c r="FRS80" i="48"/>
  <c r="FRL80" i="48"/>
  <c r="FRK80" i="48"/>
  <c r="FRD80" i="48"/>
  <c r="FRC80" i="48"/>
  <c r="FQV80" i="48"/>
  <c r="FQU80" i="48"/>
  <c r="FQN80" i="48"/>
  <c r="FQM80" i="48"/>
  <c r="FQF80" i="48"/>
  <c r="FQE80" i="48"/>
  <c r="FPX80" i="48"/>
  <c r="FPW80" i="48"/>
  <c r="FPP80" i="48"/>
  <c r="FPO80" i="48"/>
  <c r="FPH80" i="48"/>
  <c r="FPG80" i="48"/>
  <c r="FOZ80" i="48"/>
  <c r="FOY80" i="48"/>
  <c r="FOR80" i="48"/>
  <c r="FOQ80" i="48"/>
  <c r="FOJ80" i="48"/>
  <c r="FOI80" i="48"/>
  <c r="FOB80" i="48"/>
  <c r="FOA80" i="48"/>
  <c r="FNT80" i="48"/>
  <c r="FNS80" i="48"/>
  <c r="FNL80" i="48"/>
  <c r="FNK80" i="48"/>
  <c r="FND80" i="48"/>
  <c r="FNC80" i="48"/>
  <c r="FMV80" i="48"/>
  <c r="FMU80" i="48"/>
  <c r="FMN80" i="48"/>
  <c r="FMM80" i="48"/>
  <c r="FMF80" i="48"/>
  <c r="FME80" i="48"/>
  <c r="FLX80" i="48"/>
  <c r="FLW80" i="48"/>
  <c r="FLP80" i="48"/>
  <c r="FLO80" i="48"/>
  <c r="FLH80" i="48"/>
  <c r="FLG80" i="48"/>
  <c r="FKZ80" i="48"/>
  <c r="FKY80" i="48"/>
  <c r="FKR80" i="48"/>
  <c r="FKQ80" i="48"/>
  <c r="FKJ80" i="48"/>
  <c r="FKI80" i="48"/>
  <c r="FKB80" i="48"/>
  <c r="FKA80" i="48"/>
  <c r="FJT80" i="48"/>
  <c r="FJS80" i="48"/>
  <c r="FJL80" i="48"/>
  <c r="FJK80" i="48"/>
  <c r="FJD80" i="48"/>
  <c r="FJC80" i="48"/>
  <c r="FIV80" i="48"/>
  <c r="FIU80" i="48"/>
  <c r="FIN80" i="48"/>
  <c r="FIM80" i="48"/>
  <c r="FIF80" i="48"/>
  <c r="FIE80" i="48"/>
  <c r="FHX80" i="48"/>
  <c r="FHW80" i="48"/>
  <c r="FHP80" i="48"/>
  <c r="FHO80" i="48"/>
  <c r="FHH80" i="48"/>
  <c r="FHG80" i="48"/>
  <c r="FGZ80" i="48"/>
  <c r="FGY80" i="48"/>
  <c r="FGR80" i="48"/>
  <c r="FGQ80" i="48"/>
  <c r="FGJ80" i="48"/>
  <c r="FGI80" i="48"/>
  <c r="FGB80" i="48"/>
  <c r="FGA80" i="48"/>
  <c r="FFT80" i="48"/>
  <c r="FFS80" i="48"/>
  <c r="FFL80" i="48"/>
  <c r="FFK80" i="48"/>
  <c r="FFD80" i="48"/>
  <c r="FFC80" i="48"/>
  <c r="FEV80" i="48"/>
  <c r="FEU80" i="48"/>
  <c r="FEN80" i="48"/>
  <c r="FEM80" i="48"/>
  <c r="FEF80" i="48"/>
  <c r="FEE80" i="48"/>
  <c r="FDX80" i="48"/>
  <c r="FDW80" i="48"/>
  <c r="FDP80" i="48"/>
  <c r="FDO80" i="48"/>
  <c r="FDH80" i="48"/>
  <c r="FDG80" i="48"/>
  <c r="FCZ80" i="48"/>
  <c r="FCY80" i="48"/>
  <c r="FCR80" i="48"/>
  <c r="FCQ80" i="48"/>
  <c r="FCJ80" i="48"/>
  <c r="FCI80" i="48"/>
  <c r="FCB80" i="48"/>
  <c r="FCA80" i="48"/>
  <c r="FBT80" i="48"/>
  <c r="FBS80" i="48"/>
  <c r="FBL80" i="48"/>
  <c r="FBK80" i="48"/>
  <c r="FBD80" i="48"/>
  <c r="FBC80" i="48"/>
  <c r="FAV80" i="48"/>
  <c r="FAU80" i="48"/>
  <c r="FAN80" i="48"/>
  <c r="FAM80" i="48"/>
  <c r="FAF80" i="48"/>
  <c r="FAE80" i="48"/>
  <c r="EZX80" i="48"/>
  <c r="EZW80" i="48"/>
  <c r="EZP80" i="48"/>
  <c r="EZO80" i="48"/>
  <c r="EZH80" i="48"/>
  <c r="EZG80" i="48"/>
  <c r="EYZ80" i="48"/>
  <c r="EYY80" i="48"/>
  <c r="EYR80" i="48"/>
  <c r="EYQ80" i="48"/>
  <c r="EYJ80" i="48"/>
  <c r="EYI80" i="48"/>
  <c r="EYB80" i="48"/>
  <c r="EYA80" i="48"/>
  <c r="EXT80" i="48"/>
  <c r="EXS80" i="48"/>
  <c r="EXL80" i="48"/>
  <c r="EXK80" i="48"/>
  <c r="EXD80" i="48"/>
  <c r="EXC80" i="48"/>
  <c r="EWV80" i="48"/>
  <c r="EWU80" i="48"/>
  <c r="EWN80" i="48"/>
  <c r="EWM80" i="48"/>
  <c r="EWF80" i="48"/>
  <c r="EWE80" i="48"/>
  <c r="EVX80" i="48"/>
  <c r="EVW80" i="48"/>
  <c r="EVP80" i="48"/>
  <c r="EVO80" i="48"/>
  <c r="EVH80" i="48"/>
  <c r="EVG80" i="48"/>
  <c r="EUZ80" i="48"/>
  <c r="EUY80" i="48"/>
  <c r="EUR80" i="48"/>
  <c r="EUQ80" i="48"/>
  <c r="EUJ80" i="48"/>
  <c r="EUI80" i="48"/>
  <c r="EUB80" i="48"/>
  <c r="EUA80" i="48"/>
  <c r="ETT80" i="48"/>
  <c r="ETS80" i="48"/>
  <c r="ETL80" i="48"/>
  <c r="ETK80" i="48"/>
  <c r="ETD80" i="48"/>
  <c r="ETC80" i="48"/>
  <c r="ESV80" i="48"/>
  <c r="ESU80" i="48"/>
  <c r="ESN80" i="48"/>
  <c r="ESM80" i="48"/>
  <c r="ESF80" i="48"/>
  <c r="ESE80" i="48"/>
  <c r="ERX80" i="48"/>
  <c r="ERW80" i="48"/>
  <c r="ERP80" i="48"/>
  <c r="ERO80" i="48"/>
  <c r="ERH80" i="48"/>
  <c r="ERG80" i="48"/>
  <c r="EQZ80" i="48"/>
  <c r="EQY80" i="48"/>
  <c r="EQR80" i="48"/>
  <c r="EQQ80" i="48"/>
  <c r="EQJ80" i="48"/>
  <c r="EQI80" i="48"/>
  <c r="EQB80" i="48"/>
  <c r="EQA80" i="48"/>
  <c r="EPT80" i="48"/>
  <c r="EPS80" i="48"/>
  <c r="EPL80" i="48"/>
  <c r="EPK80" i="48"/>
  <c r="EPD80" i="48"/>
  <c r="EPC80" i="48"/>
  <c r="EOV80" i="48"/>
  <c r="EOU80" i="48"/>
  <c r="EON80" i="48"/>
  <c r="EOM80" i="48"/>
  <c r="EOF80" i="48"/>
  <c r="EOE80" i="48"/>
  <c r="ENX80" i="48"/>
  <c r="ENW80" i="48"/>
  <c r="ENP80" i="48"/>
  <c r="ENO80" i="48"/>
  <c r="ENH80" i="48"/>
  <c r="ENG80" i="48"/>
  <c r="EMZ80" i="48"/>
  <c r="EMY80" i="48"/>
  <c r="EMR80" i="48"/>
  <c r="EMQ80" i="48"/>
  <c r="EMJ80" i="48"/>
  <c r="EMI80" i="48"/>
  <c r="EMB80" i="48"/>
  <c r="EMA80" i="48"/>
  <c r="ELT80" i="48"/>
  <c r="ELS80" i="48"/>
  <c r="ELL80" i="48"/>
  <c r="ELK80" i="48"/>
  <c r="ELD80" i="48"/>
  <c r="ELC80" i="48"/>
  <c r="EKV80" i="48"/>
  <c r="EKU80" i="48"/>
  <c r="EKN80" i="48"/>
  <c r="EKM80" i="48"/>
  <c r="EKF80" i="48"/>
  <c r="EKE80" i="48"/>
  <c r="EJX80" i="48"/>
  <c r="EJW80" i="48"/>
  <c r="EJP80" i="48"/>
  <c r="EJO80" i="48"/>
  <c r="EJH80" i="48"/>
  <c r="EJG80" i="48"/>
  <c r="EIZ80" i="48"/>
  <c r="EIY80" i="48"/>
  <c r="EIR80" i="48"/>
  <c r="EIQ80" i="48"/>
  <c r="EIJ80" i="48"/>
  <c r="EII80" i="48"/>
  <c r="EIB80" i="48"/>
  <c r="EIA80" i="48"/>
  <c r="EHT80" i="48"/>
  <c r="EHS80" i="48"/>
  <c r="EHL80" i="48"/>
  <c r="EHK80" i="48"/>
  <c r="EHD80" i="48"/>
  <c r="EHC80" i="48"/>
  <c r="EGV80" i="48"/>
  <c r="EGU80" i="48"/>
  <c r="EGN80" i="48"/>
  <c r="EGM80" i="48"/>
  <c r="EGF80" i="48"/>
  <c r="EGE80" i="48"/>
  <c r="EFX80" i="48"/>
  <c r="EFW80" i="48"/>
  <c r="EFP80" i="48"/>
  <c r="EFO80" i="48"/>
  <c r="EFH80" i="48"/>
  <c r="EFG80" i="48"/>
  <c r="EEZ80" i="48"/>
  <c r="EEY80" i="48"/>
  <c r="EER80" i="48"/>
  <c r="EEQ80" i="48"/>
  <c r="EEJ80" i="48"/>
  <c r="EEI80" i="48"/>
  <c r="EEB80" i="48"/>
  <c r="EEA80" i="48"/>
  <c r="EDT80" i="48"/>
  <c r="EDS80" i="48"/>
  <c r="EDL80" i="48"/>
  <c r="EDK80" i="48"/>
  <c r="EDD80" i="48"/>
  <c r="EDC80" i="48"/>
  <c r="ECV80" i="48"/>
  <c r="ECU80" i="48"/>
  <c r="ECN80" i="48"/>
  <c r="ECM80" i="48"/>
  <c r="ECF80" i="48"/>
  <c r="ECE80" i="48"/>
  <c r="EBX80" i="48"/>
  <c r="EBW80" i="48"/>
  <c r="EBP80" i="48"/>
  <c r="EBO80" i="48"/>
  <c r="EBH80" i="48"/>
  <c r="EBG80" i="48"/>
  <c r="EAZ80" i="48"/>
  <c r="EAY80" i="48"/>
  <c r="EAR80" i="48"/>
  <c r="EAQ80" i="48"/>
  <c r="EAJ80" i="48"/>
  <c r="EAI80" i="48"/>
  <c r="EAB80" i="48"/>
  <c r="EAA80" i="48"/>
  <c r="DZT80" i="48"/>
  <c r="DZS80" i="48"/>
  <c r="DZL80" i="48"/>
  <c r="DZK80" i="48"/>
  <c r="DZD80" i="48"/>
  <c r="DZC80" i="48"/>
  <c r="DYV80" i="48"/>
  <c r="DYU80" i="48"/>
  <c r="DYN80" i="48"/>
  <c r="DYM80" i="48"/>
  <c r="DYF80" i="48"/>
  <c r="DYE80" i="48"/>
  <c r="DXX80" i="48"/>
  <c r="DXW80" i="48"/>
  <c r="DXP80" i="48"/>
  <c r="DXO80" i="48"/>
  <c r="DXH80" i="48"/>
  <c r="DXG80" i="48"/>
  <c r="DWZ80" i="48"/>
  <c r="DWY80" i="48"/>
  <c r="DWR80" i="48"/>
  <c r="DWQ80" i="48"/>
  <c r="DWJ80" i="48"/>
  <c r="DWI80" i="48"/>
  <c r="DWB80" i="48"/>
  <c r="DWA80" i="48"/>
  <c r="DVT80" i="48"/>
  <c r="DVS80" i="48"/>
  <c r="DVL80" i="48"/>
  <c r="DVK80" i="48"/>
  <c r="DVD80" i="48"/>
  <c r="DVC80" i="48"/>
  <c r="DUV80" i="48"/>
  <c r="DUU80" i="48"/>
  <c r="DUN80" i="48"/>
  <c r="DUM80" i="48"/>
  <c r="DUF80" i="48"/>
  <c r="DUE80" i="48"/>
  <c r="DTX80" i="48"/>
  <c r="DTW80" i="48"/>
  <c r="DTP80" i="48"/>
  <c r="DTO80" i="48"/>
  <c r="DTH80" i="48"/>
  <c r="DTG80" i="48"/>
  <c r="DSZ80" i="48"/>
  <c r="DSY80" i="48"/>
  <c r="DSR80" i="48"/>
  <c r="DSQ80" i="48"/>
  <c r="DSJ80" i="48"/>
  <c r="DSI80" i="48"/>
  <c r="DSB80" i="48"/>
  <c r="DSA80" i="48"/>
  <c r="DRT80" i="48"/>
  <c r="DRS80" i="48"/>
  <c r="DRL80" i="48"/>
  <c r="DRK80" i="48"/>
  <c r="DRD80" i="48"/>
  <c r="DRC80" i="48"/>
  <c r="DQV80" i="48"/>
  <c r="DQU80" i="48"/>
  <c r="DQN80" i="48"/>
  <c r="DQM80" i="48"/>
  <c r="DQF80" i="48"/>
  <c r="DQE80" i="48"/>
  <c r="DPX80" i="48"/>
  <c r="DPW80" i="48"/>
  <c r="DPP80" i="48"/>
  <c r="DPO80" i="48"/>
  <c r="DPH80" i="48"/>
  <c r="DPG80" i="48"/>
  <c r="DOZ80" i="48"/>
  <c r="DOY80" i="48"/>
  <c r="DOR80" i="48"/>
  <c r="DOQ80" i="48"/>
  <c r="DOJ80" i="48"/>
  <c r="DOI80" i="48"/>
  <c r="DOB80" i="48"/>
  <c r="DOA80" i="48"/>
  <c r="DNT80" i="48"/>
  <c r="DNS80" i="48"/>
  <c r="DNL80" i="48"/>
  <c r="DNK80" i="48"/>
  <c r="DND80" i="48"/>
  <c r="DNC80" i="48"/>
  <c r="DMV80" i="48"/>
  <c r="DMU80" i="48"/>
  <c r="DMN80" i="48"/>
  <c r="DMM80" i="48"/>
  <c r="DMF80" i="48"/>
  <c r="DME80" i="48"/>
  <c r="DLX80" i="48"/>
  <c r="DLW80" i="48"/>
  <c r="DLP80" i="48"/>
  <c r="DLO80" i="48"/>
  <c r="DLH80" i="48"/>
  <c r="DLG80" i="48"/>
  <c r="DKZ80" i="48"/>
  <c r="DKY80" i="48"/>
  <c r="DKR80" i="48"/>
  <c r="DKQ80" i="48"/>
  <c r="DKJ80" i="48"/>
  <c r="DKI80" i="48"/>
  <c r="DKB80" i="48"/>
  <c r="DKA80" i="48"/>
  <c r="DJT80" i="48"/>
  <c r="DJS80" i="48"/>
  <c r="DJL80" i="48"/>
  <c r="DJK80" i="48"/>
  <c r="DJD80" i="48"/>
  <c r="DJC80" i="48"/>
  <c r="DIV80" i="48"/>
  <c r="DIU80" i="48"/>
  <c r="DIN80" i="48"/>
  <c r="DIM80" i="48"/>
  <c r="DIF80" i="48"/>
  <c r="DIE80" i="48"/>
  <c r="DHX80" i="48"/>
  <c r="DHW80" i="48"/>
  <c r="DHP80" i="48"/>
  <c r="DHO80" i="48"/>
  <c r="DHH80" i="48"/>
  <c r="DHG80" i="48"/>
  <c r="DGZ80" i="48"/>
  <c r="DGY80" i="48"/>
  <c r="DGR80" i="48"/>
  <c r="DGQ80" i="48"/>
  <c r="DGJ80" i="48"/>
  <c r="DGI80" i="48"/>
  <c r="DGB80" i="48"/>
  <c r="DGA80" i="48"/>
  <c r="DFT80" i="48"/>
  <c r="DFS80" i="48"/>
  <c r="DFL80" i="48"/>
  <c r="DFK80" i="48"/>
  <c r="DFD80" i="48"/>
  <c r="DFC80" i="48"/>
  <c r="DEV80" i="48"/>
  <c r="DEU80" i="48"/>
  <c r="DEN80" i="48"/>
  <c r="DEM80" i="48"/>
  <c r="DEF80" i="48"/>
  <c r="DEE80" i="48"/>
  <c r="DDX80" i="48"/>
  <c r="DDW80" i="48"/>
  <c r="DDP80" i="48"/>
  <c r="DDO80" i="48"/>
  <c r="DDH80" i="48"/>
  <c r="DDG80" i="48"/>
  <c r="DCZ80" i="48"/>
  <c r="DCY80" i="48"/>
  <c r="DCR80" i="48"/>
  <c r="DCQ80" i="48"/>
  <c r="DCJ80" i="48"/>
  <c r="DCI80" i="48"/>
  <c r="DCB80" i="48"/>
  <c r="DCA80" i="48"/>
  <c r="DBT80" i="48"/>
  <c r="DBS80" i="48"/>
  <c r="DBL80" i="48"/>
  <c r="DBK80" i="48"/>
  <c r="DBD80" i="48"/>
  <c r="DBC80" i="48"/>
  <c r="DAV80" i="48"/>
  <c r="DAU80" i="48"/>
  <c r="DAN80" i="48"/>
  <c r="DAM80" i="48"/>
  <c r="DAF80" i="48"/>
  <c r="DAE80" i="48"/>
  <c r="CZX80" i="48"/>
  <c r="CZW80" i="48"/>
  <c r="CZP80" i="48"/>
  <c r="CZO80" i="48"/>
  <c r="CZH80" i="48"/>
  <c r="CZG80" i="48"/>
  <c r="CYZ80" i="48"/>
  <c r="CYY80" i="48"/>
  <c r="CYR80" i="48"/>
  <c r="CYQ80" i="48"/>
  <c r="CYJ80" i="48"/>
  <c r="CYI80" i="48"/>
  <c r="CYB80" i="48"/>
  <c r="CYA80" i="48"/>
  <c r="CXT80" i="48"/>
  <c r="CXS80" i="48"/>
  <c r="CXL80" i="48"/>
  <c r="CXK80" i="48"/>
  <c r="CXD80" i="48"/>
  <c r="CXC80" i="48"/>
  <c r="CWV80" i="48"/>
  <c r="CWU80" i="48"/>
  <c r="CWN80" i="48"/>
  <c r="CWM80" i="48"/>
  <c r="CWF80" i="48"/>
  <c r="CWE80" i="48"/>
  <c r="CVX80" i="48"/>
  <c r="CVW80" i="48"/>
  <c r="CVP80" i="48"/>
  <c r="CVO80" i="48"/>
  <c r="CVH80" i="48"/>
  <c r="CVG80" i="48"/>
  <c r="CUZ80" i="48"/>
  <c r="CUY80" i="48"/>
  <c r="CUR80" i="48"/>
  <c r="CUQ80" i="48"/>
  <c r="CUJ80" i="48"/>
  <c r="CUI80" i="48"/>
  <c r="CUB80" i="48"/>
  <c r="CUA80" i="48"/>
  <c r="CTT80" i="48"/>
  <c r="CTS80" i="48"/>
  <c r="CTL80" i="48"/>
  <c r="CTK80" i="48"/>
  <c r="CTD80" i="48"/>
  <c r="CTC80" i="48"/>
  <c r="CSV80" i="48"/>
  <c r="CSU80" i="48"/>
  <c r="CSN80" i="48"/>
  <c r="CSM80" i="48"/>
  <c r="CSF80" i="48"/>
  <c r="CSE80" i="48"/>
  <c r="CRX80" i="48"/>
  <c r="CRW80" i="48"/>
  <c r="CRP80" i="48"/>
  <c r="CRO80" i="48"/>
  <c r="CRH80" i="48"/>
  <c r="CRG80" i="48"/>
  <c r="CQZ80" i="48"/>
  <c r="CQY80" i="48"/>
  <c r="CQR80" i="48"/>
  <c r="CQQ80" i="48"/>
  <c r="CQJ80" i="48"/>
  <c r="CQI80" i="48"/>
  <c r="CQB80" i="48"/>
  <c r="CQA80" i="48"/>
  <c r="CPT80" i="48"/>
  <c r="CPS80" i="48"/>
  <c r="CPL80" i="48"/>
  <c r="CPK80" i="48"/>
  <c r="CPD80" i="48"/>
  <c r="CPC80" i="48"/>
  <c r="COV80" i="48"/>
  <c r="COU80" i="48"/>
  <c r="CON80" i="48"/>
  <c r="COM80" i="48"/>
  <c r="COF80" i="48"/>
  <c r="COE80" i="48"/>
  <c r="CNX80" i="48"/>
  <c r="CNW80" i="48"/>
  <c r="CNP80" i="48"/>
  <c r="CNO80" i="48"/>
  <c r="CNH80" i="48"/>
  <c r="CNG80" i="48"/>
  <c r="CMZ80" i="48"/>
  <c r="CMY80" i="48"/>
  <c r="CMR80" i="48"/>
  <c r="CMQ80" i="48"/>
  <c r="CMJ80" i="48"/>
  <c r="CMI80" i="48"/>
  <c r="CMB80" i="48"/>
  <c r="CMA80" i="48"/>
  <c r="CLT80" i="48"/>
  <c r="CLS80" i="48"/>
  <c r="CLL80" i="48"/>
  <c r="CLK80" i="48"/>
  <c r="CLD80" i="48"/>
  <c r="CLC80" i="48"/>
  <c r="CKV80" i="48"/>
  <c r="CKU80" i="48"/>
  <c r="CKN80" i="48"/>
  <c r="CKM80" i="48"/>
  <c r="CKF80" i="48"/>
  <c r="CKE80" i="48"/>
  <c r="CJX80" i="48"/>
  <c r="CJW80" i="48"/>
  <c r="CJP80" i="48"/>
  <c r="CJO80" i="48"/>
  <c r="CJH80" i="48"/>
  <c r="CJG80" i="48"/>
  <c r="CIZ80" i="48"/>
  <c r="CIY80" i="48"/>
  <c r="CIR80" i="48"/>
  <c r="CIQ80" i="48"/>
  <c r="CIJ80" i="48"/>
  <c r="CII80" i="48"/>
  <c r="CIB80" i="48"/>
  <c r="CIA80" i="48"/>
  <c r="CHT80" i="48"/>
  <c r="CHS80" i="48"/>
  <c r="CHL80" i="48"/>
  <c r="CHK80" i="48"/>
  <c r="CHD80" i="48"/>
  <c r="CHC80" i="48"/>
  <c r="CGV80" i="48"/>
  <c r="CGU80" i="48"/>
  <c r="CGN80" i="48"/>
  <c r="CGM80" i="48"/>
  <c r="CGF80" i="48"/>
  <c r="CGE80" i="48"/>
  <c r="CFX80" i="48"/>
  <c r="CFW80" i="48"/>
  <c r="CFP80" i="48"/>
  <c r="CFO80" i="48"/>
  <c r="CFH80" i="48"/>
  <c r="CFG80" i="48"/>
  <c r="CEZ80" i="48"/>
  <c r="CEY80" i="48"/>
  <c r="CER80" i="48"/>
  <c r="CEQ80" i="48"/>
  <c r="CEJ80" i="48"/>
  <c r="CEI80" i="48"/>
  <c r="CEB80" i="48"/>
  <c r="CEA80" i="48"/>
  <c r="CDT80" i="48"/>
  <c r="CDS80" i="48"/>
  <c r="CDL80" i="48"/>
  <c r="CDK80" i="48"/>
  <c r="CDD80" i="48"/>
  <c r="CDC80" i="48"/>
  <c r="CCV80" i="48"/>
  <c r="CCU80" i="48"/>
  <c r="CCN80" i="48"/>
  <c r="CCM80" i="48"/>
  <c r="CCF80" i="48"/>
  <c r="CCE80" i="48"/>
  <c r="CBX80" i="48"/>
  <c r="CBW80" i="48"/>
  <c r="CBP80" i="48"/>
  <c r="CBO80" i="48"/>
  <c r="CBH80" i="48"/>
  <c r="CBG80" i="48"/>
  <c r="CAZ80" i="48"/>
  <c r="CAY80" i="48"/>
  <c r="CAR80" i="48"/>
  <c r="CAQ80" i="48"/>
  <c r="CAJ80" i="48"/>
  <c r="CAI80" i="48"/>
  <c r="CAB80" i="48"/>
  <c r="CAA80" i="48"/>
  <c r="BZT80" i="48"/>
  <c r="BZS80" i="48"/>
  <c r="BZL80" i="48"/>
  <c r="BZK80" i="48"/>
  <c r="BZD80" i="48"/>
  <c r="BZC80" i="48"/>
  <c r="BYV80" i="48"/>
  <c r="BYU80" i="48"/>
  <c r="BYN80" i="48"/>
  <c r="BYM80" i="48"/>
  <c r="BYF80" i="48"/>
  <c r="BYE80" i="48"/>
  <c r="BXX80" i="48"/>
  <c r="BXW80" i="48"/>
  <c r="BXP80" i="48"/>
  <c r="BXO80" i="48"/>
  <c r="BXH80" i="48"/>
  <c r="BXG80" i="48"/>
  <c r="BWZ80" i="48"/>
  <c r="BWY80" i="48"/>
  <c r="BWR80" i="48"/>
  <c r="BWQ80" i="48"/>
  <c r="BWJ80" i="48"/>
  <c r="BWI80" i="48"/>
  <c r="BWB80" i="48"/>
  <c r="BWA80" i="48"/>
  <c r="BVT80" i="48"/>
  <c r="BVS80" i="48"/>
  <c r="BVL80" i="48"/>
  <c r="BVK80" i="48"/>
  <c r="BVD80" i="48"/>
  <c r="BVC80" i="48"/>
  <c r="BUV80" i="48"/>
  <c r="BUU80" i="48"/>
  <c r="BUN80" i="48"/>
  <c r="BUM80" i="48"/>
  <c r="BUF80" i="48"/>
  <c r="BUE80" i="48"/>
  <c r="BTX80" i="48"/>
  <c r="BTW80" i="48"/>
  <c r="BTP80" i="48"/>
  <c r="BTO80" i="48"/>
  <c r="BTH80" i="48"/>
  <c r="BTG80" i="48"/>
  <c r="BSZ80" i="48"/>
  <c r="BSY80" i="48"/>
  <c r="BSR80" i="48"/>
  <c r="BSQ80" i="48"/>
  <c r="BSJ80" i="48"/>
  <c r="BSI80" i="48"/>
  <c r="BSB80" i="48"/>
  <c r="BSA80" i="48"/>
  <c r="BRT80" i="48"/>
  <c r="BRS80" i="48"/>
  <c r="BRL80" i="48"/>
  <c r="BRK80" i="48"/>
  <c r="BRD80" i="48"/>
  <c r="BRC80" i="48"/>
  <c r="BQV80" i="48"/>
  <c r="BQU80" i="48"/>
  <c r="BQN80" i="48"/>
  <c r="BQM80" i="48"/>
  <c r="BQF80" i="48"/>
  <c r="BQE80" i="48"/>
  <c r="BPX80" i="48"/>
  <c r="BPW80" i="48"/>
  <c r="BPP80" i="48"/>
  <c r="BPO80" i="48"/>
  <c r="BPH80" i="48"/>
  <c r="BPG80" i="48"/>
  <c r="BOZ80" i="48"/>
  <c r="BOY80" i="48"/>
  <c r="BOR80" i="48"/>
  <c r="BOQ80" i="48"/>
  <c r="BOJ80" i="48"/>
  <c r="BOI80" i="48"/>
  <c r="BOB80" i="48"/>
  <c r="BOA80" i="48"/>
  <c r="BNT80" i="48"/>
  <c r="BNS80" i="48"/>
  <c r="BNL80" i="48"/>
  <c r="BNK80" i="48"/>
  <c r="BND80" i="48"/>
  <c r="BNC80" i="48"/>
  <c r="BMV80" i="48"/>
  <c r="BMU80" i="48"/>
  <c r="BMN80" i="48"/>
  <c r="BMM80" i="48"/>
  <c r="BMF80" i="48"/>
  <c r="BME80" i="48"/>
  <c r="BLX80" i="48"/>
  <c r="BLW80" i="48"/>
  <c r="BLP80" i="48"/>
  <c r="BLO80" i="48"/>
  <c r="BLH80" i="48"/>
  <c r="BLG80" i="48"/>
  <c r="BKZ80" i="48"/>
  <c r="BKY80" i="48"/>
  <c r="BKR80" i="48"/>
  <c r="BKQ80" i="48"/>
  <c r="BKJ80" i="48"/>
  <c r="BKI80" i="48"/>
  <c r="BKB80" i="48"/>
  <c r="BKA80" i="48"/>
  <c r="BJT80" i="48"/>
  <c r="BJS80" i="48"/>
  <c r="BJL80" i="48"/>
  <c r="BJK80" i="48"/>
  <c r="BJD80" i="48"/>
  <c r="BJC80" i="48"/>
  <c r="BIV80" i="48"/>
  <c r="BIU80" i="48"/>
  <c r="BIN80" i="48"/>
  <c r="BIM80" i="48"/>
  <c r="BIF80" i="48"/>
  <c r="BIE80" i="48"/>
  <c r="BHX80" i="48"/>
  <c r="BHW80" i="48"/>
  <c r="BHP80" i="48"/>
  <c r="BHO80" i="48"/>
  <c r="BHH80" i="48"/>
  <c r="BHG80" i="48"/>
  <c r="BGZ80" i="48"/>
  <c r="BGY80" i="48"/>
  <c r="BGR80" i="48"/>
  <c r="BGQ80" i="48"/>
  <c r="BGJ80" i="48"/>
  <c r="BGI80" i="48"/>
  <c r="BGB80" i="48"/>
  <c r="BGA80" i="48"/>
  <c r="BFT80" i="48"/>
  <c r="BFS80" i="48"/>
  <c r="BFL80" i="48"/>
  <c r="BFK80" i="48"/>
  <c r="BFD80" i="48"/>
  <c r="BFC80" i="48"/>
  <c r="BEV80" i="48"/>
  <c r="BEU80" i="48"/>
  <c r="BEN80" i="48"/>
  <c r="BEM80" i="48"/>
  <c r="BEF80" i="48"/>
  <c r="BEE80" i="48"/>
  <c r="BDX80" i="48"/>
  <c r="BDW80" i="48"/>
  <c r="BDP80" i="48"/>
  <c r="BDO80" i="48"/>
  <c r="BDH80" i="48"/>
  <c r="BDG80" i="48"/>
  <c r="BCZ80" i="48"/>
  <c r="BCY80" i="48"/>
  <c r="BCR80" i="48"/>
  <c r="BCQ80" i="48"/>
  <c r="BCJ80" i="48"/>
  <c r="BCI80" i="48"/>
  <c r="BCB80" i="48"/>
  <c r="BCA80" i="48"/>
  <c r="BBT80" i="48"/>
  <c r="BBS80" i="48"/>
  <c r="BBL80" i="48"/>
  <c r="BBK80" i="48"/>
  <c r="BBD80" i="48"/>
  <c r="BBC80" i="48"/>
  <c r="BAV80" i="48"/>
  <c r="BAU80" i="48"/>
  <c r="BAN80" i="48"/>
  <c r="BAM80" i="48"/>
  <c r="BAF80" i="48"/>
  <c r="BAE80" i="48"/>
  <c r="AZX80" i="48"/>
  <c r="AZW80" i="48"/>
  <c r="AZP80" i="48"/>
  <c r="AZO80" i="48"/>
  <c r="AZH80" i="48"/>
  <c r="AZG80" i="48"/>
  <c r="AYZ80" i="48"/>
  <c r="AYY80" i="48"/>
  <c r="AYR80" i="48"/>
  <c r="AYQ80" i="48"/>
  <c r="AYJ80" i="48"/>
  <c r="AYI80" i="48"/>
  <c r="AYB80" i="48"/>
  <c r="AYA80" i="48"/>
  <c r="AXT80" i="48"/>
  <c r="AXS80" i="48"/>
  <c r="AXL80" i="48"/>
  <c r="AXK80" i="48"/>
  <c r="AXD80" i="48"/>
  <c r="AXC80" i="48"/>
  <c r="AWV80" i="48"/>
  <c r="AWU80" i="48"/>
  <c r="AWN80" i="48"/>
  <c r="AWM80" i="48"/>
  <c r="AWF80" i="48"/>
  <c r="AWE80" i="48"/>
  <c r="AVX80" i="48"/>
  <c r="AVW80" i="48"/>
  <c r="AVP80" i="48"/>
  <c r="AVO80" i="48"/>
  <c r="AVH80" i="48"/>
  <c r="AVG80" i="48"/>
  <c r="AUZ80" i="48"/>
  <c r="AUY80" i="48"/>
  <c r="AUR80" i="48"/>
  <c r="AUQ80" i="48"/>
  <c r="AUJ80" i="48"/>
  <c r="AUI80" i="48"/>
  <c r="AUB80" i="48"/>
  <c r="AUA80" i="48"/>
  <c r="ATT80" i="48"/>
  <c r="ATS80" i="48"/>
  <c r="ATL80" i="48"/>
  <c r="ATK80" i="48"/>
  <c r="ATD80" i="48"/>
  <c r="ATC80" i="48"/>
  <c r="ASV80" i="48"/>
  <c r="ASU80" i="48"/>
  <c r="ASN80" i="48"/>
  <c r="ASM80" i="48"/>
  <c r="ASF80" i="48"/>
  <c r="ASE80" i="48"/>
  <c r="ARX80" i="48"/>
  <c r="ARW80" i="48"/>
  <c r="ARP80" i="48"/>
  <c r="ARO80" i="48"/>
  <c r="ARH80" i="48"/>
  <c r="ARG80" i="48"/>
  <c r="AQZ80" i="48"/>
  <c r="AQY80" i="48"/>
  <c r="AQR80" i="48"/>
  <c r="AQQ80" i="48"/>
  <c r="AQJ80" i="48"/>
  <c r="AQI80" i="48"/>
  <c r="AQB80" i="48"/>
  <c r="AQA80" i="48"/>
  <c r="APT80" i="48"/>
  <c r="APS80" i="48"/>
  <c r="APL80" i="48"/>
  <c r="APK80" i="48"/>
  <c r="APD80" i="48"/>
  <c r="APC80" i="48"/>
  <c r="AOV80" i="48"/>
  <c r="AOU80" i="48"/>
  <c r="AON80" i="48"/>
  <c r="AOM80" i="48"/>
  <c r="AOF80" i="48"/>
  <c r="AOE80" i="48"/>
  <c r="ANX80" i="48"/>
  <c r="ANW80" i="48"/>
  <c r="ANP80" i="48"/>
  <c r="ANO80" i="48"/>
  <c r="ANH80" i="48"/>
  <c r="ANG80" i="48"/>
  <c r="AMZ80" i="48"/>
  <c r="AMY80" i="48"/>
  <c r="AMR80" i="48"/>
  <c r="AMQ80" i="48"/>
  <c r="AMJ80" i="48"/>
  <c r="AMI80" i="48"/>
  <c r="AMB80" i="48"/>
  <c r="AMA80" i="48"/>
  <c r="ALT80" i="48"/>
  <c r="ALS80" i="48"/>
  <c r="ALL80" i="48"/>
  <c r="ALK80" i="48"/>
  <c r="ALD80" i="48"/>
  <c r="ALC80" i="48"/>
  <c r="AKV80" i="48"/>
  <c r="AKU80" i="48"/>
  <c r="AKN80" i="48"/>
  <c r="AKM80" i="48"/>
  <c r="AKF80" i="48"/>
  <c r="AKE80" i="48"/>
  <c r="AJX80" i="48"/>
  <c r="AJW80" i="48"/>
  <c r="AJP80" i="48"/>
  <c r="AJO80" i="48"/>
  <c r="AJH80" i="48"/>
  <c r="AJG80" i="48"/>
  <c r="AIZ80" i="48"/>
  <c r="AIY80" i="48"/>
  <c r="AIR80" i="48"/>
  <c r="AIQ80" i="48"/>
  <c r="AIJ80" i="48"/>
  <c r="AII80" i="48"/>
  <c r="AIB80" i="48"/>
  <c r="AIA80" i="48"/>
  <c r="AHT80" i="48"/>
  <c r="AHS80" i="48"/>
  <c r="AHL80" i="48"/>
  <c r="AHK80" i="48"/>
  <c r="AHD80" i="48"/>
  <c r="AHC80" i="48"/>
  <c r="AGV80" i="48"/>
  <c r="AGU80" i="48"/>
  <c r="AGN80" i="48"/>
  <c r="AGM80" i="48"/>
  <c r="AGF80" i="48"/>
  <c r="AGE80" i="48"/>
  <c r="AFX80" i="48"/>
  <c r="AFW80" i="48"/>
  <c r="AFP80" i="48"/>
  <c r="AFO80" i="48"/>
  <c r="AFH80" i="48"/>
  <c r="AFG80" i="48"/>
  <c r="AEZ80" i="48"/>
  <c r="AEY80" i="48"/>
  <c r="AER80" i="48"/>
  <c r="AEQ80" i="48"/>
  <c r="AEJ80" i="48"/>
  <c r="AEI80" i="48"/>
  <c r="AEB80" i="48"/>
  <c r="AEA80" i="48"/>
  <c r="ADT80" i="48"/>
  <c r="ADS80" i="48"/>
  <c r="ADL80" i="48"/>
  <c r="ADK80" i="48"/>
  <c r="ADD80" i="48"/>
  <c r="ADC80" i="48"/>
  <c r="ACV80" i="48"/>
  <c r="ACU80" i="48"/>
  <c r="ACN80" i="48"/>
  <c r="ACM80" i="48"/>
  <c r="ACF80" i="48"/>
  <c r="ACE80" i="48"/>
  <c r="ABX80" i="48"/>
  <c r="ABW80" i="48"/>
  <c r="ABP80" i="48"/>
  <c r="ABO80" i="48"/>
  <c r="ABH80" i="48"/>
  <c r="ABG80" i="48"/>
  <c r="AAZ80" i="48"/>
  <c r="AAY80" i="48"/>
  <c r="AAR80" i="48"/>
  <c r="AAQ80" i="48"/>
  <c r="AAJ80" i="48"/>
  <c r="AAI80" i="48"/>
  <c r="AAB80" i="48"/>
  <c r="AAA80" i="48"/>
  <c r="ZT80" i="48"/>
  <c r="ZS80" i="48"/>
  <c r="ZL80" i="48"/>
  <c r="ZK80" i="48"/>
  <c r="ZD80" i="48"/>
  <c r="ZC80" i="48"/>
  <c r="YV80" i="48"/>
  <c r="YU80" i="48"/>
  <c r="YN80" i="48"/>
  <c r="YM80" i="48"/>
  <c r="YF80" i="48"/>
  <c r="YE80" i="48"/>
  <c r="XX80" i="48"/>
  <c r="XW80" i="48"/>
  <c r="XP80" i="48"/>
  <c r="XO80" i="48"/>
  <c r="XH80" i="48"/>
  <c r="XG80" i="48"/>
  <c r="WZ80" i="48"/>
  <c r="WY80" i="48"/>
  <c r="WR80" i="48"/>
  <c r="WQ80" i="48"/>
  <c r="WJ80" i="48"/>
  <c r="WI80" i="48"/>
  <c r="WB80" i="48"/>
  <c r="WA80" i="48"/>
  <c r="VT80" i="48"/>
  <c r="VS80" i="48"/>
  <c r="VL80" i="48"/>
  <c r="VK80" i="48"/>
  <c r="VD80" i="48"/>
  <c r="VC80" i="48"/>
  <c r="UV80" i="48"/>
  <c r="UU80" i="48"/>
  <c r="UN80" i="48"/>
  <c r="UM80" i="48"/>
  <c r="UF80" i="48"/>
  <c r="UE80" i="48"/>
  <c r="TX80" i="48"/>
  <c r="TW80" i="48"/>
  <c r="TP80" i="48"/>
  <c r="TO80" i="48"/>
  <c r="TH80" i="48"/>
  <c r="TG80" i="48"/>
  <c r="SZ80" i="48"/>
  <c r="SY80" i="48"/>
  <c r="SR80" i="48"/>
  <c r="SQ80" i="48"/>
  <c r="SJ80" i="48"/>
  <c r="SI80" i="48"/>
  <c r="SB80" i="48"/>
  <c r="SA80" i="48"/>
  <c r="RT80" i="48"/>
  <c r="RS80" i="48"/>
  <c r="RL80" i="48"/>
  <c r="RK80" i="48"/>
  <c r="RD80" i="48"/>
  <c r="RC80" i="48"/>
  <c r="QV80" i="48"/>
  <c r="QU80" i="48"/>
  <c r="QN80" i="48"/>
  <c r="QM80" i="48"/>
  <c r="QF80" i="48"/>
  <c r="QE80" i="48"/>
  <c r="PX80" i="48"/>
  <c r="PW80" i="48"/>
  <c r="PP80" i="48"/>
  <c r="PO80" i="48"/>
  <c r="PH80" i="48"/>
  <c r="PG80" i="48"/>
  <c r="OZ80" i="48"/>
  <c r="OY80" i="48"/>
  <c r="OR80" i="48"/>
  <c r="OQ80" i="48"/>
  <c r="OJ80" i="48"/>
  <c r="OI80" i="48"/>
  <c r="OB80" i="48"/>
  <c r="OA80" i="48"/>
  <c r="NT80" i="48"/>
  <c r="NS80" i="48"/>
  <c r="NL80" i="48"/>
  <c r="NK80" i="48"/>
  <c r="ND80" i="48"/>
  <c r="NC80" i="48"/>
  <c r="MV80" i="48"/>
  <c r="MU80" i="48"/>
  <c r="MN80" i="48"/>
  <c r="MM80" i="48"/>
  <c r="MF80" i="48"/>
  <c r="ME80" i="48"/>
  <c r="LX80" i="48"/>
  <c r="LW80" i="48"/>
  <c r="LP80" i="48"/>
  <c r="LO80" i="48"/>
  <c r="LH80" i="48"/>
  <c r="LG80" i="48"/>
  <c r="KZ80" i="48"/>
  <c r="KY80" i="48"/>
  <c r="KR80" i="48"/>
  <c r="KQ80" i="48"/>
  <c r="KJ80" i="48"/>
  <c r="KI80" i="48"/>
  <c r="KB80" i="48"/>
  <c r="KA80" i="48"/>
  <c r="JT80" i="48"/>
  <c r="JS80" i="48"/>
  <c r="JL80" i="48"/>
  <c r="JK80" i="48"/>
  <c r="JD80" i="48"/>
  <c r="JC80" i="48"/>
  <c r="IV80" i="48"/>
  <c r="IU80" i="48"/>
  <c r="IN80" i="48"/>
  <c r="IM80" i="48"/>
  <c r="IF80" i="48"/>
  <c r="IE80" i="48"/>
  <c r="HX80" i="48"/>
  <c r="HW80" i="48"/>
  <c r="HP80" i="48"/>
  <c r="HO80" i="48"/>
  <c r="HH80" i="48"/>
  <c r="HG80" i="48"/>
  <c r="GZ80" i="48"/>
  <c r="GY80" i="48"/>
  <c r="GR80" i="48"/>
  <c r="GQ80" i="48"/>
  <c r="GJ80" i="48"/>
  <c r="GI80" i="48"/>
  <c r="GB80" i="48"/>
  <c r="GA80" i="48"/>
  <c r="FT80" i="48"/>
  <c r="FS80" i="48"/>
  <c r="FL80" i="48"/>
  <c r="FK80" i="48"/>
  <c r="FD80" i="48"/>
  <c r="FC80" i="48"/>
  <c r="EV80" i="48"/>
  <c r="EU80" i="48"/>
  <c r="EN80" i="48"/>
  <c r="EM80" i="48"/>
  <c r="EF80" i="48"/>
  <c r="EE80" i="48"/>
  <c r="DX80" i="48"/>
  <c r="DW80" i="48"/>
  <c r="DP80" i="48"/>
  <c r="DO80" i="48"/>
  <c r="DH80" i="48"/>
  <c r="DG80" i="48"/>
  <c r="CZ80" i="48"/>
  <c r="CY80" i="48"/>
  <c r="CR80" i="48"/>
  <c r="CQ80" i="48"/>
  <c r="CJ80" i="48"/>
  <c r="CI80" i="48"/>
  <c r="CB80" i="48"/>
  <c r="CA80" i="48"/>
  <c r="BT80" i="48"/>
  <c r="BS80" i="48"/>
  <c r="BL80" i="48"/>
  <c r="BK80" i="48"/>
  <c r="BD80" i="48"/>
  <c r="BC80" i="48"/>
  <c r="AV80" i="48"/>
  <c r="AU80" i="48"/>
  <c r="AN80" i="48"/>
  <c r="AM80" i="48"/>
  <c r="AF80" i="48"/>
  <c r="AE80" i="48"/>
  <c r="X80" i="48"/>
  <c r="W80" i="48"/>
  <c r="P80" i="48"/>
  <c r="O80" i="48"/>
  <c r="H80" i="48"/>
  <c r="G80" i="48"/>
  <c r="G421" i="48"/>
  <c r="D41" i="76"/>
  <c r="F29" i="70"/>
  <c r="F32" i="70"/>
  <c r="I88" i="73"/>
  <c r="H88" i="73"/>
  <c r="G88" i="73"/>
  <c r="E87" i="73"/>
  <c r="I81" i="73"/>
  <c r="H80" i="73"/>
  <c r="G80" i="73"/>
  <c r="G81" i="73" s="1"/>
  <c r="F80" i="73"/>
  <c r="C49" i="76"/>
  <c r="E49" i="76"/>
  <c r="H122" i="73"/>
  <c r="I122" i="73"/>
  <c r="F109" i="73"/>
  <c r="G109" i="73" s="1"/>
  <c r="F112" i="73"/>
  <c r="G112" i="73" s="1"/>
  <c r="H115" i="73"/>
  <c r="I115" i="73" s="1"/>
  <c r="F116" i="73"/>
  <c r="H116" i="73"/>
  <c r="I116" i="73"/>
  <c r="G123" i="73" s="1"/>
  <c r="H117" i="73"/>
  <c r="F86" i="93"/>
  <c r="E86" i="93"/>
  <c r="D86" i="93"/>
  <c r="C86" i="93"/>
  <c r="F85" i="93"/>
  <c r="E85" i="93"/>
  <c r="D85" i="93"/>
  <c r="C85" i="93"/>
  <c r="F84" i="93"/>
  <c r="E84" i="93"/>
  <c r="D84" i="93"/>
  <c r="C84" i="93"/>
  <c r="A33" i="70"/>
  <c r="A32" i="70"/>
  <c r="G236" i="48"/>
  <c r="C60" i="76" s="1"/>
  <c r="F83" i="53"/>
  <c r="F84" i="53"/>
  <c r="B84" i="53"/>
  <c r="F82" i="53"/>
  <c r="F81" i="53"/>
  <c r="F80" i="53"/>
  <c r="F79" i="53"/>
  <c r="F78" i="53"/>
  <c r="F77" i="53"/>
  <c r="F76" i="53"/>
  <c r="F75" i="53"/>
  <c r="F74" i="53"/>
  <c r="F73" i="53"/>
  <c r="F72" i="53"/>
  <c r="F71" i="53"/>
  <c r="F70" i="53"/>
  <c r="F69" i="53"/>
  <c r="F68" i="53"/>
  <c r="F67" i="53"/>
  <c r="F66" i="53"/>
  <c r="F65" i="53"/>
  <c r="F64" i="53"/>
  <c r="F63" i="53"/>
  <c r="F62" i="53"/>
  <c r="D431" i="48"/>
  <c r="I300" i="100"/>
  <c r="H299" i="100"/>
  <c r="I299" i="100" s="1"/>
  <c r="C112" i="114"/>
  <c r="C113" i="114" s="1"/>
  <c r="B81" i="114" s="1"/>
  <c r="C104" i="114"/>
  <c r="B79" i="114"/>
  <c r="A68" i="114"/>
  <c r="A71" i="114" s="1"/>
  <c r="C27" i="114"/>
  <c r="D27" i="114" s="1"/>
  <c r="E27" i="114" s="1"/>
  <c r="H338" i="48" s="1"/>
  <c r="C26" i="114"/>
  <c r="D26" i="114" s="1"/>
  <c r="E26" i="114" s="1"/>
  <c r="C25" i="114"/>
  <c r="D25" i="114" s="1"/>
  <c r="E25" i="114" s="1"/>
  <c r="C24" i="114"/>
  <c r="D24" i="114" s="1"/>
  <c r="C21" i="114"/>
  <c r="B21" i="114"/>
  <c r="C20" i="114"/>
  <c r="B20" i="114"/>
  <c r="D20" i="114" s="1"/>
  <c r="E20" i="114" s="1"/>
  <c r="C19" i="114"/>
  <c r="B19" i="114"/>
  <c r="C18" i="114"/>
  <c r="B18" i="114"/>
  <c r="B5" i="114"/>
  <c r="E9" i="114" s="1"/>
  <c r="E16" i="1"/>
  <c r="D109" i="49"/>
  <c r="D32" i="49"/>
  <c r="D28" i="49"/>
  <c r="D70" i="49"/>
  <c r="J57" i="1"/>
  <c r="J52" i="1"/>
  <c r="J49" i="1"/>
  <c r="J48" i="1"/>
  <c r="J47" i="1"/>
  <c r="J42" i="1"/>
  <c r="J41" i="1"/>
  <c r="J40" i="1"/>
  <c r="J39" i="1"/>
  <c r="J34" i="1"/>
  <c r="J33" i="1"/>
  <c r="J32" i="1"/>
  <c r="J23" i="1"/>
  <c r="J21" i="1"/>
  <c r="J20" i="1"/>
  <c r="J12" i="1"/>
  <c r="F66" i="70"/>
  <c r="F5" i="112"/>
  <c r="D24" i="93"/>
  <c r="B55" i="53"/>
  <c r="G228" i="89"/>
  <c r="F8" i="113"/>
  <c r="F10" i="113"/>
  <c r="I117" i="73" l="1"/>
  <c r="D21" i="114"/>
  <c r="E21" i="114" s="1"/>
  <c r="H81" i="73"/>
  <c r="E80" i="73"/>
  <c r="G124" i="73"/>
  <c r="I124" i="73" s="1"/>
  <c r="I123" i="73"/>
  <c r="G116" i="73"/>
  <c r="F117" i="73"/>
  <c r="B82" i="114"/>
  <c r="B84" i="114" s="1"/>
  <c r="D19" i="114"/>
  <c r="E19" i="114" s="1"/>
  <c r="C22" i="114"/>
  <c r="E24" i="114"/>
  <c r="E28" i="114" s="1"/>
  <c r="F28" i="114" s="1"/>
  <c r="D28" i="114"/>
  <c r="B22" i="114"/>
  <c r="D18" i="114"/>
  <c r="F338" i="48"/>
  <c r="G320" i="48"/>
  <c r="E98" i="48"/>
  <c r="H98" i="48" s="1"/>
  <c r="G35" i="70"/>
  <c r="F35" i="70"/>
  <c r="F34" i="70"/>
  <c r="E14" i="2"/>
  <c r="I295" i="100"/>
  <c r="I293" i="100"/>
  <c r="G296" i="100"/>
  <c r="I296" i="100" s="1"/>
  <c r="G294" i="100"/>
  <c r="I294" i="100" s="1"/>
  <c r="H25" i="92"/>
  <c r="E54" i="2"/>
  <c r="D119" i="99" s="1"/>
  <c r="E53" i="2"/>
  <c r="D118" i="99" s="1"/>
  <c r="D54" i="2"/>
  <c r="C119" i="99" s="1"/>
  <c r="D53" i="2"/>
  <c r="C118" i="99" s="1"/>
  <c r="E49" i="2"/>
  <c r="D114" i="99" s="1"/>
  <c r="E48" i="2"/>
  <c r="D113" i="99" s="1"/>
  <c r="E47" i="2"/>
  <c r="D112" i="99" s="1"/>
  <c r="D49" i="2"/>
  <c r="C114" i="99" s="1"/>
  <c r="D48" i="2"/>
  <c r="C113" i="99" s="1"/>
  <c r="D47" i="2"/>
  <c r="C112" i="99" s="1"/>
  <c r="D43" i="2"/>
  <c r="C109" i="99" s="1"/>
  <c r="D70" i="76" s="1"/>
  <c r="G19" i="92" s="1"/>
  <c r="D42" i="2"/>
  <c r="C108" i="99" s="1"/>
  <c r="D69" i="76" s="1"/>
  <c r="G18" i="92" s="1"/>
  <c r="D83" i="1"/>
  <c r="D68" i="1"/>
  <c r="D44" i="2" s="1"/>
  <c r="C110" i="99" s="1"/>
  <c r="D71" i="76" s="1"/>
  <c r="G20" i="92" s="1"/>
  <c r="I292" i="100"/>
  <c r="H291" i="100"/>
  <c r="I291" i="100" s="1"/>
  <c r="F24" i="70"/>
  <c r="D57" i="49"/>
  <c r="G113" i="48"/>
  <c r="F113" i="48"/>
  <c r="E113" i="48"/>
  <c r="H112" i="48"/>
  <c r="H111" i="48"/>
  <c r="H110" i="48"/>
  <c r="H109" i="48"/>
  <c r="H108" i="48"/>
  <c r="H107" i="48"/>
  <c r="G102" i="48"/>
  <c r="F102" i="48"/>
  <c r="H101" i="48"/>
  <c r="H100" i="48"/>
  <c r="H99" i="48"/>
  <c r="H96" i="48"/>
  <c r="E97" i="48"/>
  <c r="H202" i="48"/>
  <c r="H201" i="48"/>
  <c r="I281" i="100"/>
  <c r="G282" i="100"/>
  <c r="I282" i="100" s="1"/>
  <c r="G150" i="48"/>
  <c r="G162" i="48"/>
  <c r="H150" i="48"/>
  <c r="H149" i="48"/>
  <c r="H161" i="48"/>
  <c r="G161" i="48"/>
  <c r="B147" i="53"/>
  <c r="E147" i="53"/>
  <c r="E148" i="53" s="1"/>
  <c r="D147" i="53"/>
  <c r="D148" i="53" s="1"/>
  <c r="C147" i="53"/>
  <c r="C148" i="53" s="1"/>
  <c r="C431" i="48"/>
  <c r="E66" i="115"/>
  <c r="E61" i="115"/>
  <c r="F47" i="115"/>
  <c r="E47" i="115"/>
  <c r="D38" i="115"/>
  <c r="E31" i="115"/>
  <c r="E29" i="115"/>
  <c r="E28" i="115"/>
  <c r="E26" i="115"/>
  <c r="E19" i="115"/>
  <c r="E18" i="115"/>
  <c r="E17" i="115"/>
  <c r="E15" i="115"/>
  <c r="H356" i="48"/>
  <c r="I121" i="48"/>
  <c r="H121" i="48"/>
  <c r="K120" i="48"/>
  <c r="F108" i="70"/>
  <c r="F105" i="70"/>
  <c r="C47" i="99"/>
  <c r="E34" i="70"/>
  <c r="G34" i="70" s="1"/>
  <c r="O186" i="48"/>
  <c r="H187" i="48" s="1"/>
  <c r="E21" i="76" s="1"/>
  <c r="O185" i="48"/>
  <c r="H236" i="48" s="1"/>
  <c r="C48" i="76" s="1"/>
  <c r="O177" i="48"/>
  <c r="H179" i="48" s="1"/>
  <c r="E20" i="76" s="1"/>
  <c r="O176" i="48"/>
  <c r="H235" i="48" s="1"/>
  <c r="C41" i="76" s="1"/>
  <c r="E41" i="76" s="1"/>
  <c r="G255" i="100"/>
  <c r="H255" i="100"/>
  <c r="G256" i="100"/>
  <c r="H256" i="100"/>
  <c r="H254" i="100"/>
  <c r="G254" i="100"/>
  <c r="H253" i="100"/>
  <c r="G253" i="100"/>
  <c r="H252" i="100"/>
  <c r="G252" i="100"/>
  <c r="H251" i="100"/>
  <c r="G251" i="100"/>
  <c r="H250" i="100"/>
  <c r="G250" i="100"/>
  <c r="H249" i="100"/>
  <c r="G249" i="100"/>
  <c r="H248" i="100"/>
  <c r="G247" i="100"/>
  <c r="H246" i="100"/>
  <c r="G246" i="100"/>
  <c r="H245" i="100"/>
  <c r="G245" i="100"/>
  <c r="G244" i="100"/>
  <c r="H243" i="100"/>
  <c r="G243" i="100"/>
  <c r="H242" i="100"/>
  <c r="G242" i="100"/>
  <c r="H241" i="100"/>
  <c r="G241" i="100"/>
  <c r="H240" i="100"/>
  <c r="G240" i="100"/>
  <c r="H239" i="100"/>
  <c r="G239" i="100"/>
  <c r="H238" i="100"/>
  <c r="G238" i="100"/>
  <c r="H237" i="100"/>
  <c r="G237" i="100"/>
  <c r="H236" i="100"/>
  <c r="G236" i="100"/>
  <c r="H235" i="100"/>
  <c r="G235" i="100"/>
  <c r="H234" i="100"/>
  <c r="G234" i="100"/>
  <c r="H233" i="100"/>
  <c r="G233" i="100"/>
  <c r="H231" i="100"/>
  <c r="G231" i="100"/>
  <c r="H230" i="100"/>
  <c r="G230" i="100"/>
  <c r="H229" i="100"/>
  <c r="G229" i="100"/>
  <c r="H228" i="100"/>
  <c r="G228" i="100"/>
  <c r="H227" i="100"/>
  <c r="G227" i="100"/>
  <c r="H226" i="100"/>
  <c r="G226" i="100"/>
  <c r="H225" i="100"/>
  <c r="G225" i="100"/>
  <c r="H224" i="100"/>
  <c r="G224" i="100"/>
  <c r="H223" i="100"/>
  <c r="G223" i="100"/>
  <c r="H222" i="100"/>
  <c r="G222" i="100"/>
  <c r="H221" i="100"/>
  <c r="G221" i="100"/>
  <c r="H220" i="100"/>
  <c r="G220" i="100"/>
  <c r="H219" i="100"/>
  <c r="G219" i="100"/>
  <c r="H218" i="100"/>
  <c r="G218" i="100"/>
  <c r="H217" i="100"/>
  <c r="G217" i="100"/>
  <c r="H216" i="100"/>
  <c r="G216" i="100"/>
  <c r="H215" i="100"/>
  <c r="G215" i="100"/>
  <c r="H214" i="100"/>
  <c r="G214" i="100"/>
  <c r="H213" i="100"/>
  <c r="G213" i="100"/>
  <c r="H212" i="100"/>
  <c r="G212" i="100"/>
  <c r="H211" i="100"/>
  <c r="G211" i="100"/>
  <c r="H210" i="100"/>
  <c r="G210" i="100"/>
  <c r="H209" i="100"/>
  <c r="G209" i="100"/>
  <c r="H208" i="100"/>
  <c r="G208" i="100"/>
  <c r="H207" i="100"/>
  <c r="G207" i="100"/>
  <c r="H206" i="100"/>
  <c r="G206" i="100"/>
  <c r="H205" i="100"/>
  <c r="G205" i="100"/>
  <c r="H204" i="100"/>
  <c r="G204" i="100"/>
  <c r="H203" i="100"/>
  <c r="G203" i="100"/>
  <c r="H199" i="100"/>
  <c r="G199" i="100"/>
  <c r="H198" i="100"/>
  <c r="G198" i="100"/>
  <c r="H197" i="100"/>
  <c r="G197" i="100"/>
  <c r="H196" i="100"/>
  <c r="G196" i="100"/>
  <c r="H195" i="100"/>
  <c r="G195" i="100"/>
  <c r="H194" i="100"/>
  <c r="G194" i="100"/>
  <c r="H193" i="100"/>
  <c r="G193" i="100"/>
  <c r="H192" i="100"/>
  <c r="G192" i="100"/>
  <c r="H191" i="100"/>
  <c r="G191" i="100"/>
  <c r="H190" i="100"/>
  <c r="G190" i="100"/>
  <c r="H189" i="100"/>
  <c r="G189" i="100"/>
  <c r="H188" i="100"/>
  <c r="G188" i="100"/>
  <c r="H187" i="100"/>
  <c r="G187" i="100"/>
  <c r="H186" i="100"/>
  <c r="G186" i="100"/>
  <c r="H185" i="100"/>
  <c r="G185" i="100"/>
  <c r="H184" i="100"/>
  <c r="G184" i="100"/>
  <c r="H183" i="100"/>
  <c r="G183" i="100"/>
  <c r="H182" i="100"/>
  <c r="G182" i="100"/>
  <c r="H181" i="100"/>
  <c r="G181" i="100"/>
  <c r="H180" i="100"/>
  <c r="G180" i="100"/>
  <c r="H179" i="100"/>
  <c r="G179" i="100"/>
  <c r="H178" i="100"/>
  <c r="G178" i="100"/>
  <c r="H177" i="100"/>
  <c r="G177" i="100"/>
  <c r="H176" i="100"/>
  <c r="G176" i="100"/>
  <c r="H175" i="100"/>
  <c r="G175" i="100"/>
  <c r="H174" i="100"/>
  <c r="G174" i="100"/>
  <c r="H173" i="100"/>
  <c r="G173" i="100"/>
  <c r="H172" i="100"/>
  <c r="G172" i="100"/>
  <c r="H171" i="100"/>
  <c r="G171" i="100"/>
  <c r="H170" i="100"/>
  <c r="G170" i="100"/>
  <c r="H169" i="100"/>
  <c r="G169" i="100"/>
  <c r="H168" i="100"/>
  <c r="G168" i="100"/>
  <c r="H167" i="100"/>
  <c r="G167" i="100"/>
  <c r="H166" i="100"/>
  <c r="G166" i="100"/>
  <c r="H165" i="100"/>
  <c r="G165" i="100"/>
  <c r="H164" i="100"/>
  <c r="G164" i="100"/>
  <c r="H163" i="100"/>
  <c r="G163" i="100"/>
  <c r="H162" i="100"/>
  <c r="G162" i="100"/>
  <c r="H161" i="100"/>
  <c r="G161" i="100"/>
  <c r="G11" i="53" s="1"/>
  <c r="H159" i="100"/>
  <c r="G159" i="100"/>
  <c r="H158" i="100"/>
  <c r="G158" i="100"/>
  <c r="H157" i="100"/>
  <c r="G157" i="100"/>
  <c r="H156" i="100"/>
  <c r="G156" i="100"/>
  <c r="H155" i="100"/>
  <c r="G155" i="100"/>
  <c r="H154" i="100"/>
  <c r="G154" i="100"/>
  <c r="H153" i="100"/>
  <c r="G153" i="100"/>
  <c r="H152" i="100"/>
  <c r="G152" i="100"/>
  <c r="H151" i="100"/>
  <c r="G151" i="100"/>
  <c r="H150" i="100"/>
  <c r="G150" i="100"/>
  <c r="H149" i="100"/>
  <c r="G149" i="100"/>
  <c r="H148" i="100"/>
  <c r="G148" i="100"/>
  <c r="H147" i="100"/>
  <c r="G147" i="100"/>
  <c r="H146" i="100"/>
  <c r="G146" i="100"/>
  <c r="H145" i="100"/>
  <c r="G145" i="100"/>
  <c r="H144" i="100"/>
  <c r="G144" i="100"/>
  <c r="H143" i="100"/>
  <c r="G143" i="100"/>
  <c r="H142" i="100"/>
  <c r="G142" i="100"/>
  <c r="H141" i="100"/>
  <c r="G141" i="100"/>
  <c r="H140" i="100"/>
  <c r="G140" i="100"/>
  <c r="H139" i="100"/>
  <c r="G139" i="100"/>
  <c r="H138" i="100"/>
  <c r="G138" i="100"/>
  <c r="H137" i="100"/>
  <c r="G137" i="100"/>
  <c r="H136" i="100"/>
  <c r="G136" i="100"/>
  <c r="H135" i="100"/>
  <c r="G135" i="100"/>
  <c r="H134" i="100"/>
  <c r="G134" i="100"/>
  <c r="H133" i="100"/>
  <c r="H132" i="100"/>
  <c r="H131" i="100"/>
  <c r="G131" i="100"/>
  <c r="H130" i="100"/>
  <c r="G130" i="100"/>
  <c r="H129" i="100"/>
  <c r="G129" i="100"/>
  <c r="H128" i="100"/>
  <c r="G128" i="100"/>
  <c r="H127" i="100"/>
  <c r="G127" i="100"/>
  <c r="H126" i="100"/>
  <c r="G126" i="100"/>
  <c r="H125" i="100"/>
  <c r="G125" i="100"/>
  <c r="H124" i="100"/>
  <c r="G124" i="100"/>
  <c r="H123" i="100"/>
  <c r="G123" i="100"/>
  <c r="H122" i="100"/>
  <c r="G122" i="100"/>
  <c r="H121" i="100"/>
  <c r="G121" i="100"/>
  <c r="H120" i="100"/>
  <c r="G120" i="100"/>
  <c r="H119" i="100"/>
  <c r="G119" i="100"/>
  <c r="H118" i="100"/>
  <c r="G118" i="100"/>
  <c r="H117" i="100"/>
  <c r="G117" i="100"/>
  <c r="H116" i="100"/>
  <c r="G116" i="100"/>
  <c r="H115" i="100"/>
  <c r="G115" i="100"/>
  <c r="H114" i="100"/>
  <c r="G114" i="100"/>
  <c r="H113" i="100"/>
  <c r="G113" i="100"/>
  <c r="H112" i="100"/>
  <c r="G112" i="100"/>
  <c r="H111" i="100"/>
  <c r="G111" i="100"/>
  <c r="H110" i="100"/>
  <c r="G110" i="100"/>
  <c r="H109" i="100"/>
  <c r="G109" i="100"/>
  <c r="H108" i="100"/>
  <c r="G108" i="100"/>
  <c r="H107" i="100"/>
  <c r="G107" i="100"/>
  <c r="H106" i="100"/>
  <c r="G106" i="100"/>
  <c r="H105" i="100"/>
  <c r="G105" i="100"/>
  <c r="H104" i="100"/>
  <c r="G104" i="100"/>
  <c r="H103" i="100"/>
  <c r="G103" i="100"/>
  <c r="H102" i="100"/>
  <c r="G102" i="100"/>
  <c r="H101" i="100"/>
  <c r="G101" i="100"/>
  <c r="H100" i="100"/>
  <c r="G100" i="100"/>
  <c r="H99" i="100"/>
  <c r="G99" i="100"/>
  <c r="H98" i="100"/>
  <c r="G98" i="100"/>
  <c r="H97" i="100"/>
  <c r="G97" i="100"/>
  <c r="H96" i="100"/>
  <c r="G96" i="100"/>
  <c r="H95" i="100"/>
  <c r="G95" i="100"/>
  <c r="H94" i="100"/>
  <c r="G94" i="100"/>
  <c r="H93" i="100"/>
  <c r="G93" i="100"/>
  <c r="H92" i="100"/>
  <c r="G92" i="100"/>
  <c r="H91" i="100"/>
  <c r="G91" i="100"/>
  <c r="H90" i="100"/>
  <c r="G90" i="100"/>
  <c r="H89" i="100"/>
  <c r="G89" i="100"/>
  <c r="H88" i="100"/>
  <c r="G88" i="100"/>
  <c r="H87" i="100"/>
  <c r="G87" i="100"/>
  <c r="H86" i="100"/>
  <c r="G86" i="100"/>
  <c r="H85" i="100"/>
  <c r="G85" i="100"/>
  <c r="H84" i="100"/>
  <c r="G84" i="100"/>
  <c r="H83" i="100"/>
  <c r="G83" i="100"/>
  <c r="H82" i="100"/>
  <c r="G82" i="100"/>
  <c r="H81" i="100"/>
  <c r="G81" i="100"/>
  <c r="H80" i="100"/>
  <c r="G80" i="100"/>
  <c r="H79" i="100"/>
  <c r="G79" i="100"/>
  <c r="H78" i="100"/>
  <c r="G78" i="100"/>
  <c r="H77" i="100"/>
  <c r="G77" i="100"/>
  <c r="H75" i="100"/>
  <c r="G75" i="100"/>
  <c r="H74" i="100"/>
  <c r="G74" i="100"/>
  <c r="H73" i="100"/>
  <c r="G73" i="100"/>
  <c r="H72" i="100"/>
  <c r="G72" i="100"/>
  <c r="H71" i="100"/>
  <c r="G71" i="100"/>
  <c r="H70" i="100"/>
  <c r="G70" i="100"/>
  <c r="H69" i="100"/>
  <c r="G69" i="100"/>
  <c r="H68" i="100"/>
  <c r="G68" i="100"/>
  <c r="H67" i="100"/>
  <c r="G67" i="100"/>
  <c r="H66" i="100"/>
  <c r="G66" i="100"/>
  <c r="H65" i="100"/>
  <c r="G65" i="100"/>
  <c r="H64" i="100"/>
  <c r="G64" i="100"/>
  <c r="H63" i="100"/>
  <c r="G63" i="100"/>
  <c r="H62" i="100"/>
  <c r="G62" i="100"/>
  <c r="H61" i="100"/>
  <c r="G61" i="100"/>
  <c r="H60" i="100"/>
  <c r="G60" i="100"/>
  <c r="H59" i="100"/>
  <c r="G59" i="100"/>
  <c r="H58" i="100"/>
  <c r="G58" i="100"/>
  <c r="H57" i="100"/>
  <c r="G57" i="100"/>
  <c r="H56" i="100"/>
  <c r="G56" i="100"/>
  <c r="H55" i="100"/>
  <c r="G55" i="100"/>
  <c r="H54" i="100"/>
  <c r="G54" i="100"/>
  <c r="H53" i="100"/>
  <c r="G53" i="100"/>
  <c r="H52" i="100"/>
  <c r="G52" i="100"/>
  <c r="H51" i="100"/>
  <c r="G51" i="100"/>
  <c r="H50" i="100"/>
  <c r="G50" i="100"/>
  <c r="H49" i="100"/>
  <c r="G49" i="100"/>
  <c r="H48" i="100"/>
  <c r="G48" i="100"/>
  <c r="H47" i="100"/>
  <c r="G47" i="100"/>
  <c r="H46" i="100"/>
  <c r="G46" i="100"/>
  <c r="H45" i="100"/>
  <c r="G45" i="100"/>
  <c r="H44" i="100"/>
  <c r="G44" i="100"/>
  <c r="H43" i="100"/>
  <c r="G43" i="100"/>
  <c r="H42" i="100"/>
  <c r="G42" i="100"/>
  <c r="H41" i="100"/>
  <c r="G41" i="100"/>
  <c r="H40" i="100"/>
  <c r="G40" i="100"/>
  <c r="H39" i="100"/>
  <c r="G39" i="100"/>
  <c r="H38" i="100"/>
  <c r="G38" i="100"/>
  <c r="H37" i="100"/>
  <c r="G37" i="100"/>
  <c r="H36" i="100"/>
  <c r="G36" i="100"/>
  <c r="H35" i="100"/>
  <c r="G35" i="100"/>
  <c r="H34" i="100"/>
  <c r="G34" i="100"/>
  <c r="H33" i="100"/>
  <c r="G33" i="100"/>
  <c r="H32" i="100"/>
  <c r="G32" i="100"/>
  <c r="H31" i="100"/>
  <c r="G31" i="100"/>
  <c r="H30" i="100"/>
  <c r="G30" i="100"/>
  <c r="H29" i="100"/>
  <c r="G29" i="100"/>
  <c r="H28" i="100"/>
  <c r="G28" i="100"/>
  <c r="H27" i="100"/>
  <c r="G27" i="100"/>
  <c r="H26" i="100"/>
  <c r="G26" i="100"/>
  <c r="H25" i="100"/>
  <c r="G25" i="100"/>
  <c r="H24" i="100"/>
  <c r="G24" i="100"/>
  <c r="H23" i="100"/>
  <c r="G23" i="100"/>
  <c r="H22" i="100"/>
  <c r="G22" i="100"/>
  <c r="H21" i="100"/>
  <c r="G21" i="100"/>
  <c r="H20" i="100"/>
  <c r="G20" i="100"/>
  <c r="H19" i="100"/>
  <c r="G19" i="100"/>
  <c r="H18" i="100"/>
  <c r="G18" i="100"/>
  <c r="H16" i="100"/>
  <c r="G16" i="100"/>
  <c r="H15" i="100"/>
  <c r="G15" i="100"/>
  <c r="H14" i="100"/>
  <c r="G14" i="100"/>
  <c r="H13" i="100"/>
  <c r="G13" i="100"/>
  <c r="H12" i="100"/>
  <c r="G12" i="100"/>
  <c r="H11" i="100"/>
  <c r="G11" i="100"/>
  <c r="H10" i="100"/>
  <c r="G10" i="100"/>
  <c r="H9" i="100"/>
  <c r="G9" i="100"/>
  <c r="H8" i="100"/>
  <c r="G8" i="100"/>
  <c r="H7" i="100"/>
  <c r="G7" i="100"/>
  <c r="G289" i="100"/>
  <c r="E431" i="48"/>
  <c r="F431" i="48"/>
  <c r="I288" i="100"/>
  <c r="H287" i="100"/>
  <c r="I287" i="100" s="1"/>
  <c r="F9" i="91"/>
  <c r="G130" i="70"/>
  <c r="F129" i="70"/>
  <c r="F128" i="70"/>
  <c r="F127" i="70"/>
  <c r="F126" i="70"/>
  <c r="F130" i="70" s="1"/>
  <c r="G286" i="100"/>
  <c r="D119" i="49"/>
  <c r="F12" i="113"/>
  <c r="E12" i="113"/>
  <c r="H12" i="113"/>
  <c r="G12" i="113"/>
  <c r="E10" i="113"/>
  <c r="E8" i="113"/>
  <c r="L6" i="113"/>
  <c r="J6" i="113"/>
  <c r="E6" i="113"/>
  <c r="L4" i="113"/>
  <c r="J4" i="113"/>
  <c r="E4" i="113"/>
  <c r="J2" i="113"/>
  <c r="J13" i="113" s="1"/>
  <c r="E2" i="113"/>
  <c r="C24" i="2"/>
  <c r="C13" i="2"/>
  <c r="C15" i="2" s="1"/>
  <c r="C16" i="2" s="1"/>
  <c r="C17" i="2" s="1"/>
  <c r="C19" i="2" s="1"/>
  <c r="C95" i="99"/>
  <c r="D14" i="93"/>
  <c r="D16" i="93"/>
  <c r="D17" i="93"/>
  <c r="F17" i="93"/>
  <c r="D31" i="93"/>
  <c r="E68" i="93"/>
  <c r="C68" i="93"/>
  <c r="E61" i="93"/>
  <c r="C61" i="93"/>
  <c r="F72" i="93"/>
  <c r="C24" i="93"/>
  <c r="C31" i="93"/>
  <c r="E30" i="93"/>
  <c r="E28" i="93"/>
  <c r="C16" i="93"/>
  <c r="F16" i="93"/>
  <c r="E16" i="93"/>
  <c r="F14" i="93"/>
  <c r="E14" i="93"/>
  <c r="C14" i="93"/>
  <c r="H130" i="70"/>
  <c r="I121" i="70"/>
  <c r="I120" i="70"/>
  <c r="G120" i="70"/>
  <c r="F120" i="70"/>
  <c r="C8" i="1"/>
  <c r="H12" i="48"/>
  <c r="F74" i="70"/>
  <c r="G73" i="70"/>
  <c r="G75" i="70" s="1"/>
  <c r="G67" i="70"/>
  <c r="G66" i="70"/>
  <c r="G462" i="48"/>
  <c r="D76" i="99"/>
  <c r="D89" i="99"/>
  <c r="C90" i="99"/>
  <c r="C88" i="99"/>
  <c r="C85" i="99"/>
  <c r="C84" i="99"/>
  <c r="C80" i="99"/>
  <c r="C75" i="99"/>
  <c r="C68" i="99"/>
  <c r="B68" i="99"/>
  <c r="B72" i="99"/>
  <c r="C72" i="99"/>
  <c r="C70" i="99"/>
  <c r="D67" i="99"/>
  <c r="C67" i="99"/>
  <c r="D64" i="99"/>
  <c r="C64" i="99"/>
  <c r="B64" i="99"/>
  <c r="G284" i="100"/>
  <c r="I284" i="100" s="1"/>
  <c r="I283" i="100"/>
  <c r="D44" i="99"/>
  <c r="D54" i="99"/>
  <c r="D68" i="49"/>
  <c r="H231" i="89"/>
  <c r="I231" i="89" s="1"/>
  <c r="J231" i="89" s="1"/>
  <c r="G140" i="48"/>
  <c r="H138" i="48"/>
  <c r="F437" i="48"/>
  <c r="E437" i="48"/>
  <c r="D437" i="48"/>
  <c r="D436" i="48"/>
  <c r="C437" i="48"/>
  <c r="C436" i="48"/>
  <c r="B437" i="48"/>
  <c r="D39" i="76"/>
  <c r="D37" i="76"/>
  <c r="C39" i="76"/>
  <c r="B64" i="76"/>
  <c r="D61" i="76"/>
  <c r="C57" i="76"/>
  <c r="B55" i="76"/>
  <c r="E37" i="76"/>
  <c r="E38" i="76"/>
  <c r="C40" i="76"/>
  <c r="D40" i="76"/>
  <c r="C45" i="76"/>
  <c r="D21" i="76"/>
  <c r="E8" i="76"/>
  <c r="E7" i="76"/>
  <c r="I18" i="53"/>
  <c r="C35" i="53"/>
  <c r="C16" i="53"/>
  <c r="C12" i="53"/>
  <c r="C11" i="53"/>
  <c r="K22" i="53"/>
  <c r="F117" i="70"/>
  <c r="H23" i="53"/>
  <c r="D23" i="53"/>
  <c r="B18" i="53"/>
  <c r="E18" i="53" s="1"/>
  <c r="D42" i="53"/>
  <c r="C42" i="53"/>
  <c r="B38" i="53"/>
  <c r="B36" i="53"/>
  <c r="B35" i="53"/>
  <c r="B34" i="53"/>
  <c r="H27" i="53"/>
  <c r="D27" i="53"/>
  <c r="C27" i="53"/>
  <c r="K18" i="53"/>
  <c r="H17" i="53"/>
  <c r="D17" i="53"/>
  <c r="C17" i="53"/>
  <c r="I6" i="53"/>
  <c r="J6" i="53" s="1"/>
  <c r="F6" i="53"/>
  <c r="I230" i="89"/>
  <c r="J230" i="89" s="1"/>
  <c r="G232" i="89"/>
  <c r="I232" i="89" s="1"/>
  <c r="J232" i="89" s="1"/>
  <c r="I280" i="100"/>
  <c r="H279" i="100"/>
  <c r="I279" i="100" s="1"/>
  <c r="I277" i="100"/>
  <c r="H278" i="100"/>
  <c r="I278" i="100" s="1"/>
  <c r="I275" i="100"/>
  <c r="H276" i="100"/>
  <c r="I276" i="100" s="1"/>
  <c r="G144" i="48"/>
  <c r="H229" i="89"/>
  <c r="I229" i="89" s="1"/>
  <c r="J229" i="89" s="1"/>
  <c r="I228" i="89"/>
  <c r="J228" i="89" s="1"/>
  <c r="I273" i="100"/>
  <c r="H274" i="100"/>
  <c r="I274" i="100" s="1"/>
  <c r="I271" i="100"/>
  <c r="G272" i="100"/>
  <c r="I272" i="100" s="1"/>
  <c r="I269" i="100"/>
  <c r="H270" i="100"/>
  <c r="I270" i="100" s="1"/>
  <c r="G265" i="100"/>
  <c r="I268" i="100"/>
  <c r="H267" i="100"/>
  <c r="I267" i="100" s="1"/>
  <c r="I264" i="100"/>
  <c r="H263" i="100"/>
  <c r="I263" i="100" s="1"/>
  <c r="G261" i="100"/>
  <c r="I259" i="100"/>
  <c r="H260" i="100"/>
  <c r="I260" i="100" s="1"/>
  <c r="H113" i="48" l="1"/>
  <c r="G117" i="73"/>
  <c r="F123" i="73"/>
  <c r="J18" i="53"/>
  <c r="D10" i="1" s="1"/>
  <c r="J10" i="1" s="1"/>
  <c r="E18" i="114"/>
  <c r="E22" i="114" s="1"/>
  <c r="D22" i="114"/>
  <c r="H337" i="48"/>
  <c r="G321" i="48" s="1"/>
  <c r="G456" i="48"/>
  <c r="E48" i="76"/>
  <c r="E50" i="76" s="1"/>
  <c r="C50" i="76"/>
  <c r="G29" i="92"/>
  <c r="D80" i="76"/>
  <c r="G30" i="92"/>
  <c r="D81" i="76"/>
  <c r="H29" i="92"/>
  <c r="E80" i="76"/>
  <c r="H30" i="92"/>
  <c r="E81" i="76"/>
  <c r="O187" i="48"/>
  <c r="O188" i="48" s="1"/>
  <c r="H97" i="48"/>
  <c r="H102" i="48" s="1"/>
  <c r="E102" i="48"/>
  <c r="F68" i="115"/>
  <c r="F61" i="115"/>
  <c r="D37" i="115"/>
  <c r="D40" i="115" s="1"/>
  <c r="E41" i="115" s="1"/>
  <c r="F41" i="115" s="1"/>
  <c r="F33" i="115"/>
  <c r="F23" i="115"/>
  <c r="H326" i="48"/>
  <c r="I122" i="48"/>
  <c r="H122" i="48"/>
  <c r="O178" i="48"/>
  <c r="O179" i="48" s="1"/>
  <c r="C30" i="2"/>
  <c r="C31" i="2" s="1"/>
  <c r="B95" i="99"/>
  <c r="I255" i="100"/>
  <c r="I256" i="100"/>
  <c r="I289" i="100"/>
  <c r="H290" i="100"/>
  <c r="G26" i="53"/>
  <c r="G27" i="53" s="1"/>
  <c r="G16" i="53"/>
  <c r="G15" i="53"/>
  <c r="G13" i="53"/>
  <c r="G21" i="53"/>
  <c r="G23" i="53" s="1"/>
  <c r="G14" i="53"/>
  <c r="G12" i="53"/>
  <c r="I286" i="100"/>
  <c r="H285" i="100"/>
  <c r="I285" i="100" s="1"/>
  <c r="G121" i="70"/>
  <c r="G109" i="70"/>
  <c r="H10" i="113"/>
  <c r="G10" i="113"/>
  <c r="H8" i="113"/>
  <c r="H13" i="113" s="1"/>
  <c r="G8" i="113"/>
  <c r="H6" i="113"/>
  <c r="G6" i="113"/>
  <c r="H4" i="113"/>
  <c r="G4" i="113"/>
  <c r="H2" i="113"/>
  <c r="G2" i="113"/>
  <c r="I224" i="100"/>
  <c r="F121" i="70"/>
  <c r="I22" i="53"/>
  <c r="C147" i="99"/>
  <c r="C13" i="99" s="1"/>
  <c r="E22" i="53"/>
  <c r="C23" i="53"/>
  <c r="I254" i="100"/>
  <c r="E55" i="76"/>
  <c r="B57" i="76"/>
  <c r="I253" i="100"/>
  <c r="I252" i="100"/>
  <c r="I265" i="100"/>
  <c r="H266" i="100"/>
  <c r="I266" i="100" s="1"/>
  <c r="H262" i="100"/>
  <c r="I262" i="100" s="1"/>
  <c r="I261" i="100"/>
  <c r="H258" i="100"/>
  <c r="I258" i="100" s="1"/>
  <c r="I257" i="100"/>
  <c r="I251" i="100"/>
  <c r="H123" i="73" l="1"/>
  <c r="F124" i="73"/>
  <c r="H124" i="73" s="1"/>
  <c r="F22" i="114"/>
  <c r="E29" i="114"/>
  <c r="G13" i="113"/>
  <c r="C119" i="49" s="1"/>
  <c r="G325" i="48"/>
  <c r="I290" i="100"/>
  <c r="G17" i="53"/>
  <c r="D18" i="2" s="1"/>
  <c r="M21" i="53"/>
  <c r="F97" i="70"/>
  <c r="J22" i="53"/>
  <c r="I250" i="100"/>
  <c r="K232" i="100"/>
  <c r="H129" i="48"/>
  <c r="D96" i="49"/>
  <c r="C9" i="99" l="1"/>
  <c r="F32" i="99" s="1"/>
  <c r="B10" i="114"/>
  <c r="B11" i="114" s="1"/>
  <c r="B12" i="114" s="1"/>
  <c r="H342" i="48"/>
  <c r="G326" i="48" s="1"/>
  <c r="I247" i="100"/>
  <c r="I248" i="100"/>
  <c r="I249" i="100"/>
  <c r="C12" i="114" l="1"/>
  <c r="H336" i="48" s="1"/>
  <c r="H162" i="48"/>
  <c r="G319" i="48" l="1"/>
  <c r="O422" i="48"/>
  <c r="H437" i="48"/>
  <c r="H436" i="48"/>
  <c r="H421" i="48" s="1"/>
  <c r="H140" i="48"/>
  <c r="H139" i="48"/>
  <c r="H144" i="48"/>
  <c r="E24" i="2" l="1"/>
  <c r="E18" i="2"/>
  <c r="D82" i="49"/>
  <c r="D80" i="49"/>
  <c r="D79" i="49"/>
  <c r="D56" i="49"/>
  <c r="D41" i="49"/>
  <c r="H240" i="48"/>
  <c r="H230" i="48"/>
  <c r="E11" i="1"/>
  <c r="E9" i="1"/>
  <c r="E8" i="1"/>
  <c r="H196" i="48" l="1"/>
  <c r="G194" i="48" s="1"/>
  <c r="G196" i="48" s="1"/>
  <c r="I245" i="100" l="1"/>
  <c r="I246" i="100"/>
  <c r="O231" i="100"/>
  <c r="O227" i="100"/>
  <c r="O222" i="100"/>
  <c r="O212" i="100"/>
  <c r="O211" i="100"/>
  <c r="O199" i="100"/>
  <c r="O181" i="100"/>
  <c r="O180" i="100"/>
  <c r="O129" i="100"/>
  <c r="O128" i="100"/>
  <c r="O127" i="100"/>
  <c r="O126" i="100"/>
  <c r="O125" i="100"/>
  <c r="O124" i="100"/>
  <c r="O123" i="100"/>
  <c r="O122" i="100"/>
  <c r="O121" i="100"/>
  <c r="O120" i="100"/>
  <c r="O119" i="100"/>
  <c r="O118" i="100"/>
  <c r="O117" i="100"/>
  <c r="I244" i="100" l="1"/>
  <c r="O116" i="100"/>
  <c r="K244" i="100" l="1"/>
  <c r="I242" i="100"/>
  <c r="I243" i="100"/>
  <c r="H212" i="89"/>
  <c r="H214" i="89"/>
  <c r="H215" i="89"/>
  <c r="G216" i="89"/>
  <c r="H218" i="89"/>
  <c r="G220" i="89"/>
  <c r="G221" i="89" s="1"/>
  <c r="G4" i="89" l="1"/>
  <c r="Q73" i="48"/>
  <c r="P81" i="48"/>
  <c r="AD211" i="100"/>
  <c r="I241" i="100" l="1"/>
  <c r="I239" i="100" l="1"/>
  <c r="I240" i="100"/>
  <c r="I238" i="100" l="1"/>
  <c r="I237" i="100"/>
  <c r="Q236" i="100"/>
  <c r="Q235" i="100"/>
  <c r="Q234" i="100"/>
  <c r="Q232" i="100"/>
  <c r="Q230" i="100"/>
  <c r="Q229" i="100"/>
  <c r="Q228" i="100"/>
  <c r="Q226" i="100"/>
  <c r="Q221" i="100"/>
  <c r="Q220" i="100"/>
  <c r="Q219" i="100"/>
  <c r="Q218" i="100"/>
  <c r="Q217" i="100"/>
  <c r="Q216" i="100"/>
  <c r="Q215" i="100"/>
  <c r="Q214" i="100"/>
  <c r="Q213" i="100"/>
  <c r="Q202" i="100"/>
  <c r="Q198" i="100"/>
  <c r="Q197" i="100"/>
  <c r="Q196" i="100"/>
  <c r="Q195" i="100"/>
  <c r="Q194" i="100"/>
  <c r="Q193" i="100"/>
  <c r="Q192" i="100"/>
  <c r="Q191" i="100"/>
  <c r="Q190" i="100"/>
  <c r="Q189" i="100"/>
  <c r="Q188" i="100"/>
  <c r="Q187" i="100"/>
  <c r="Q186" i="100"/>
  <c r="Q185" i="100"/>
  <c r="Q184" i="100"/>
  <c r="Q183" i="100"/>
  <c r="Q182" i="100"/>
  <c r="Q179" i="100"/>
  <c r="Q178" i="100"/>
  <c r="Q177" i="100"/>
  <c r="Q173" i="100"/>
  <c r="Q172" i="100"/>
  <c r="Q171" i="100"/>
  <c r="Q170" i="100"/>
  <c r="Q169" i="100"/>
  <c r="Q168" i="100"/>
  <c r="Q167" i="100"/>
  <c r="Q166" i="100"/>
  <c r="Q165" i="100"/>
  <c r="Q164" i="100"/>
  <c r="Q163" i="100"/>
  <c r="Q162" i="100"/>
  <c r="Q161" i="100"/>
  <c r="Q160" i="100"/>
  <c r="Q159" i="100"/>
  <c r="Q158" i="100"/>
  <c r="Q157" i="100"/>
  <c r="Q156" i="100"/>
  <c r="Q155" i="100"/>
  <c r="Q154" i="100"/>
  <c r="Q153" i="100"/>
  <c r="Q152" i="100"/>
  <c r="Q151" i="100"/>
  <c r="Q150" i="100"/>
  <c r="Q149" i="100"/>
  <c r="Q148" i="100"/>
  <c r="Q147" i="100"/>
  <c r="Q146" i="100"/>
  <c r="Q145" i="100"/>
  <c r="Q144" i="100"/>
  <c r="Q143" i="100"/>
  <c r="Q142" i="100"/>
  <c r="Q141" i="100"/>
  <c r="Q140" i="100"/>
  <c r="Q139" i="100"/>
  <c r="Q138" i="100"/>
  <c r="Q137" i="100"/>
  <c r="Q136" i="100"/>
  <c r="Q135" i="100"/>
  <c r="Q134" i="100"/>
  <c r="Q133" i="100"/>
  <c r="Q132" i="100"/>
  <c r="Q131" i="100"/>
  <c r="Q130" i="100"/>
  <c r="Q115" i="100"/>
  <c r="Q114" i="100"/>
  <c r="Q113" i="100"/>
  <c r="Q112" i="100"/>
  <c r="Q111" i="100"/>
  <c r="Q110" i="100"/>
  <c r="Q109" i="100"/>
  <c r="Q108" i="100"/>
  <c r="Q107" i="100"/>
  <c r="Q106" i="100"/>
  <c r="Q105" i="100"/>
  <c r="Q68" i="100"/>
  <c r="T7" i="100"/>
  <c r="R83" i="100" l="1"/>
  <c r="Q22" i="100" l="1"/>
  <c r="O217" i="100" l="1"/>
  <c r="O216" i="100"/>
  <c r="O215" i="100"/>
  <c r="O214" i="100"/>
  <c r="O213" i="100"/>
  <c r="O190" i="100"/>
  <c r="O189" i="100"/>
  <c r="O188" i="100"/>
  <c r="O187" i="100"/>
  <c r="O186" i="100"/>
  <c r="O185" i="100"/>
  <c r="O184" i="100"/>
  <c r="O183" i="100"/>
  <c r="O182" i="100"/>
  <c r="O173" i="100"/>
  <c r="O172" i="100"/>
  <c r="O171" i="100"/>
  <c r="O170" i="100"/>
  <c r="O130" i="100"/>
  <c r="O5" i="100" l="1"/>
  <c r="O4" i="100" s="1"/>
  <c r="I236" i="100" l="1"/>
  <c r="I234" i="100"/>
  <c r="C22" i="49" s="1"/>
  <c r="I235" i="100" l="1"/>
  <c r="I233" i="100"/>
  <c r="S25" i="2" l="1"/>
  <c r="I230" i="100"/>
  <c r="I231" i="100"/>
  <c r="I202" i="100"/>
  <c r="I194" i="100"/>
  <c r="I178" i="100"/>
  <c r="I164" i="100"/>
  <c r="I163" i="100"/>
  <c r="I134" i="100"/>
  <c r="I113" i="100"/>
  <c r="I112" i="100"/>
  <c r="I108" i="100"/>
  <c r="I86" i="100"/>
  <c r="I47" i="100"/>
  <c r="I181" i="100"/>
  <c r="I179" i="100"/>
  <c r="I169" i="100"/>
  <c r="I160" i="100"/>
  <c r="H6" i="1"/>
  <c r="K202" i="100" l="1"/>
  <c r="K160" i="100"/>
  <c r="Q231" i="100"/>
  <c r="Q181" i="100"/>
  <c r="I166" i="100"/>
  <c r="I161" i="100"/>
  <c r="I162" i="100"/>
  <c r="I168" i="100"/>
  <c r="I200" i="100"/>
  <c r="I153" i="100"/>
  <c r="I165" i="100"/>
  <c r="I177" i="100"/>
  <c r="I201" i="100"/>
  <c r="I167" i="100"/>
  <c r="I204" i="100"/>
  <c r="I210" i="100"/>
  <c r="I216" i="100"/>
  <c r="I222" i="100"/>
  <c r="I13" i="100"/>
  <c r="I19" i="100"/>
  <c r="I25" i="100"/>
  <c r="I31" i="100"/>
  <c r="I37" i="100"/>
  <c r="I43" i="100"/>
  <c r="I50" i="100"/>
  <c r="I56" i="100"/>
  <c r="I62" i="100"/>
  <c r="I68" i="100"/>
  <c r="I74" i="100"/>
  <c r="I80" i="100"/>
  <c r="I87" i="100"/>
  <c r="I93" i="100"/>
  <c r="I99" i="100"/>
  <c r="I105" i="100"/>
  <c r="I114" i="100"/>
  <c r="I120" i="100"/>
  <c r="I126" i="100"/>
  <c r="I132" i="100"/>
  <c r="I139" i="100"/>
  <c r="I145" i="100"/>
  <c r="I151" i="100"/>
  <c r="I158" i="100"/>
  <c r="I174" i="100"/>
  <c r="I211" i="100"/>
  <c r="I203" i="100"/>
  <c r="I209" i="100"/>
  <c r="I215" i="100"/>
  <c r="I208" i="100"/>
  <c r="I214" i="100"/>
  <c r="I220" i="100"/>
  <c r="I184" i="100"/>
  <c r="I190" i="100"/>
  <c r="I197" i="100"/>
  <c r="I8" i="100"/>
  <c r="I14" i="100"/>
  <c r="I20" i="100"/>
  <c r="I26" i="100"/>
  <c r="I32" i="100"/>
  <c r="I38" i="100"/>
  <c r="I44" i="100"/>
  <c r="I51" i="100"/>
  <c r="I121" i="100"/>
  <c r="I127" i="100"/>
  <c r="I133" i="100"/>
  <c r="I140" i="100"/>
  <c r="I146" i="100"/>
  <c r="I152" i="100"/>
  <c r="I175" i="100"/>
  <c r="I185" i="100"/>
  <c r="I191" i="100"/>
  <c r="I198" i="100"/>
  <c r="I57" i="100"/>
  <c r="I63" i="100"/>
  <c r="I69" i="100"/>
  <c r="I75" i="100"/>
  <c r="I81" i="100"/>
  <c r="I88" i="100"/>
  <c r="I94" i="100"/>
  <c r="I100" i="100"/>
  <c r="I106" i="100"/>
  <c r="I115" i="100"/>
  <c r="I159" i="100"/>
  <c r="I207" i="100"/>
  <c r="I213" i="100"/>
  <c r="I219" i="100"/>
  <c r="I9" i="100"/>
  <c r="I15" i="100"/>
  <c r="I21" i="100"/>
  <c r="I27" i="100"/>
  <c r="I33" i="100"/>
  <c r="I39" i="100"/>
  <c r="I45" i="100"/>
  <c r="I52" i="100"/>
  <c r="I58" i="100"/>
  <c r="I64" i="100"/>
  <c r="I70" i="100"/>
  <c r="I76" i="100"/>
  <c r="I82" i="100"/>
  <c r="I89" i="100"/>
  <c r="I95" i="100"/>
  <c r="I101" i="100"/>
  <c r="I107" i="100"/>
  <c r="I116" i="100"/>
  <c r="I122" i="100"/>
  <c r="I128" i="100"/>
  <c r="I135" i="100"/>
  <c r="I141" i="100"/>
  <c r="I147" i="100"/>
  <c r="I154" i="100"/>
  <c r="I170" i="100"/>
  <c r="I176" i="100"/>
  <c r="I186" i="100"/>
  <c r="I192" i="100"/>
  <c r="I199" i="100"/>
  <c r="I10" i="100"/>
  <c r="I16" i="100"/>
  <c r="I22" i="100"/>
  <c r="I28" i="100"/>
  <c r="I34" i="100"/>
  <c r="I40" i="100"/>
  <c r="I46" i="100"/>
  <c r="I53" i="100"/>
  <c r="I59" i="100"/>
  <c r="I65" i="100"/>
  <c r="I71" i="100"/>
  <c r="I77" i="100"/>
  <c r="I83" i="100"/>
  <c r="I90" i="100"/>
  <c r="I96" i="100"/>
  <c r="I102" i="100"/>
  <c r="I109" i="100"/>
  <c r="I117" i="100"/>
  <c r="I123" i="100"/>
  <c r="I129" i="100"/>
  <c r="I136" i="100"/>
  <c r="I142" i="100"/>
  <c r="I148" i="100"/>
  <c r="I155" i="100"/>
  <c r="I171" i="100"/>
  <c r="I180" i="100"/>
  <c r="I187" i="100"/>
  <c r="I193" i="100"/>
  <c r="I11" i="100"/>
  <c r="I48" i="100"/>
  <c r="I72" i="100"/>
  <c r="I84" i="100"/>
  <c r="I110" i="100"/>
  <c r="I130" i="100"/>
  <c r="I143" i="100"/>
  <c r="I182" i="100"/>
  <c r="I188" i="100"/>
  <c r="I221" i="100"/>
  <c r="I225" i="100"/>
  <c r="I218" i="100"/>
  <c r="I17" i="100"/>
  <c r="I23" i="100"/>
  <c r="I29" i="100"/>
  <c r="I35" i="100"/>
  <c r="I41" i="100"/>
  <c r="I54" i="100"/>
  <c r="I60" i="100"/>
  <c r="I66" i="100"/>
  <c r="I78" i="100"/>
  <c r="I91" i="100"/>
  <c r="I97" i="100"/>
  <c r="I103" i="100"/>
  <c r="I118" i="100"/>
  <c r="I124" i="100"/>
  <c r="I137" i="100"/>
  <c r="I149" i="100"/>
  <c r="I156" i="100"/>
  <c r="I172" i="100"/>
  <c r="I195" i="100"/>
  <c r="I205" i="100"/>
  <c r="I217" i="100"/>
  <c r="I223" i="100"/>
  <c r="I226" i="100"/>
  <c r="I229" i="100"/>
  <c r="I228" i="100"/>
  <c r="I227" i="100"/>
  <c r="I12" i="100"/>
  <c r="I18" i="100"/>
  <c r="I24" i="100"/>
  <c r="I30" i="100"/>
  <c r="I36" i="100"/>
  <c r="I42" i="100"/>
  <c r="I49" i="100"/>
  <c r="I55" i="100"/>
  <c r="I61" i="100"/>
  <c r="I67" i="100"/>
  <c r="I73" i="100"/>
  <c r="I79" i="100"/>
  <c r="I85" i="100"/>
  <c r="I92" i="100"/>
  <c r="I98" i="100"/>
  <c r="I104" i="100"/>
  <c r="I111" i="100"/>
  <c r="I119" i="100"/>
  <c r="I125" i="100"/>
  <c r="I131" i="100"/>
  <c r="I138" i="100"/>
  <c r="I144" i="100"/>
  <c r="I150" i="100"/>
  <c r="I157" i="100"/>
  <c r="I173" i="100"/>
  <c r="I183" i="100"/>
  <c r="I189" i="100"/>
  <c r="I196" i="100"/>
  <c r="I206" i="100"/>
  <c r="I212" i="100"/>
  <c r="T111" i="49"/>
  <c r="K13" i="100" l="1"/>
  <c r="K14" i="100"/>
  <c r="K200" i="100"/>
  <c r="K19" i="100"/>
  <c r="K16" i="100"/>
  <c r="K201" i="100"/>
  <c r="K15" i="100"/>
  <c r="K17" i="100"/>
  <c r="K76" i="100"/>
  <c r="K18" i="100"/>
  <c r="Q126" i="100"/>
  <c r="Q129" i="100"/>
  <c r="Q120" i="100"/>
  <c r="Q123" i="100"/>
  <c r="Q128" i="100"/>
  <c r="Q127" i="100"/>
  <c r="Q117" i="100"/>
  <c r="Q122" i="100"/>
  <c r="Q121" i="100"/>
  <c r="G45" i="53"/>
  <c r="Q116" i="100"/>
  <c r="Q125" i="100"/>
  <c r="Q222" i="100"/>
  <c r="Q119" i="100"/>
  <c r="Q199" i="100"/>
  <c r="Q211" i="100"/>
  <c r="Q212" i="100"/>
  <c r="Q124" i="100"/>
  <c r="Q118" i="100"/>
  <c r="Q227" i="100"/>
  <c r="Q180" i="100"/>
  <c r="M223" i="100"/>
  <c r="M222" i="100"/>
  <c r="M221" i="100"/>
  <c r="M220" i="100"/>
  <c r="M219" i="100"/>
  <c r="M218" i="100"/>
  <c r="M217" i="100"/>
  <c r="M216" i="100"/>
  <c r="M215" i="100"/>
  <c r="M214" i="100"/>
  <c r="M213" i="100"/>
  <c r="M212" i="100"/>
  <c r="M211" i="100"/>
  <c r="M210" i="100"/>
  <c r="M209" i="100"/>
  <c r="M208" i="100"/>
  <c r="M207" i="100"/>
  <c r="M206" i="100"/>
  <c r="M205" i="100"/>
  <c r="M204" i="100"/>
  <c r="M203" i="100"/>
  <c r="M202" i="100"/>
  <c r="M201" i="100"/>
  <c r="M200" i="100"/>
  <c r="M199" i="100"/>
  <c r="M198" i="100"/>
  <c r="M197" i="100"/>
  <c r="M196" i="100"/>
  <c r="M195" i="100"/>
  <c r="M194" i="100"/>
  <c r="M193" i="100"/>
  <c r="M192" i="100"/>
  <c r="M191" i="100"/>
  <c r="M190" i="100"/>
  <c r="M189" i="100"/>
  <c r="M188" i="100"/>
  <c r="M187" i="100"/>
  <c r="M186" i="100"/>
  <c r="M185" i="100"/>
  <c r="M184" i="100"/>
  <c r="M183" i="100"/>
  <c r="M182" i="100"/>
  <c r="M181" i="100"/>
  <c r="M180" i="100"/>
  <c r="M179" i="100"/>
  <c r="M178" i="100"/>
  <c r="M177" i="100"/>
  <c r="M176" i="100"/>
  <c r="M175" i="100"/>
  <c r="M174" i="100"/>
  <c r="M173" i="100"/>
  <c r="M172" i="100"/>
  <c r="M171" i="100"/>
  <c r="M170" i="100"/>
  <c r="M169" i="100"/>
  <c r="M168" i="100"/>
  <c r="M167" i="100"/>
  <c r="M166" i="100"/>
  <c r="M165" i="100"/>
  <c r="M164" i="100"/>
  <c r="M163" i="100"/>
  <c r="M162" i="100"/>
  <c r="M161" i="100"/>
  <c r="M160" i="100"/>
  <c r="M159" i="100"/>
  <c r="M158" i="100"/>
  <c r="M157" i="100"/>
  <c r="M156" i="100"/>
  <c r="M155" i="100"/>
  <c r="M154" i="100"/>
  <c r="M153" i="100"/>
  <c r="M152" i="100"/>
  <c r="M151" i="100"/>
  <c r="M150" i="100"/>
  <c r="M149" i="100"/>
  <c r="M148" i="100"/>
  <c r="M147" i="100"/>
  <c r="M146" i="100"/>
  <c r="M145" i="100"/>
  <c r="M144" i="100"/>
  <c r="M143" i="100"/>
  <c r="M142" i="100"/>
  <c r="M141" i="100"/>
  <c r="M140" i="100"/>
  <c r="M139" i="100"/>
  <c r="M138" i="100"/>
  <c r="M137" i="100"/>
  <c r="M136" i="100"/>
  <c r="M135" i="100"/>
  <c r="M134" i="100"/>
  <c r="M133" i="100"/>
  <c r="M132" i="100"/>
  <c r="M131" i="100"/>
  <c r="M130" i="100"/>
  <c r="M129" i="100"/>
  <c r="M128" i="100"/>
  <c r="M127" i="100"/>
  <c r="M126" i="100"/>
  <c r="M125" i="100"/>
  <c r="M124" i="100"/>
  <c r="M123" i="100"/>
  <c r="M122" i="100"/>
  <c r="M121" i="100"/>
  <c r="M120" i="100"/>
  <c r="M119" i="100"/>
  <c r="M118" i="100"/>
  <c r="M117" i="100"/>
  <c r="M116" i="100"/>
  <c r="M115" i="100"/>
  <c r="M114" i="100"/>
  <c r="M113" i="100"/>
  <c r="M112" i="100"/>
  <c r="M111" i="100"/>
  <c r="M110" i="100"/>
  <c r="M109" i="100"/>
  <c r="M108" i="100"/>
  <c r="M107" i="100"/>
  <c r="M106" i="100"/>
  <c r="M105" i="100"/>
  <c r="M104" i="100"/>
  <c r="M103" i="100"/>
  <c r="M102" i="100"/>
  <c r="M101" i="100"/>
  <c r="M100" i="100"/>
  <c r="M99" i="100"/>
  <c r="M98" i="100"/>
  <c r="M97" i="100"/>
  <c r="M96" i="100"/>
  <c r="M95" i="100"/>
  <c r="M94" i="100"/>
  <c r="M93" i="100"/>
  <c r="M92" i="100"/>
  <c r="M91" i="100"/>
  <c r="M90" i="100"/>
  <c r="M89" i="100"/>
  <c r="M88" i="100"/>
  <c r="M87" i="100"/>
  <c r="M86" i="100"/>
  <c r="M85" i="100"/>
  <c r="M84" i="100"/>
  <c r="M83" i="100"/>
  <c r="M82" i="100"/>
  <c r="M81" i="100"/>
  <c r="M80" i="100"/>
  <c r="M79" i="100"/>
  <c r="M78" i="100"/>
  <c r="M77" i="100"/>
  <c r="M76" i="100"/>
  <c r="M75" i="100"/>
  <c r="M74" i="100"/>
  <c r="M73" i="100"/>
  <c r="M72" i="100"/>
  <c r="M71" i="100"/>
  <c r="M70" i="100"/>
  <c r="M69" i="100"/>
  <c r="M68" i="100"/>
  <c r="M67" i="100"/>
  <c r="M66" i="100"/>
  <c r="M65" i="100"/>
  <c r="M64" i="100"/>
  <c r="M63" i="100"/>
  <c r="M62" i="100"/>
  <c r="M61" i="100"/>
  <c r="M60" i="100"/>
  <c r="M59" i="100"/>
  <c r="M58" i="100"/>
  <c r="M57" i="100"/>
  <c r="M56" i="100"/>
  <c r="M55" i="100"/>
  <c r="M54" i="100"/>
  <c r="M53" i="100"/>
  <c r="M52" i="100"/>
  <c r="M51" i="100"/>
  <c r="M50" i="100"/>
  <c r="M49" i="100"/>
  <c r="M48" i="100"/>
  <c r="M47" i="100"/>
  <c r="M46" i="100"/>
  <c r="M45" i="100"/>
  <c r="M44" i="100"/>
  <c r="M43" i="100"/>
  <c r="M42" i="100"/>
  <c r="M41" i="100"/>
  <c r="M40" i="100"/>
  <c r="M39" i="100"/>
  <c r="M38" i="100"/>
  <c r="M37" i="100"/>
  <c r="M36" i="100"/>
  <c r="M35" i="100"/>
  <c r="M34" i="100"/>
  <c r="M33" i="100"/>
  <c r="M32" i="100"/>
  <c r="M31" i="100"/>
  <c r="M30" i="100"/>
  <c r="M29" i="100"/>
  <c r="M28" i="100"/>
  <c r="M27" i="100"/>
  <c r="M26" i="100"/>
  <c r="M25" i="100"/>
  <c r="M24" i="100"/>
  <c r="M23" i="100"/>
  <c r="M22" i="100"/>
  <c r="M21" i="100"/>
  <c r="M20" i="100"/>
  <c r="M19" i="100"/>
  <c r="M18" i="100"/>
  <c r="M17" i="100"/>
  <c r="M16" i="100"/>
  <c r="M15" i="100"/>
  <c r="M14" i="100"/>
  <c r="M13" i="100"/>
  <c r="M12" i="100"/>
  <c r="M11" i="100"/>
  <c r="M10" i="100"/>
  <c r="M9" i="100"/>
  <c r="M8" i="100"/>
  <c r="M7" i="100"/>
  <c r="N203" i="100" l="1"/>
  <c r="N209" i="100"/>
  <c r="N215" i="100"/>
  <c r="N205" i="100"/>
  <c r="N211" i="100"/>
  <c r="N217" i="100"/>
  <c r="N223" i="100"/>
  <c r="N221" i="100"/>
  <c r="N204" i="100"/>
  <c r="N210" i="100"/>
  <c r="N216" i="100"/>
  <c r="N207" i="100"/>
  <c r="N213" i="100"/>
  <c r="N219" i="100"/>
  <c r="N222" i="100"/>
  <c r="N208" i="100"/>
  <c r="N220" i="100"/>
  <c r="N206" i="100"/>
  <c r="N212" i="100"/>
  <c r="N218" i="100"/>
  <c r="N214" i="100"/>
  <c r="F223" i="100" l="1"/>
  <c r="F222" i="100"/>
  <c r="F221" i="100"/>
  <c r="F220" i="100"/>
  <c r="F219" i="100"/>
  <c r="F218" i="100"/>
  <c r="F217" i="100"/>
  <c r="F216" i="100"/>
  <c r="F215" i="100"/>
  <c r="F214" i="100"/>
  <c r="F213" i="100"/>
  <c r="F212" i="100"/>
  <c r="F211" i="100"/>
  <c r="F210" i="100"/>
  <c r="F208" i="100"/>
  <c r="F207" i="100"/>
  <c r="F206" i="100"/>
  <c r="F205" i="100"/>
  <c r="F204" i="100"/>
  <c r="C232" i="111"/>
  <c r="D223" i="100"/>
  <c r="E223" i="100" s="1"/>
  <c r="C234" i="111" s="1"/>
  <c r="D222" i="100"/>
  <c r="E222" i="100" s="1"/>
  <c r="C233" i="111" s="1"/>
  <c r="D220" i="100"/>
  <c r="C231" i="111" s="1"/>
  <c r="D219" i="100"/>
  <c r="C230" i="111" s="1"/>
  <c r="D218" i="100"/>
  <c r="D217" i="100"/>
  <c r="D216" i="100"/>
  <c r="C227" i="111" s="1"/>
  <c r="D215" i="100"/>
  <c r="D214" i="100"/>
  <c r="E214" i="100" s="1"/>
  <c r="C225" i="111" s="1"/>
  <c r="D213" i="100"/>
  <c r="E213" i="100" s="1"/>
  <c r="C224" i="111" s="1"/>
  <c r="D212" i="100"/>
  <c r="E212" i="100" s="1"/>
  <c r="C223" i="111" s="1"/>
  <c r="D210" i="100"/>
  <c r="E210" i="100" s="1"/>
  <c r="C221" i="111" s="1"/>
  <c r="D209" i="100"/>
  <c r="D208" i="100"/>
  <c r="D207" i="100"/>
  <c r="C218" i="111" s="1"/>
  <c r="D206" i="100"/>
  <c r="D205" i="100"/>
  <c r="D204" i="100"/>
  <c r="E204" i="100" s="1"/>
  <c r="D203" i="100"/>
  <c r="N194" i="100"/>
  <c r="N179" i="100"/>
  <c r="N169" i="100"/>
  <c r="N168" i="100"/>
  <c r="N167" i="100"/>
  <c r="N163" i="100"/>
  <c r="N161" i="100"/>
  <c r="N160" i="100"/>
  <c r="N108" i="100"/>
  <c r="N86" i="100"/>
  <c r="N178" i="100"/>
  <c r="N166" i="100"/>
  <c r="N153" i="100"/>
  <c r="N202" i="100"/>
  <c r="N181" i="100"/>
  <c r="N177" i="100"/>
  <c r="N165" i="100"/>
  <c r="N164" i="100"/>
  <c r="N162" i="100"/>
  <c r="N113" i="100"/>
  <c r="N112" i="100"/>
  <c r="C237" i="111"/>
  <c r="C236" i="111"/>
  <c r="C235" i="111"/>
  <c r="C228" i="111"/>
  <c r="C226" i="111"/>
  <c r="C222" i="111"/>
  <c r="C220" i="111"/>
  <c r="C216" i="111"/>
  <c r="C215" i="111"/>
  <c r="C213" i="111"/>
  <c r="C212" i="111"/>
  <c r="C211" i="111"/>
  <c r="C210" i="111"/>
  <c r="C209" i="111"/>
  <c r="C208" i="111"/>
  <c r="C207" i="111"/>
  <c r="C206" i="111"/>
  <c r="C205" i="111"/>
  <c r="C204" i="111"/>
  <c r="C203" i="111"/>
  <c r="C202" i="111"/>
  <c r="C201" i="111"/>
  <c r="C200" i="111"/>
  <c r="C199" i="111"/>
  <c r="C198" i="111"/>
  <c r="C197" i="111"/>
  <c r="C196" i="111"/>
  <c r="C195" i="111"/>
  <c r="C194" i="111"/>
  <c r="C193" i="111"/>
  <c r="C192" i="111"/>
  <c r="C191" i="111"/>
  <c r="C190" i="111"/>
  <c r="C189" i="111"/>
  <c r="C188" i="111"/>
  <c r="C187" i="111"/>
  <c r="C186" i="111"/>
  <c r="C185" i="111"/>
  <c r="C184" i="111"/>
  <c r="C183" i="111"/>
  <c r="C182" i="111"/>
  <c r="C181" i="111"/>
  <c r="C180" i="111"/>
  <c r="C179" i="111"/>
  <c r="C178" i="111"/>
  <c r="C177" i="111"/>
  <c r="C176" i="111"/>
  <c r="C175" i="111"/>
  <c r="C174" i="111"/>
  <c r="C173" i="111"/>
  <c r="C172" i="111"/>
  <c r="C171" i="111"/>
  <c r="C170" i="111"/>
  <c r="C169" i="111"/>
  <c r="C168" i="111"/>
  <c r="C167" i="111"/>
  <c r="C166" i="111"/>
  <c r="C165" i="111"/>
  <c r="C164" i="111"/>
  <c r="C163" i="111"/>
  <c r="C162" i="111"/>
  <c r="C161" i="111"/>
  <c r="C160" i="111"/>
  <c r="C159" i="111"/>
  <c r="C158" i="111"/>
  <c r="C157" i="111"/>
  <c r="C156" i="111"/>
  <c r="C155" i="111"/>
  <c r="C154" i="111"/>
  <c r="C153" i="111"/>
  <c r="C152" i="111"/>
  <c r="C151" i="111"/>
  <c r="C150" i="111"/>
  <c r="C149" i="111"/>
  <c r="C148" i="111"/>
  <c r="C147" i="111"/>
  <c r="C146" i="111"/>
  <c r="C145" i="111"/>
  <c r="C144" i="111"/>
  <c r="C143" i="111"/>
  <c r="C142" i="111"/>
  <c r="C141" i="111"/>
  <c r="C140" i="111"/>
  <c r="C139" i="111"/>
  <c r="C138" i="111"/>
  <c r="C137" i="111"/>
  <c r="C136" i="111"/>
  <c r="C135" i="111"/>
  <c r="C134" i="111"/>
  <c r="C133" i="111"/>
  <c r="C132" i="111"/>
  <c r="C131" i="111"/>
  <c r="C130" i="111"/>
  <c r="C129" i="111"/>
  <c r="C128" i="111"/>
  <c r="C127" i="111"/>
  <c r="C126" i="111"/>
  <c r="C125" i="111"/>
  <c r="C124" i="111"/>
  <c r="C123" i="111"/>
  <c r="C122" i="111"/>
  <c r="C121" i="111"/>
  <c r="C120" i="111"/>
  <c r="C119" i="111"/>
  <c r="C118" i="111"/>
  <c r="C117" i="111"/>
  <c r="C116" i="111"/>
  <c r="C115" i="111"/>
  <c r="C114" i="111"/>
  <c r="C113" i="111"/>
  <c r="C112" i="111"/>
  <c r="C111" i="111"/>
  <c r="C110" i="111"/>
  <c r="C109" i="111"/>
  <c r="C108" i="111"/>
  <c r="C107" i="111"/>
  <c r="C106" i="111"/>
  <c r="C105" i="111"/>
  <c r="C104" i="111"/>
  <c r="C103" i="111"/>
  <c r="C102" i="111"/>
  <c r="C101" i="111"/>
  <c r="C100" i="111"/>
  <c r="C99" i="111"/>
  <c r="C98" i="111"/>
  <c r="C97" i="111"/>
  <c r="C96" i="111"/>
  <c r="C95" i="111"/>
  <c r="C94" i="111"/>
  <c r="C93" i="111"/>
  <c r="C92" i="111"/>
  <c r="C91" i="111"/>
  <c r="C90" i="111"/>
  <c r="C89" i="111"/>
  <c r="C88" i="111"/>
  <c r="C87" i="111"/>
  <c r="C86" i="111"/>
  <c r="C85" i="111"/>
  <c r="C84" i="111"/>
  <c r="C83" i="111"/>
  <c r="C82" i="111"/>
  <c r="C81" i="111"/>
  <c r="C80" i="111"/>
  <c r="C79" i="111"/>
  <c r="C78" i="111"/>
  <c r="C77" i="111"/>
  <c r="C76" i="111"/>
  <c r="C75" i="111"/>
  <c r="C74" i="111"/>
  <c r="C73" i="111"/>
  <c r="C72" i="111"/>
  <c r="C71" i="111"/>
  <c r="C70" i="111"/>
  <c r="C69" i="111"/>
  <c r="C68" i="111"/>
  <c r="C67" i="111"/>
  <c r="C66" i="111"/>
  <c r="C65" i="111"/>
  <c r="C64" i="111"/>
  <c r="C63" i="111"/>
  <c r="C62" i="111"/>
  <c r="C61" i="111"/>
  <c r="C60" i="111"/>
  <c r="C59" i="111"/>
  <c r="C58" i="111"/>
  <c r="C57" i="111"/>
  <c r="C56" i="111"/>
  <c r="C55" i="111"/>
  <c r="C54" i="111"/>
  <c r="C53" i="111"/>
  <c r="C52" i="111"/>
  <c r="C51" i="111"/>
  <c r="C50" i="111"/>
  <c r="C49" i="111"/>
  <c r="C48" i="111"/>
  <c r="C47" i="111"/>
  <c r="C46" i="111"/>
  <c r="C45" i="111"/>
  <c r="C44" i="111"/>
  <c r="C43" i="111"/>
  <c r="C42" i="111"/>
  <c r="C41" i="111"/>
  <c r="C40" i="111"/>
  <c r="C39" i="111"/>
  <c r="C38" i="111"/>
  <c r="C37" i="111"/>
  <c r="C36" i="111"/>
  <c r="C35" i="111"/>
  <c r="C34" i="111"/>
  <c r="C33" i="111"/>
  <c r="C32" i="111"/>
  <c r="C31" i="111"/>
  <c r="C30" i="111"/>
  <c r="C29" i="111"/>
  <c r="C28" i="111"/>
  <c r="C27" i="111"/>
  <c r="C26" i="111"/>
  <c r="C25" i="111"/>
  <c r="C24" i="111"/>
  <c r="C23" i="111"/>
  <c r="C22" i="111"/>
  <c r="C21" i="111"/>
  <c r="C20" i="111"/>
  <c r="C19" i="111"/>
  <c r="C18" i="111"/>
  <c r="C17" i="111"/>
  <c r="C16" i="111"/>
  <c r="C15" i="111"/>
  <c r="C14" i="111"/>
  <c r="C13" i="111"/>
  <c r="C12" i="111"/>
  <c r="C11" i="111"/>
  <c r="C10" i="111"/>
  <c r="C9" i="111"/>
  <c r="C8" i="111"/>
  <c r="C7" i="111"/>
  <c r="C6" i="111"/>
  <c r="C5" i="111"/>
  <c r="C4" i="111"/>
  <c r="C3" i="111"/>
  <c r="C2" i="111"/>
  <c r="G422" i="48" l="1"/>
  <c r="D54" i="1" s="1"/>
  <c r="J54" i="1" s="1"/>
  <c r="G126" i="48"/>
  <c r="G71" i="48"/>
  <c r="G53" i="48"/>
  <c r="E9" i="91" s="1"/>
  <c r="G52" i="48"/>
  <c r="G43" i="48"/>
  <c r="G121" i="48"/>
  <c r="G122" i="48" s="1"/>
  <c r="D28" i="1" s="1"/>
  <c r="H28" i="1" s="1"/>
  <c r="C34" i="99" s="1"/>
  <c r="C102" i="49"/>
  <c r="C10" i="99" s="1"/>
  <c r="D51" i="1"/>
  <c r="J51" i="1" s="1"/>
  <c r="D44" i="1"/>
  <c r="J44" i="1" s="1"/>
  <c r="G11" i="48"/>
  <c r="B12" i="73" s="1"/>
  <c r="C81" i="49"/>
  <c r="F107" i="70" s="1"/>
  <c r="F109" i="70" s="1"/>
  <c r="G32" i="48"/>
  <c r="G42" i="48"/>
  <c r="G30" i="48"/>
  <c r="G310" i="48"/>
  <c r="G309" i="48"/>
  <c r="G305" i="48"/>
  <c r="G304" i="48"/>
  <c r="G86" i="48"/>
  <c r="C108" i="49"/>
  <c r="C14" i="99" s="1"/>
  <c r="C35" i="49"/>
  <c r="G474" i="48"/>
  <c r="F87" i="70" s="1"/>
  <c r="G260" i="48"/>
  <c r="C96" i="49"/>
  <c r="G129" i="48"/>
  <c r="C109" i="49"/>
  <c r="C217" i="111"/>
  <c r="C219" i="111"/>
  <c r="C229" i="111"/>
  <c r="G468" i="48"/>
  <c r="G74" i="48"/>
  <c r="N47" i="100"/>
  <c r="G128" i="48"/>
  <c r="C83" i="49"/>
  <c r="C82" i="49"/>
  <c r="C80" i="49"/>
  <c r="N134" i="100"/>
  <c r="C85" i="49"/>
  <c r="C71" i="49"/>
  <c r="C214" i="111"/>
  <c r="N15" i="100"/>
  <c r="N66" i="100"/>
  <c r="N55" i="100"/>
  <c r="N67" i="100"/>
  <c r="N103" i="100"/>
  <c r="N118" i="100"/>
  <c r="N92" i="100"/>
  <c r="N68" i="100"/>
  <c r="N183" i="100"/>
  <c r="N195" i="100"/>
  <c r="N105" i="100"/>
  <c r="N123" i="100"/>
  <c r="N149" i="100"/>
  <c r="N142" i="100"/>
  <c r="N150" i="100"/>
  <c r="N114" i="100"/>
  <c r="N187" i="100"/>
  <c r="N140" i="100"/>
  <c r="N198" i="100"/>
  <c r="N138" i="100"/>
  <c r="N186" i="100"/>
  <c r="N122" i="100"/>
  <c r="N126" i="100"/>
  <c r="N152" i="100"/>
  <c r="N188" i="100"/>
  <c r="N110" i="100"/>
  <c r="N124" i="100"/>
  <c r="N136" i="100"/>
  <c r="N148" i="100"/>
  <c r="N174" i="100"/>
  <c r="N189" i="100"/>
  <c r="N175" i="100"/>
  <c r="N190" i="100"/>
  <c r="N176" i="100"/>
  <c r="N201" i="100"/>
  <c r="N90" i="100"/>
  <c r="N184" i="100"/>
  <c r="N141" i="100"/>
  <c r="N158" i="100"/>
  <c r="N146" i="100"/>
  <c r="N159" i="100"/>
  <c r="N147" i="100"/>
  <c r="N128" i="100"/>
  <c r="N87" i="100"/>
  <c r="N111" i="100"/>
  <c r="N193" i="100"/>
  <c r="N117" i="100"/>
  <c r="N129" i="100"/>
  <c r="N154" i="100"/>
  <c r="N64" i="100"/>
  <c r="N199" i="100"/>
  <c r="N125" i="100"/>
  <c r="N137" i="100"/>
  <c r="N185" i="100"/>
  <c r="N143" i="100"/>
  <c r="N155" i="100"/>
  <c r="N119" i="100"/>
  <c r="N144" i="100"/>
  <c r="N156" i="100"/>
  <c r="N120" i="100"/>
  <c r="N107" i="100"/>
  <c r="N191" i="100"/>
  <c r="N23" i="100"/>
  <c r="N35" i="100"/>
  <c r="N59" i="100"/>
  <c r="N83" i="100"/>
  <c r="N192" i="100"/>
  <c r="N60" i="100"/>
  <c r="N180" i="100"/>
  <c r="N139" i="100"/>
  <c r="N151" i="100"/>
  <c r="N115" i="100"/>
  <c r="N127" i="100"/>
  <c r="N121" i="100"/>
  <c r="N133" i="100"/>
  <c r="N135" i="100"/>
  <c r="N109" i="100"/>
  <c r="N61" i="100"/>
  <c r="N38" i="100"/>
  <c r="N50" i="100"/>
  <c r="N62" i="100"/>
  <c r="N98" i="100"/>
  <c r="N40" i="100"/>
  <c r="N29" i="100"/>
  <c r="N41" i="100"/>
  <c r="N89" i="100"/>
  <c r="G130" i="48"/>
  <c r="N196" i="100"/>
  <c r="N30" i="100"/>
  <c r="N171" i="100"/>
  <c r="N197" i="100"/>
  <c r="N172" i="100"/>
  <c r="G273" i="48"/>
  <c r="N32" i="100"/>
  <c r="N44" i="100"/>
  <c r="N173" i="100"/>
  <c r="N34" i="100"/>
  <c r="N106" i="100"/>
  <c r="N145" i="100"/>
  <c r="N157" i="100"/>
  <c r="I7" i="100"/>
  <c r="H237" i="48"/>
  <c r="H260" i="48"/>
  <c r="H268" i="48" s="1"/>
  <c r="A2" i="48"/>
  <c r="G343" i="48"/>
  <c r="H343" i="48"/>
  <c r="J28" i="1" l="1"/>
  <c r="D15" i="73"/>
  <c r="E15" i="73" s="1"/>
  <c r="E12" i="73"/>
  <c r="G12" i="73"/>
  <c r="G54" i="48"/>
  <c r="D18" i="1" s="1"/>
  <c r="J18" i="1" s="1"/>
  <c r="G127" i="48"/>
  <c r="F116" i="70"/>
  <c r="C46" i="99"/>
  <c r="B99" i="99" s="1"/>
  <c r="B100" i="99" s="1"/>
  <c r="F110" i="70"/>
  <c r="H44" i="1"/>
  <c r="F111" i="70"/>
  <c r="H51" i="1"/>
  <c r="G12" i="48"/>
  <c r="G13" i="48" s="1"/>
  <c r="D13" i="1"/>
  <c r="G89" i="48"/>
  <c r="G84" i="48"/>
  <c r="G87" i="48" s="1"/>
  <c r="O74" i="48"/>
  <c r="G29" i="48"/>
  <c r="G473" i="48"/>
  <c r="G475" i="48" s="1"/>
  <c r="G467" i="48"/>
  <c r="G271" i="48"/>
  <c r="N84" i="100"/>
  <c r="N102" i="100"/>
  <c r="N91" i="100"/>
  <c r="G117" i="48"/>
  <c r="C58" i="99" s="1"/>
  <c r="R10" i="1"/>
  <c r="N131" i="100"/>
  <c r="C79" i="49"/>
  <c r="N132" i="100"/>
  <c r="C84" i="49"/>
  <c r="N130" i="100"/>
  <c r="C68" i="49"/>
  <c r="N182" i="100"/>
  <c r="C69" i="49"/>
  <c r="N170" i="100"/>
  <c r="C72" i="49"/>
  <c r="N116" i="100"/>
  <c r="N77" i="100"/>
  <c r="N79" i="100"/>
  <c r="G75" i="48"/>
  <c r="N80" i="100"/>
  <c r="G73" i="48"/>
  <c r="N78" i="100"/>
  <c r="G72" i="48"/>
  <c r="L15" i="100"/>
  <c r="N54" i="100"/>
  <c r="N71" i="100"/>
  <c r="N51" i="100"/>
  <c r="N7" i="100"/>
  <c r="N97" i="100"/>
  <c r="N10" i="100"/>
  <c r="N74" i="100"/>
  <c r="N45" i="100"/>
  <c r="L19" i="100"/>
  <c r="N19" i="100"/>
  <c r="N53" i="100"/>
  <c r="L13" i="100"/>
  <c r="N13" i="100"/>
  <c r="N72" i="100"/>
  <c r="N56" i="100"/>
  <c r="N33" i="100"/>
  <c r="N11" i="100"/>
  <c r="N104" i="100"/>
  <c r="N21" i="100"/>
  <c r="N48" i="100"/>
  <c r="N9" i="100"/>
  <c r="N42" i="100"/>
  <c r="L17" i="100"/>
  <c r="N17" i="100"/>
  <c r="N26" i="100"/>
  <c r="N36" i="100"/>
  <c r="N93" i="100"/>
  <c r="N57" i="100"/>
  <c r="N22" i="100"/>
  <c r="N65" i="100"/>
  <c r="N73" i="100"/>
  <c r="N27" i="100"/>
  <c r="N94" i="100"/>
  <c r="N88" i="100"/>
  <c r="L14" i="100"/>
  <c r="N14" i="100"/>
  <c r="N24" i="100"/>
  <c r="N95" i="100"/>
  <c r="N25" i="100"/>
  <c r="N43" i="100"/>
  <c r="N39" i="100"/>
  <c r="N31" i="100"/>
  <c r="L200" i="100"/>
  <c r="N200" i="100"/>
  <c r="N82" i="100"/>
  <c r="L18" i="100"/>
  <c r="N18" i="100"/>
  <c r="N52" i="100"/>
  <c r="N85" i="100"/>
  <c r="N12" i="100"/>
  <c r="N99" i="100"/>
  <c r="N70" i="100"/>
  <c r="N20" i="100"/>
  <c r="N81" i="100"/>
  <c r="N58" i="100"/>
  <c r="N28" i="100"/>
  <c r="N49" i="100"/>
  <c r="N96" i="100"/>
  <c r="N100" i="100"/>
  <c r="N75" i="100"/>
  <c r="N46" i="100"/>
  <c r="N8" i="100"/>
  <c r="N101" i="100"/>
  <c r="L16" i="100"/>
  <c r="N16" i="100"/>
  <c r="N37" i="100"/>
  <c r="L76" i="100"/>
  <c r="N76" i="100"/>
  <c r="N63" i="100"/>
  <c r="N69" i="100"/>
  <c r="L201" i="100"/>
  <c r="I12" i="73" l="1"/>
  <c r="G16" i="73"/>
  <c r="H13" i="1"/>
  <c r="J13" i="1"/>
  <c r="G90" i="48"/>
  <c r="G44" i="48"/>
  <c r="D17" i="1" s="1"/>
  <c r="J17" i="1" s="1"/>
  <c r="O71" i="48"/>
  <c r="O72" i="48"/>
  <c r="O75" i="48"/>
  <c r="O73" i="48"/>
  <c r="O77" i="48"/>
  <c r="O81" i="48" s="1"/>
  <c r="O82" i="48" s="1"/>
  <c r="O271" i="48"/>
  <c r="K4" i="100"/>
  <c r="I225" i="89"/>
  <c r="I224" i="89"/>
  <c r="J224" i="89" s="1"/>
  <c r="C224" i="89"/>
  <c r="I223" i="89"/>
  <c r="J223" i="89" s="1"/>
  <c r="I219" i="89"/>
  <c r="I218" i="89"/>
  <c r="K218" i="89" s="1"/>
  <c r="L218" i="89" s="1"/>
  <c r="I217" i="89"/>
  <c r="I214" i="89"/>
  <c r="K214" i="89" s="1"/>
  <c r="L214" i="89" s="1"/>
  <c r="C214" i="89"/>
  <c r="I213" i="89"/>
  <c r="C213" i="89"/>
  <c r="I212" i="89"/>
  <c r="D11" i="49" s="1"/>
  <c r="I211" i="89"/>
  <c r="I210" i="89"/>
  <c r="I209" i="89"/>
  <c r="D99" i="49" s="1"/>
  <c r="I208" i="89"/>
  <c r="K208" i="89" s="1"/>
  <c r="L208" i="89" s="1"/>
  <c r="C208" i="89"/>
  <c r="I207" i="89"/>
  <c r="I206" i="89"/>
  <c r="I205" i="89"/>
  <c r="J205" i="89" s="1"/>
  <c r="I204" i="89"/>
  <c r="I203" i="89"/>
  <c r="I202" i="89"/>
  <c r="J202" i="89" s="1"/>
  <c r="K202" i="89" s="1"/>
  <c r="I201" i="89"/>
  <c r="J201" i="89" s="1"/>
  <c r="I200" i="89"/>
  <c r="K200" i="89" s="1"/>
  <c r="L200" i="89" s="1"/>
  <c r="I199" i="89"/>
  <c r="I198" i="89"/>
  <c r="I197" i="89"/>
  <c r="D98" i="49" s="1"/>
  <c r="I196" i="89"/>
  <c r="I195" i="89"/>
  <c r="D101" i="49" s="1"/>
  <c r="I194" i="89"/>
  <c r="I193" i="89"/>
  <c r="I192" i="89"/>
  <c r="I191" i="89"/>
  <c r="I190" i="89"/>
  <c r="I189" i="89"/>
  <c r="I188" i="89"/>
  <c r="I187" i="89"/>
  <c r="I186" i="89"/>
  <c r="I185" i="89"/>
  <c r="I184" i="89"/>
  <c r="I183" i="89"/>
  <c r="I182" i="89"/>
  <c r="I181" i="89"/>
  <c r="I180" i="89"/>
  <c r="I179" i="89"/>
  <c r="I178" i="89"/>
  <c r="I177" i="89"/>
  <c r="I176" i="89"/>
  <c r="C176" i="89"/>
  <c r="I175" i="89"/>
  <c r="I174" i="89"/>
  <c r="I173" i="89"/>
  <c r="I172" i="89"/>
  <c r="I171" i="89"/>
  <c r="I170" i="89"/>
  <c r="I169" i="89"/>
  <c r="I168" i="89"/>
  <c r="I167" i="89"/>
  <c r="I166" i="89"/>
  <c r="I165" i="89"/>
  <c r="I164" i="89"/>
  <c r="I163" i="89"/>
  <c r="I162" i="89"/>
  <c r="I161" i="89"/>
  <c r="I160" i="89"/>
  <c r="I159" i="89"/>
  <c r="I158" i="89"/>
  <c r="I157" i="89"/>
  <c r="I156" i="89"/>
  <c r="I155" i="89"/>
  <c r="I154" i="89"/>
  <c r="I153" i="89"/>
  <c r="I152" i="89"/>
  <c r="I151" i="89"/>
  <c r="I150" i="89"/>
  <c r="I149" i="89"/>
  <c r="I148" i="89"/>
  <c r="I147" i="89"/>
  <c r="I146" i="89"/>
  <c r="I145" i="89"/>
  <c r="I144" i="89"/>
  <c r="I143" i="89"/>
  <c r="I142" i="89"/>
  <c r="I141" i="89"/>
  <c r="I140" i="89"/>
  <c r="I139" i="89"/>
  <c r="I138" i="89"/>
  <c r="I137" i="89"/>
  <c r="I136" i="89"/>
  <c r="D106" i="49" s="1"/>
  <c r="I135" i="89"/>
  <c r="I134" i="89"/>
  <c r="I133" i="89"/>
  <c r="I132" i="89"/>
  <c r="I131" i="89"/>
  <c r="I130" i="89"/>
  <c r="I129" i="89"/>
  <c r="I128" i="89"/>
  <c r="I127" i="89"/>
  <c r="I126" i="89"/>
  <c r="I125" i="89"/>
  <c r="I124" i="89"/>
  <c r="I123" i="89"/>
  <c r="I122" i="89"/>
  <c r="D49" i="49" s="1"/>
  <c r="I121" i="89"/>
  <c r="I120" i="89"/>
  <c r="I119" i="89"/>
  <c r="I118" i="89"/>
  <c r="I117" i="89"/>
  <c r="I116" i="89"/>
  <c r="I115" i="89"/>
  <c r="I114" i="89"/>
  <c r="I113" i="89"/>
  <c r="I112" i="89"/>
  <c r="I111" i="89"/>
  <c r="I110" i="89"/>
  <c r="I109" i="89"/>
  <c r="I108" i="89"/>
  <c r="I107" i="89"/>
  <c r="I106" i="89"/>
  <c r="I105" i="89"/>
  <c r="I104" i="89"/>
  <c r="C104" i="89"/>
  <c r="I103" i="89"/>
  <c r="J103" i="89" s="1"/>
  <c r="K103" i="89" s="1"/>
  <c r="I102" i="89"/>
  <c r="I101" i="89"/>
  <c r="J101" i="89" s="1"/>
  <c r="I100" i="89"/>
  <c r="J100" i="89" s="1"/>
  <c r="K100" i="89" s="1"/>
  <c r="I99" i="89"/>
  <c r="K99" i="89" s="1"/>
  <c r="I98" i="89"/>
  <c r="I97" i="89"/>
  <c r="J97" i="89" s="1"/>
  <c r="I96" i="89"/>
  <c r="J96" i="89" s="1"/>
  <c r="I95" i="89"/>
  <c r="I94" i="89"/>
  <c r="I93" i="89"/>
  <c r="K93" i="89" s="1"/>
  <c r="L93" i="89" s="1"/>
  <c r="I92" i="89"/>
  <c r="I91" i="89"/>
  <c r="I90" i="89"/>
  <c r="I89" i="89"/>
  <c r="I88" i="89"/>
  <c r="I87" i="89"/>
  <c r="J87" i="89" s="1"/>
  <c r="K87" i="89" s="1"/>
  <c r="I86" i="89"/>
  <c r="I85" i="89"/>
  <c r="I84" i="89"/>
  <c r="J84" i="89" s="1"/>
  <c r="K84" i="89" s="1"/>
  <c r="I83" i="89"/>
  <c r="I82" i="89"/>
  <c r="I81" i="89"/>
  <c r="J81" i="89" s="1"/>
  <c r="K81" i="89" s="1"/>
  <c r="I80" i="89"/>
  <c r="I79" i="89"/>
  <c r="J79" i="89" s="1"/>
  <c r="I78" i="89"/>
  <c r="J78" i="89" s="1"/>
  <c r="K78" i="89" s="1"/>
  <c r="I77" i="89"/>
  <c r="I76" i="89"/>
  <c r="C76" i="89"/>
  <c r="I75" i="89"/>
  <c r="K75" i="89" s="1"/>
  <c r="L75" i="89" s="1"/>
  <c r="C75" i="89"/>
  <c r="I74" i="89"/>
  <c r="K74" i="89" s="1"/>
  <c r="L74" i="89" s="1"/>
  <c r="C74" i="89"/>
  <c r="I73" i="89"/>
  <c r="K73" i="89" s="1"/>
  <c r="I72" i="89"/>
  <c r="K72" i="89" s="1"/>
  <c r="I71" i="89"/>
  <c r="K71" i="89" s="1"/>
  <c r="I70" i="89"/>
  <c r="K70" i="89" s="1"/>
  <c r="I69" i="89"/>
  <c r="K69" i="89" s="1"/>
  <c r="I68" i="89"/>
  <c r="I67" i="89"/>
  <c r="K67" i="89" s="1"/>
  <c r="L67" i="89" s="1"/>
  <c r="I66" i="89"/>
  <c r="K66" i="89" s="1"/>
  <c r="L66" i="89" s="1"/>
  <c r="I65" i="89"/>
  <c r="K65" i="89" s="1"/>
  <c r="L65" i="89" s="1"/>
  <c r="I64" i="89"/>
  <c r="I63" i="89"/>
  <c r="I62" i="89"/>
  <c r="I61" i="89"/>
  <c r="I60" i="89"/>
  <c r="I59" i="89"/>
  <c r="I58" i="89"/>
  <c r="K58" i="89" s="1"/>
  <c r="L58" i="89" s="1"/>
  <c r="I57" i="89"/>
  <c r="K57" i="89" s="1"/>
  <c r="I56" i="89"/>
  <c r="K56" i="89" s="1"/>
  <c r="L56" i="89" s="1"/>
  <c r="I55" i="89"/>
  <c r="K55" i="89" s="1"/>
  <c r="L55" i="89" s="1"/>
  <c r="I54" i="89"/>
  <c r="K54" i="89" s="1"/>
  <c r="I53" i="89"/>
  <c r="K53" i="89" s="1"/>
  <c r="I52" i="89"/>
  <c r="K52" i="89" s="1"/>
  <c r="I51" i="89"/>
  <c r="I50" i="89"/>
  <c r="J50" i="89" s="1"/>
  <c r="I49" i="89"/>
  <c r="I48" i="89"/>
  <c r="J48" i="89" s="1"/>
  <c r="K48" i="89" s="1"/>
  <c r="I47" i="89"/>
  <c r="I46" i="89"/>
  <c r="I45" i="89"/>
  <c r="J45" i="89" s="1"/>
  <c r="K45" i="89" s="1"/>
  <c r="I44" i="89"/>
  <c r="J44" i="89" s="1"/>
  <c r="I43" i="89"/>
  <c r="I42" i="89"/>
  <c r="J42" i="89" s="1"/>
  <c r="I41" i="89"/>
  <c r="J41" i="89" s="1"/>
  <c r="I40" i="89"/>
  <c r="I39" i="89"/>
  <c r="J39" i="89" s="1"/>
  <c r="K39" i="89" s="1"/>
  <c r="I38" i="89"/>
  <c r="J38" i="89" s="1"/>
  <c r="I37" i="89"/>
  <c r="J37" i="89" s="1"/>
  <c r="K37" i="89" s="1"/>
  <c r="I36" i="89"/>
  <c r="J36" i="89" s="1"/>
  <c r="K36" i="89" s="1"/>
  <c r="I35" i="89"/>
  <c r="J35" i="89" s="1"/>
  <c r="I34" i="89"/>
  <c r="I33" i="89"/>
  <c r="I32" i="89"/>
  <c r="J32" i="89" s="1"/>
  <c r="I31" i="89"/>
  <c r="I30" i="89"/>
  <c r="J30" i="89" s="1"/>
  <c r="K30" i="89" s="1"/>
  <c r="I29" i="89"/>
  <c r="J29" i="89" s="1"/>
  <c r="I28" i="89"/>
  <c r="I27" i="89"/>
  <c r="J27" i="89" s="1"/>
  <c r="K27" i="89" s="1"/>
  <c r="L27" i="89" s="1"/>
  <c r="I26" i="89"/>
  <c r="I25" i="89"/>
  <c r="I24" i="89"/>
  <c r="J24" i="89" s="1"/>
  <c r="I23" i="89"/>
  <c r="I22" i="89"/>
  <c r="I21" i="89"/>
  <c r="I20" i="89"/>
  <c r="I19" i="89"/>
  <c r="K19" i="89" s="1"/>
  <c r="L19" i="89" s="1"/>
  <c r="I18" i="89"/>
  <c r="K18" i="89" s="1"/>
  <c r="I17" i="89"/>
  <c r="I16" i="89"/>
  <c r="I15" i="89"/>
  <c r="I14" i="89"/>
  <c r="I13" i="89"/>
  <c r="I12" i="89"/>
  <c r="I11" i="89"/>
  <c r="I10" i="89"/>
  <c r="K10" i="89" s="1"/>
  <c r="L10" i="89" s="1"/>
  <c r="I9" i="89"/>
  <c r="K9" i="89" s="1"/>
  <c r="I8" i="89"/>
  <c r="I7" i="89"/>
  <c r="E342" i="48"/>
  <c r="G353" i="48"/>
  <c r="D44" i="49" l="1"/>
  <c r="J90" i="89"/>
  <c r="K90" i="89" s="1"/>
  <c r="J47" i="89"/>
  <c r="K47" i="89" s="1"/>
  <c r="L47" i="89" s="1"/>
  <c r="J17" i="89"/>
  <c r="K17" i="89" s="1"/>
  <c r="L17" i="89" s="1"/>
  <c r="J51" i="89"/>
  <c r="K51" i="89" s="1"/>
  <c r="D72" i="49"/>
  <c r="D69" i="49"/>
  <c r="K42" i="89"/>
  <c r="L42" i="89" s="1"/>
  <c r="L52" i="89"/>
  <c r="K13" i="89"/>
  <c r="L13" i="89" s="1"/>
  <c r="H259" i="48"/>
  <c r="D91" i="49"/>
  <c r="L9" i="89"/>
  <c r="L99" i="89"/>
  <c r="J21" i="89"/>
  <c r="K96" i="89"/>
  <c r="L96" i="89" s="1"/>
  <c r="J204" i="89"/>
  <c r="K204" i="89" s="1"/>
  <c r="L204" i="89" s="1"/>
  <c r="K20" i="89"/>
  <c r="H262" i="48" s="1"/>
  <c r="K201" i="89"/>
  <c r="L201" i="89" s="1"/>
  <c r="J33" i="89"/>
  <c r="K33" i="89" s="1"/>
  <c r="K97" i="89"/>
  <c r="L97" i="89" s="1"/>
  <c r="J49" i="89"/>
  <c r="K49" i="89" s="1"/>
  <c r="I220" i="89"/>
  <c r="E30" i="2" s="1"/>
  <c r="D44" i="76" s="1"/>
  <c r="E44" i="76" s="1"/>
  <c r="K68" i="89"/>
  <c r="L68" i="89" s="1"/>
  <c r="J85" i="89"/>
  <c r="K85" i="89" s="1"/>
  <c r="L85" i="89" s="1"/>
  <c r="L103" i="89"/>
  <c r="J34" i="89"/>
  <c r="K34" i="89" s="1"/>
  <c r="L34" i="89" s="1"/>
  <c r="L39" i="89"/>
  <c r="J98" i="89"/>
  <c r="K98" i="89" s="1"/>
  <c r="K50" i="89"/>
  <c r="L50" i="89" s="1"/>
  <c r="K63" i="89"/>
  <c r="L63" i="89" s="1"/>
  <c r="K104" i="89"/>
  <c r="L104" i="89" s="1"/>
  <c r="K24" i="89"/>
  <c r="L24" i="89" s="1"/>
  <c r="K35" i="89"/>
  <c r="L35" i="89" s="1"/>
  <c r="J40" i="89"/>
  <c r="K40" i="89" s="1"/>
  <c r="L40" i="89" s="1"/>
  <c r="L45" i="89"/>
  <c r="L30" i="89"/>
  <c r="K64" i="89"/>
  <c r="L64" i="89" s="1"/>
  <c r="L81" i="89"/>
  <c r="L87" i="89"/>
  <c r="K205" i="89"/>
  <c r="L205" i="89" s="1"/>
  <c r="K223" i="89"/>
  <c r="L223" i="89" s="1"/>
  <c r="K14" i="89"/>
  <c r="L14" i="89" s="1"/>
  <c r="J25" i="89"/>
  <c r="K41" i="89"/>
  <c r="L41" i="89" s="1"/>
  <c r="J46" i="89"/>
  <c r="J76" i="89"/>
  <c r="K76" i="89" s="1"/>
  <c r="K94" i="89"/>
  <c r="L94" i="89" s="1"/>
  <c r="J31" i="89"/>
  <c r="K31" i="89" s="1"/>
  <c r="L36" i="89"/>
  <c r="L57" i="89"/>
  <c r="J82" i="89"/>
  <c r="J88" i="89"/>
  <c r="L100" i="89"/>
  <c r="K224" i="89"/>
  <c r="L224" i="89" s="1"/>
  <c r="L37" i="89"/>
  <c r="K101" i="89"/>
  <c r="L101" i="89" s="1"/>
  <c r="L202" i="89"/>
  <c r="K79" i="89"/>
  <c r="L79" i="89" s="1"/>
  <c r="J28" i="89"/>
  <c r="K28" i="89" s="1"/>
  <c r="K32" i="89"/>
  <c r="L32" i="89" s="1"/>
  <c r="L18" i="89"/>
  <c r="I216" i="89"/>
  <c r="J216" i="89" s="1"/>
  <c r="I215" i="89"/>
  <c r="K215" i="89" s="1"/>
  <c r="K44" i="89"/>
  <c r="L44" i="89" s="1"/>
  <c r="J91" i="89"/>
  <c r="J22" i="89"/>
  <c r="K38" i="89"/>
  <c r="L38" i="89" s="1"/>
  <c r="J43" i="89"/>
  <c r="K43" i="89" s="1"/>
  <c r="L48" i="89"/>
  <c r="L78" i="89"/>
  <c r="L84" i="89"/>
  <c r="K95" i="89"/>
  <c r="L95" i="89" s="1"/>
  <c r="K7" i="89"/>
  <c r="L7" i="89" s="1"/>
  <c r="K11" i="89"/>
  <c r="L11" i="89" s="1"/>
  <c r="K15" i="89"/>
  <c r="L15" i="89" s="1"/>
  <c r="J203" i="89"/>
  <c r="K206" i="89"/>
  <c r="L206" i="89" s="1"/>
  <c r="J77" i="89"/>
  <c r="K77" i="89" s="1"/>
  <c r="J80" i="89"/>
  <c r="K80" i="89" s="1"/>
  <c r="J83" i="89"/>
  <c r="K83" i="89" s="1"/>
  <c r="J86" i="89"/>
  <c r="K86" i="89" s="1"/>
  <c r="J89" i="89"/>
  <c r="K89" i="89" s="1"/>
  <c r="J92" i="89"/>
  <c r="K92" i="89" s="1"/>
  <c r="J102" i="89"/>
  <c r="K102" i="89" s="1"/>
  <c r="K8" i="89"/>
  <c r="L8" i="89" s="1"/>
  <c r="K12" i="89"/>
  <c r="L12" i="89" s="1"/>
  <c r="K16" i="89"/>
  <c r="L16" i="89" s="1"/>
  <c r="J23" i="89"/>
  <c r="J26" i="89"/>
  <c r="K26" i="89" s="1"/>
  <c r="K207" i="89"/>
  <c r="L207" i="89" s="1"/>
  <c r="C32" i="110"/>
  <c r="C35" i="110" s="1"/>
  <c r="C31" i="110"/>
  <c r="J18" i="109" s="1"/>
  <c r="C30" i="110"/>
  <c r="C29" i="110"/>
  <c r="E24" i="110"/>
  <c r="F13" i="110"/>
  <c r="D13" i="110"/>
  <c r="C13" i="110"/>
  <c r="B13" i="110"/>
  <c r="G12" i="110"/>
  <c r="G13" i="110" s="1"/>
  <c r="E12" i="110"/>
  <c r="E19" i="110" s="1"/>
  <c r="H11" i="110"/>
  <c r="E11" i="110"/>
  <c r="I11" i="110" s="1"/>
  <c r="H10" i="110"/>
  <c r="E10" i="110"/>
  <c r="I10" i="110" s="1"/>
  <c r="H9" i="110"/>
  <c r="H22" i="110" s="1"/>
  <c r="E9" i="110"/>
  <c r="E22" i="110" s="1"/>
  <c r="H8" i="110"/>
  <c r="I8" i="110" s="1"/>
  <c r="E8" i="110"/>
  <c r="H7" i="110"/>
  <c r="H21" i="110" s="1"/>
  <c r="E7" i="110"/>
  <c r="I7" i="110" s="1"/>
  <c r="H6" i="110"/>
  <c r="E6" i="110"/>
  <c r="I6" i="110" s="1"/>
  <c r="H5" i="110"/>
  <c r="H20" i="110" s="1"/>
  <c r="E5" i="110"/>
  <c r="E20" i="110" s="1"/>
  <c r="H4" i="110"/>
  <c r="I4" i="110" s="1"/>
  <c r="E4" i="110"/>
  <c r="H3" i="110"/>
  <c r="E3" i="110"/>
  <c r="I3" i="110" s="1"/>
  <c r="I46" i="109"/>
  <c r="I45" i="109"/>
  <c r="I44" i="109"/>
  <c r="I43" i="109"/>
  <c r="K25" i="109"/>
  <c r="I23" i="109"/>
  <c r="H23" i="109"/>
  <c r="F23" i="109"/>
  <c r="E23" i="109"/>
  <c r="O20" i="109"/>
  <c r="N20" i="109"/>
  <c r="M20" i="109"/>
  <c r="P20" i="109" s="1"/>
  <c r="G20" i="108" s="1"/>
  <c r="K20" i="109"/>
  <c r="L20" i="109" s="1"/>
  <c r="Q20" i="109" s="1"/>
  <c r="G20" i="109"/>
  <c r="N18" i="109"/>
  <c r="M18" i="109"/>
  <c r="G18" i="109"/>
  <c r="N16" i="109"/>
  <c r="N23" i="109" s="1"/>
  <c r="M16" i="109"/>
  <c r="J16" i="109"/>
  <c r="K16" i="109" s="1"/>
  <c r="G16" i="109"/>
  <c r="N14" i="109"/>
  <c r="J14" i="109"/>
  <c r="O14" i="109" s="1"/>
  <c r="G14" i="109"/>
  <c r="M14" i="109" s="1"/>
  <c r="A67" i="108"/>
  <c r="A70" i="108" s="1"/>
  <c r="D70" i="108" s="1"/>
  <c r="D60" i="108"/>
  <c r="E60" i="108" s="1"/>
  <c r="E54" i="108"/>
  <c r="D42" i="108"/>
  <c r="F40" i="108"/>
  <c r="F42" i="108" s="1"/>
  <c r="F44" i="108" s="1"/>
  <c r="E40" i="108"/>
  <c r="D38" i="108"/>
  <c r="F37" i="108"/>
  <c r="F38" i="108" s="1"/>
  <c r="F36" i="108"/>
  <c r="J26" i="108"/>
  <c r="K26" i="108" s="1"/>
  <c r="I25" i="108"/>
  <c r="J25" i="108" s="1"/>
  <c r="K25" i="108" s="1"/>
  <c r="F355" i="48" s="1"/>
  <c r="C23" i="108"/>
  <c r="B23" i="108"/>
  <c r="D22" i="108"/>
  <c r="D21" i="108"/>
  <c r="D20" i="108"/>
  <c r="C19" i="108"/>
  <c r="D18" i="108"/>
  <c r="C18" i="108"/>
  <c r="B5" i="108"/>
  <c r="E76" i="107"/>
  <c r="E75" i="107"/>
  <c r="E70" i="107"/>
  <c r="F70" i="107" s="1"/>
  <c r="F56" i="107"/>
  <c r="E56" i="107"/>
  <c r="D46" i="107"/>
  <c r="D44" i="107"/>
  <c r="E41" i="107"/>
  <c r="E40" i="107"/>
  <c r="E32" i="107"/>
  <c r="E31" i="107"/>
  <c r="D45" i="107" s="1"/>
  <c r="E30" i="107"/>
  <c r="E27" i="107"/>
  <c r="E26" i="107"/>
  <c r="E21" i="107"/>
  <c r="E20" i="107"/>
  <c r="E19" i="107"/>
  <c r="E18" i="107"/>
  <c r="E17" i="107"/>
  <c r="E16" i="107"/>
  <c r="E15" i="107"/>
  <c r="F11" i="107"/>
  <c r="L90" i="89" l="1"/>
  <c r="L51" i="89"/>
  <c r="H43" i="48"/>
  <c r="K21" i="89"/>
  <c r="L21" i="89" s="1"/>
  <c r="H422" i="48"/>
  <c r="E54" i="1" s="1"/>
  <c r="F34" i="107"/>
  <c r="F77" i="107"/>
  <c r="D49" i="107"/>
  <c r="E50" i="107" s="1"/>
  <c r="F50" i="107" s="1"/>
  <c r="E63" i="108"/>
  <c r="E70" i="108" s="1"/>
  <c r="E72" i="108" s="1"/>
  <c r="D73" i="49"/>
  <c r="H271" i="48"/>
  <c r="L92" i="89"/>
  <c r="L86" i="89"/>
  <c r="L20" i="89"/>
  <c r="K46" i="89"/>
  <c r="L46" i="89" s="1"/>
  <c r="L33" i="89"/>
  <c r="L102" i="89"/>
  <c r="L76" i="89"/>
  <c r="F23" i="107"/>
  <c r="F41" i="107"/>
  <c r="E59" i="107" s="1"/>
  <c r="F59" i="107" s="1"/>
  <c r="L28" i="89"/>
  <c r="L98" i="89"/>
  <c r="L89" i="89"/>
  <c r="K25" i="89"/>
  <c r="L25" i="89" s="1"/>
  <c r="K91" i="89"/>
  <c r="L91" i="89" s="1"/>
  <c r="L80" i="89"/>
  <c r="K22" i="89"/>
  <c r="L22" i="89" s="1"/>
  <c r="L49" i="89"/>
  <c r="K23" i="89"/>
  <c r="L23" i="89" s="1"/>
  <c r="L83" i="89"/>
  <c r="K88" i="89"/>
  <c r="L88" i="89" s="1"/>
  <c r="K82" i="89"/>
  <c r="L82" i="89" s="1"/>
  <c r="L26" i="89"/>
  <c r="H222" i="89"/>
  <c r="H4" i="89" s="1"/>
  <c r="I221" i="89"/>
  <c r="L31" i="89"/>
  <c r="K203" i="89"/>
  <c r="L203" i="89" s="1"/>
  <c r="L43" i="89"/>
  <c r="L77" i="89"/>
  <c r="I20" i="108"/>
  <c r="I21" i="110"/>
  <c r="F18" i="108"/>
  <c r="M23" i="109"/>
  <c r="P14" i="109"/>
  <c r="K18" i="109"/>
  <c r="O18" i="109"/>
  <c r="P18" i="109" s="1"/>
  <c r="G21" i="108" s="1"/>
  <c r="F21" i="108"/>
  <c r="L16" i="109"/>
  <c r="D30" i="110"/>
  <c r="E30" i="110" s="1"/>
  <c r="D23" i="108"/>
  <c r="C24" i="108" s="1"/>
  <c r="H12" i="110"/>
  <c r="G23" i="109"/>
  <c r="H24" i="110"/>
  <c r="J27" i="108"/>
  <c r="K27" i="108" s="1"/>
  <c r="K14" i="109"/>
  <c r="I5" i="110"/>
  <c r="I9" i="110"/>
  <c r="E20" i="108"/>
  <c r="F20" i="108" s="1"/>
  <c r="H20" i="108" s="1"/>
  <c r="J20" i="108" s="1"/>
  <c r="K20" i="108" s="1"/>
  <c r="O16" i="109"/>
  <c r="O23" i="109" s="1"/>
  <c r="E21" i="110"/>
  <c r="E23" i="110" s="1"/>
  <c r="E25" i="110" s="1"/>
  <c r="J23" i="109"/>
  <c r="E13" i="110"/>
  <c r="D32" i="110"/>
  <c r="B10" i="108"/>
  <c r="B11" i="108" s="1"/>
  <c r="B12" i="108" s="1"/>
  <c r="H352" i="48" s="1"/>
  <c r="H319" i="48" s="1"/>
  <c r="E32" i="110"/>
  <c r="E18" i="108"/>
  <c r="E21" i="108"/>
  <c r="C33" i="110"/>
  <c r="E19" i="108"/>
  <c r="F19" i="108" s="1"/>
  <c r="E22" i="108"/>
  <c r="F22" i="108" s="1"/>
  <c r="D67" i="108"/>
  <c r="I222" i="89" l="1"/>
  <c r="I4" i="89" s="1"/>
  <c r="F36" i="107"/>
  <c r="E60" i="107" s="1"/>
  <c r="F60" i="107" s="1"/>
  <c r="F62" i="107" s="1"/>
  <c r="F63" i="107" s="1"/>
  <c r="F64" i="107" s="1"/>
  <c r="F65" i="107" s="1"/>
  <c r="F71" i="107" s="1"/>
  <c r="F79" i="107" s="1"/>
  <c r="E336" i="48"/>
  <c r="F336" i="48" s="1"/>
  <c r="F352" i="48"/>
  <c r="H19" i="108"/>
  <c r="J19" i="108" s="1"/>
  <c r="K19" i="108" s="1"/>
  <c r="G19" i="108"/>
  <c r="I19" i="108"/>
  <c r="I20" i="110"/>
  <c r="L18" i="109"/>
  <c r="Q18" i="109" s="1"/>
  <c r="D31" i="110"/>
  <c r="E31" i="110" s="1"/>
  <c r="Q16" i="109"/>
  <c r="H21" i="108"/>
  <c r="I22" i="110"/>
  <c r="I21" i="108"/>
  <c r="D29" i="110"/>
  <c r="K23" i="109"/>
  <c r="K26" i="109" s="1"/>
  <c r="L14" i="109"/>
  <c r="P16" i="109"/>
  <c r="G18" i="108" s="1"/>
  <c r="G23" i="108" s="1"/>
  <c r="E26" i="110"/>
  <c r="I12" i="110"/>
  <c r="H19" i="110"/>
  <c r="H23" i="110" s="1"/>
  <c r="H25" i="110" s="1"/>
  <c r="H13" i="110"/>
  <c r="H26" i="110" s="1"/>
  <c r="F23" i="108"/>
  <c r="H18" i="108"/>
  <c r="F52" i="107" l="1"/>
  <c r="B4" i="108" s="1"/>
  <c r="B6" i="108" s="1"/>
  <c r="B7" i="108" s="1"/>
  <c r="H350" i="48" s="1"/>
  <c r="D33" i="110"/>
  <c r="E29" i="110"/>
  <c r="E33" i="110" s="1"/>
  <c r="H23" i="108"/>
  <c r="I19" i="110"/>
  <c r="I23" i="110" s="1"/>
  <c r="I18" i="108"/>
  <c r="I23" i="108" s="1"/>
  <c r="I13" i="110"/>
  <c r="I24" i="108" s="1"/>
  <c r="P23" i="109"/>
  <c r="Q14" i="109"/>
  <c r="Q23" i="109" s="1"/>
  <c r="L23" i="109"/>
  <c r="J21" i="108"/>
  <c r="K21" i="108" s="1"/>
  <c r="E334" i="48" l="1"/>
  <c r="H318" i="48"/>
  <c r="H353" i="48"/>
  <c r="B13" i="108"/>
  <c r="L23" i="108"/>
  <c r="J18" i="108"/>
  <c r="K18" i="108" l="1"/>
  <c r="K23" i="108" s="1"/>
  <c r="K28" i="108" s="1"/>
  <c r="J23" i="108"/>
  <c r="G357" i="48" l="1"/>
  <c r="H368" i="48"/>
  <c r="D50" i="76" l="1"/>
  <c r="B53" i="76"/>
  <c r="B61" i="76" s="1"/>
  <c r="H175" i="48" l="1"/>
  <c r="G175" i="48"/>
  <c r="S69" i="49" l="1"/>
  <c r="S70" i="49" s="1"/>
  <c r="T72" i="49" l="1"/>
  <c r="D94" i="49"/>
  <c r="D30" i="2" l="1"/>
  <c r="E33" i="2"/>
  <c r="D31" i="2" l="1"/>
  <c r="D56" i="76" s="1"/>
  <c r="E56" i="76" l="1"/>
  <c r="G337" i="48"/>
  <c r="D33" i="2"/>
  <c r="G245" i="48"/>
  <c r="G339" i="48" l="1"/>
  <c r="G344" i="48" s="1"/>
  <c r="G345" i="48" s="1"/>
  <c r="D42" i="70"/>
  <c r="F42" i="70"/>
  <c r="F41" i="70"/>
  <c r="D41" i="70"/>
  <c r="F40" i="70"/>
  <c r="F39" i="70"/>
  <c r="F38" i="70"/>
  <c r="F37" i="70"/>
  <c r="F33" i="70"/>
  <c r="F27" i="70"/>
  <c r="F25" i="70"/>
  <c r="F167" i="70"/>
  <c r="F151" i="70"/>
  <c r="D153" i="70" l="1"/>
  <c r="G167" i="70" l="1"/>
  <c r="G68" i="70" l="1"/>
  <c r="F68" i="70"/>
  <c r="C11" i="1" l="1"/>
  <c r="D30" i="93"/>
  <c r="C30" i="93"/>
  <c r="H41" i="53" l="1"/>
  <c r="D41" i="53"/>
  <c r="C49" i="53"/>
  <c r="C50" i="53" s="1"/>
  <c r="C40" i="53"/>
  <c r="E40" i="53" s="1"/>
  <c r="C39" i="53"/>
  <c r="E39" i="53" s="1"/>
  <c r="B15" i="53" s="1"/>
  <c r="C38" i="53"/>
  <c r="C37" i="53"/>
  <c r="H50" i="53"/>
  <c r="F49" i="53"/>
  <c r="F50" i="53" s="1"/>
  <c r="D50" i="53"/>
  <c r="B16" i="53" l="1"/>
  <c r="E15" i="53"/>
  <c r="C41" i="53"/>
  <c r="E37" i="53"/>
  <c r="B13" i="53" s="1"/>
  <c r="C11" i="49"/>
  <c r="E16" i="53" l="1"/>
  <c r="E13" i="53"/>
  <c r="H36" i="48"/>
  <c r="G36" i="48"/>
  <c r="G37" i="48" s="1"/>
  <c r="I37" i="53" l="1"/>
  <c r="G50" i="53"/>
  <c r="I39" i="53"/>
  <c r="I40" i="53"/>
  <c r="J40" i="53" s="1"/>
  <c r="D27" i="1"/>
  <c r="J27" i="1" s="1"/>
  <c r="J37" i="53" l="1"/>
  <c r="F13" i="53"/>
  <c r="J39" i="53"/>
  <c r="F15" i="53"/>
  <c r="F16" i="53"/>
  <c r="I49" i="53"/>
  <c r="F26" i="53" s="1"/>
  <c r="I13" i="53" l="1"/>
  <c r="J13" i="53" s="1"/>
  <c r="K13" i="53"/>
  <c r="I15" i="53"/>
  <c r="J15" i="53" s="1"/>
  <c r="K15" i="53"/>
  <c r="I16" i="53"/>
  <c r="J16" i="53" s="1"/>
  <c r="K16" i="53"/>
  <c r="I50" i="53"/>
  <c r="C98" i="49"/>
  <c r="C101" i="49"/>
  <c r="C94" i="49"/>
  <c r="L6" i="102" l="1"/>
  <c r="J6" i="102" s="1"/>
  <c r="J12" i="102" s="1"/>
  <c r="J4" i="102" l="1"/>
  <c r="L4" i="102"/>
  <c r="J2" i="102"/>
  <c r="F10" i="102"/>
  <c r="E10" i="102" s="1"/>
  <c r="H10" i="102" s="1"/>
  <c r="E8" i="102"/>
  <c r="G8" i="102" s="1"/>
  <c r="F8" i="102"/>
  <c r="E4" i="102"/>
  <c r="H4" i="102" s="1"/>
  <c r="E6" i="102"/>
  <c r="H6" i="102" s="1"/>
  <c r="E2" i="102"/>
  <c r="H2" i="102" s="1"/>
  <c r="V120" i="49"/>
  <c r="I38" i="101"/>
  <c r="I7" i="101"/>
  <c r="H7" i="101"/>
  <c r="G4" i="102" l="1"/>
  <c r="H8" i="102"/>
  <c r="H12" i="102" s="1"/>
  <c r="G10" i="102"/>
  <c r="G2" i="102"/>
  <c r="G6" i="102"/>
  <c r="D97" i="49"/>
  <c r="D95" i="49"/>
  <c r="D103" i="49"/>
  <c r="D100" i="49"/>
  <c r="D90" i="49"/>
  <c r="D104" i="49"/>
  <c r="G12" i="102" l="1"/>
  <c r="H181" i="48" l="1"/>
  <c r="H188" i="48"/>
  <c r="H127" i="48"/>
  <c r="G179" i="48" l="1"/>
  <c r="G181" i="48" s="1"/>
  <c r="E36" i="1"/>
  <c r="G186" i="48"/>
  <c r="G188" i="48" s="1"/>
  <c r="H189" i="48"/>
  <c r="H197" i="48" s="1"/>
  <c r="H72" i="48"/>
  <c r="D48" i="49" s="1"/>
  <c r="C46" i="49" s="1"/>
  <c r="G189" i="48" l="1"/>
  <c r="G197" i="48" s="1"/>
  <c r="D36" i="1" s="1"/>
  <c r="C110" i="49"/>
  <c r="C99" i="49"/>
  <c r="C34" i="49"/>
  <c r="C33" i="49"/>
  <c r="C31" i="49"/>
  <c r="C16" i="49"/>
  <c r="C15" i="49"/>
  <c r="G293" i="48"/>
  <c r="G292" i="48"/>
  <c r="G257" i="48"/>
  <c r="G232" i="48"/>
  <c r="G85" i="48"/>
  <c r="G67" i="48"/>
  <c r="G63" i="48"/>
  <c r="G62" i="48"/>
  <c r="G58" i="48"/>
  <c r="G47" i="48"/>
  <c r="G31" i="48"/>
  <c r="G24" i="48"/>
  <c r="H36" i="1" l="1"/>
  <c r="J36" i="1"/>
  <c r="C14" i="49"/>
  <c r="A3" i="100"/>
  <c r="D40" i="99"/>
  <c r="F7" i="91" l="1"/>
  <c r="E7" i="91"/>
  <c r="C93" i="73"/>
  <c r="C92" i="73"/>
  <c r="I22" i="73"/>
  <c r="H22" i="73"/>
  <c r="G22" i="73"/>
  <c r="F22" i="73"/>
  <c r="C22" i="73"/>
  <c r="B22" i="73"/>
  <c r="B16" i="73"/>
  <c r="I14" i="73"/>
  <c r="I11" i="73"/>
  <c r="G139" i="70"/>
  <c r="F139" i="70"/>
  <c r="G85" i="70"/>
  <c r="F85" i="70"/>
  <c r="D432" i="48"/>
  <c r="G432" i="48"/>
  <c r="F432" i="48"/>
  <c r="H310" i="48"/>
  <c r="H309" i="48"/>
  <c r="H305" i="48"/>
  <c r="H304" i="48"/>
  <c r="H258" i="48"/>
  <c r="H257" i="48"/>
  <c r="J1" i="100" l="1"/>
  <c r="S109" i="49"/>
  <c r="C107" i="49"/>
  <c r="G463" i="48"/>
  <c r="C49" i="49"/>
  <c r="C30" i="49"/>
  <c r="C12" i="99" s="1"/>
  <c r="C13" i="49"/>
  <c r="C95" i="49"/>
  <c r="C28" i="49"/>
  <c r="C100" i="49"/>
  <c r="F115" i="70" s="1"/>
  <c r="C104" i="49"/>
  <c r="C97" i="49"/>
  <c r="G259" i="48"/>
  <c r="C29" i="49"/>
  <c r="T64" i="49"/>
  <c r="C90" i="49"/>
  <c r="D23" i="2"/>
  <c r="C103" i="49"/>
  <c r="C432" i="48"/>
  <c r="C106" i="49"/>
  <c r="C91" i="49"/>
  <c r="C32" i="49"/>
  <c r="C105" i="49"/>
  <c r="C92" i="49"/>
  <c r="C10" i="49"/>
  <c r="P11" i="100"/>
  <c r="P12" i="100"/>
  <c r="R12" i="100" s="1"/>
  <c r="I16" i="73"/>
  <c r="C23" i="49" l="1"/>
  <c r="C11" i="99"/>
  <c r="S95" i="49"/>
  <c r="C17" i="49"/>
  <c r="T17" i="49" s="1"/>
  <c r="C111" i="49"/>
  <c r="C36" i="49"/>
  <c r="R11" i="100"/>
  <c r="P5" i="100"/>
  <c r="P4" i="100" s="1"/>
  <c r="G41" i="53"/>
  <c r="M45" i="53"/>
  <c r="C35" i="99"/>
  <c r="G274" i="48"/>
  <c r="T10" i="49"/>
  <c r="C73" i="49"/>
  <c r="G268" i="48"/>
  <c r="H430" i="48"/>
  <c r="E432" i="48"/>
  <c r="C48" i="49"/>
  <c r="G287" i="48"/>
  <c r="C60" i="49"/>
  <c r="G20" i="48"/>
  <c r="G288" i="48"/>
  <c r="C61" i="49"/>
  <c r="C43" i="49"/>
  <c r="J4" i="100"/>
  <c r="U111" i="49" l="1"/>
  <c r="V111" i="49" s="1"/>
  <c r="G258" i="48"/>
  <c r="G262" i="48"/>
  <c r="G275" i="48"/>
  <c r="D50" i="1" s="1"/>
  <c r="J50" i="1" s="1"/>
  <c r="L4" i="100"/>
  <c r="B432" i="48"/>
  <c r="H431" i="48"/>
  <c r="H432" i="48" s="1"/>
  <c r="H396" i="48"/>
  <c r="I30" i="53"/>
  <c r="J30" i="53" s="1"/>
  <c r="F30" i="53"/>
  <c r="E84" i="53"/>
  <c r="D84" i="53"/>
  <c r="C84" i="53"/>
  <c r="E56" i="53"/>
  <c r="D55" i="53"/>
  <c r="D56" i="53" s="1"/>
  <c r="C56" i="53"/>
  <c r="H46" i="53"/>
  <c r="D46" i="53"/>
  <c r="E19" i="76"/>
  <c r="D19" i="76"/>
  <c r="E5" i="2"/>
  <c r="D5" i="99" s="1"/>
  <c r="D5" i="2"/>
  <c r="C5" i="99" s="1"/>
  <c r="E83" i="1"/>
  <c r="J29" i="70"/>
  <c r="H134" i="48"/>
  <c r="G134" i="48"/>
  <c r="I221" i="48"/>
  <c r="H365" i="48"/>
  <c r="F365" i="48" s="1"/>
  <c r="J25" i="98"/>
  <c r="J24" i="98"/>
  <c r="J23" i="98"/>
  <c r="G58" i="87"/>
  <c r="D71" i="99"/>
  <c r="D66" i="99"/>
  <c r="G263" i="48" l="1"/>
  <c r="G358" i="48"/>
  <c r="C46" i="53"/>
  <c r="D73" i="99"/>
  <c r="H65" i="99" l="1"/>
  <c r="H66" i="99" s="1"/>
  <c r="F147" i="99"/>
  <c r="D147" i="99"/>
  <c r="E146" i="99"/>
  <c r="E145" i="99"/>
  <c r="E144" i="99"/>
  <c r="F139" i="99"/>
  <c r="F132" i="99"/>
  <c r="D124" i="99"/>
  <c r="C124" i="99"/>
  <c r="B124" i="99"/>
  <c r="A124" i="99"/>
  <c r="D123" i="99"/>
  <c r="C123" i="99"/>
  <c r="B123" i="99"/>
  <c r="A123" i="99"/>
  <c r="B114" i="99"/>
  <c r="A114" i="99"/>
  <c r="B113" i="99"/>
  <c r="A113" i="99"/>
  <c r="B112" i="99"/>
  <c r="A112" i="99"/>
  <c r="A109" i="99"/>
  <c r="B108" i="99"/>
  <c r="A108" i="99"/>
  <c r="B107" i="99"/>
  <c r="A107" i="99"/>
  <c r="B66" i="99"/>
  <c r="J57" i="99"/>
  <c r="J56" i="99"/>
  <c r="J52" i="99"/>
  <c r="B71" i="99"/>
  <c r="C66" i="99"/>
  <c r="J42" i="99"/>
  <c r="J41" i="99"/>
  <c r="J34" i="99"/>
  <c r="J33" i="99"/>
  <c r="J31" i="99"/>
  <c r="J30" i="99"/>
  <c r="J18" i="99"/>
  <c r="J17" i="99"/>
  <c r="J8" i="99"/>
  <c r="E5" i="99"/>
  <c r="A1" i="99"/>
  <c r="E147" i="99" l="1"/>
  <c r="H73" i="99"/>
  <c r="D51" i="99"/>
  <c r="E51" i="99"/>
  <c r="B73" i="99"/>
  <c r="C71" i="99"/>
  <c r="B81" i="99" l="1"/>
  <c r="B80" i="99"/>
  <c r="C116" i="90" l="1"/>
  <c r="C115" i="90"/>
  <c r="C114" i="90"/>
  <c r="C113" i="90"/>
  <c r="C112" i="90"/>
  <c r="C111" i="90"/>
  <c r="C110" i="90"/>
  <c r="C109" i="90"/>
  <c r="C108" i="90"/>
  <c r="C107" i="90"/>
  <c r="C106" i="90"/>
  <c r="C105" i="90"/>
  <c r="C104" i="90"/>
  <c r="C103" i="90"/>
  <c r="C102" i="90"/>
  <c r="C101" i="90"/>
  <c r="C100" i="90"/>
  <c r="C99" i="90"/>
  <c r="C98" i="90"/>
  <c r="C97" i="90"/>
  <c r="C96" i="90"/>
  <c r="C95" i="90"/>
  <c r="C94" i="90"/>
  <c r="C93" i="90"/>
  <c r="C92" i="90"/>
  <c r="C91" i="90"/>
  <c r="C90" i="90"/>
  <c r="C89" i="90"/>
  <c r="C88" i="90"/>
  <c r="C87" i="90"/>
  <c r="C86" i="90"/>
  <c r="C85" i="90"/>
  <c r="C84" i="90"/>
  <c r="C83" i="90"/>
  <c r="C82" i="90"/>
  <c r="C81" i="90"/>
  <c r="C80" i="90"/>
  <c r="C79" i="90"/>
  <c r="C78" i="90"/>
  <c r="C77" i="90"/>
  <c r="C76" i="90"/>
  <c r="C75" i="90"/>
  <c r="C74" i="90"/>
  <c r="C73" i="90"/>
  <c r="C72" i="90"/>
  <c r="C71" i="90"/>
  <c r="C70" i="90"/>
  <c r="C69" i="90"/>
  <c r="C68" i="90"/>
  <c r="C67" i="90"/>
  <c r="C66" i="90"/>
  <c r="C65" i="90"/>
  <c r="C64" i="90"/>
  <c r="C63" i="90"/>
  <c r="C62" i="90"/>
  <c r="C61" i="90"/>
  <c r="C60" i="90"/>
  <c r="C59" i="90"/>
  <c r="C58" i="90"/>
  <c r="C57" i="90"/>
  <c r="C56" i="90"/>
  <c r="C55" i="90"/>
  <c r="C54" i="90"/>
  <c r="C53" i="90"/>
  <c r="C52" i="90"/>
  <c r="C51" i="90"/>
  <c r="C50" i="90"/>
  <c r="C49" i="90"/>
  <c r="C48" i="90"/>
  <c r="C47" i="90"/>
  <c r="C46" i="90"/>
  <c r="C45" i="90"/>
  <c r="C44" i="90"/>
  <c r="C43" i="90"/>
  <c r="C42" i="90"/>
  <c r="C41" i="90"/>
  <c r="C40" i="90"/>
  <c r="C39" i="90"/>
  <c r="C38" i="90"/>
  <c r="C37" i="90"/>
  <c r="C36" i="90"/>
  <c r="C35" i="90"/>
  <c r="C34" i="90"/>
  <c r="C33" i="90"/>
  <c r="C32" i="90"/>
  <c r="C31" i="90"/>
  <c r="C30" i="90"/>
  <c r="C29" i="90"/>
  <c r="C28" i="90"/>
  <c r="C27" i="90"/>
  <c r="C26" i="90"/>
  <c r="C25" i="90"/>
  <c r="C24" i="90"/>
  <c r="C23" i="90"/>
  <c r="C22" i="90"/>
  <c r="C21" i="90"/>
  <c r="C20" i="90"/>
  <c r="C19" i="90"/>
  <c r="C18" i="90"/>
  <c r="C17" i="90"/>
  <c r="C16" i="90"/>
  <c r="C15" i="90"/>
  <c r="C14" i="90"/>
  <c r="C13" i="90"/>
  <c r="C12" i="90"/>
  <c r="C11" i="90"/>
  <c r="C10" i="90"/>
  <c r="C9" i="90"/>
  <c r="C8" i="90"/>
  <c r="C7" i="90"/>
  <c r="C6" i="90"/>
  <c r="C5" i="90"/>
  <c r="C4" i="90"/>
  <c r="C3" i="90"/>
  <c r="C2" i="90"/>
  <c r="H17" i="48"/>
  <c r="G17" i="48"/>
  <c r="L150" i="48" l="1"/>
  <c r="G366" i="48"/>
  <c r="I24" i="98" l="1"/>
  <c r="I23" i="98"/>
  <c r="I25" i="98" l="1"/>
  <c r="M368" i="48" l="1"/>
  <c r="N368" i="48" s="1"/>
  <c r="A65" i="98"/>
  <c r="A68" i="98" s="1"/>
  <c r="B68" i="98" s="1"/>
  <c r="C52" i="98"/>
  <c r="D41" i="98"/>
  <c r="C38" i="98"/>
  <c r="D38" i="98" s="1"/>
  <c r="B36" i="98"/>
  <c r="B40" i="98" s="1"/>
  <c r="D35" i="98"/>
  <c r="D34" i="98"/>
  <c r="C21" i="98"/>
  <c r="C12" i="98"/>
  <c r="C7" i="98"/>
  <c r="D36" i="98" l="1"/>
  <c r="D40" i="98" s="1"/>
  <c r="D42" i="98" s="1"/>
  <c r="B65" i="98"/>
  <c r="C97" i="53" l="1"/>
  <c r="K93" i="53" l="1"/>
  <c r="G115" i="90"/>
  <c r="G114" i="90" l="1"/>
  <c r="G93" i="53" l="1"/>
  <c r="I93" i="53" s="1"/>
  <c r="G113" i="90"/>
  <c r="G18" i="98" l="1"/>
  <c r="Q123" i="89" l="1"/>
  <c r="F117" i="90"/>
  <c r="G108" i="90"/>
  <c r="G109" i="90"/>
  <c r="G110" i="90"/>
  <c r="G107" i="90"/>
  <c r="C117" i="90"/>
  <c r="C93" i="53" l="1"/>
  <c r="G111" i="90"/>
  <c r="Q133" i="89"/>
  <c r="G370" i="48"/>
  <c r="H51" i="87"/>
  <c r="H50" i="87"/>
  <c r="I63" i="87"/>
  <c r="I62" i="87"/>
  <c r="I61" i="87"/>
  <c r="I60" i="87"/>
  <c r="H63" i="87"/>
  <c r="H62" i="87"/>
  <c r="H61" i="87"/>
  <c r="H60" i="87"/>
  <c r="H59" i="87"/>
  <c r="D47" i="87"/>
  <c r="E93" i="53" l="1"/>
  <c r="B18" i="98"/>
  <c r="H18" i="98" s="1"/>
  <c r="B18" i="96"/>
  <c r="I35" i="53" l="1"/>
  <c r="F11" i="53" s="1"/>
  <c r="I11" i="53" s="1"/>
  <c r="E35" i="53"/>
  <c r="B11" i="53" s="1"/>
  <c r="K35" i="53"/>
  <c r="J93" i="53"/>
  <c r="G18" i="96"/>
  <c r="E16" i="87"/>
  <c r="H53" i="48" l="1"/>
  <c r="H468" i="48"/>
  <c r="O468" i="48" s="1"/>
  <c r="H128" i="48"/>
  <c r="J35" i="53"/>
  <c r="D13" i="49"/>
  <c r="D85" i="49"/>
  <c r="D83" i="49"/>
  <c r="D107" i="49"/>
  <c r="D30" i="49"/>
  <c r="D12" i="99" s="1"/>
  <c r="D29" i="49"/>
  <c r="D92" i="49"/>
  <c r="D84" i="49" l="1"/>
  <c r="G46" i="53"/>
  <c r="D11" i="99"/>
  <c r="D10" i="49"/>
  <c r="D105" i="49"/>
  <c r="P11" i="89"/>
  <c r="E75" i="87"/>
  <c r="H273" i="48" l="1"/>
  <c r="H275" i="48" s="1"/>
  <c r="H473" i="48"/>
  <c r="H263" i="48"/>
  <c r="H467" i="48"/>
  <c r="H84" i="48"/>
  <c r="H87" i="48" s="1"/>
  <c r="H32" i="48"/>
  <c r="H74" i="48"/>
  <c r="D61" i="49" s="1"/>
  <c r="H75" i="48"/>
  <c r="H73" i="48"/>
  <c r="D60" i="49" s="1"/>
  <c r="H232" i="48"/>
  <c r="H231" i="48" s="1"/>
  <c r="B39" i="76" s="1"/>
  <c r="H117" i="48"/>
  <c r="H20" i="48"/>
  <c r="H126" i="48"/>
  <c r="H130" i="48"/>
  <c r="H30" i="48"/>
  <c r="H29" i="48"/>
  <c r="H71" i="48"/>
  <c r="D46" i="87"/>
  <c r="A57" i="96"/>
  <c r="A60" i="96" s="1"/>
  <c r="B60" i="96" s="1"/>
  <c r="C44" i="96"/>
  <c r="C30" i="96"/>
  <c r="D30" i="96" s="1"/>
  <c r="E37" i="87" s="1"/>
  <c r="B28" i="96"/>
  <c r="B32" i="96" s="1"/>
  <c r="D27" i="96"/>
  <c r="D26" i="96"/>
  <c r="D28" i="96" s="1"/>
  <c r="C21" i="96"/>
  <c r="C12" i="96"/>
  <c r="C7" i="96"/>
  <c r="B40" i="76" l="1"/>
  <c r="E39" i="76"/>
  <c r="E40" i="76" s="1"/>
  <c r="D43" i="49"/>
  <c r="C41" i="49" s="1"/>
  <c r="H225" i="48"/>
  <c r="D32" i="96"/>
  <c r="B57" i="96"/>
  <c r="D33" i="96" l="1"/>
  <c r="D34" i="96" s="1"/>
  <c r="E40" i="87" s="1"/>
  <c r="F41" i="87" s="1"/>
  <c r="H311" i="48" l="1"/>
  <c r="E58" i="1" s="1"/>
  <c r="H306" i="48"/>
  <c r="E45" i="1" s="1"/>
  <c r="V68" i="49"/>
  <c r="V69" i="49"/>
  <c r="V70" i="49" l="1"/>
  <c r="G311" i="48"/>
  <c r="D58" i="1" s="1"/>
  <c r="J58" i="1" s="1"/>
  <c r="E114" i="53"/>
  <c r="B49" i="53" s="1"/>
  <c r="D114" i="53"/>
  <c r="C114" i="53"/>
  <c r="E13" i="76"/>
  <c r="D13" i="76"/>
  <c r="C51" i="74"/>
  <c r="C50" i="74"/>
  <c r="I27" i="73"/>
  <c r="E49" i="53" l="1"/>
  <c r="B26" i="53" s="1"/>
  <c r="B50" i="53"/>
  <c r="K49" i="53"/>
  <c r="K50" i="53" s="1"/>
  <c r="C52" i="74"/>
  <c r="G48" i="48"/>
  <c r="H47" i="48"/>
  <c r="H48" i="48" s="1"/>
  <c r="I48" i="48"/>
  <c r="K48" i="48"/>
  <c r="H146" i="48"/>
  <c r="E9" i="76" s="1"/>
  <c r="D7" i="76" s="1"/>
  <c r="G146" i="48"/>
  <c r="D8" i="76" l="1"/>
  <c r="D9" i="76" s="1"/>
  <c r="E50" i="53"/>
  <c r="J49" i="53"/>
  <c r="H58" i="48"/>
  <c r="H59" i="48" s="1"/>
  <c r="E11" i="53" l="1"/>
  <c r="J11" i="53" s="1"/>
  <c r="K11" i="53"/>
  <c r="J50" i="53"/>
  <c r="H294" i="48"/>
  <c r="H289" i="48"/>
  <c r="G298" i="48"/>
  <c r="H298" i="48"/>
  <c r="G294" i="48" l="1"/>
  <c r="H58" i="1" s="1"/>
  <c r="C44" i="74" l="1"/>
  <c r="C43" i="74"/>
  <c r="G306" i="48" l="1"/>
  <c r="D45" i="1" s="1"/>
  <c r="J45" i="1" s="1"/>
  <c r="T120" i="49"/>
  <c r="U121" i="49" s="1"/>
  <c r="G289" i="48" l="1"/>
  <c r="H45" i="1"/>
  <c r="C24" i="99" s="1"/>
  <c r="F107" i="93" l="1"/>
  <c r="E107" i="93"/>
  <c r="D107" i="93"/>
  <c r="C107" i="93"/>
  <c r="F106" i="93"/>
  <c r="E106" i="93"/>
  <c r="D106" i="93"/>
  <c r="C106" i="93"/>
  <c r="F105" i="93"/>
  <c r="E105" i="93"/>
  <c r="D105" i="93"/>
  <c r="C105" i="93"/>
  <c r="A102" i="93"/>
  <c r="A95" i="93"/>
  <c r="E72" i="93"/>
  <c r="D72" i="93"/>
  <c r="C72" i="93"/>
  <c r="E70" i="93"/>
  <c r="C70" i="93"/>
  <c r="H64" i="93"/>
  <c r="G64" i="93"/>
  <c r="F64" i="93"/>
  <c r="D64" i="93"/>
  <c r="G61" i="93"/>
  <c r="F59" i="93"/>
  <c r="E59" i="93"/>
  <c r="C59" i="93"/>
  <c r="H58" i="93"/>
  <c r="G58" i="93"/>
  <c r="D58" i="93"/>
  <c r="D59" i="93" s="1"/>
  <c r="H57" i="93"/>
  <c r="G57" i="93"/>
  <c r="H56" i="93"/>
  <c r="G56" i="93"/>
  <c r="H55" i="93"/>
  <c r="G55" i="93"/>
  <c r="H42" i="93"/>
  <c r="H71" i="93" s="1"/>
  <c r="G42" i="93"/>
  <c r="G71" i="93" s="1"/>
  <c r="F42" i="93"/>
  <c r="F71" i="93" s="1"/>
  <c r="E42" i="93"/>
  <c r="E71" i="93" s="1"/>
  <c r="D42" i="93"/>
  <c r="D71" i="93" s="1"/>
  <c r="C42" i="93"/>
  <c r="C71" i="93" s="1"/>
  <c r="C41" i="93"/>
  <c r="H40" i="93"/>
  <c r="G40" i="93"/>
  <c r="H39" i="93"/>
  <c r="G39" i="93"/>
  <c r="D39" i="93"/>
  <c r="H38" i="93"/>
  <c r="G38" i="93"/>
  <c r="G35" i="93"/>
  <c r="E35" i="93"/>
  <c r="C35" i="93"/>
  <c r="F33" i="93"/>
  <c r="F21" i="93" s="1"/>
  <c r="F23" i="93" s="1"/>
  <c r="H32" i="93"/>
  <c r="H41" i="93" s="1"/>
  <c r="G32" i="93"/>
  <c r="G41" i="93" s="1"/>
  <c r="H31" i="93"/>
  <c r="H72" i="93" s="1"/>
  <c r="G31" i="93"/>
  <c r="G72" i="93" s="1"/>
  <c r="H30" i="93"/>
  <c r="G30" i="93"/>
  <c r="E29" i="93"/>
  <c r="E33" i="93" s="1"/>
  <c r="H28" i="93"/>
  <c r="G28" i="93"/>
  <c r="H25" i="93"/>
  <c r="K25" i="93" s="1"/>
  <c r="G25" i="93"/>
  <c r="I25" i="93" s="1"/>
  <c r="J24" i="93"/>
  <c r="H24" i="93"/>
  <c r="K24" i="93" s="1"/>
  <c r="G24" i="93"/>
  <c r="I24" i="93" s="1"/>
  <c r="H22" i="93"/>
  <c r="G22" i="93"/>
  <c r="D22" i="93"/>
  <c r="H21" i="93"/>
  <c r="G21" i="93"/>
  <c r="F18" i="93"/>
  <c r="E18" i="93"/>
  <c r="H17" i="93"/>
  <c r="G17" i="93"/>
  <c r="H16" i="93"/>
  <c r="G16" i="93"/>
  <c r="H15" i="93"/>
  <c r="G15" i="93"/>
  <c r="D18" i="93"/>
  <c r="H14" i="93"/>
  <c r="H29" i="93" s="1"/>
  <c r="G14" i="93"/>
  <c r="D29" i="93"/>
  <c r="C29" i="93"/>
  <c r="G11" i="93"/>
  <c r="G2" i="93"/>
  <c r="F68" i="93" l="1"/>
  <c r="F25" i="93"/>
  <c r="J25" i="93" s="1"/>
  <c r="C28" i="93"/>
  <c r="C33" i="93" s="1"/>
  <c r="C21" i="93" s="1"/>
  <c r="E21" i="93"/>
  <c r="E23" i="93" s="1"/>
  <c r="D28" i="93"/>
  <c r="D33" i="93" s="1"/>
  <c r="D21" i="93" s="1"/>
  <c r="D23" i="93" s="1"/>
  <c r="C18" i="93"/>
  <c r="G23" i="93"/>
  <c r="H23" i="93"/>
  <c r="G18" i="93"/>
  <c r="H59" i="93"/>
  <c r="G29" i="93"/>
  <c r="G33" i="93" s="1"/>
  <c r="G68" i="93" s="1"/>
  <c r="G59" i="93"/>
  <c r="H18" i="93"/>
  <c r="H33" i="93"/>
  <c r="H68" i="93" s="1"/>
  <c r="G43" i="93"/>
  <c r="G69" i="93" s="1"/>
  <c r="H43" i="93"/>
  <c r="H69" i="93" s="1"/>
  <c r="E43" i="93"/>
  <c r="C38" i="93" s="1"/>
  <c r="C43" i="93" s="1"/>
  <c r="C22" i="93" s="1"/>
  <c r="F43" i="93"/>
  <c r="D68" i="93" l="1"/>
  <c r="D25" i="93"/>
  <c r="C23" i="93"/>
  <c r="C25" i="93" s="1"/>
  <c r="H70" i="93"/>
  <c r="G70" i="93"/>
  <c r="D38" i="93"/>
  <c r="D43" i="93" s="1"/>
  <c r="F70" i="93"/>
  <c r="D70" i="93" l="1"/>
  <c r="A25" i="70"/>
  <c r="A26" i="70" s="1"/>
  <c r="A27" i="70" s="1"/>
  <c r="A28" i="70" s="1"/>
  <c r="A29" i="70" s="1"/>
  <c r="A30" i="70" l="1"/>
  <c r="A31" i="70" s="1"/>
  <c r="A34" i="70" s="1"/>
  <c r="D37" i="70"/>
  <c r="A35" i="92"/>
  <c r="A34" i="92"/>
  <c r="A25" i="92"/>
  <c r="A24" i="92"/>
  <c r="A23" i="92"/>
  <c r="A20" i="92"/>
  <c r="A19" i="92"/>
  <c r="A18" i="92"/>
  <c r="H34" i="92"/>
  <c r="H24" i="92"/>
  <c r="H23" i="92"/>
  <c r="G34" i="92"/>
  <c r="G25" i="92"/>
  <c r="G24" i="92"/>
  <c r="G23" i="92"/>
  <c r="A35" i="70" l="1"/>
  <c r="A36" i="70" s="1"/>
  <c r="A37" i="70" s="1"/>
  <c r="A38" i="70" s="1"/>
  <c r="A39" i="70" s="1"/>
  <c r="A40" i="70" s="1"/>
  <c r="A41" i="70" s="1"/>
  <c r="A42" i="70" s="1"/>
  <c r="H77" i="99"/>
  <c r="H34" i="70"/>
  <c r="A10" i="91" l="1"/>
  <c r="H9" i="91"/>
  <c r="G9" i="91"/>
  <c r="H7" i="91"/>
  <c r="G7" i="91"/>
  <c r="L29" i="70" l="1"/>
  <c r="K29" i="70"/>
  <c r="D25" i="70"/>
  <c r="M29" i="70" l="1"/>
  <c r="N29" i="70" s="1"/>
  <c r="G140" i="70"/>
  <c r="H44" i="48" l="1"/>
  <c r="E17" i="1" s="1"/>
  <c r="I212" i="48" l="1"/>
  <c r="I203" i="48"/>
  <c r="H203" i="48" s="1"/>
  <c r="E22" i="76"/>
  <c r="D20" i="76" s="1"/>
  <c r="H23" i="1"/>
  <c r="H12" i="1"/>
  <c r="G201" i="48" l="1"/>
  <c r="G203" i="48" s="1"/>
  <c r="G211" i="48" s="1"/>
  <c r="G218" i="48" s="1"/>
  <c r="H211" i="48"/>
  <c r="G212" i="48" l="1"/>
  <c r="H218" i="48"/>
  <c r="H212" i="48"/>
  <c r="C50" i="99"/>
  <c r="D22" i="76"/>
  <c r="H54" i="48"/>
  <c r="E18" i="1" s="1"/>
  <c r="E84" i="49" l="1"/>
  <c r="H68" i="48"/>
  <c r="J50" i="99" l="1"/>
  <c r="B76" i="99"/>
  <c r="B79" i="99" s="1"/>
  <c r="D79" i="99"/>
  <c r="D92" i="99" s="1"/>
  <c r="G116" i="90"/>
  <c r="G112" i="90"/>
  <c r="G106" i="90"/>
  <c r="G105" i="90"/>
  <c r="G104" i="90"/>
  <c r="G103" i="90"/>
  <c r="G102" i="90"/>
  <c r="G101" i="90"/>
  <c r="G100" i="90"/>
  <c r="G99" i="90"/>
  <c r="G98" i="90"/>
  <c r="G97" i="90"/>
  <c r="G96" i="90"/>
  <c r="G95" i="90"/>
  <c r="G94" i="90"/>
  <c r="G93" i="90"/>
  <c r="G92" i="90"/>
  <c r="G91" i="90"/>
  <c r="G90" i="90"/>
  <c r="G89" i="90"/>
  <c r="G88" i="90"/>
  <c r="G87" i="90"/>
  <c r="G86" i="90"/>
  <c r="G85" i="90"/>
  <c r="G84" i="90"/>
  <c r="G83" i="90"/>
  <c r="G82" i="90"/>
  <c r="G81" i="90"/>
  <c r="G80" i="90"/>
  <c r="G79" i="90"/>
  <c r="G78" i="90"/>
  <c r="G77" i="90"/>
  <c r="G76" i="90"/>
  <c r="G75" i="90"/>
  <c r="G74" i="90"/>
  <c r="G73" i="90"/>
  <c r="G72" i="90"/>
  <c r="G71" i="90"/>
  <c r="G70" i="90"/>
  <c r="G69" i="90"/>
  <c r="G68" i="90"/>
  <c r="G67" i="90"/>
  <c r="G66" i="90"/>
  <c r="G65" i="90"/>
  <c r="G64" i="90"/>
  <c r="G63" i="90"/>
  <c r="G62" i="90"/>
  <c r="G61" i="90"/>
  <c r="G60" i="90"/>
  <c r="G59" i="90"/>
  <c r="G58" i="90"/>
  <c r="G57" i="90"/>
  <c r="G56" i="90"/>
  <c r="G55" i="90"/>
  <c r="G54" i="90"/>
  <c r="G53" i="90"/>
  <c r="G52" i="90"/>
  <c r="G51" i="90"/>
  <c r="G50" i="90"/>
  <c r="G49" i="90"/>
  <c r="G47" i="90"/>
  <c r="G46" i="90"/>
  <c r="G45" i="90"/>
  <c r="G44" i="90"/>
  <c r="G43" i="90"/>
  <c r="G42" i="90"/>
  <c r="G41" i="90"/>
  <c r="G40" i="90"/>
  <c r="G39" i="90"/>
  <c r="G38" i="90"/>
  <c r="G37" i="90"/>
  <c r="G36" i="90"/>
  <c r="G35" i="90"/>
  <c r="G34" i="90"/>
  <c r="G33" i="90"/>
  <c r="G32" i="90"/>
  <c r="G31" i="90"/>
  <c r="G30" i="90"/>
  <c r="G29" i="90"/>
  <c r="G28" i="90"/>
  <c r="G27" i="90"/>
  <c r="G26" i="90"/>
  <c r="G25" i="90"/>
  <c r="G24" i="90"/>
  <c r="G23" i="90"/>
  <c r="G22" i="90"/>
  <c r="G21" i="90"/>
  <c r="G20" i="90"/>
  <c r="G19" i="90"/>
  <c r="G18" i="90"/>
  <c r="G17" i="90"/>
  <c r="G16" i="90"/>
  <c r="G15" i="90"/>
  <c r="G14" i="90"/>
  <c r="G13" i="90"/>
  <c r="G12" i="90"/>
  <c r="G11" i="90"/>
  <c r="G10" i="90"/>
  <c r="G9" i="90"/>
  <c r="G8" i="90"/>
  <c r="G7" i="90"/>
  <c r="G6" i="90"/>
  <c r="G5" i="90"/>
  <c r="G4" i="90"/>
  <c r="G2" i="90"/>
  <c r="K54" i="48"/>
  <c r="I54" i="48"/>
  <c r="H33" i="48"/>
  <c r="G92" i="99" l="1"/>
  <c r="B82" i="99"/>
  <c r="G3" i="90"/>
  <c r="G48" i="90"/>
  <c r="F82" i="99" l="1"/>
  <c r="B91" i="99"/>
  <c r="B90" i="99"/>
  <c r="G117" i="90"/>
  <c r="C4" i="97" l="1"/>
  <c r="C10" i="97" s="1"/>
  <c r="C100" i="53" l="1"/>
  <c r="C35" i="76"/>
  <c r="C29" i="76"/>
  <c r="C31" i="76" s="1"/>
  <c r="C33" i="76" s="1"/>
  <c r="C36" i="76" s="1"/>
  <c r="G139" i="48" l="1"/>
  <c r="G94" i="53" l="1"/>
  <c r="G100" i="53"/>
  <c r="G95" i="53"/>
  <c r="I95" i="53" s="1"/>
  <c r="M100" i="53" l="1"/>
  <c r="G19" i="98"/>
  <c r="G235" i="48"/>
  <c r="G237" i="48" l="1"/>
  <c r="I38" i="53"/>
  <c r="F14" i="53" s="1"/>
  <c r="I14" i="53" s="1"/>
  <c r="G96" i="53"/>
  <c r="H96" i="53"/>
  <c r="D96" i="53"/>
  <c r="K95" i="53"/>
  <c r="K94" i="53"/>
  <c r="I94" i="53"/>
  <c r="O237" i="48" l="1"/>
  <c r="G225" i="48"/>
  <c r="O225" i="48" s="1"/>
  <c r="N38" i="1" s="1"/>
  <c r="G17" i="98"/>
  <c r="G20" i="98" s="1"/>
  <c r="C92" i="53"/>
  <c r="D110" i="49"/>
  <c r="D111" i="49" s="1"/>
  <c r="E110" i="49"/>
  <c r="I36" i="53" l="1"/>
  <c r="F12" i="53" s="1"/>
  <c r="I12" i="53" s="1"/>
  <c r="C57" i="49"/>
  <c r="C56" i="49"/>
  <c r="D36" i="49"/>
  <c r="E9" i="2" s="1"/>
  <c r="P85" i="48" l="1" a="1"/>
  <c r="J85" i="48"/>
  <c r="I85" i="48"/>
  <c r="J84" i="48"/>
  <c r="I84" i="48"/>
  <c r="J75" i="48"/>
  <c r="I75" i="48"/>
  <c r="J74" i="48"/>
  <c r="I74" i="48"/>
  <c r="I73" i="48"/>
  <c r="J71" i="48"/>
  <c r="I71" i="48"/>
  <c r="G76" i="48" l="1"/>
  <c r="P84" i="48" a="1"/>
  <c r="J90" i="48"/>
  <c r="I90" i="48"/>
  <c r="H90" i="48"/>
  <c r="I76" i="48"/>
  <c r="E24" i="1" l="1"/>
  <c r="D22" i="1"/>
  <c r="J22" i="1" s="1"/>
  <c r="D24" i="1"/>
  <c r="J24" i="1" s="1"/>
  <c r="G86" i="70" l="1"/>
  <c r="D27" i="73"/>
  <c r="D11" i="73"/>
  <c r="F86" i="70"/>
  <c r="H24" i="1"/>
  <c r="C19" i="99" s="1"/>
  <c r="N71" i="49"/>
  <c r="N14" i="49"/>
  <c r="F73" i="49"/>
  <c r="F74" i="49" s="1"/>
  <c r="D74" i="49"/>
  <c r="E16" i="2" s="1"/>
  <c r="G72" i="49"/>
  <c r="E72" i="49"/>
  <c r="G71" i="49"/>
  <c r="E71" i="49"/>
  <c r="F62" i="49"/>
  <c r="G61" i="49"/>
  <c r="E60" i="49"/>
  <c r="D62" i="49"/>
  <c r="F58" i="49"/>
  <c r="E56" i="49"/>
  <c r="E48" i="49"/>
  <c r="G48" i="49"/>
  <c r="E47" i="49"/>
  <c r="E46" i="49"/>
  <c r="G46" i="49"/>
  <c r="E43" i="49"/>
  <c r="E42" i="49"/>
  <c r="E41" i="49"/>
  <c r="F15" i="2"/>
  <c r="F13" i="2"/>
  <c r="F36" i="49"/>
  <c r="G32" i="49"/>
  <c r="E32" i="49"/>
  <c r="G31" i="49"/>
  <c r="E31" i="49"/>
  <c r="G29" i="49"/>
  <c r="E29" i="49"/>
  <c r="G28" i="49"/>
  <c r="E28" i="49"/>
  <c r="D17" i="49"/>
  <c r="E15" i="49"/>
  <c r="E13" i="49"/>
  <c r="E10" i="49"/>
  <c r="G10" i="2"/>
  <c r="H9" i="2"/>
  <c r="F9" i="2"/>
  <c r="F8" i="2"/>
  <c r="J63" i="48"/>
  <c r="I63" i="48"/>
  <c r="L63" i="48"/>
  <c r="J62" i="48"/>
  <c r="I62" i="48"/>
  <c r="K33" i="48"/>
  <c r="J30" i="48"/>
  <c r="I30" i="48"/>
  <c r="L30" i="48"/>
  <c r="J29" i="48"/>
  <c r="I29" i="48"/>
  <c r="I24" i="48"/>
  <c r="I25" i="48" s="1"/>
  <c r="I20" i="48"/>
  <c r="I21" i="48" s="1"/>
  <c r="L20" i="48"/>
  <c r="E8" i="2" l="1"/>
  <c r="D23" i="49"/>
  <c r="D20" i="49" s="1"/>
  <c r="E10" i="2"/>
  <c r="E18" i="74"/>
  <c r="E11" i="73"/>
  <c r="J19" i="99"/>
  <c r="E27" i="73"/>
  <c r="E15" i="1"/>
  <c r="D28" i="73" s="1"/>
  <c r="E28" i="73" s="1"/>
  <c r="I64" i="48"/>
  <c r="I33" i="48"/>
  <c r="J64" i="48"/>
  <c r="E36" i="49"/>
  <c r="H64" i="48"/>
  <c r="J33" i="48"/>
  <c r="E17" i="49"/>
  <c r="F10" i="2"/>
  <c r="K28" i="48"/>
  <c r="L29" i="48"/>
  <c r="L33" i="48" s="1"/>
  <c r="K27" i="48"/>
  <c r="L62" i="48"/>
  <c r="G73" i="49"/>
  <c r="G74" i="49" s="1"/>
  <c r="F64" i="49"/>
  <c r="E44" i="49"/>
  <c r="E49" i="49"/>
  <c r="D58" i="49"/>
  <c r="D64" i="49" s="1"/>
  <c r="G56" i="49"/>
  <c r="G36" i="49"/>
  <c r="G41" i="49"/>
  <c r="G43" i="49"/>
  <c r="G60" i="49"/>
  <c r="G62" i="49" s="1"/>
  <c r="E20" i="49"/>
  <c r="E23" i="49"/>
  <c r="G64" i="48"/>
  <c r="H21" i="48"/>
  <c r="E14" i="1" s="1"/>
  <c r="E19" i="74" l="1"/>
  <c r="H8" i="2"/>
  <c r="H10" i="2" s="1"/>
  <c r="U18" i="2"/>
  <c r="U16" i="2"/>
  <c r="E15" i="2"/>
  <c r="E51" i="49"/>
  <c r="H15" i="2" l="1"/>
  <c r="E19" i="87"/>
  <c r="R11" i="89" l="1"/>
  <c r="P13" i="89"/>
  <c r="R13" i="89" s="1"/>
  <c r="E25" i="87"/>
  <c r="E26" i="87"/>
  <c r="G68" i="48"/>
  <c r="C3" i="97"/>
  <c r="H78" i="99" s="1"/>
  <c r="C95" i="53"/>
  <c r="B19" i="98" s="1"/>
  <c r="H19" i="98" s="1"/>
  <c r="C94" i="53"/>
  <c r="C58" i="49"/>
  <c r="E28" i="87"/>
  <c r="D48" i="87" s="1"/>
  <c r="H80" i="99" l="1"/>
  <c r="H79" i="99"/>
  <c r="G25" i="87"/>
  <c r="B17" i="96"/>
  <c r="B17" i="98"/>
  <c r="H17" i="98" s="1"/>
  <c r="E95" i="53"/>
  <c r="B19" i="96"/>
  <c r="B43" i="74"/>
  <c r="B50" i="74"/>
  <c r="B44" i="74"/>
  <c r="B51" i="74"/>
  <c r="F38" i="87"/>
  <c r="E59" i="87" s="1"/>
  <c r="D26" i="1"/>
  <c r="G33" i="48"/>
  <c r="E94" i="53"/>
  <c r="C96" i="53"/>
  <c r="P29" i="48" a="1"/>
  <c r="C62" i="49"/>
  <c r="C64" i="49" s="1"/>
  <c r="H130" i="86"/>
  <c r="H125" i="86"/>
  <c r="H124" i="86"/>
  <c r="G130" i="86"/>
  <c r="G126" i="86"/>
  <c r="G125" i="86"/>
  <c r="G124" i="86"/>
  <c r="E109" i="86"/>
  <c r="F109" i="86"/>
  <c r="I36" i="73"/>
  <c r="H36" i="73"/>
  <c r="G36" i="73"/>
  <c r="F36" i="73"/>
  <c r="C36" i="73"/>
  <c r="B36" i="73"/>
  <c r="H30" i="73"/>
  <c r="G30" i="73"/>
  <c r="F30" i="73"/>
  <c r="C30" i="73"/>
  <c r="B30" i="73"/>
  <c r="I29" i="73"/>
  <c r="I30" i="73" s="1"/>
  <c r="G23" i="70"/>
  <c r="F23" i="70"/>
  <c r="G438" i="48"/>
  <c r="F438" i="48"/>
  <c r="E438" i="48"/>
  <c r="A440" i="48"/>
  <c r="D443" i="48"/>
  <c r="G450" i="48"/>
  <c r="G163" i="48"/>
  <c r="G170" i="48" s="1"/>
  <c r="A383" i="48"/>
  <c r="H362" i="48"/>
  <c r="E362" i="48"/>
  <c r="A103" i="53"/>
  <c r="K88" i="53"/>
  <c r="J88" i="53"/>
  <c r="E88" i="53"/>
  <c r="I88" i="53" s="1"/>
  <c r="B88" i="53"/>
  <c r="F88" i="53" s="1"/>
  <c r="E106" i="53"/>
  <c r="E107" i="53" s="1"/>
  <c r="D106" i="53"/>
  <c r="D107" i="53" s="1"/>
  <c r="C106" i="53"/>
  <c r="C107" i="53" s="1"/>
  <c r="H101" i="53"/>
  <c r="D101" i="53"/>
  <c r="C101" i="53"/>
  <c r="B117" i="53"/>
  <c r="E117" i="53"/>
  <c r="F117" i="53"/>
  <c r="I117" i="53"/>
  <c r="J117" i="53"/>
  <c r="K117" i="53"/>
  <c r="A2" i="93"/>
  <c r="E85" i="76"/>
  <c r="E75" i="76"/>
  <c r="E74" i="76"/>
  <c r="D85" i="76"/>
  <c r="D76" i="76"/>
  <c r="D75" i="76"/>
  <c r="D74" i="76"/>
  <c r="E59" i="2"/>
  <c r="D59" i="2"/>
  <c r="G300" i="48"/>
  <c r="G455" i="48" s="1"/>
  <c r="H300" i="48"/>
  <c r="F4" i="46"/>
  <c r="E4" i="46"/>
  <c r="A3" i="89"/>
  <c r="Q33" i="66"/>
  <c r="F130" i="86"/>
  <c r="F126" i="86"/>
  <c r="F125" i="86"/>
  <c r="F124" i="86"/>
  <c r="F120" i="86"/>
  <c r="F119" i="86"/>
  <c r="B109" i="99"/>
  <c r="I61" i="88"/>
  <c r="I60" i="88"/>
  <c r="I59" i="88"/>
  <c r="I58" i="88"/>
  <c r="I57" i="88"/>
  <c r="I56" i="88"/>
  <c r="I55" i="88"/>
  <c r="I54" i="88"/>
  <c r="I53" i="88"/>
  <c r="I52" i="88"/>
  <c r="I51" i="88"/>
  <c r="I50" i="88"/>
  <c r="I49" i="88"/>
  <c r="I48" i="88"/>
  <c r="I47" i="88"/>
  <c r="I46" i="88"/>
  <c r="I45" i="88"/>
  <c r="I44" i="88"/>
  <c r="I43" i="88"/>
  <c r="I42" i="88"/>
  <c r="I41" i="88"/>
  <c r="I40" i="88"/>
  <c r="I39" i="88"/>
  <c r="I38" i="88"/>
  <c r="I37" i="88"/>
  <c r="I36" i="88"/>
  <c r="I35" i="88"/>
  <c r="I34" i="88"/>
  <c r="I33" i="88"/>
  <c r="I32" i="88"/>
  <c r="I31" i="88"/>
  <c r="I30" i="88"/>
  <c r="I29" i="88"/>
  <c r="I28" i="88"/>
  <c r="I27" i="88"/>
  <c r="I26" i="88"/>
  <c r="I25" i="88"/>
  <c r="I24" i="88"/>
  <c r="I23" i="88"/>
  <c r="I22" i="88"/>
  <c r="I21" i="88"/>
  <c r="I20" i="88"/>
  <c r="I19" i="88"/>
  <c r="I18" i="88"/>
  <c r="I17" i="88"/>
  <c r="I16" i="88"/>
  <c r="I15" i="88"/>
  <c r="I14" i="88"/>
  <c r="I13" i="88"/>
  <c r="I12" i="88"/>
  <c r="I11" i="88"/>
  <c r="I10" i="88"/>
  <c r="I9" i="88"/>
  <c r="I8" i="88"/>
  <c r="I7" i="88"/>
  <c r="I6" i="88"/>
  <c r="I5" i="88"/>
  <c r="I4" i="88"/>
  <c r="I3" i="88"/>
  <c r="I2" i="88"/>
  <c r="I62" i="88" s="1"/>
  <c r="F61" i="88"/>
  <c r="F60" i="88"/>
  <c r="F59" i="88"/>
  <c r="F58" i="88"/>
  <c r="F57" i="88"/>
  <c r="F56" i="88"/>
  <c r="F55" i="88"/>
  <c r="H26" i="1" l="1"/>
  <c r="J26" i="1"/>
  <c r="D15" i="2"/>
  <c r="U64" i="49"/>
  <c r="V64" i="49" s="1"/>
  <c r="C44" i="49" s="1"/>
  <c r="D8" i="2"/>
  <c r="F73" i="70" s="1"/>
  <c r="F75" i="70" s="1"/>
  <c r="E36" i="53"/>
  <c r="B12" i="53" s="1"/>
  <c r="K36" i="53"/>
  <c r="K38" i="53"/>
  <c r="E38" i="53"/>
  <c r="H82" i="99"/>
  <c r="K275" i="48"/>
  <c r="D97" i="53"/>
  <c r="G17" i="96"/>
  <c r="J95" i="53"/>
  <c r="G19" i="96"/>
  <c r="M95" i="53"/>
  <c r="B52" i="74"/>
  <c r="F131" i="86"/>
  <c r="G35" i="92"/>
  <c r="H131" i="86"/>
  <c r="H35" i="92"/>
  <c r="F121" i="86"/>
  <c r="M94" i="53"/>
  <c r="J94" i="53"/>
  <c r="H5" i="48"/>
  <c r="H209" i="48"/>
  <c r="H216" i="48"/>
  <c r="G5" i="48"/>
  <c r="G209" i="48"/>
  <c r="G216" i="48" s="1"/>
  <c r="D53" i="1"/>
  <c r="J53" i="1" s="1"/>
  <c r="C114" i="49"/>
  <c r="P64" i="49"/>
  <c r="E60" i="2"/>
  <c r="D86" i="76"/>
  <c r="G131" i="86"/>
  <c r="D60" i="2"/>
  <c r="C5" i="49"/>
  <c r="G159" i="48"/>
  <c r="G168" i="48" s="1"/>
  <c r="E86" i="76"/>
  <c r="G371" i="48"/>
  <c r="F54" i="88"/>
  <c r="F49" i="88"/>
  <c r="F48" i="88"/>
  <c r="F46" i="88"/>
  <c r="F45" i="88"/>
  <c r="F44" i="88"/>
  <c r="F42" i="88"/>
  <c r="F39" i="88"/>
  <c r="F38" i="88"/>
  <c r="F37" i="88"/>
  <c r="F36" i="88"/>
  <c r="F35" i="88"/>
  <c r="F33" i="88"/>
  <c r="F31" i="88"/>
  <c r="F28" i="88"/>
  <c r="F27" i="88"/>
  <c r="F24" i="88"/>
  <c r="F22" i="88"/>
  <c r="F21" i="88"/>
  <c r="F19" i="88"/>
  <c r="F17" i="88"/>
  <c r="F16" i="88"/>
  <c r="F15" i="88"/>
  <c r="F14" i="88"/>
  <c r="F13" i="88"/>
  <c r="Q69" i="63"/>
  <c r="Q68" i="63"/>
  <c r="Q61" i="63"/>
  <c r="Q60" i="63"/>
  <c r="Q59" i="63"/>
  <c r="Q58" i="63"/>
  <c r="Q57" i="63"/>
  <c r="P53" i="63"/>
  <c r="P52" i="63"/>
  <c r="P51" i="63"/>
  <c r="P50" i="63"/>
  <c r="P49" i="63"/>
  <c r="P48" i="63"/>
  <c r="P47" i="63"/>
  <c r="P46" i="63"/>
  <c r="P45" i="63"/>
  <c r="P44" i="63"/>
  <c r="P43" i="63"/>
  <c r="P42" i="63"/>
  <c r="P41" i="63"/>
  <c r="P40" i="63"/>
  <c r="P39" i="63"/>
  <c r="P38" i="63"/>
  <c r="P37" i="63"/>
  <c r="P36" i="63"/>
  <c r="P35" i="63"/>
  <c r="P34" i="63"/>
  <c r="P33" i="63"/>
  <c r="P32" i="63"/>
  <c r="P31" i="63"/>
  <c r="P30" i="63"/>
  <c r="P29" i="63"/>
  <c r="P28" i="63"/>
  <c r="P27" i="63"/>
  <c r="P26" i="63"/>
  <c r="P25" i="63"/>
  <c r="P24" i="63"/>
  <c r="P23" i="63"/>
  <c r="P22" i="63"/>
  <c r="P21" i="63"/>
  <c r="P20" i="63"/>
  <c r="P19" i="63"/>
  <c r="P18" i="63"/>
  <c r="P17" i="63"/>
  <c r="P16" i="63"/>
  <c r="P15" i="63"/>
  <c r="P14" i="63"/>
  <c r="P13" i="63"/>
  <c r="P12" i="63"/>
  <c r="P11" i="63"/>
  <c r="P10" i="63"/>
  <c r="P9" i="63"/>
  <c r="P8" i="63"/>
  <c r="P6" i="63"/>
  <c r="P5" i="63"/>
  <c r="C42" i="49" l="1"/>
  <c r="E12" i="53"/>
  <c r="J12" i="53" s="1"/>
  <c r="K12" i="53"/>
  <c r="J38" i="53"/>
  <c r="B14" i="53"/>
  <c r="G254" i="48"/>
  <c r="F103" i="70" s="1"/>
  <c r="F125" i="70" s="1"/>
  <c r="G178" i="48"/>
  <c r="G185" i="48" s="1"/>
  <c r="G193" i="48" s="1"/>
  <c r="C53" i="76"/>
  <c r="D19" i="74"/>
  <c r="G19" i="74" s="1"/>
  <c r="N44" i="49"/>
  <c r="P50" i="1"/>
  <c r="Q50" i="1" s="1"/>
  <c r="D18" i="74"/>
  <c r="G18" i="74" s="1"/>
  <c r="J36" i="53"/>
  <c r="H20" i="98"/>
  <c r="G20" i="96"/>
  <c r="N225" i="48"/>
  <c r="L225" i="48"/>
  <c r="L38" i="1" s="1"/>
  <c r="C438" i="48"/>
  <c r="H45" i="99"/>
  <c r="G101" i="53"/>
  <c r="C60" i="88"/>
  <c r="C56" i="88"/>
  <c r="C58" i="88"/>
  <c r="C57" i="88"/>
  <c r="C59" i="88"/>
  <c r="C55" i="88"/>
  <c r="C61" i="88"/>
  <c r="C51" i="88"/>
  <c r="J51" i="88" s="1"/>
  <c r="C50" i="88"/>
  <c r="J50" i="88" s="1"/>
  <c r="C54" i="88"/>
  <c r="E14" i="53" l="1"/>
  <c r="J14" i="53" s="1"/>
  <c r="K14" i="53"/>
  <c r="J42" i="53"/>
  <c r="J9" i="99"/>
  <c r="J58" i="99"/>
  <c r="C59" i="99"/>
  <c r="C2" i="97"/>
  <c r="C9" i="97" s="1"/>
  <c r="E18" i="87"/>
  <c r="D438" i="48"/>
  <c r="G118" i="48"/>
  <c r="D25" i="1" s="1"/>
  <c r="C86" i="49"/>
  <c r="E17" i="87"/>
  <c r="G16" i="87" s="1"/>
  <c r="D35" i="1"/>
  <c r="J35" i="1" s="1"/>
  <c r="D19" i="2"/>
  <c r="R16" i="2" s="1"/>
  <c r="J57" i="88"/>
  <c r="G57" i="88"/>
  <c r="J61" i="88"/>
  <c r="G61" i="88"/>
  <c r="J58" i="88"/>
  <c r="G58" i="88"/>
  <c r="J55" i="88"/>
  <c r="G55" i="88"/>
  <c r="J56" i="88"/>
  <c r="G56" i="88"/>
  <c r="J59" i="88"/>
  <c r="G59" i="88"/>
  <c r="J60" i="88"/>
  <c r="G60" i="88"/>
  <c r="G54" i="88"/>
  <c r="J54" i="88"/>
  <c r="F52" i="88"/>
  <c r="F32" i="88"/>
  <c r="F47" i="88"/>
  <c r="F51" i="88"/>
  <c r="G51" i="88" s="1"/>
  <c r="F41" i="88"/>
  <c r="F40" i="88"/>
  <c r="F34" i="88"/>
  <c r="F43" i="88"/>
  <c r="F50" i="88"/>
  <c r="G50" i="88" s="1"/>
  <c r="F29" i="88"/>
  <c r="F30" i="88"/>
  <c r="F23" i="88"/>
  <c r="F7" i="88"/>
  <c r="F6" i="88"/>
  <c r="F5" i="88"/>
  <c r="F20" i="88"/>
  <c r="F25" i="88"/>
  <c r="F18" i="88"/>
  <c r="F9" i="88"/>
  <c r="F8" i="88"/>
  <c r="F11" i="88"/>
  <c r="F10" i="88"/>
  <c r="F12" i="88"/>
  <c r="F4" i="88"/>
  <c r="F3" i="88"/>
  <c r="F2" i="88"/>
  <c r="F53" i="88"/>
  <c r="I258" i="48"/>
  <c r="D17" i="2" l="1"/>
  <c r="C15" i="99" s="1"/>
  <c r="C45" i="99" s="1"/>
  <c r="C99" i="99" s="1"/>
  <c r="J25" i="1"/>
  <c r="E10" i="92"/>
  <c r="R19" i="2"/>
  <c r="D14" i="73"/>
  <c r="E14" i="73" s="1"/>
  <c r="G10" i="1"/>
  <c r="J59" i="99"/>
  <c r="B86" i="99"/>
  <c r="B89" i="99" s="1"/>
  <c r="B92" i="99" s="1"/>
  <c r="B103" i="99" s="1"/>
  <c r="C138" i="99"/>
  <c r="C139" i="99" s="1"/>
  <c r="C131" i="99"/>
  <c r="C132" i="99" s="1"/>
  <c r="C5" i="97"/>
  <c r="H16" i="87"/>
  <c r="F21" i="87"/>
  <c r="E111" i="86"/>
  <c r="D56" i="1"/>
  <c r="J56" i="1" s="1"/>
  <c r="G131" i="48"/>
  <c r="D29" i="1" s="1"/>
  <c r="J29" i="1" s="1"/>
  <c r="L4" i="89"/>
  <c r="D21" i="73"/>
  <c r="E21" i="73" s="1"/>
  <c r="D78" i="73" s="1"/>
  <c r="F78" i="73" s="1"/>
  <c r="G423" i="48"/>
  <c r="K136" i="53"/>
  <c r="E78" i="73" l="1"/>
  <c r="D30" i="1"/>
  <c r="J15" i="99"/>
  <c r="H17" i="87"/>
  <c r="I51" i="87" s="1"/>
  <c r="C134" i="99"/>
  <c r="D43" i="1"/>
  <c r="D20" i="74"/>
  <c r="H438" i="48"/>
  <c r="B438" i="48"/>
  <c r="D449" i="48"/>
  <c r="J43" i="1" l="1"/>
  <c r="G30" i="1"/>
  <c r="J30" i="1"/>
  <c r="H48" i="1"/>
  <c r="R48" i="1" s="1"/>
  <c r="R42" i="1"/>
  <c r="B38" i="74"/>
  <c r="P43" i="1"/>
  <c r="Q43" i="1" s="1"/>
  <c r="E9" i="92"/>
  <c r="E11" i="92" s="1"/>
  <c r="D19" i="73"/>
  <c r="F83" i="99"/>
  <c r="E110" i="86"/>
  <c r="B33" i="74"/>
  <c r="J26" i="70"/>
  <c r="D80" i="73" l="1"/>
  <c r="E19" i="73"/>
  <c r="C443" i="48"/>
  <c r="G98" i="86"/>
  <c r="E56" i="87" l="1"/>
  <c r="F56" i="87"/>
  <c r="F76" i="87"/>
  <c r="H86" i="86" l="1"/>
  <c r="H85" i="86"/>
  <c r="H79" i="86"/>
  <c r="H78" i="86"/>
  <c r="H73" i="86" l="1"/>
  <c r="G73" i="86"/>
  <c r="F73" i="86"/>
  <c r="H67" i="86"/>
  <c r="F67" i="86" s="1"/>
  <c r="G53" i="86"/>
  <c r="G30" i="86"/>
  <c r="G24" i="86"/>
  <c r="H23" i="86"/>
  <c r="F23" i="86" s="1"/>
  <c r="H20" i="86"/>
  <c r="F20" i="86" s="1"/>
  <c r="G31" i="86" l="1"/>
  <c r="A131" i="86"/>
  <c r="A130" i="86"/>
  <c r="A126" i="86"/>
  <c r="A125" i="86"/>
  <c r="A124" i="86"/>
  <c r="A121" i="86"/>
  <c r="A120" i="86"/>
  <c r="A119" i="86"/>
  <c r="C39" i="63" l="1"/>
  <c r="I39" i="63"/>
  <c r="J39" i="63"/>
  <c r="K39" i="63"/>
  <c r="C40" i="63"/>
  <c r="I40" i="63"/>
  <c r="J40" i="63"/>
  <c r="K40" i="63"/>
  <c r="I41" i="63"/>
  <c r="J41" i="63"/>
  <c r="K41" i="63"/>
  <c r="I42" i="63"/>
  <c r="J42" i="63"/>
  <c r="K42" i="63"/>
  <c r="I43" i="63"/>
  <c r="J43" i="63"/>
  <c r="K43" i="63"/>
  <c r="Q41" i="63" l="1"/>
  <c r="C37" i="88" s="1"/>
  <c r="Q43" i="63"/>
  <c r="C39" i="88" s="1"/>
  <c r="Q40" i="63"/>
  <c r="C36" i="88" s="1"/>
  <c r="Q39" i="63"/>
  <c r="C35" i="88" s="1"/>
  <c r="Q42" i="63"/>
  <c r="C38" i="88" s="1"/>
  <c r="L39" i="63"/>
  <c r="O39" i="63" s="1"/>
  <c r="L43" i="63"/>
  <c r="O43" i="63" s="1"/>
  <c r="L41" i="63"/>
  <c r="O41" i="63" s="1"/>
  <c r="L42" i="63"/>
  <c r="L40" i="63"/>
  <c r="O40" i="63" s="1"/>
  <c r="O42" i="63" l="1"/>
  <c r="G36" i="88"/>
  <c r="J36" i="88"/>
  <c r="G39" i="88"/>
  <c r="J39" i="88"/>
  <c r="G35" i="88"/>
  <c r="J35" i="88"/>
  <c r="G38" i="88"/>
  <c r="J38" i="88"/>
  <c r="G37" i="88"/>
  <c r="J37" i="88"/>
  <c r="F450" i="48" l="1"/>
  <c r="E450" i="48"/>
  <c r="C450" i="48"/>
  <c r="D448" i="48"/>
  <c r="A446" i="48"/>
  <c r="G444" i="48"/>
  <c r="F444" i="48"/>
  <c r="E444" i="48"/>
  <c r="C444" i="48"/>
  <c r="H442" i="48"/>
  <c r="C127" i="53" l="1"/>
  <c r="D127" i="53"/>
  <c r="H127" i="53"/>
  <c r="A129" i="53"/>
  <c r="G99" i="73" l="1"/>
  <c r="H397" i="48" l="1"/>
  <c r="E387" i="48"/>
  <c r="E390" i="48"/>
  <c r="A379" i="48"/>
  <c r="A389" i="48" s="1"/>
  <c r="A376" i="48"/>
  <c r="A386" i="48" s="1"/>
  <c r="A76" i="76"/>
  <c r="A75" i="76"/>
  <c r="A74" i="76"/>
  <c r="B29" i="76"/>
  <c r="A49" i="2"/>
  <c r="A48" i="2"/>
  <c r="A47" i="2"/>
  <c r="F33" i="2"/>
  <c r="E391" i="48" l="1"/>
  <c r="A2" i="86" l="1"/>
  <c r="I19" i="63" l="1"/>
  <c r="J19" i="63"/>
  <c r="K19" i="63"/>
  <c r="C20" i="63"/>
  <c r="I20" i="63"/>
  <c r="J20" i="63"/>
  <c r="K20" i="63"/>
  <c r="C21" i="63"/>
  <c r="I21" i="63"/>
  <c r="J21" i="63"/>
  <c r="K21" i="63"/>
  <c r="I17" i="63"/>
  <c r="J17" i="63"/>
  <c r="K17" i="63"/>
  <c r="B18" i="66"/>
  <c r="K40" i="82"/>
  <c r="I36" i="63"/>
  <c r="J36" i="63"/>
  <c r="G126" i="53" s="1"/>
  <c r="K36" i="63"/>
  <c r="G18" i="83"/>
  <c r="Q21" i="63" l="1"/>
  <c r="C17" i="88" s="1"/>
  <c r="Q20" i="63"/>
  <c r="C16" i="88" s="1"/>
  <c r="Q19" i="63"/>
  <c r="C15" i="88" s="1"/>
  <c r="G127" i="53"/>
  <c r="Q36" i="63"/>
  <c r="C32" i="88" s="1"/>
  <c r="J32" i="88" s="1"/>
  <c r="Q17" i="63"/>
  <c r="C13" i="88" s="1"/>
  <c r="L20" i="63"/>
  <c r="M20" i="63" s="1"/>
  <c r="L21" i="63"/>
  <c r="M21" i="63" s="1"/>
  <c r="L17" i="63"/>
  <c r="M17" i="63" s="1"/>
  <c r="O17" i="63" s="1"/>
  <c r="L19" i="63"/>
  <c r="L36" i="63"/>
  <c r="O21" i="63" l="1"/>
  <c r="H469" i="48"/>
  <c r="E55" i="1" s="1"/>
  <c r="D34" i="73" s="1"/>
  <c r="D9" i="99"/>
  <c r="G13" i="88"/>
  <c r="J13" i="88"/>
  <c r="G16" i="88"/>
  <c r="J16" i="88"/>
  <c r="G15" i="88"/>
  <c r="J15" i="88"/>
  <c r="G17" i="88"/>
  <c r="J17" i="88"/>
  <c r="G32" i="88"/>
  <c r="O20" i="63"/>
  <c r="M19" i="63"/>
  <c r="O19" i="63" s="1"/>
  <c r="E34" i="73" l="1"/>
  <c r="D86" i="73"/>
  <c r="E86" i="73" s="1"/>
  <c r="F86" i="73" s="1"/>
  <c r="D2" i="46"/>
  <c r="F52" i="53" l="1"/>
  <c r="F58" i="53"/>
  <c r="E3" i="99"/>
  <c r="D3" i="99"/>
  <c r="F109" i="53"/>
  <c r="E5" i="76"/>
  <c r="E3" i="1"/>
  <c r="H2" i="48"/>
  <c r="E3" i="2"/>
  <c r="D2" i="49"/>
  <c r="F103" i="53"/>
  <c r="H2" i="86"/>
  <c r="F129" i="53"/>
  <c r="G95" i="70"/>
  <c r="G138" i="70"/>
  <c r="J29" i="82"/>
  <c r="J56" i="63" s="1"/>
  <c r="Q56" i="63" s="1"/>
  <c r="J28" i="82"/>
  <c r="J55" i="63" s="1"/>
  <c r="Q55" i="63" s="1"/>
  <c r="M4" i="83"/>
  <c r="N4" i="83"/>
  <c r="M5" i="83"/>
  <c r="N5" i="83"/>
  <c r="M6" i="83"/>
  <c r="N6" i="83"/>
  <c r="M7" i="83"/>
  <c r="N7" i="83"/>
  <c r="M8" i="83"/>
  <c r="N8" i="83"/>
  <c r="M9" i="83"/>
  <c r="N9" i="83"/>
  <c r="M10" i="83"/>
  <c r="N10" i="83"/>
  <c r="M11" i="83"/>
  <c r="N11" i="83"/>
  <c r="M12" i="83"/>
  <c r="N12" i="83"/>
  <c r="M13" i="83"/>
  <c r="N13" i="83"/>
  <c r="M14" i="83"/>
  <c r="N14" i="83"/>
  <c r="M15" i="83"/>
  <c r="N15" i="83"/>
  <c r="M16" i="83"/>
  <c r="N16" i="83"/>
  <c r="M17" i="83"/>
  <c r="N17" i="83"/>
  <c r="M18" i="83"/>
  <c r="N18" i="83"/>
  <c r="M19" i="83"/>
  <c r="N19" i="83"/>
  <c r="M20" i="83"/>
  <c r="N20" i="83"/>
  <c r="M21" i="83"/>
  <c r="N21" i="83"/>
  <c r="M22" i="83"/>
  <c r="N22" i="83"/>
  <c r="M23" i="83"/>
  <c r="N23" i="83"/>
  <c r="M24" i="83"/>
  <c r="N24" i="83"/>
  <c r="M25" i="83"/>
  <c r="N25" i="83"/>
  <c r="M26" i="83"/>
  <c r="N26" i="83"/>
  <c r="M27" i="83"/>
  <c r="N27" i="83"/>
  <c r="M28" i="83"/>
  <c r="N28" i="83"/>
  <c r="M29" i="83"/>
  <c r="N29" i="83"/>
  <c r="M30" i="83"/>
  <c r="N30" i="83"/>
  <c r="M31" i="83"/>
  <c r="N31" i="83"/>
  <c r="M32" i="83"/>
  <c r="N32" i="83"/>
  <c r="N3" i="83"/>
  <c r="M3" i="83"/>
  <c r="J4" i="83"/>
  <c r="J5" i="83"/>
  <c r="J6" i="83"/>
  <c r="J7" i="83"/>
  <c r="J8" i="83"/>
  <c r="J9" i="83"/>
  <c r="J10" i="83"/>
  <c r="J11" i="83"/>
  <c r="J12" i="83"/>
  <c r="J13" i="83"/>
  <c r="J14" i="83"/>
  <c r="J15" i="83"/>
  <c r="J16" i="83"/>
  <c r="J17" i="83"/>
  <c r="J18" i="83"/>
  <c r="J19" i="83"/>
  <c r="J20" i="83"/>
  <c r="J21" i="83"/>
  <c r="J22" i="83"/>
  <c r="J23" i="83"/>
  <c r="J24" i="83"/>
  <c r="J25" i="83"/>
  <c r="J26" i="83"/>
  <c r="J27" i="83"/>
  <c r="J28" i="83"/>
  <c r="J29" i="83"/>
  <c r="J30" i="83"/>
  <c r="J31" i="83"/>
  <c r="J32" i="83"/>
  <c r="J3" i="83"/>
  <c r="C132" i="53" l="1"/>
  <c r="D132" i="53"/>
  <c r="D133" i="53" s="1"/>
  <c r="E132" i="53"/>
  <c r="E133" i="53" s="1"/>
  <c r="K4" i="53"/>
  <c r="F10" i="1"/>
  <c r="H22" i="86" l="1"/>
  <c r="F22" i="86" s="1"/>
  <c r="C133" i="53"/>
  <c r="K26" i="70" l="1"/>
  <c r="I405" i="48"/>
  <c r="A1" i="76"/>
  <c r="A1" i="2"/>
  <c r="A1" i="86" s="1"/>
  <c r="F3" i="1"/>
  <c r="A1" i="1"/>
  <c r="I6" i="63" l="1"/>
  <c r="I7" i="63"/>
  <c r="I8" i="63"/>
  <c r="I9" i="63"/>
  <c r="I10" i="63"/>
  <c r="I11" i="63"/>
  <c r="I12" i="63"/>
  <c r="I13" i="63"/>
  <c r="I14" i="63"/>
  <c r="I15" i="63"/>
  <c r="I16" i="63"/>
  <c r="I18" i="63"/>
  <c r="I22" i="63"/>
  <c r="I23" i="63"/>
  <c r="I24" i="63"/>
  <c r="I25" i="63"/>
  <c r="I26" i="63"/>
  <c r="I27" i="63"/>
  <c r="I28" i="63"/>
  <c r="I29" i="63"/>
  <c r="I30" i="63"/>
  <c r="I31" i="63"/>
  <c r="I32" i="63"/>
  <c r="I33" i="63"/>
  <c r="I34" i="63"/>
  <c r="I35" i="63"/>
  <c r="I37" i="63"/>
  <c r="I38" i="63"/>
  <c r="I44" i="63"/>
  <c r="I45" i="63"/>
  <c r="I46" i="63"/>
  <c r="I47" i="63"/>
  <c r="I48" i="63"/>
  <c r="I49" i="63"/>
  <c r="I50" i="63"/>
  <c r="I51" i="63"/>
  <c r="I52" i="63"/>
  <c r="I53" i="63"/>
  <c r="I5" i="63"/>
  <c r="C40" i="82" l="1"/>
  <c r="C25" i="63"/>
  <c r="C26" i="63"/>
  <c r="C35" i="63"/>
  <c r="C37" i="63"/>
  <c r="E93" i="49" l="1"/>
  <c r="D122" i="53"/>
  <c r="G122" i="53"/>
  <c r="H122" i="53"/>
  <c r="K121" i="53"/>
  <c r="I121" i="53"/>
  <c r="F92" i="53" s="1"/>
  <c r="F96" i="53" s="1"/>
  <c r="O54" i="63"/>
  <c r="O67" i="63"/>
  <c r="L68" i="63"/>
  <c r="L69" i="63"/>
  <c r="L56" i="63"/>
  <c r="L55" i="63"/>
  <c r="J10" i="63"/>
  <c r="K10" i="63"/>
  <c r="J11" i="63"/>
  <c r="K11" i="63"/>
  <c r="K22" i="63"/>
  <c r="J22" i="63"/>
  <c r="J6" i="63"/>
  <c r="Q6" i="63" s="1"/>
  <c r="J7" i="63"/>
  <c r="Q7" i="63" s="1"/>
  <c r="J8" i="63"/>
  <c r="K8" i="63"/>
  <c r="J9" i="63"/>
  <c r="K9" i="63"/>
  <c r="J12" i="63"/>
  <c r="K12" i="63"/>
  <c r="J13" i="63"/>
  <c r="K13" i="63"/>
  <c r="J14" i="63"/>
  <c r="K14" i="63"/>
  <c r="J15" i="63"/>
  <c r="K15" i="63"/>
  <c r="J16" i="63"/>
  <c r="K16" i="63"/>
  <c r="J18" i="63"/>
  <c r="K18" i="63"/>
  <c r="J23" i="63"/>
  <c r="K23" i="63"/>
  <c r="J24" i="63"/>
  <c r="C123" i="53" s="1"/>
  <c r="K24" i="63"/>
  <c r="J25" i="63"/>
  <c r="K25" i="63"/>
  <c r="J26" i="63"/>
  <c r="K26" i="63"/>
  <c r="J27" i="63"/>
  <c r="K27" i="63"/>
  <c r="J28" i="63"/>
  <c r="K28" i="63"/>
  <c r="J29" i="63"/>
  <c r="K29" i="63"/>
  <c r="J30" i="63"/>
  <c r="K30" i="63"/>
  <c r="J31" i="63"/>
  <c r="K31" i="63"/>
  <c r="J32" i="63"/>
  <c r="K32" i="63"/>
  <c r="J33" i="63"/>
  <c r="K33" i="63"/>
  <c r="J34" i="63"/>
  <c r="K34" i="63"/>
  <c r="J35" i="63"/>
  <c r="K35" i="63"/>
  <c r="J37" i="63"/>
  <c r="K37" i="63"/>
  <c r="J38" i="63"/>
  <c r="K38" i="63"/>
  <c r="J44" i="63"/>
  <c r="K44" i="63"/>
  <c r="J45" i="63"/>
  <c r="K45" i="63"/>
  <c r="J46" i="63"/>
  <c r="K46" i="63"/>
  <c r="J47" i="63"/>
  <c r="K47" i="63"/>
  <c r="J48" i="63"/>
  <c r="K48" i="63"/>
  <c r="J49" i="63"/>
  <c r="K49" i="63"/>
  <c r="J50" i="63"/>
  <c r="K50" i="63"/>
  <c r="J51" i="63"/>
  <c r="K51" i="63"/>
  <c r="J52" i="63"/>
  <c r="K52" i="63"/>
  <c r="J53" i="63"/>
  <c r="K53" i="63"/>
  <c r="K5" i="63"/>
  <c r="J5" i="63"/>
  <c r="G33" i="83"/>
  <c r="F33" i="83"/>
  <c r="I92" i="53" l="1"/>
  <c r="C121" i="53"/>
  <c r="Q52" i="63"/>
  <c r="C48" i="88" s="1"/>
  <c r="G48" i="88" s="1"/>
  <c r="Q50" i="63"/>
  <c r="C46" i="88" s="1"/>
  <c r="J46" i="88" s="1"/>
  <c r="Q48" i="63"/>
  <c r="C44" i="88" s="1"/>
  <c r="G44" i="88" s="1"/>
  <c r="Q46" i="63"/>
  <c r="C42" i="88" s="1"/>
  <c r="J42" i="88" s="1"/>
  <c r="Q44" i="63"/>
  <c r="C40" i="88" s="1"/>
  <c r="G40" i="88" s="1"/>
  <c r="Q37" i="63"/>
  <c r="C33" i="88" s="1"/>
  <c r="J33" i="88" s="1"/>
  <c r="Q34" i="63"/>
  <c r="C30" i="88" s="1"/>
  <c r="G30" i="88" s="1"/>
  <c r="Q32" i="63"/>
  <c r="C28" i="88" s="1"/>
  <c r="J28" i="88" s="1"/>
  <c r="Q30" i="63"/>
  <c r="C26" i="88" s="1"/>
  <c r="J26" i="88" s="1"/>
  <c r="Q28" i="63"/>
  <c r="C24" i="88" s="1"/>
  <c r="J24" i="88" s="1"/>
  <c r="Q26" i="63"/>
  <c r="C22" i="88" s="1"/>
  <c r="G22" i="88" s="1"/>
  <c r="Q18" i="63"/>
  <c r="C14" i="88" s="1"/>
  <c r="J14" i="88" s="1"/>
  <c r="Q15" i="63"/>
  <c r="C11" i="88" s="1"/>
  <c r="G11" i="88" s="1"/>
  <c r="Q13" i="63"/>
  <c r="C9" i="88" s="1"/>
  <c r="G9" i="88" s="1"/>
  <c r="Q9" i="63"/>
  <c r="C5" i="88" s="1"/>
  <c r="J5" i="88" s="1"/>
  <c r="C3" i="88"/>
  <c r="J3" i="88" s="1"/>
  <c r="Q11" i="63"/>
  <c r="C7" i="88" s="1"/>
  <c r="J7" i="88" s="1"/>
  <c r="Q51" i="63"/>
  <c r="C47" i="88" s="1"/>
  <c r="Q49" i="63"/>
  <c r="C45" i="88" s="1"/>
  <c r="Q47" i="63"/>
  <c r="C43" i="88" s="1"/>
  <c r="Q45" i="63"/>
  <c r="C41" i="88" s="1"/>
  <c r="Q38" i="63"/>
  <c r="C34" i="88" s="1"/>
  <c r="Q35" i="63"/>
  <c r="C31" i="88" s="1"/>
  <c r="Q33" i="63"/>
  <c r="C29" i="88" s="1"/>
  <c r="Q31" i="63"/>
  <c r="C27" i="88" s="1"/>
  <c r="Q29" i="63"/>
  <c r="C25" i="88" s="1"/>
  <c r="Q27" i="63"/>
  <c r="C23" i="88" s="1"/>
  <c r="Q25" i="63"/>
  <c r="C21" i="88" s="1"/>
  <c r="Q23" i="63"/>
  <c r="C19" i="88" s="1"/>
  <c r="Q16" i="63"/>
  <c r="C12" i="88" s="1"/>
  <c r="Q14" i="63"/>
  <c r="C10" i="88" s="1"/>
  <c r="Q12" i="63"/>
  <c r="C8" i="88" s="1"/>
  <c r="Q8" i="63"/>
  <c r="C4" i="88" s="1"/>
  <c r="Q53" i="63"/>
  <c r="C49" i="88" s="1"/>
  <c r="E123" i="53"/>
  <c r="Q24" i="63"/>
  <c r="C20" i="88" s="1"/>
  <c r="Q22" i="63"/>
  <c r="C18" i="88" s="1"/>
  <c r="Q10" i="63"/>
  <c r="C6" i="88" s="1"/>
  <c r="Q5" i="63"/>
  <c r="C2" i="88" s="1"/>
  <c r="N55" i="63"/>
  <c r="O55" i="63" s="1"/>
  <c r="N56" i="63"/>
  <c r="O56" i="63" s="1"/>
  <c r="L22" i="63"/>
  <c r="N22" i="63" s="1"/>
  <c r="L10" i="63"/>
  <c r="M10" i="63" s="1"/>
  <c r="O10" i="63" s="1"/>
  <c r="L51" i="63"/>
  <c r="L48" i="63"/>
  <c r="O48" i="63" s="1"/>
  <c r="L35" i="63"/>
  <c r="O35" i="63" s="1"/>
  <c r="L31" i="63"/>
  <c r="N31" i="63" s="1"/>
  <c r="O31" i="63" s="1"/>
  <c r="L25" i="63"/>
  <c r="O25" i="63" s="1"/>
  <c r="L18" i="63"/>
  <c r="M18" i="63" s="1"/>
  <c r="L52" i="63"/>
  <c r="O52" i="63" s="1"/>
  <c r="L46" i="63"/>
  <c r="L7" i="63"/>
  <c r="N7" i="63" s="1"/>
  <c r="L50" i="63"/>
  <c r="O50" i="63" s="1"/>
  <c r="L26" i="63"/>
  <c r="O26" i="63" s="1"/>
  <c r="L11" i="63"/>
  <c r="M11" i="63" s="1"/>
  <c r="L47" i="63"/>
  <c r="L49" i="63"/>
  <c r="O49" i="63" s="1"/>
  <c r="L37" i="63"/>
  <c r="O37" i="63" s="1"/>
  <c r="L32" i="63"/>
  <c r="O32" i="63" s="1"/>
  <c r="L28" i="63"/>
  <c r="O28" i="63" s="1"/>
  <c r="L30" i="63"/>
  <c r="N30" i="63" s="1"/>
  <c r="L34" i="63"/>
  <c r="M34" i="63" s="1"/>
  <c r="O34" i="63" s="1"/>
  <c r="L53" i="63"/>
  <c r="O53" i="63" s="1"/>
  <c r="L38" i="63"/>
  <c r="L33" i="63"/>
  <c r="L29" i="63"/>
  <c r="N29" i="63" s="1"/>
  <c r="O29" i="63" s="1"/>
  <c r="L15" i="63"/>
  <c r="L6" i="63"/>
  <c r="N6" i="63" s="1"/>
  <c r="L45" i="63"/>
  <c r="L24" i="63"/>
  <c r="N24" i="63" s="1"/>
  <c r="O24" i="63" s="1"/>
  <c r="L16" i="63"/>
  <c r="N16" i="63" s="1"/>
  <c r="L14" i="63"/>
  <c r="M14" i="63" s="1"/>
  <c r="L13" i="63"/>
  <c r="L9" i="63"/>
  <c r="M9" i="63" s="1"/>
  <c r="L44" i="63"/>
  <c r="L27" i="63"/>
  <c r="L23" i="63"/>
  <c r="L12" i="63"/>
  <c r="L8" i="63"/>
  <c r="N8" i="63" s="1"/>
  <c r="L5" i="63"/>
  <c r="G34" i="83"/>
  <c r="F27" i="53" l="1"/>
  <c r="I26" i="53"/>
  <c r="I27" i="53" s="1"/>
  <c r="I96" i="53"/>
  <c r="F41" i="53"/>
  <c r="L263" i="48"/>
  <c r="L265" i="48" s="1"/>
  <c r="O46" i="63"/>
  <c r="O9" i="63"/>
  <c r="D58" i="99"/>
  <c r="D59" i="99" s="1"/>
  <c r="C54" i="99" s="1"/>
  <c r="J54" i="99" s="1"/>
  <c r="O18" i="63"/>
  <c r="J48" i="88"/>
  <c r="J40" i="88"/>
  <c r="J123" i="53"/>
  <c r="B97" i="53"/>
  <c r="B106" i="53" s="1"/>
  <c r="J11" i="88"/>
  <c r="G46" i="88"/>
  <c r="G24" i="88"/>
  <c r="J30" i="88"/>
  <c r="G14" i="88"/>
  <c r="G28" i="88"/>
  <c r="G42" i="88"/>
  <c r="J22" i="88"/>
  <c r="G5" i="88"/>
  <c r="J44" i="88"/>
  <c r="G7" i="88"/>
  <c r="G3" i="88"/>
  <c r="G33" i="88"/>
  <c r="J9" i="88"/>
  <c r="B132" i="53"/>
  <c r="F132" i="53" s="1"/>
  <c r="F133" i="53" s="1"/>
  <c r="G31" i="88"/>
  <c r="J31" i="88"/>
  <c r="G6" i="88"/>
  <c r="J6" i="88"/>
  <c r="G49" i="88"/>
  <c r="J49" i="88"/>
  <c r="G12" i="88"/>
  <c r="J12" i="88"/>
  <c r="G25" i="88"/>
  <c r="J25" i="88"/>
  <c r="G34" i="88"/>
  <c r="J34" i="88"/>
  <c r="G47" i="88"/>
  <c r="J47" i="88"/>
  <c r="G10" i="88"/>
  <c r="J10" i="88"/>
  <c r="G45" i="88"/>
  <c r="J45" i="88"/>
  <c r="G18" i="88"/>
  <c r="J18" i="88"/>
  <c r="G4" i="88"/>
  <c r="J4" i="88"/>
  <c r="G19" i="88"/>
  <c r="J19" i="88"/>
  <c r="G27" i="88"/>
  <c r="J27" i="88"/>
  <c r="G41" i="88"/>
  <c r="J41" i="88"/>
  <c r="G23" i="88"/>
  <c r="J23" i="88"/>
  <c r="J2" i="88"/>
  <c r="G20" i="88"/>
  <c r="J20" i="88"/>
  <c r="G8" i="88"/>
  <c r="J8" i="88"/>
  <c r="G21" i="88"/>
  <c r="J21" i="88"/>
  <c r="G29" i="88"/>
  <c r="J29" i="88"/>
  <c r="G43" i="88"/>
  <c r="J43" i="88"/>
  <c r="G2" i="88"/>
  <c r="O7" i="63"/>
  <c r="O22" i="63"/>
  <c r="O6" i="63"/>
  <c r="O16" i="63"/>
  <c r="J273" i="48"/>
  <c r="O14" i="63"/>
  <c r="E121" i="53"/>
  <c r="O11" i="63"/>
  <c r="O30" i="63"/>
  <c r="N23" i="63"/>
  <c r="O23" i="63" s="1"/>
  <c r="M33" i="63"/>
  <c r="O33" i="63" s="1"/>
  <c r="N5" i="63"/>
  <c r="M27" i="63"/>
  <c r="O27" i="63" s="1"/>
  <c r="M13" i="63"/>
  <c r="O13" i="63" s="1"/>
  <c r="M12" i="63"/>
  <c r="O8" i="63"/>
  <c r="M15" i="63"/>
  <c r="O15" i="63" s="1"/>
  <c r="I34" i="53" l="1"/>
  <c r="B107" i="53"/>
  <c r="B113" i="53" s="1"/>
  <c r="D131" i="99"/>
  <c r="D132" i="99" s="1"/>
  <c r="O12" i="63"/>
  <c r="E97" i="53"/>
  <c r="K42" i="53" s="1"/>
  <c r="K97" i="53"/>
  <c r="B444" i="48"/>
  <c r="J121" i="53"/>
  <c r="B92" i="53"/>
  <c r="B96" i="53" s="1"/>
  <c r="B133" i="53"/>
  <c r="O5" i="63"/>
  <c r="I41" i="53" l="1"/>
  <c r="F10" i="53"/>
  <c r="D138" i="99"/>
  <c r="D139" i="99" s="1"/>
  <c r="B114" i="53"/>
  <c r="F113" i="53"/>
  <c r="F114" i="53" s="1"/>
  <c r="J97" i="53"/>
  <c r="H131" i="48"/>
  <c r="F106" i="53"/>
  <c r="K92" i="53"/>
  <c r="K96" i="53" s="1"/>
  <c r="E92" i="53"/>
  <c r="D444" i="48"/>
  <c r="H443" i="48"/>
  <c r="H444" i="48" s="1"/>
  <c r="I163" i="48"/>
  <c r="H163" i="48"/>
  <c r="H170" i="48" s="1"/>
  <c r="F17" i="53" l="1"/>
  <c r="I10" i="53"/>
  <c r="I17" i="53" s="1"/>
  <c r="B27" i="53"/>
  <c r="E26" i="53"/>
  <c r="K26" i="53"/>
  <c r="K27" i="53" s="1"/>
  <c r="B56" i="53"/>
  <c r="F55" i="53"/>
  <c r="F56" i="53" s="1"/>
  <c r="B20" i="98"/>
  <c r="B21" i="98" s="1"/>
  <c r="E96" i="53"/>
  <c r="B41" i="53"/>
  <c r="F107" i="53"/>
  <c r="H10" i="1"/>
  <c r="B20" i="96"/>
  <c r="B21" i="96" s="1"/>
  <c r="C18" i="96" s="1"/>
  <c r="D18" i="96" s="1"/>
  <c r="J92" i="53"/>
  <c r="J96" i="53" s="1"/>
  <c r="L7" i="82"/>
  <c r="L29" i="82"/>
  <c r="L28" i="82"/>
  <c r="E27" i="53" l="1"/>
  <c r="J26" i="53"/>
  <c r="J27" i="53" s="1"/>
  <c r="E34" i="53"/>
  <c r="B10" i="53" s="1"/>
  <c r="K34" i="53"/>
  <c r="K41" i="53" s="1"/>
  <c r="E18" i="96"/>
  <c r="F18" i="96" s="1"/>
  <c r="H18" i="96" s="1"/>
  <c r="D21" i="98"/>
  <c r="C17" i="98"/>
  <c r="C18" i="98"/>
  <c r="D18" i="98" s="1"/>
  <c r="E18" i="98" s="1"/>
  <c r="F18" i="98" s="1"/>
  <c r="I18" i="98" s="1"/>
  <c r="J18" i="98" s="1"/>
  <c r="C19" i="98"/>
  <c r="D19" i="98" s="1"/>
  <c r="E19" i="98" s="1"/>
  <c r="F19" i="98" s="1"/>
  <c r="I19" i="98" s="1"/>
  <c r="J19" i="98" s="1"/>
  <c r="C20" i="98"/>
  <c r="D20" i="98" s="1"/>
  <c r="G21" i="96"/>
  <c r="D21" i="96"/>
  <c r="C19" i="96"/>
  <c r="D19" i="96" s="1"/>
  <c r="C20" i="96"/>
  <c r="D20" i="96" s="1"/>
  <c r="C17" i="96"/>
  <c r="D17" i="96" s="1"/>
  <c r="N28" i="82"/>
  <c r="O28" i="82" s="1"/>
  <c r="N7" i="82"/>
  <c r="O7" i="82" s="1"/>
  <c r="N29" i="82"/>
  <c r="O29" i="82" s="1"/>
  <c r="D11" i="1" l="1"/>
  <c r="E41" i="53"/>
  <c r="J34" i="53"/>
  <c r="J41" i="53" s="1"/>
  <c r="D17" i="98"/>
  <c r="E17" i="98" s="1"/>
  <c r="E21" i="98" s="1"/>
  <c r="E12" i="98"/>
  <c r="E19" i="96"/>
  <c r="F19" i="96" s="1"/>
  <c r="H19" i="96" s="1"/>
  <c r="G22" i="96"/>
  <c r="E17" i="96"/>
  <c r="F17" i="96" s="1"/>
  <c r="H459" i="48"/>
  <c r="H461" i="48"/>
  <c r="J11" i="1" l="1"/>
  <c r="H11" i="1"/>
  <c r="B17" i="53"/>
  <c r="E10" i="53"/>
  <c r="K10" i="53"/>
  <c r="K17" i="53" s="1"/>
  <c r="F20" i="96"/>
  <c r="H17" i="96"/>
  <c r="H20" i="96" s="1"/>
  <c r="I20" i="96" s="1"/>
  <c r="F17" i="98"/>
  <c r="F21" i="96"/>
  <c r="F22" i="96" s="1"/>
  <c r="H22" i="96" s="1"/>
  <c r="E21" i="96"/>
  <c r="E24" i="87" s="1"/>
  <c r="G20" i="87" s="1"/>
  <c r="E384" i="48"/>
  <c r="E374" i="48"/>
  <c r="H384" i="48"/>
  <c r="H374" i="48"/>
  <c r="I394" i="48"/>
  <c r="E17" i="53" l="1"/>
  <c r="J10" i="53"/>
  <c r="J17" i="53" s="1"/>
  <c r="F20" i="98"/>
  <c r="I17" i="98"/>
  <c r="J17" i="98" s="1"/>
  <c r="H21" i="96"/>
  <c r="I21" i="96" s="1"/>
  <c r="B35" i="76"/>
  <c r="D8" i="1" l="1"/>
  <c r="L16" i="53"/>
  <c r="I20" i="98"/>
  <c r="K21" i="98" s="1"/>
  <c r="K22" i="98" s="1"/>
  <c r="J20" i="98"/>
  <c r="D24" i="66"/>
  <c r="B12" i="66"/>
  <c r="D3" i="66"/>
  <c r="L40" i="82"/>
  <c r="J39" i="82"/>
  <c r="L39" i="82" s="1"/>
  <c r="L38" i="82"/>
  <c r="E99" i="49" s="1"/>
  <c r="E114" i="49" s="1"/>
  <c r="K37" i="82"/>
  <c r="L37" i="82" s="1"/>
  <c r="L26" i="82"/>
  <c r="L25" i="82"/>
  <c r="L24" i="82"/>
  <c r="L23" i="82"/>
  <c r="K15" i="87" s="1"/>
  <c r="L22" i="82"/>
  <c r="L21" i="82"/>
  <c r="L20" i="82"/>
  <c r="L19" i="82"/>
  <c r="L18" i="82"/>
  <c r="L17" i="82"/>
  <c r="L16" i="82"/>
  <c r="M16" i="82" s="1"/>
  <c r="L15" i="82"/>
  <c r="M15" i="82" s="1"/>
  <c r="L14" i="82"/>
  <c r="L13" i="82"/>
  <c r="N13" i="82" s="1"/>
  <c r="O13" i="82" s="1"/>
  <c r="J12" i="82"/>
  <c r="L12" i="82" s="1"/>
  <c r="L11" i="82"/>
  <c r="L10" i="82"/>
  <c r="L9" i="82"/>
  <c r="L8" i="82"/>
  <c r="M8" i="82" s="1"/>
  <c r="I473" i="48" s="1"/>
  <c r="L6" i="82"/>
  <c r="N6" i="82" s="1"/>
  <c r="L5" i="82"/>
  <c r="A1" i="82"/>
  <c r="A1" i="63"/>
  <c r="G100" i="73"/>
  <c r="F100" i="73"/>
  <c r="E100" i="73"/>
  <c r="A96" i="73"/>
  <c r="G94" i="73"/>
  <c r="F94" i="73"/>
  <c r="E94" i="73"/>
  <c r="H58" i="73"/>
  <c r="G58" i="73"/>
  <c r="F58" i="73"/>
  <c r="C58" i="73"/>
  <c r="B58" i="73"/>
  <c r="I57" i="73"/>
  <c r="H53" i="73"/>
  <c r="G53" i="73"/>
  <c r="C53" i="73"/>
  <c r="I52" i="73"/>
  <c r="A49" i="73"/>
  <c r="I47" i="73"/>
  <c r="H47" i="73"/>
  <c r="G47" i="73"/>
  <c r="F47" i="73"/>
  <c r="C47" i="73"/>
  <c r="B47" i="73"/>
  <c r="H42" i="73"/>
  <c r="G42" i="73"/>
  <c r="C42" i="73"/>
  <c r="I41" i="73"/>
  <c r="A38" i="73"/>
  <c r="A153" i="70"/>
  <c r="A154" i="70" s="1"/>
  <c r="A155" i="70" s="1"/>
  <c r="A156" i="70" s="1"/>
  <c r="I462" i="48"/>
  <c r="I461" i="48"/>
  <c r="I460" i="48"/>
  <c r="I459" i="48"/>
  <c r="I458" i="48"/>
  <c r="I457" i="48"/>
  <c r="I421" i="48"/>
  <c r="I456" i="48" s="1"/>
  <c r="H423" i="48"/>
  <c r="D134" i="99" s="1"/>
  <c r="I151" i="48"/>
  <c r="I138" i="48"/>
  <c r="I397" i="48"/>
  <c r="G387" i="48"/>
  <c r="G380" i="48"/>
  <c r="G377" i="48"/>
  <c r="I322" i="48"/>
  <c r="H386" i="48" s="1"/>
  <c r="H387" i="48" s="1"/>
  <c r="A316" i="48"/>
  <c r="F141" i="53"/>
  <c r="B141" i="53"/>
  <c r="K140" i="53"/>
  <c r="K141" i="53" s="1"/>
  <c r="H140" i="53"/>
  <c r="H141" i="53" s="1"/>
  <c r="D140" i="53"/>
  <c r="D141" i="53" s="1"/>
  <c r="J136" i="53"/>
  <c r="I136" i="53"/>
  <c r="F136" i="53"/>
  <c r="E136" i="53"/>
  <c r="B136" i="53"/>
  <c r="C122" i="53"/>
  <c r="A86" i="76"/>
  <c r="A85" i="76"/>
  <c r="A71" i="76"/>
  <c r="A70" i="76"/>
  <c r="A69" i="76"/>
  <c r="A31" i="76"/>
  <c r="A60" i="2"/>
  <c r="A59" i="2"/>
  <c r="A44" i="2"/>
  <c r="A43" i="2"/>
  <c r="A42" i="2"/>
  <c r="L22" i="2"/>
  <c r="L21" i="2"/>
  <c r="J21" i="2"/>
  <c r="A81" i="1"/>
  <c r="A122" i="99" s="1"/>
  <c r="F5" i="1"/>
  <c r="H455" i="48"/>
  <c r="A1" i="53"/>
  <c r="D11" i="46"/>
  <c r="C62" i="1" s="1"/>
  <c r="C38" i="2" s="1"/>
  <c r="E8" i="46"/>
  <c r="F6" i="46"/>
  <c r="E6" i="46"/>
  <c r="F5" i="46"/>
  <c r="E5" i="46"/>
  <c r="J8" i="1" l="1"/>
  <c r="H5" i="1"/>
  <c r="R5" i="1" s="1"/>
  <c r="K8" i="1"/>
  <c r="F147" i="53"/>
  <c r="F148" i="53" s="1"/>
  <c r="B148" i="53"/>
  <c r="A157" i="70"/>
  <c r="I134" i="48"/>
  <c r="I17" i="48"/>
  <c r="H54" i="1"/>
  <c r="C23" i="99" s="1"/>
  <c r="H369" i="48"/>
  <c r="E356" i="48" s="1"/>
  <c r="J26" i="98"/>
  <c r="J444" i="48"/>
  <c r="I455" i="48"/>
  <c r="I209" i="48"/>
  <c r="I216" i="48"/>
  <c r="H151" i="48"/>
  <c r="I219" i="48"/>
  <c r="G138" i="48"/>
  <c r="G141" i="48" s="1"/>
  <c r="H141" i="48"/>
  <c r="I254" i="48"/>
  <c r="H254" i="48"/>
  <c r="G103" i="70" s="1"/>
  <c r="G125" i="70" s="1"/>
  <c r="E91" i="49"/>
  <c r="A129" i="86"/>
  <c r="E24" i="66"/>
  <c r="J24" i="66" s="1"/>
  <c r="E18" i="66"/>
  <c r="J18" i="66" s="1"/>
  <c r="E12" i="66"/>
  <c r="J12" i="66" s="1"/>
  <c r="E21" i="66"/>
  <c r="F21" i="66" s="1"/>
  <c r="E15" i="66"/>
  <c r="J15" i="66" s="1"/>
  <c r="E10" i="66"/>
  <c r="E19" i="66"/>
  <c r="F19" i="66" s="1"/>
  <c r="E13" i="66"/>
  <c r="J13" i="66" s="1"/>
  <c r="E20" i="66"/>
  <c r="E14" i="66"/>
  <c r="F14" i="66" s="1"/>
  <c r="E22" i="66"/>
  <c r="E6" i="66"/>
  <c r="J6" i="66" s="1"/>
  <c r="E8" i="66"/>
  <c r="J8" i="66" s="1"/>
  <c r="E9" i="66"/>
  <c r="E17" i="66"/>
  <c r="E23" i="66"/>
  <c r="J23" i="66" s="1"/>
  <c r="E5" i="66"/>
  <c r="F5" i="66" s="1"/>
  <c r="E16" i="66"/>
  <c r="E4" i="66"/>
  <c r="E7" i="66"/>
  <c r="F7" i="66" s="1"/>
  <c r="E11" i="66"/>
  <c r="J11" i="66" s="1"/>
  <c r="O30" i="66"/>
  <c r="F386" i="48"/>
  <c r="F387" i="48" s="1"/>
  <c r="M11" i="82"/>
  <c r="O11" i="82" s="1"/>
  <c r="C140" i="53"/>
  <c r="E32" i="99" s="1"/>
  <c r="E40" i="99" s="1"/>
  <c r="O6" i="82"/>
  <c r="D114" i="49"/>
  <c r="I168" i="48"/>
  <c r="I159" i="48"/>
  <c r="D5" i="49"/>
  <c r="H159" i="48"/>
  <c r="G140" i="53"/>
  <c r="G141" i="53" s="1"/>
  <c r="F53" i="1"/>
  <c r="H50" i="86" s="1"/>
  <c r="F50" i="86" s="1"/>
  <c r="M40" i="82"/>
  <c r="M39" i="82"/>
  <c r="O39" i="82" s="1"/>
  <c r="L23" i="2"/>
  <c r="G381" i="48"/>
  <c r="H168" i="48"/>
  <c r="H178" i="48" s="1"/>
  <c r="H185" i="48" s="1"/>
  <c r="H193" i="48" s="1"/>
  <c r="I141" i="48"/>
  <c r="E53" i="1"/>
  <c r="H456" i="48"/>
  <c r="E35" i="1"/>
  <c r="H35" i="1" s="1"/>
  <c r="O16" i="82"/>
  <c r="O8" i="82"/>
  <c r="O15" i="82"/>
  <c r="I117" i="48"/>
  <c r="I475" i="48"/>
  <c r="F56" i="1" s="1"/>
  <c r="H52" i="86" s="1"/>
  <c r="F52" i="86" s="1"/>
  <c r="E92" i="49"/>
  <c r="E80" i="49"/>
  <c r="I58" i="73"/>
  <c r="F3" i="2"/>
  <c r="I5" i="48"/>
  <c r="B42" i="73"/>
  <c r="G2" i="70"/>
  <c r="F2" i="93" s="1"/>
  <c r="I2" i="73"/>
  <c r="H2" i="74"/>
  <c r="I2" i="48"/>
  <c r="E2" i="49"/>
  <c r="I171" i="48"/>
  <c r="A1" i="73"/>
  <c r="B53" i="73"/>
  <c r="D13" i="46"/>
  <c r="A2" i="74"/>
  <c r="A2" i="73"/>
  <c r="A2" i="70"/>
  <c r="A2" i="49"/>
  <c r="E5" i="49"/>
  <c r="N12" i="82"/>
  <c r="O12" i="82" s="1"/>
  <c r="M10" i="82"/>
  <c r="O10" i="82" s="1"/>
  <c r="M18" i="82"/>
  <c r="O18" i="82" s="1"/>
  <c r="N5" i="82"/>
  <c r="N14" i="82"/>
  <c r="O14" i="82" s="1"/>
  <c r="J20" i="66"/>
  <c r="J17" i="66"/>
  <c r="J10" i="66"/>
  <c r="J19" i="66"/>
  <c r="M9" i="82"/>
  <c r="M17" i="82"/>
  <c r="O17" i="82" s="1"/>
  <c r="M5" i="66"/>
  <c r="M30" i="66" s="1"/>
  <c r="F10" i="66"/>
  <c r="F17" i="66"/>
  <c r="H46" i="99" l="1"/>
  <c r="N37" i="1"/>
  <c r="G149" i="48"/>
  <c r="G151" i="48" s="1"/>
  <c r="G171" i="48" s="1"/>
  <c r="H171" i="48"/>
  <c r="A158" i="70"/>
  <c r="A159" i="70" s="1"/>
  <c r="H53" i="1"/>
  <c r="J23" i="99" s="1"/>
  <c r="D35" i="73"/>
  <c r="E35" i="73" s="1"/>
  <c r="D85" i="73" s="1"/>
  <c r="F85" i="73" s="1"/>
  <c r="E20" i="74"/>
  <c r="G20" i="74" s="1"/>
  <c r="E58" i="99"/>
  <c r="E59" i="99" s="1"/>
  <c r="H2" i="92"/>
  <c r="F2" i="91"/>
  <c r="A2" i="92"/>
  <c r="A2" i="91"/>
  <c r="J14" i="66"/>
  <c r="F12" i="66"/>
  <c r="F15" i="66"/>
  <c r="F8" i="66"/>
  <c r="J21" i="66"/>
  <c r="J5" i="66"/>
  <c r="C36" i="63"/>
  <c r="C30" i="63"/>
  <c r="C31" i="63"/>
  <c r="C13" i="82"/>
  <c r="C22" i="63"/>
  <c r="C26" i="82"/>
  <c r="C14" i="82"/>
  <c r="C23" i="63"/>
  <c r="C24" i="63"/>
  <c r="C12" i="82"/>
  <c r="C29" i="63"/>
  <c r="F6" i="66"/>
  <c r="J7" i="66"/>
  <c r="E377" i="48"/>
  <c r="E140" i="53"/>
  <c r="C141" i="53"/>
  <c r="I146" i="48"/>
  <c r="D46" i="73"/>
  <c r="E46" i="73" s="1"/>
  <c r="F20" i="66"/>
  <c r="F13" i="66"/>
  <c r="I273" i="48"/>
  <c r="D20" i="46"/>
  <c r="D69" i="46" s="1"/>
  <c r="C18" i="2" s="1"/>
  <c r="I140" i="53"/>
  <c r="F18" i="66"/>
  <c r="E19" i="2"/>
  <c r="E20" i="2" s="1"/>
  <c r="F23" i="66"/>
  <c r="J9" i="66"/>
  <c r="F9" i="66"/>
  <c r="O40" i="82"/>
  <c r="O5" i="82"/>
  <c r="E111" i="49"/>
  <c r="F19" i="2" s="1"/>
  <c r="H63" i="86" s="1"/>
  <c r="F63" i="86" s="1"/>
  <c r="K132" i="48"/>
  <c r="K115" i="48" s="1"/>
  <c r="I118" i="48"/>
  <c r="F25" i="1" s="1"/>
  <c r="H28" i="86" s="1"/>
  <c r="H96" i="86"/>
  <c r="F96" i="86" s="1"/>
  <c r="I422" i="48"/>
  <c r="B449" i="48" s="1"/>
  <c r="B450" i="48" s="1"/>
  <c r="F11" i="66"/>
  <c r="O9" i="82"/>
  <c r="M2" i="63"/>
  <c r="A1" i="70"/>
  <c r="A1" i="93" s="1"/>
  <c r="A1" i="74"/>
  <c r="A1" i="48"/>
  <c r="A1" i="49"/>
  <c r="J16" i="66"/>
  <c r="F16" i="66"/>
  <c r="F24" i="66"/>
  <c r="J4" i="66"/>
  <c r="E25" i="66"/>
  <c r="F4" i="66"/>
  <c r="J22" i="66"/>
  <c r="F22" i="66"/>
  <c r="F42" i="73"/>
  <c r="I42" i="73"/>
  <c r="M2" i="82"/>
  <c r="I126" i="48"/>
  <c r="E131" i="99" s="1"/>
  <c r="E132" i="99" s="1"/>
  <c r="F53" i="73"/>
  <c r="I53" i="73"/>
  <c r="E85" i="73" l="1"/>
  <c r="E88" i="73" s="1"/>
  <c r="F88" i="73"/>
  <c r="U19" i="2"/>
  <c r="D100" i="99"/>
  <c r="D103" i="99" s="1"/>
  <c r="E60" i="76"/>
  <c r="E61" i="76" s="1"/>
  <c r="C61" i="76"/>
  <c r="C64" i="76" s="1"/>
  <c r="G172" i="48"/>
  <c r="H172" i="48"/>
  <c r="A160" i="70"/>
  <c r="A161" i="70" s="1"/>
  <c r="A162" i="70" s="1"/>
  <c r="A163" i="70" s="1"/>
  <c r="A164" i="70" s="1"/>
  <c r="A165" i="70" s="1"/>
  <c r="A166" i="70" s="1"/>
  <c r="A167" i="70" s="1"/>
  <c r="E138" i="99"/>
  <c r="E139" i="99" s="1"/>
  <c r="E26" i="99" s="1"/>
  <c r="E22" i="99"/>
  <c r="A1" i="92"/>
  <c r="A1" i="91"/>
  <c r="C10" i="1"/>
  <c r="C9" i="1"/>
  <c r="C65" i="63"/>
  <c r="I275" i="48"/>
  <c r="F50" i="1" s="1"/>
  <c r="J275" i="48"/>
  <c r="F28" i="86"/>
  <c r="D450" i="48"/>
  <c r="B122" i="53"/>
  <c r="B126" i="53"/>
  <c r="F122" i="53"/>
  <c r="F126" i="53"/>
  <c r="E141" i="53"/>
  <c r="F54" i="1"/>
  <c r="E50" i="1"/>
  <c r="I141" i="53"/>
  <c r="F18" i="2" s="1"/>
  <c r="J140" i="53"/>
  <c r="J141" i="53" s="1"/>
  <c r="F35" i="1"/>
  <c r="H35" i="86" s="1"/>
  <c r="E29" i="1"/>
  <c r="H29" i="1" s="1"/>
  <c r="D52" i="73"/>
  <c r="E52" i="73" s="1"/>
  <c r="I423" i="48"/>
  <c r="E122" i="53"/>
  <c r="H118" i="48"/>
  <c r="E25" i="1" s="1"/>
  <c r="I131" i="48"/>
  <c r="F29" i="1" s="1"/>
  <c r="F25" i="66"/>
  <c r="H475" i="48"/>
  <c r="I122" i="53"/>
  <c r="D29" i="73" l="1"/>
  <c r="F10" i="92"/>
  <c r="K20" i="87"/>
  <c r="E9" i="99"/>
  <c r="E134" i="99"/>
  <c r="H50" i="1"/>
  <c r="C73" i="99"/>
  <c r="G73" i="99" s="1"/>
  <c r="D99" i="73"/>
  <c r="C99" i="73" s="1"/>
  <c r="G68" i="99"/>
  <c r="H25" i="1"/>
  <c r="H97" i="86"/>
  <c r="F97" i="86" s="1"/>
  <c r="F111" i="86"/>
  <c r="D41" i="73"/>
  <c r="C113" i="46"/>
  <c r="H62" i="86"/>
  <c r="F62" i="86" s="1"/>
  <c r="D57" i="73"/>
  <c r="E57" i="73" s="1"/>
  <c r="H51" i="86"/>
  <c r="F51" i="86" s="1"/>
  <c r="F30" i="1"/>
  <c r="H29" i="86"/>
  <c r="F35" i="86"/>
  <c r="H48" i="86"/>
  <c r="F127" i="53"/>
  <c r="I126" i="53"/>
  <c r="K126" i="53"/>
  <c r="K127" i="53" s="1"/>
  <c r="F9" i="1" s="1"/>
  <c r="B127" i="53"/>
  <c r="E126" i="53"/>
  <c r="B100" i="53" s="1"/>
  <c r="F59" i="1"/>
  <c r="K122" i="53"/>
  <c r="E56" i="1"/>
  <c r="E59" i="1" s="1"/>
  <c r="D53" i="73"/>
  <c r="E53" i="73"/>
  <c r="F26" i="66"/>
  <c r="O6" i="66"/>
  <c r="H3" i="66"/>
  <c r="K3" i="66" s="1"/>
  <c r="H4" i="66" s="1"/>
  <c r="D30" i="73" l="1"/>
  <c r="E29" i="73"/>
  <c r="E30" i="73" s="1"/>
  <c r="E23" i="99"/>
  <c r="H21" i="86"/>
  <c r="F21" i="86" s="1"/>
  <c r="F24" i="86" s="1"/>
  <c r="H56" i="1"/>
  <c r="C26" i="99" s="1"/>
  <c r="I127" i="53"/>
  <c r="F100" i="53"/>
  <c r="I100" i="53" s="1"/>
  <c r="J53" i="73"/>
  <c r="F8" i="74"/>
  <c r="H53" i="86"/>
  <c r="F48" i="86"/>
  <c r="F53" i="86" s="1"/>
  <c r="F29" i="86"/>
  <c r="F30" i="86" s="1"/>
  <c r="H30" i="86"/>
  <c r="J126" i="53"/>
  <c r="E127" i="53"/>
  <c r="F19" i="1"/>
  <c r="F31" i="1" s="1"/>
  <c r="N8" i="1"/>
  <c r="J122" i="53"/>
  <c r="B98" i="73"/>
  <c r="E41" i="73"/>
  <c r="E42" i="73" s="1"/>
  <c r="D42" i="73"/>
  <c r="P33" i="66"/>
  <c r="F27" i="66"/>
  <c r="I4" i="66"/>
  <c r="K4" i="66" s="1"/>
  <c r="D45" i="46"/>
  <c r="D21" i="46"/>
  <c r="F46" i="53" l="1"/>
  <c r="H24" i="86"/>
  <c r="H31" i="86" s="1"/>
  <c r="C39" i="74"/>
  <c r="C27" i="74"/>
  <c r="J127" i="53"/>
  <c r="I101" i="53"/>
  <c r="F101" i="53"/>
  <c r="C66" i="63"/>
  <c r="F31" i="86"/>
  <c r="C61" i="63"/>
  <c r="C64" i="63"/>
  <c r="C31" i="82"/>
  <c r="C34" i="82"/>
  <c r="C36" i="82"/>
  <c r="H5" i="66"/>
  <c r="I5" i="66" s="1"/>
  <c r="K5" i="66" s="1"/>
  <c r="H6" i="66" s="1"/>
  <c r="K59" i="63"/>
  <c r="L59" i="63" s="1"/>
  <c r="K32" i="82"/>
  <c r="O9" i="66"/>
  <c r="P10" i="66" s="1"/>
  <c r="O35" i="66"/>
  <c r="P32" i="66"/>
  <c r="O5" i="66"/>
  <c r="P7" i="66" s="1"/>
  <c r="D98" i="73"/>
  <c r="I45" i="53" l="1"/>
  <c r="H8" i="1"/>
  <c r="E100" i="53"/>
  <c r="J100" i="53" s="1"/>
  <c r="B101" i="53"/>
  <c r="K100" i="53"/>
  <c r="K101" i="53" s="1"/>
  <c r="C10" i="63"/>
  <c r="C11" i="63"/>
  <c r="C15" i="82"/>
  <c r="C9" i="63"/>
  <c r="L32" i="82"/>
  <c r="N32" i="82" s="1"/>
  <c r="O32" i="82" s="1"/>
  <c r="C32" i="63"/>
  <c r="C18" i="63"/>
  <c r="C28" i="63"/>
  <c r="C16" i="82"/>
  <c r="C34" i="63"/>
  <c r="C17" i="82"/>
  <c r="C33" i="63"/>
  <c r="C27" i="63"/>
  <c r="C18" i="82"/>
  <c r="J33" i="82"/>
  <c r="N59" i="63"/>
  <c r="K31" i="82"/>
  <c r="L31" i="82" s="1"/>
  <c r="G389" i="48" s="1"/>
  <c r="P31" i="66"/>
  <c r="K35" i="82"/>
  <c r="L33" i="82"/>
  <c r="E83" i="49" s="1"/>
  <c r="K17" i="87" s="1"/>
  <c r="L21" i="87" s="1"/>
  <c r="C98" i="73"/>
  <c r="P37" i="66"/>
  <c r="O36" i="66"/>
  <c r="J34" i="82" s="1"/>
  <c r="I6" i="66"/>
  <c r="K6" i="66" s="1"/>
  <c r="H7" i="66" s="1"/>
  <c r="O12" i="66"/>
  <c r="O40" i="66"/>
  <c r="I46" i="53" l="1"/>
  <c r="F21" i="53"/>
  <c r="F23" i="53" s="1"/>
  <c r="B67" i="99"/>
  <c r="B58" i="98"/>
  <c r="C58" i="98" s="1"/>
  <c r="C61" i="98" s="1"/>
  <c r="C68" i="98" s="1"/>
  <c r="C70" i="98" s="1"/>
  <c r="J101" i="53"/>
  <c r="B50" i="96"/>
  <c r="C50" i="96" s="1"/>
  <c r="C53" i="96" s="1"/>
  <c r="C60" i="96" s="1"/>
  <c r="C62" i="96" s="1"/>
  <c r="E30" i="87" s="1"/>
  <c r="D79" i="46"/>
  <c r="D74" i="46"/>
  <c r="D75" i="46" s="1"/>
  <c r="E101" i="53"/>
  <c r="O59" i="63"/>
  <c r="H87" i="86"/>
  <c r="G61" i="86"/>
  <c r="G64" i="86" s="1"/>
  <c r="G65" i="86" s="1"/>
  <c r="H80" i="86"/>
  <c r="G42" i="86"/>
  <c r="C55" i="63"/>
  <c r="C6" i="82"/>
  <c r="C5" i="63"/>
  <c r="C5" i="82"/>
  <c r="C6" i="63"/>
  <c r="G390" i="48"/>
  <c r="G391" i="48" s="1"/>
  <c r="K58" i="63"/>
  <c r="L58" i="63" s="1"/>
  <c r="N58" i="63" s="1"/>
  <c r="L35" i="82"/>
  <c r="N35" i="82" s="1"/>
  <c r="O35" i="82" s="1"/>
  <c r="O41" i="66"/>
  <c r="K30" i="82"/>
  <c r="L30" i="82" s="1"/>
  <c r="K57" i="63"/>
  <c r="L57" i="63" s="1"/>
  <c r="N57" i="63" s="1"/>
  <c r="O57" i="63" s="1"/>
  <c r="E86" i="49"/>
  <c r="F17" i="2" s="1"/>
  <c r="N31" i="82"/>
  <c r="K36" i="82"/>
  <c r="L34" i="82"/>
  <c r="P42" i="66"/>
  <c r="O45" i="66"/>
  <c r="O46" i="66" s="1"/>
  <c r="I7" i="66"/>
  <c r="K7" i="66" s="1"/>
  <c r="H8" i="66" s="1"/>
  <c r="O15" i="66"/>
  <c r="O18" i="66" s="1"/>
  <c r="O21" i="66" s="1"/>
  <c r="P13" i="66"/>
  <c r="P16" i="66" s="1"/>
  <c r="P19" i="66" s="1"/>
  <c r="P22" i="66" s="1"/>
  <c r="P38" i="66"/>
  <c r="K63" i="63" s="1"/>
  <c r="L63" i="63" s="1"/>
  <c r="N63" i="63" s="1"/>
  <c r="O63" i="63" s="1"/>
  <c r="I21" i="53" l="1"/>
  <c r="I23" i="53" s="1"/>
  <c r="H61" i="86"/>
  <c r="E15" i="99"/>
  <c r="E16" i="99" s="1"/>
  <c r="E27" i="99" s="1"/>
  <c r="E29" i="99" s="1"/>
  <c r="E53" i="99" s="1"/>
  <c r="E55" i="99" s="1"/>
  <c r="B46" i="53"/>
  <c r="E45" i="53"/>
  <c r="B21" i="53" s="1"/>
  <c r="B23" i="53" s="1"/>
  <c r="K45" i="53"/>
  <c r="K46" i="53" s="1"/>
  <c r="D45" i="87"/>
  <c r="D49" i="87" s="1"/>
  <c r="E50" i="87" s="1"/>
  <c r="F50" i="87" s="1"/>
  <c r="G50" i="87" s="1"/>
  <c r="F31" i="87"/>
  <c r="O58" i="63"/>
  <c r="H88" i="86"/>
  <c r="G68" i="86"/>
  <c r="G69" i="86" s="1"/>
  <c r="G70" i="86" s="1"/>
  <c r="G74" i="86" s="1"/>
  <c r="G43" i="86"/>
  <c r="G44" i="86" s="1"/>
  <c r="G54" i="86" s="1"/>
  <c r="G36" i="86"/>
  <c r="G37" i="86" s="1"/>
  <c r="L36" i="82"/>
  <c r="N30" i="82"/>
  <c r="I231" i="48" s="1"/>
  <c r="N34" i="82"/>
  <c r="O34" i="82" s="1"/>
  <c r="O31" i="82"/>
  <c r="F24" i="2"/>
  <c r="F20" i="2"/>
  <c r="I8" i="66"/>
  <c r="K8" i="66" s="1"/>
  <c r="H9" i="66" s="1"/>
  <c r="P47" i="66"/>
  <c r="O50" i="66"/>
  <c r="O51" i="66" s="1"/>
  <c r="P43" i="66"/>
  <c r="K21" i="53" l="1"/>
  <c r="K23" i="53" s="1"/>
  <c r="E21" i="53"/>
  <c r="F61" i="86"/>
  <c r="F64" i="86" s="1"/>
  <c r="F65" i="86" s="1"/>
  <c r="H64" i="86"/>
  <c r="H65" i="86" s="1"/>
  <c r="E19" i="1"/>
  <c r="E46" i="53"/>
  <c r="J45" i="53"/>
  <c r="H81" i="86"/>
  <c r="H82" i="86" s="1"/>
  <c r="H89" i="86"/>
  <c r="H91" i="86" s="1"/>
  <c r="G55" i="86"/>
  <c r="F25" i="2"/>
  <c r="H68" i="86"/>
  <c r="B30" i="76"/>
  <c r="F21" i="2"/>
  <c r="F11" i="74" s="1"/>
  <c r="I325" i="48"/>
  <c r="I327" i="48" s="1"/>
  <c r="I328" i="48" s="1"/>
  <c r="F16" i="1" s="1"/>
  <c r="H43" i="86" s="1"/>
  <c r="F43" i="86" s="1"/>
  <c r="I232" i="48"/>
  <c r="I224" i="48" s="1"/>
  <c r="O30" i="82"/>
  <c r="O2" i="82" s="1"/>
  <c r="P48" i="66"/>
  <c r="P52" i="66"/>
  <c r="O55" i="66"/>
  <c r="I9" i="66"/>
  <c r="K9" i="66" s="1"/>
  <c r="H10" i="66" s="1"/>
  <c r="E23" i="53" l="1"/>
  <c r="J21" i="53"/>
  <c r="J23" i="53" s="1"/>
  <c r="D9" i="1" s="1"/>
  <c r="J46" i="53"/>
  <c r="F26" i="2"/>
  <c r="I91" i="86" s="1"/>
  <c r="I406" i="48"/>
  <c r="I407" i="48" s="1"/>
  <c r="L11" i="87"/>
  <c r="F68" i="86"/>
  <c r="F69" i="86" s="1"/>
  <c r="F70" i="86" s="1"/>
  <c r="F74" i="86" s="1"/>
  <c r="H69" i="86"/>
  <c r="H70" i="86" s="1"/>
  <c r="H74" i="86" s="1"/>
  <c r="B31" i="76"/>
  <c r="H389" i="48"/>
  <c r="E379" i="48" s="1"/>
  <c r="E380" i="48" s="1"/>
  <c r="E381" i="48" s="1"/>
  <c r="H224" i="48"/>
  <c r="P57" i="66"/>
  <c r="O56" i="66"/>
  <c r="J60" i="63"/>
  <c r="I10" i="66"/>
  <c r="K10" i="66" s="1"/>
  <c r="H11" i="66" s="1"/>
  <c r="P53" i="66"/>
  <c r="J9" i="1" l="1"/>
  <c r="H9" i="1"/>
  <c r="C32" i="99" s="1"/>
  <c r="H95" i="86"/>
  <c r="H98" i="86" s="1"/>
  <c r="E118" i="49"/>
  <c r="E120" i="49" s="1"/>
  <c r="F37" i="2" s="1"/>
  <c r="I243" i="48"/>
  <c r="I246" i="48" s="1"/>
  <c r="I226" i="48" s="1"/>
  <c r="G230" i="48"/>
  <c r="F34" i="2"/>
  <c r="D29" i="76"/>
  <c r="D31" i="76" s="1"/>
  <c r="D33" i="76" s="1"/>
  <c r="H390" i="48"/>
  <c r="H391" i="48" s="1"/>
  <c r="F389" i="48"/>
  <c r="F390" i="48" s="1"/>
  <c r="F391" i="48" s="1"/>
  <c r="K62" i="63"/>
  <c r="L60" i="63"/>
  <c r="P58" i="66"/>
  <c r="J61" i="63"/>
  <c r="I11" i="66"/>
  <c r="K11" i="66" s="1"/>
  <c r="H12" i="66" s="1"/>
  <c r="G231" i="48" l="1"/>
  <c r="B43" i="76" s="1"/>
  <c r="F95" i="86"/>
  <c r="F98" i="86" s="1"/>
  <c r="D86" i="49"/>
  <c r="E17" i="2" s="1"/>
  <c r="G224" i="48"/>
  <c r="E28" i="76"/>
  <c r="E29" i="76" s="1"/>
  <c r="L62" i="63"/>
  <c r="N62" i="63" s="1"/>
  <c r="Q62" i="63"/>
  <c r="C56" i="63"/>
  <c r="C30" i="82"/>
  <c r="C29" i="82"/>
  <c r="C57" i="63"/>
  <c r="C63" i="63"/>
  <c r="C7" i="63"/>
  <c r="C7" i="82"/>
  <c r="C8" i="63"/>
  <c r="I400" i="48"/>
  <c r="I401" i="48" s="1"/>
  <c r="I402" i="48" s="1"/>
  <c r="I414" i="48" s="1"/>
  <c r="I415" i="48" s="1"/>
  <c r="K415" i="48" s="1"/>
  <c r="K64" i="63"/>
  <c r="Q64" i="63" s="1"/>
  <c r="L61" i="63"/>
  <c r="I12" i="66"/>
  <c r="K12" i="66" s="1"/>
  <c r="H13" i="66" s="1"/>
  <c r="D42" i="46"/>
  <c r="D15" i="99" l="1"/>
  <c r="U17" i="2"/>
  <c r="B45" i="76"/>
  <c r="E43" i="76"/>
  <c r="H43" i="99"/>
  <c r="K223" i="48"/>
  <c r="K225" i="48" s="1"/>
  <c r="N224" i="48"/>
  <c r="J49" i="99" s="1"/>
  <c r="L224" i="48"/>
  <c r="K263" i="48"/>
  <c r="O62" i="63"/>
  <c r="C32" i="82"/>
  <c r="C35" i="82"/>
  <c r="C59" i="63"/>
  <c r="C62" i="63"/>
  <c r="C11" i="82"/>
  <c r="C39" i="82"/>
  <c r="C16" i="63"/>
  <c r="N61" i="63"/>
  <c r="L64" i="63"/>
  <c r="I13" i="66"/>
  <c r="K13" i="66" s="1"/>
  <c r="H14" i="66" s="1"/>
  <c r="D49" i="46"/>
  <c r="L37" i="1" l="1"/>
  <c r="C19" i="63"/>
  <c r="C12" i="63"/>
  <c r="C13" i="63"/>
  <c r="C8" i="82"/>
  <c r="O61" i="63"/>
  <c r="I14" i="66"/>
  <c r="K14" i="66" s="1"/>
  <c r="H15" i="66" s="1"/>
  <c r="C48" i="99" l="1"/>
  <c r="I15" i="66"/>
  <c r="K15" i="66" s="1"/>
  <c r="H16" i="66" s="1"/>
  <c r="H47" i="99" l="1"/>
  <c r="C116" i="46"/>
  <c r="I16" i="66"/>
  <c r="K16" i="66" s="1"/>
  <c r="H17" i="66" s="1"/>
  <c r="H48" i="99" l="1"/>
  <c r="C17" i="63"/>
  <c r="C10" i="82"/>
  <c r="C15" i="63"/>
  <c r="C14" i="63"/>
  <c r="C9" i="82"/>
  <c r="I17" i="66"/>
  <c r="K17" i="66" s="1"/>
  <c r="H18" i="66" s="1"/>
  <c r="C60" i="63" l="1"/>
  <c r="C33" i="82"/>
  <c r="C52" i="63"/>
  <c r="C21" i="82"/>
  <c r="C46" i="63"/>
  <c r="C24" i="82"/>
  <c r="D70" i="46"/>
  <c r="I18" i="66"/>
  <c r="K18" i="66" s="1"/>
  <c r="H19" i="66" s="1"/>
  <c r="C43" i="63" l="1"/>
  <c r="C41" i="63"/>
  <c r="C42" i="63"/>
  <c r="C25" i="82"/>
  <c r="C22" i="82"/>
  <c r="C38" i="82"/>
  <c r="C47" i="63"/>
  <c r="C51" i="63"/>
  <c r="C48" i="63"/>
  <c r="C37" i="82"/>
  <c r="C38" i="63"/>
  <c r="C50" i="63"/>
  <c r="C19" i="82"/>
  <c r="C23" i="82"/>
  <c r="C44" i="63"/>
  <c r="C20" i="82"/>
  <c r="C68" i="63"/>
  <c r="C45" i="63"/>
  <c r="C49" i="63"/>
  <c r="C53" i="63"/>
  <c r="C69" i="63"/>
  <c r="D80" i="46"/>
  <c r="D94" i="46" s="1"/>
  <c r="D87" i="46" s="1"/>
  <c r="D88" i="46" s="1"/>
  <c r="I19" i="66"/>
  <c r="K19" i="66" s="1"/>
  <c r="H20" i="66" s="1"/>
  <c r="D89" i="46" l="1"/>
  <c r="D90" i="46" s="1"/>
  <c r="I20" i="66"/>
  <c r="K20" i="66" s="1"/>
  <c r="H21" i="66" s="1"/>
  <c r="D98" i="46" l="1"/>
  <c r="I21" i="66"/>
  <c r="K21" i="66" s="1"/>
  <c r="H22" i="66" s="1"/>
  <c r="I22" i="66" l="1"/>
  <c r="K22" i="66" s="1"/>
  <c r="H23" i="66" s="1"/>
  <c r="I23" i="66" l="1"/>
  <c r="K23" i="66" s="1"/>
  <c r="H24" i="66" s="1"/>
  <c r="I24" i="66" l="1"/>
  <c r="K24" i="66" s="1"/>
  <c r="D99" i="46" l="1"/>
  <c r="A105" i="86" l="1"/>
  <c r="A4" i="86"/>
  <c r="J2" i="82" l="1"/>
  <c r="L2" i="82" l="1"/>
  <c r="K2" i="82"/>
  <c r="I257" i="48" l="1"/>
  <c r="I263" i="48" s="1"/>
  <c r="E43" i="1"/>
  <c r="I227" i="48"/>
  <c r="F37" i="1" s="1"/>
  <c r="H36" i="86" s="1"/>
  <c r="N2" i="82"/>
  <c r="F9" i="92" l="1"/>
  <c r="F11" i="92" s="1"/>
  <c r="D33" i="73"/>
  <c r="C33" i="74"/>
  <c r="H43" i="1"/>
  <c r="C94" i="99" s="1"/>
  <c r="C100" i="99" s="1"/>
  <c r="D45" i="73"/>
  <c r="F110" i="86"/>
  <c r="E112" i="86"/>
  <c r="F36" i="86"/>
  <c r="F37" i="86" s="1"/>
  <c r="H37" i="86"/>
  <c r="F43" i="1"/>
  <c r="F68" i="99" s="1"/>
  <c r="F38" i="1"/>
  <c r="I82" i="86" s="1"/>
  <c r="E30" i="76"/>
  <c r="E31" i="76" s="1"/>
  <c r="G31" i="76" s="1"/>
  <c r="B33" i="76"/>
  <c r="B36" i="76" s="1"/>
  <c r="F73" i="99" l="1"/>
  <c r="B41" i="76"/>
  <c r="B50" i="76" s="1"/>
  <c r="E33" i="73"/>
  <c r="E36" i="73" s="1"/>
  <c r="D87" i="73"/>
  <c r="D88" i="73" s="1"/>
  <c r="D36" i="73"/>
  <c r="C89" i="99"/>
  <c r="C110" i="46"/>
  <c r="D56" i="73"/>
  <c r="B99" i="73" s="1"/>
  <c r="F112" i="86"/>
  <c r="E45" i="73"/>
  <c r="E47" i="73" s="1"/>
  <c r="H42" i="86"/>
  <c r="H44" i="86" s="1"/>
  <c r="H54" i="86" s="1"/>
  <c r="H55" i="86" s="1"/>
  <c r="F10" i="74"/>
  <c r="D47" i="74"/>
  <c r="F15" i="74" s="1"/>
  <c r="F14" i="74"/>
  <c r="F46" i="1"/>
  <c r="F60" i="1" s="1"/>
  <c r="F61" i="1" s="1"/>
  <c r="D47" i="73"/>
  <c r="E33" i="76"/>
  <c r="C79" i="99" l="1"/>
  <c r="J43" i="99"/>
  <c r="C51" i="99"/>
  <c r="J51" i="99" s="1"/>
  <c r="C120" i="46"/>
  <c r="C111" i="46"/>
  <c r="C114" i="46"/>
  <c r="C118" i="46"/>
  <c r="E56" i="73"/>
  <c r="E58" i="73" s="1"/>
  <c r="J58" i="73" s="1"/>
  <c r="F42" i="86"/>
  <c r="F44" i="86" s="1"/>
  <c r="F54" i="86" s="1"/>
  <c r="F55" i="86" s="1"/>
  <c r="D58" i="73"/>
  <c r="B94" i="73"/>
  <c r="F79" i="99" l="1"/>
  <c r="C82" i="99"/>
  <c r="C117" i="46"/>
  <c r="C94" i="73"/>
  <c r="D94" i="73"/>
  <c r="B100" i="73"/>
  <c r="G82" i="99" l="1"/>
  <c r="F104" i="99"/>
  <c r="C100" i="73"/>
  <c r="D100" i="73"/>
  <c r="C119" i="46" l="1"/>
  <c r="C121" i="46" l="1"/>
  <c r="F26" i="88"/>
  <c r="F62" i="88" s="1"/>
  <c r="G26" i="88" l="1"/>
  <c r="K126" i="48" l="1"/>
  <c r="K131" i="48" s="1"/>
  <c r="K116" i="48" s="1"/>
  <c r="H448" i="48"/>
  <c r="H449" i="48"/>
  <c r="H450" i="48" l="1"/>
  <c r="J450" i="48" s="1"/>
  <c r="G57" i="49" l="1"/>
  <c r="G58" i="49" s="1"/>
  <c r="D9" i="2" l="1"/>
  <c r="D10" i="2" l="1"/>
  <c r="G12" i="2" l="1"/>
  <c r="T18" i="2"/>
  <c r="T19" i="2"/>
  <c r="T17" i="2"/>
  <c r="G25" i="48"/>
  <c r="E73" i="49"/>
  <c r="E74" i="49" s="1"/>
  <c r="J73" i="48"/>
  <c r="J76" i="48" s="1"/>
  <c r="H76" i="48"/>
  <c r="E22" i="1" s="1"/>
  <c r="C20" i="49"/>
  <c r="N13" i="49"/>
  <c r="N31" i="49"/>
  <c r="N10" i="49"/>
  <c r="N32" i="49"/>
  <c r="N72" i="49"/>
  <c r="E57" i="49"/>
  <c r="E58" i="49" s="1"/>
  <c r="E61" i="49"/>
  <c r="E62" i="49" s="1"/>
  <c r="H22" i="1" l="1"/>
  <c r="C20" i="99" s="1"/>
  <c r="E30" i="1"/>
  <c r="E64" i="49"/>
  <c r="L24" i="48"/>
  <c r="H25" i="48"/>
  <c r="N28" i="49"/>
  <c r="O64" i="49"/>
  <c r="N29" i="49"/>
  <c r="N15" i="49"/>
  <c r="J20" i="99" l="1"/>
  <c r="C38" i="74"/>
  <c r="C40" i="74" s="1"/>
  <c r="J42" i="73"/>
  <c r="E8" i="74"/>
  <c r="E31" i="1"/>
  <c r="C26" i="74" s="1"/>
  <c r="C28" i="74" s="1"/>
  <c r="D15" i="1"/>
  <c r="P30" i="48" a="1"/>
  <c r="Q64" i="49"/>
  <c r="H15" i="1" l="1"/>
  <c r="C21" i="99" s="1"/>
  <c r="J21" i="99" s="1"/>
  <c r="J15" i="1"/>
  <c r="D13" i="73"/>
  <c r="D16" i="73" s="1"/>
  <c r="C29" i="74"/>
  <c r="E21" i="74"/>
  <c r="N64" i="49"/>
  <c r="G21" i="48"/>
  <c r="D14" i="1" s="1"/>
  <c r="J14" i="1" s="1"/>
  <c r="P20" i="48" a="1"/>
  <c r="P44" i="49"/>
  <c r="N49" i="49"/>
  <c r="C51" i="49"/>
  <c r="D13" i="2" s="1"/>
  <c r="T13" i="2" l="1"/>
  <c r="S11" i="49"/>
  <c r="S12" i="49" s="1"/>
  <c r="E13" i="73"/>
  <c r="E16" i="73" s="1"/>
  <c r="H14" i="1"/>
  <c r="R11" i="2" l="1"/>
  <c r="R9" i="2" s="1"/>
  <c r="G17" i="2"/>
  <c r="G18" i="2" s="1"/>
  <c r="C112" i="46" s="1"/>
  <c r="E14" i="98"/>
  <c r="E15" i="98" s="1"/>
  <c r="F59" i="87"/>
  <c r="J2" i="63"/>
  <c r="K66" i="63"/>
  <c r="K2" i="63" s="1"/>
  <c r="L65" i="63"/>
  <c r="Q65" i="63"/>
  <c r="C52" i="88" s="1"/>
  <c r="G52" i="88" l="1"/>
  <c r="J52" i="88"/>
  <c r="J62" i="88" s="1"/>
  <c r="N65" i="63"/>
  <c r="Q66" i="63"/>
  <c r="C53" i="88" s="1"/>
  <c r="L66" i="63"/>
  <c r="N2" i="63" l="1"/>
  <c r="L2" i="63"/>
  <c r="O65" i="63"/>
  <c r="O2" i="63" s="1"/>
  <c r="J53" i="88"/>
  <c r="C65" i="88"/>
  <c r="G53" i="88"/>
  <c r="G62" i="88" s="1"/>
  <c r="C62" i="88"/>
  <c r="D35" i="76" l="1"/>
  <c r="D36" i="76" s="1"/>
  <c r="E34" i="76" l="1"/>
  <c r="E35" i="76" s="1"/>
  <c r="E36" i="76" s="1"/>
  <c r="G396" i="48" l="1"/>
  <c r="G397" i="48" l="1"/>
  <c r="K4" i="89"/>
  <c r="G59" i="48"/>
  <c r="H17" i="1" l="1"/>
  <c r="H57" i="1"/>
  <c r="J26" i="99" l="1"/>
  <c r="L369" i="48" l="1"/>
  <c r="F370" i="48" l="1"/>
  <c r="J4" i="89"/>
  <c r="F356" i="48" l="1"/>
  <c r="F357" i="48" l="1"/>
  <c r="E370" i="48" l="1"/>
  <c r="E355" i="48" l="1"/>
  <c r="E357" i="48" s="1"/>
  <c r="H370" i="48"/>
  <c r="H2" i="89"/>
  <c r="H355" i="48" l="1"/>
  <c r="H377" i="48"/>
  <c r="F376" i="48"/>
  <c r="F377" i="48" s="1"/>
  <c r="E364" i="48"/>
  <c r="H325" i="48" l="1"/>
  <c r="E337" i="48"/>
  <c r="F342" i="48"/>
  <c r="H357" i="48"/>
  <c r="G327" i="48"/>
  <c r="E366" i="48"/>
  <c r="E371" i="48" s="1"/>
  <c r="F366" i="48"/>
  <c r="F371" i="48" s="1"/>
  <c r="E339" i="48" l="1"/>
  <c r="F337" i="48"/>
  <c r="E343" i="48"/>
  <c r="F343" i="48"/>
  <c r="H327" i="48"/>
  <c r="H379" i="48" s="1"/>
  <c r="H401" i="48"/>
  <c r="H402" i="48" s="1"/>
  <c r="H364" i="48"/>
  <c r="E350" i="48" s="1"/>
  <c r="E344" i="48" l="1"/>
  <c r="G411" i="48" s="1"/>
  <c r="H380" i="48"/>
  <c r="H381" i="48" s="1"/>
  <c r="F379" i="48"/>
  <c r="F380" i="48" s="1"/>
  <c r="F381" i="48" s="1"/>
  <c r="H322" i="48"/>
  <c r="H328" i="48" s="1"/>
  <c r="H366" i="48"/>
  <c r="H371" i="48" s="1"/>
  <c r="F350" i="48" l="1"/>
  <c r="F353" i="48" s="1"/>
  <c r="F358" i="48" s="1"/>
  <c r="E353" i="48"/>
  <c r="E358" i="48" s="1"/>
  <c r="E359" i="48" s="1"/>
  <c r="F359" i="48" s="1"/>
  <c r="E46" i="1"/>
  <c r="E60" i="1" s="1"/>
  <c r="C47" i="74"/>
  <c r="C34" i="74"/>
  <c r="E25" i="2" l="1"/>
  <c r="H358" i="48"/>
  <c r="J47" i="73"/>
  <c r="D46" i="1" l="1"/>
  <c r="J46" i="1" s="1"/>
  <c r="H18" i="1" l="1"/>
  <c r="C22" i="99" s="1"/>
  <c r="J22" i="99" s="1"/>
  <c r="G44" i="49" l="1"/>
  <c r="D42" i="49"/>
  <c r="G42" i="49" s="1"/>
  <c r="V73" i="49" l="1"/>
  <c r="V74" i="49" s="1"/>
  <c r="C74" i="49"/>
  <c r="D16" i="2" l="1"/>
  <c r="T16" i="2" l="1"/>
  <c r="D20" i="2"/>
  <c r="D21" i="2" s="1"/>
  <c r="R17" i="2" l="1"/>
  <c r="S17" i="2" s="1"/>
  <c r="R23" i="2"/>
  <c r="T21" i="2"/>
  <c r="G21" i="2"/>
  <c r="F11" i="87"/>
  <c r="F33" i="87" s="1"/>
  <c r="C7" i="99"/>
  <c r="G406" i="48"/>
  <c r="G407" i="48" s="1"/>
  <c r="K407" i="48" s="1"/>
  <c r="F11" i="115"/>
  <c r="F34" i="115" s="1"/>
  <c r="S19" i="2"/>
  <c r="E60" i="87" l="1"/>
  <c r="F52" i="87"/>
  <c r="G53" i="87" s="1"/>
  <c r="C16" i="99"/>
  <c r="J16" i="99" s="1"/>
  <c r="J7" i="99"/>
  <c r="F43" i="115"/>
  <c r="E51" i="115"/>
  <c r="F51" i="115" s="1"/>
  <c r="H43" i="115" l="1"/>
  <c r="E50" i="115"/>
  <c r="F50" i="115" s="1"/>
  <c r="F53" i="115" s="1"/>
  <c r="F54" i="115" s="1"/>
  <c r="F55" i="115" s="1"/>
  <c r="F56" i="115" s="1"/>
  <c r="F62" i="115" s="1"/>
  <c r="F70" i="115" s="1"/>
  <c r="H58" i="87"/>
  <c r="F60" i="87"/>
  <c r="G61" i="87"/>
  <c r="G60" i="87"/>
  <c r="G59" i="87" l="1"/>
  <c r="F62" i="87"/>
  <c r="F63" i="87" s="1"/>
  <c r="F64" i="87" s="1"/>
  <c r="F65" i="87" s="1"/>
  <c r="G62" i="87"/>
  <c r="E69" i="87" l="1"/>
  <c r="I64" i="87"/>
  <c r="K64" i="87" s="1"/>
  <c r="I65" i="87"/>
  <c r="K65" i="87" s="1"/>
  <c r="I66" i="87"/>
  <c r="K66" i="87" s="1"/>
  <c r="I67" i="87"/>
  <c r="K67" i="87" s="1"/>
  <c r="G54" i="87"/>
  <c r="C47" i="49"/>
  <c r="G49" i="49"/>
  <c r="D47" i="49"/>
  <c r="G47" i="49" s="1"/>
  <c r="D51" i="49"/>
  <c r="K68" i="87" l="1"/>
  <c r="E70" i="87" s="1"/>
  <c r="F70" i="87" s="1"/>
  <c r="F71" i="87" s="1"/>
  <c r="F78" i="87" s="1"/>
  <c r="T11" i="49"/>
  <c r="T12" i="49" s="1"/>
  <c r="E13" i="2"/>
  <c r="H13" i="2" s="1"/>
  <c r="E21" i="2" l="1"/>
  <c r="D7" i="99" s="1"/>
  <c r="D16" i="99" s="1"/>
  <c r="D27" i="99" s="1"/>
  <c r="D29" i="99" s="1"/>
  <c r="D53" i="99" s="1"/>
  <c r="D55" i="99" s="1"/>
  <c r="G59" i="99" s="1"/>
  <c r="U13" i="2"/>
  <c r="S11" i="2"/>
  <c r="S9" i="2" s="1"/>
  <c r="S23" i="2" l="1"/>
  <c r="H406" i="48"/>
  <c r="H407" i="48" s="1"/>
  <c r="H415" i="48" s="1"/>
  <c r="J415" i="48" s="1"/>
  <c r="I21" i="2"/>
  <c r="K21" i="2" s="1"/>
  <c r="E26" i="2"/>
  <c r="D118" i="49" l="1"/>
  <c r="D120" i="49" s="1"/>
  <c r="E37" i="2" s="1"/>
  <c r="E34" i="2"/>
  <c r="E13" i="74"/>
  <c r="H243" i="48"/>
  <c r="D42" i="76"/>
  <c r="E11" i="74"/>
  <c r="P10" i="100" l="1"/>
  <c r="R10" i="100" s="1"/>
  <c r="P10" i="89"/>
  <c r="R10" i="89" s="1"/>
  <c r="H246" i="48"/>
  <c r="D45" i="76"/>
  <c r="D53" i="76" s="1"/>
  <c r="E42" i="76"/>
  <c r="E45" i="76" s="1"/>
  <c r="E53" i="76" s="1"/>
  <c r="H226" i="48" l="1"/>
  <c r="H227" i="48" s="1"/>
  <c r="G240" i="48"/>
  <c r="E37" i="1" l="1"/>
  <c r="J41" i="76"/>
  <c r="E38" i="1" l="1"/>
  <c r="G36" i="76"/>
  <c r="C115" i="46" s="1"/>
  <c r="F12" i="92" l="1"/>
  <c r="F13" i="92" s="1"/>
  <c r="F113" i="86"/>
  <c r="F114" i="86" s="1"/>
  <c r="C32" i="74"/>
  <c r="E61" i="1"/>
  <c r="E10" i="74"/>
  <c r="R61" i="1" l="1"/>
  <c r="K61" i="1"/>
  <c r="C92" i="99" l="1"/>
  <c r="C102" i="99" s="1"/>
  <c r="C103" i="99" s="1"/>
  <c r="J32" i="99"/>
  <c r="G469" i="48"/>
  <c r="D55" i="1" s="1"/>
  <c r="H55" i="1" l="1"/>
  <c r="J55" i="1"/>
  <c r="F92" i="99"/>
  <c r="D20" i="73"/>
  <c r="C40" i="99"/>
  <c r="J40" i="99" s="1"/>
  <c r="D59" i="1"/>
  <c r="J59" i="1" l="1"/>
  <c r="C25" i="99"/>
  <c r="C27" i="99" s="1"/>
  <c r="E20" i="73"/>
  <c r="D22" i="73"/>
  <c r="D60" i="1"/>
  <c r="D8" i="74"/>
  <c r="G8" i="74" s="1"/>
  <c r="B27" i="74"/>
  <c r="B39" i="74"/>
  <c r="B40" i="74" s="1"/>
  <c r="J60" i="1" l="1"/>
  <c r="D79" i="73"/>
  <c r="F79" i="73" s="1"/>
  <c r="E22" i="73"/>
  <c r="F81" i="73" l="1"/>
  <c r="E79" i="73"/>
  <c r="E81" i="73" s="1"/>
  <c r="D81" i="73"/>
  <c r="J27" i="99" l="1"/>
  <c r="B4" i="114" l="1"/>
  <c r="B6" i="114" s="1"/>
  <c r="B7" i="114" s="1"/>
  <c r="B13" i="114" l="1"/>
  <c r="E31" i="114" s="1"/>
  <c r="C7" i="114"/>
  <c r="H334" i="48" s="1"/>
  <c r="F334" i="48" l="1"/>
  <c r="F339" i="48" s="1"/>
  <c r="F344" i="48" s="1"/>
  <c r="F345" i="48" s="1"/>
  <c r="G297" i="100" s="1"/>
  <c r="H339" i="48"/>
  <c r="H344" i="48" s="1"/>
  <c r="H345" i="48" s="1"/>
  <c r="G318" i="48"/>
  <c r="G322" i="48" s="1"/>
  <c r="G328" i="48" s="1"/>
  <c r="H298" i="100" l="1"/>
  <c r="I298" i="100" s="1"/>
  <c r="D24" i="2" s="1"/>
  <c r="I297" i="100"/>
  <c r="I4" i="100" s="1"/>
  <c r="D16" i="1"/>
  <c r="H16" i="1" s="1"/>
  <c r="G329" i="48"/>
  <c r="D25" i="2" l="1"/>
  <c r="G400" i="48"/>
  <c r="G401" i="48" s="1"/>
  <c r="G402" i="48" s="1"/>
  <c r="G414" i="48" s="1"/>
  <c r="G415" i="48" s="1"/>
  <c r="I1" i="100"/>
  <c r="I2" i="100"/>
  <c r="AC4" i="100"/>
  <c r="J16" i="1"/>
  <c r="B34" i="74"/>
  <c r="D19" i="1"/>
  <c r="B47" i="74"/>
  <c r="C28" i="99" l="1"/>
  <c r="D26" i="2"/>
  <c r="E15" i="74"/>
  <c r="J19" i="1"/>
  <c r="D31" i="1"/>
  <c r="K56" i="1" s="1"/>
  <c r="D34" i="2" l="1"/>
  <c r="G243" i="48"/>
  <c r="G246" i="48" s="1"/>
  <c r="S26" i="2"/>
  <c r="D11" i="74"/>
  <c r="G11" i="74" s="1"/>
  <c r="D54" i="76"/>
  <c r="R22" i="2"/>
  <c r="T22" i="2" s="1"/>
  <c r="C118" i="49"/>
  <c r="C120" i="49" s="1"/>
  <c r="D37" i="2" s="1"/>
  <c r="D15" i="74"/>
  <c r="G15" i="74" s="1"/>
  <c r="D13" i="74"/>
  <c r="G13" i="74" s="1"/>
  <c r="C29" i="99"/>
  <c r="H28" i="99"/>
  <c r="J28" i="99"/>
  <c r="R31" i="1"/>
  <c r="S31" i="1" s="1"/>
  <c r="T31" i="1" s="1"/>
  <c r="B26" i="74"/>
  <c r="B28" i="74" s="1"/>
  <c r="J31" i="1"/>
  <c r="J38" i="101" l="1"/>
  <c r="K38" i="101" s="1"/>
  <c r="G226" i="48"/>
  <c r="O246" i="48"/>
  <c r="D57" i="76"/>
  <c r="D64" i="76" s="1"/>
  <c r="E54" i="76"/>
  <c r="E57" i="76" s="1"/>
  <c r="E64" i="76" s="1"/>
  <c r="J64" i="76" s="1"/>
  <c r="C53" i="99"/>
  <c r="J29" i="99"/>
  <c r="B29" i="74"/>
  <c r="D21" i="74"/>
  <c r="G21" i="74" s="1"/>
  <c r="N226" i="48" l="1"/>
  <c r="O226" i="48"/>
  <c r="N39" i="1" s="1"/>
  <c r="L226" i="48"/>
  <c r="G227" i="48"/>
  <c r="C55" i="99"/>
  <c r="J53" i="99"/>
  <c r="L39" i="1" l="1"/>
  <c r="L40" i="1" s="1"/>
  <c r="L227" i="48"/>
  <c r="D37" i="1"/>
  <c r="J53" i="76"/>
  <c r="J55" i="99"/>
  <c r="F59" i="99"/>
  <c r="H37" i="1" l="1"/>
  <c r="R37" i="1"/>
  <c r="D38" i="1"/>
  <c r="J37" i="1"/>
  <c r="D14" i="74" l="1"/>
  <c r="G14" i="74" s="1"/>
  <c r="E12" i="92"/>
  <c r="E13" i="92" s="1"/>
  <c r="B32" i="74"/>
  <c r="J38" i="1"/>
  <c r="H38" i="1"/>
  <c r="H59" i="1" s="1"/>
  <c r="G38" i="1"/>
  <c r="D61" i="1"/>
  <c r="E113" i="86"/>
  <c r="E114" i="86" s="1"/>
  <c r="D10" i="74"/>
  <c r="G10" i="74" s="1"/>
  <c r="G61" i="1" l="1"/>
  <c r="G2" i="89" s="1"/>
  <c r="H61" i="1"/>
  <c r="H6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tc={F3D0C18B-D8C7-4864-B145-ABF18EE9B595}</author>
  </authors>
  <commentList>
    <comment ref="J102" authorId="0" shapeId="0" xr:uid="{F3D0C18B-D8C7-4864-B145-ABF18EE9B595}">
      <text>
        <t>[Threaded comment]
Your version of Excel allows you to read this threaded comment; however, any edits to it will get removed if the file is opened in a newer version of Excel. Learn more: https://go.microsoft.com/fwlink/?linkid=870924
Comment:
    Investment in JSW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Krishna Murthy Raju R</author>
  </authors>
  <commentList>
    <comment ref="D46" authorId="0" shapeId="0" xr:uid="{6018A156-DDD8-4D62-844C-4EC30FFA60AE}">
      <text>
        <r>
          <rPr>
            <b/>
            <sz val="9"/>
            <color indexed="81"/>
            <rFont val="Tahoma"/>
            <family val="2"/>
          </rPr>
          <t>Krishna Murthy Raju R:</t>
        </r>
        <r>
          <rPr>
            <sz val="9"/>
            <color indexed="81"/>
            <rFont val="Tahoma"/>
            <family val="2"/>
          </rPr>
          <t xml:space="preserve">
Taken from ICD interest workings file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Krishna Murthy Raju R</author>
  </authors>
  <commentList>
    <comment ref="D38" authorId="0" shapeId="0" xr:uid="{E15A363D-6E41-4ED7-916A-18CC8B069D4A}">
      <text>
        <r>
          <rPr>
            <b/>
            <sz val="9"/>
            <color indexed="81"/>
            <rFont val="Tahoma"/>
            <family val="2"/>
          </rPr>
          <t>Krishna Murthy Raju R:</t>
        </r>
        <r>
          <rPr>
            <sz val="9"/>
            <color indexed="81"/>
            <rFont val="Tahoma"/>
            <family val="2"/>
          </rPr>
          <t xml:space="preserve">
Taken from Intimation U/s. 143(1)</t>
        </r>
      </text>
    </comment>
    <comment ref="C66" authorId="0" shapeId="0" xr:uid="{D2E43B0D-4A3E-4A05-B907-2E62A312FB73}">
      <text>
        <r>
          <rPr>
            <b/>
            <sz val="9"/>
            <color indexed="81"/>
            <rFont val="Tahoma"/>
            <family val="2"/>
          </rPr>
          <t>Krishna Murthy Raju R:</t>
        </r>
        <r>
          <rPr>
            <sz val="9"/>
            <color indexed="81"/>
            <rFont val="Tahoma"/>
            <family val="2"/>
          </rPr>
          <t xml:space="preserve">
As on 27/05/2025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Rahul Shah</author>
  </authors>
  <commentList>
    <comment ref="C24" authorId="0" shapeId="0" xr:uid="{916CDB73-12F8-4BC6-9238-B9AF412B8532}">
      <text>
        <r>
          <rPr>
            <b/>
            <sz val="9"/>
            <color indexed="81"/>
            <rFont val="Tahoma"/>
            <family val="2"/>
          </rPr>
          <t>Rahul Shah:</t>
        </r>
        <r>
          <rPr>
            <sz val="9"/>
            <color indexed="81"/>
            <rFont val="Tahoma"/>
            <family val="2"/>
          </rPr>
          <t xml:space="preserve">
Reversal of PY</t>
        </r>
      </text>
    </comment>
    <comment ref="C25" authorId="0" shapeId="0" xr:uid="{8B299425-D562-4C33-8776-80E3D640B625}">
      <text>
        <r>
          <rPr>
            <b/>
            <sz val="9"/>
            <color indexed="81"/>
            <rFont val="Tahoma"/>
            <family val="2"/>
          </rPr>
          <t>Rahul Shah:</t>
        </r>
        <r>
          <rPr>
            <sz val="9"/>
            <color indexed="81"/>
            <rFont val="Tahoma"/>
            <family val="2"/>
          </rPr>
          <t xml:space="preserve">
Reversal of PY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Jagrati</author>
  </authors>
  <commentList>
    <comment ref="E91" authorId="0" shapeId="0" xr:uid="{4C8E5F38-2066-4644-AC5A-BC380EEE0EA3}">
      <text>
        <r>
          <rPr>
            <b/>
            <sz val="9"/>
            <color indexed="81"/>
            <rFont val="Tahoma"/>
            <family val="2"/>
          </rPr>
          <t>Jagrati:</t>
        </r>
        <r>
          <rPr>
            <sz val="9"/>
            <color indexed="81"/>
            <rFont val="Tahoma"/>
            <family val="2"/>
          </rPr>
          <t xml:space="preserve">
R/Off</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Krishna Murthy Raju R</author>
  </authors>
  <commentList>
    <comment ref="C75" authorId="0" shapeId="0" xr:uid="{B6946FC1-416E-4332-BC7D-4029057791DC}">
      <text>
        <r>
          <rPr>
            <b/>
            <sz val="9"/>
            <color indexed="81"/>
            <rFont val="Tahoma"/>
            <family val="2"/>
          </rPr>
          <t>Krishna Murthy Raju R:</t>
        </r>
        <r>
          <rPr>
            <sz val="9"/>
            <color indexed="81"/>
            <rFont val="Tahoma"/>
            <family val="2"/>
          </rPr>
          <t xml:space="preserve">
As on 27/05/2025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Rahul Shah</author>
    <author>Krishna Murthy Raju R</author>
  </authors>
  <commentList>
    <comment ref="E23" authorId="0" shapeId="0" xr:uid="{EE69F6C1-68A7-4209-B14E-B33CEDBECD4D}">
      <text>
        <r>
          <rPr>
            <b/>
            <sz val="9"/>
            <color indexed="81"/>
            <rFont val="Tahoma"/>
            <family val="2"/>
          </rPr>
          <t>Rahul Shah:</t>
        </r>
        <r>
          <rPr>
            <sz val="9"/>
            <color indexed="81"/>
            <rFont val="Tahoma"/>
            <family val="2"/>
          </rPr>
          <t xml:space="preserve">
Taken from FY2023-24 DT file</t>
        </r>
      </text>
    </comment>
    <comment ref="K23" authorId="1" shapeId="0" xr:uid="{11EEE2CF-3C6C-449E-AA35-C39C3ABA2ECD}">
      <text>
        <r>
          <rPr>
            <b/>
            <sz val="9"/>
            <color indexed="81"/>
            <rFont val="Tahoma"/>
            <family val="2"/>
          </rPr>
          <t>Krishna Murthy Raju R:</t>
        </r>
        <r>
          <rPr>
            <sz val="9"/>
            <color indexed="81"/>
            <rFont val="Tahoma"/>
            <family val="2"/>
          </rPr>
          <t xml:space="preserve">
DTL</t>
        </r>
      </text>
    </comment>
    <comment ref="I25" authorId="0" shapeId="0" xr:uid="{E4FED7A2-4574-47A0-80B4-A5019F193757}">
      <text>
        <r>
          <rPr>
            <b/>
            <sz val="9"/>
            <color indexed="81"/>
            <rFont val="Tahoma"/>
            <family val="2"/>
          </rPr>
          <t>Rahul Shah:</t>
        </r>
        <r>
          <rPr>
            <sz val="9"/>
            <color indexed="81"/>
            <rFont val="Tahoma"/>
            <family val="2"/>
          </rPr>
          <t xml:space="preserve">
Reversal of PY</t>
        </r>
      </text>
    </comment>
    <comment ref="I26" authorId="0" shapeId="0" xr:uid="{A9C9F0B8-2A44-476D-9B58-F02D7FA07BB1}">
      <text>
        <r>
          <rPr>
            <b/>
            <sz val="9"/>
            <color indexed="81"/>
            <rFont val="Tahoma"/>
            <family val="2"/>
          </rPr>
          <t>Rahul Shah:</t>
        </r>
        <r>
          <rPr>
            <sz val="9"/>
            <color indexed="81"/>
            <rFont val="Tahoma"/>
            <family val="2"/>
          </rPr>
          <t xml:space="preserve">
Reversal of PY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Bhavya Shah</author>
  </authors>
  <commentList>
    <comment ref="B17" authorId="0" shapeId="0" xr:uid="{A64DF3D9-78FA-4D00-8B99-3BDD948B4BF1}">
      <text>
        <r>
          <rPr>
            <b/>
            <sz val="9"/>
            <color indexed="81"/>
            <rFont val="Tahoma"/>
            <family val="2"/>
          </rPr>
          <t>Bhavya Shah:</t>
        </r>
        <r>
          <rPr>
            <sz val="9"/>
            <color indexed="81"/>
            <rFont val="Tahoma"/>
            <family val="2"/>
          </rPr>
          <t xml:space="preserve">
3M T-Bill + 4% as rate of Interest for preference share.
i.e. 3.27% + 4% = 7.27%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<sst xmlns="http://schemas.openxmlformats.org/spreadsheetml/2006/main" count="24351" uniqueCount="1771">
  <si>
    <t>Particulars</t>
  </si>
  <si>
    <t xml:space="preserve"> Note</t>
  </si>
  <si>
    <t xml:space="preserve">As at </t>
  </si>
  <si>
    <t>ASSETS</t>
  </si>
  <si>
    <t>Non Current Assets</t>
  </si>
  <si>
    <t>(a)</t>
  </si>
  <si>
    <t>Property, Plant and Equipment</t>
  </si>
  <si>
    <t>(b)</t>
  </si>
  <si>
    <t>(c)</t>
  </si>
  <si>
    <t>(d)</t>
  </si>
  <si>
    <t>Intangible Assets</t>
  </si>
  <si>
    <t>(e)</t>
  </si>
  <si>
    <t>(f)</t>
  </si>
  <si>
    <t>Financial Assets</t>
  </si>
  <si>
    <t>Other Non Current Assets</t>
  </si>
  <si>
    <t>Total Non Current Assets</t>
  </si>
  <si>
    <t>Current Assets</t>
  </si>
  <si>
    <t>Other Current Assets</t>
  </si>
  <si>
    <t>Total Current Assets</t>
  </si>
  <si>
    <t>Total Assets</t>
  </si>
  <si>
    <t>EQUITY AND LIABILITIES</t>
  </si>
  <si>
    <t>Equity</t>
  </si>
  <si>
    <t xml:space="preserve">(a) </t>
  </si>
  <si>
    <t xml:space="preserve">Equity Share Capital </t>
  </si>
  <si>
    <t>Other Equity</t>
  </si>
  <si>
    <t>Total Equity</t>
  </si>
  <si>
    <t>Liabilities</t>
  </si>
  <si>
    <t>Non Current Liabilities</t>
  </si>
  <si>
    <t>Financial Liabilities</t>
  </si>
  <si>
    <t>(i) Borrowings</t>
  </si>
  <si>
    <t>Provisions</t>
  </si>
  <si>
    <t>Deferred Tax Liabilities (Net)</t>
  </si>
  <si>
    <t>Total Non Current Liabilities</t>
  </si>
  <si>
    <t>Current Liabilities</t>
  </si>
  <si>
    <t xml:space="preserve">          -Dues of micro enterprises and small enterprises</t>
  </si>
  <si>
    <t xml:space="preserve">          -Dues of creditors other than micro enterprises and small enterprises </t>
  </si>
  <si>
    <t>Other Current Liabilities</t>
  </si>
  <si>
    <t>Total Current Liabilities</t>
  </si>
  <si>
    <t>Total Liabilities</t>
  </si>
  <si>
    <t>Total Equity and Liabilities</t>
  </si>
  <si>
    <t>Note</t>
  </si>
  <si>
    <t>Year Ended</t>
  </si>
  <si>
    <t>I</t>
  </si>
  <si>
    <t>Revenue from Operations</t>
  </si>
  <si>
    <t>II</t>
  </si>
  <si>
    <t>Other Income</t>
  </si>
  <si>
    <t>III</t>
  </si>
  <si>
    <t>Total Income (I+II)</t>
  </si>
  <si>
    <t>IV</t>
  </si>
  <si>
    <t>Expenses:</t>
  </si>
  <si>
    <t>Employee Benefits Expense</t>
  </si>
  <si>
    <t>Finance Costs</t>
  </si>
  <si>
    <t>Depreciation and Amortization Expenses</t>
  </si>
  <si>
    <t>Other Expenses</t>
  </si>
  <si>
    <t>Total Expense (IV)</t>
  </si>
  <si>
    <t>V</t>
  </si>
  <si>
    <t>Profit Before Tax (III-IV)</t>
  </si>
  <si>
    <t>VI</t>
  </si>
  <si>
    <t>Tax Expenses</t>
  </si>
  <si>
    <t>(a) Current Tax</t>
  </si>
  <si>
    <t>Total Tax Expenses</t>
  </si>
  <si>
    <t>VII</t>
  </si>
  <si>
    <t>Profit for the Year (V-VI)</t>
  </si>
  <si>
    <t>VIII</t>
  </si>
  <si>
    <t>Other Comprehensive Income</t>
  </si>
  <si>
    <t>Other Comprehensive Income for the Year</t>
  </si>
  <si>
    <t>Earnings Per Share (Face Value of ₹ 10 each)</t>
  </si>
  <si>
    <t>Total</t>
  </si>
  <si>
    <t>As at</t>
  </si>
  <si>
    <t>Current</t>
  </si>
  <si>
    <t>Retained Earnings</t>
  </si>
  <si>
    <t>Deferred Tax Assets</t>
  </si>
  <si>
    <t>Payment to Auditors</t>
  </si>
  <si>
    <t>Debit</t>
  </si>
  <si>
    <t>Credit</t>
  </si>
  <si>
    <t>Bank Charges</t>
  </si>
  <si>
    <t>Deferred Tax</t>
  </si>
  <si>
    <t>(b) Deferred Tax Expense/(Benefit)</t>
  </si>
  <si>
    <t>Deferred Tax Assets (Net)</t>
  </si>
  <si>
    <t>Ind AS</t>
  </si>
  <si>
    <t>Trade Receivables</t>
  </si>
  <si>
    <t>Loans</t>
  </si>
  <si>
    <t>Capital Management</t>
  </si>
  <si>
    <t>Borrowings</t>
  </si>
  <si>
    <t>Non-Current</t>
  </si>
  <si>
    <t>2020-21</t>
  </si>
  <si>
    <t>Significant Accounting Policies</t>
  </si>
  <si>
    <t>Property, Plant &amp; Equipment</t>
  </si>
  <si>
    <t>Leases</t>
  </si>
  <si>
    <t>2021-22</t>
  </si>
  <si>
    <t>2022-23</t>
  </si>
  <si>
    <t>March 31,2022</t>
  </si>
  <si>
    <t>Check</t>
  </si>
  <si>
    <t>Type</t>
  </si>
  <si>
    <t>Note Number</t>
  </si>
  <si>
    <t>Ind AS Head</t>
  </si>
  <si>
    <t>Ind AS Sub Head</t>
  </si>
  <si>
    <t>Expenses</t>
  </si>
  <si>
    <t>Rounding Off</t>
  </si>
  <si>
    <t>Date - CY</t>
  </si>
  <si>
    <t>Date - PY</t>
  </si>
  <si>
    <t>Corporate Information</t>
  </si>
  <si>
    <t>Financial Ratios</t>
  </si>
  <si>
    <t>Segment Reporting</t>
  </si>
  <si>
    <t>Employee Benefits</t>
  </si>
  <si>
    <t>Related party transactions</t>
  </si>
  <si>
    <t>Financial Instruments</t>
  </si>
  <si>
    <t>Ind AS 101 Note</t>
  </si>
  <si>
    <t>The accompanying notes are integral part of the Financial Statements.</t>
  </si>
  <si>
    <t xml:space="preserve">For and on behalf of Board of </t>
  </si>
  <si>
    <t>Chartered Accountants</t>
  </si>
  <si>
    <t>Partner</t>
  </si>
  <si>
    <t>Place: Ahmedabad</t>
  </si>
  <si>
    <t>As per our report of even date attached.</t>
  </si>
  <si>
    <t>- Dues of creditors other than micro enterprises and   small enterprises</t>
  </si>
  <si>
    <t>- Dues of micro enterprises and small enterprises</t>
  </si>
  <si>
    <t>Retained earnings</t>
  </si>
  <si>
    <t>Total (A)</t>
  </si>
  <si>
    <t>Total (B)</t>
  </si>
  <si>
    <t>CURRENT ASSETS : OTHERS</t>
  </si>
  <si>
    <t>CURRENT FINANCIAL ASSETS : CASH AND CASH EQUIVALENTS</t>
  </si>
  <si>
    <t>Balance with banks</t>
  </si>
  <si>
    <t>EQUITY SHARE CAPITAL</t>
  </si>
  <si>
    <t>OTHER EQUITY</t>
  </si>
  <si>
    <t>Opening Balance - Retained Earnings</t>
  </si>
  <si>
    <t>Closing balance - Retained Earnings</t>
  </si>
  <si>
    <t>Add:</t>
  </si>
  <si>
    <t>NON CURRENT FINANCIAL LIABILITIES : BORROWINGS</t>
  </si>
  <si>
    <t>CURRENT FINANCIAL LIABILITIES : BORROWINGS</t>
  </si>
  <si>
    <t>Other Payables</t>
  </si>
  <si>
    <t>CURRENT LIABILITIES : OTHERS</t>
  </si>
  <si>
    <t xml:space="preserve">Statutory liabilities </t>
  </si>
  <si>
    <t>CURRENT FINANCIAL LIABILITIES : TRADE PAYABLES</t>
  </si>
  <si>
    <t>Total outstanding dues of micro enterprises and small enterprises</t>
  </si>
  <si>
    <t>Total outstanding dues of creditors other than micro enterprises and small enterprises</t>
  </si>
  <si>
    <t>For the year ended</t>
  </si>
  <si>
    <t>FINANCE COSTS</t>
  </si>
  <si>
    <t>OTHER EXPENSES</t>
  </si>
  <si>
    <t>Rates &amp; Taxes</t>
  </si>
  <si>
    <t>31 March 2022</t>
  </si>
  <si>
    <t>IGAAP</t>
  </si>
  <si>
    <t>IGAAP HEAD</t>
  </si>
  <si>
    <t>IGAAP SUBHEAD</t>
  </si>
  <si>
    <t>Equity Share Capital</t>
  </si>
  <si>
    <t>Balances with Govt. Authorities</t>
  </si>
  <si>
    <t>Trial Balance as on 31 March 2022</t>
  </si>
  <si>
    <t>Other Interest Expenses</t>
  </si>
  <si>
    <t>GROSS BLOCK</t>
  </si>
  <si>
    <t>ACCUMULATED DEPRECIATION</t>
  </si>
  <si>
    <t xml:space="preserve"> NET BLOCK</t>
  </si>
  <si>
    <t>Deferred Tax Liabilities</t>
  </si>
  <si>
    <t>- From Bank (Secured Loan)</t>
  </si>
  <si>
    <t>Other financial assets</t>
  </si>
  <si>
    <t>Trade payables</t>
  </si>
  <si>
    <t>Assets</t>
  </si>
  <si>
    <t>Legal &amp; Professional Fees</t>
  </si>
  <si>
    <t>Deferred Tax Assets / (Liabilities) (Net) (A-B)</t>
  </si>
  <si>
    <t>Best Value Chem Private Limited</t>
  </si>
  <si>
    <t>Capital work-in-progress</t>
  </si>
  <si>
    <t>Inventories</t>
  </si>
  <si>
    <t>Cost of material consumed</t>
  </si>
  <si>
    <t xml:space="preserve">Changes in inventories of finished goods and work-in-progress </t>
  </si>
  <si>
    <t>Code No.</t>
  </si>
  <si>
    <t>Equity share capital</t>
  </si>
  <si>
    <t>Other equity</t>
  </si>
  <si>
    <t>- In current accounts</t>
  </si>
  <si>
    <t xml:space="preserve">Statutory dues payable </t>
  </si>
  <si>
    <t>Total outstanding dues of creditors other than micro and small enterprises</t>
  </si>
  <si>
    <t>Employee benefits payable</t>
  </si>
  <si>
    <t>Other financial liabilities</t>
  </si>
  <si>
    <t>Interest accrued but due on borrowings</t>
  </si>
  <si>
    <t>GST receivables</t>
  </si>
  <si>
    <t>Deferred tax liabilities (net)</t>
  </si>
  <si>
    <t>Property, plant and equipment</t>
  </si>
  <si>
    <t>Loans to employees</t>
  </si>
  <si>
    <t>Security deposits</t>
  </si>
  <si>
    <t>Interest accrued on GEB deposits</t>
  </si>
  <si>
    <t>Capital advances</t>
  </si>
  <si>
    <t>SHARE CAPITAL</t>
  </si>
  <si>
    <t>Cash and bank balances</t>
  </si>
  <si>
    <t>Other current liabilities</t>
  </si>
  <si>
    <t>TDS on Consulting Fees - 194-J</t>
  </si>
  <si>
    <t>Provision of Expenses</t>
  </si>
  <si>
    <t>Sundry Creditors - Local</t>
  </si>
  <si>
    <t>Short-term loans and advances</t>
  </si>
  <si>
    <t>FIXED ASSETS</t>
  </si>
  <si>
    <t>Property plant and equipment</t>
  </si>
  <si>
    <t>Land</t>
  </si>
  <si>
    <t>Land Development</t>
  </si>
  <si>
    <t>Capital Work In Progress</t>
  </si>
  <si>
    <t>Other current assets</t>
  </si>
  <si>
    <t>CGST Receivable</t>
  </si>
  <si>
    <t>IGST Receivable</t>
  </si>
  <si>
    <t>SGST Receivable</t>
  </si>
  <si>
    <t>Other expenses</t>
  </si>
  <si>
    <t>Rates and taxes</t>
  </si>
  <si>
    <t>Selling and distribution expenses</t>
  </si>
  <si>
    <t>Miscellaneous expenses</t>
  </si>
  <si>
    <t>Employee benefits expense</t>
  </si>
  <si>
    <t>Staff welfare expenses</t>
  </si>
  <si>
    <t>Membership and subscription</t>
  </si>
  <si>
    <t>Legal and professional fees</t>
  </si>
  <si>
    <t>Finance costs</t>
  </si>
  <si>
    <t>Bank charges</t>
  </si>
  <si>
    <t>Finance Cost</t>
  </si>
  <si>
    <t>Interest On TDS</t>
  </si>
  <si>
    <t>- Loan from Others</t>
  </si>
  <si>
    <t>Int. On Borrowing</t>
  </si>
  <si>
    <t>Processing charges</t>
  </si>
  <si>
    <t xml:space="preserve">      Processing &amp; Stamp Duty Expense</t>
  </si>
  <si>
    <t>Depreciation and amortisation</t>
  </si>
  <si>
    <t>Depreciation on property, plant and equipment</t>
  </si>
  <si>
    <t>Employee Compensation - ESOP</t>
  </si>
  <si>
    <t>- From Others (Unsecured Loan)</t>
  </si>
  <si>
    <t>Remark</t>
  </si>
  <si>
    <t>31 March 2021</t>
  </si>
  <si>
    <t>Director</t>
  </si>
  <si>
    <t>DIN: 01482035</t>
  </si>
  <si>
    <t>1 April 2021</t>
  </si>
  <si>
    <t>1 April 2022</t>
  </si>
  <si>
    <t>Manual Entries - IGAAP</t>
  </si>
  <si>
    <t>Authorised Share Capital</t>
  </si>
  <si>
    <t>Other Financial Assets</t>
  </si>
  <si>
    <t>Lease Liability</t>
  </si>
  <si>
    <t>Trade Payables</t>
  </si>
  <si>
    <t>Other Financial Liabilities</t>
  </si>
  <si>
    <t>NA</t>
  </si>
  <si>
    <t>Payable - Others</t>
  </si>
  <si>
    <t>PBT As per IND AS</t>
  </si>
  <si>
    <t>PBT As per IGAAP</t>
  </si>
  <si>
    <t>Difference</t>
  </si>
  <si>
    <t>Reco</t>
  </si>
  <si>
    <t>Pharma Related Expenses Provision</t>
  </si>
  <si>
    <t>Not considered in IND AS</t>
  </si>
  <si>
    <t>Not Considered in IGAAP</t>
  </si>
  <si>
    <t>Head</t>
  </si>
  <si>
    <t>To Deferred Tax Liability</t>
  </si>
  <si>
    <t>Ind AS adjustment entry</t>
  </si>
  <si>
    <t>Deemed equity investment in BVO Dr</t>
  </si>
  <si>
    <t>Investments in Preference Share Dr</t>
  </si>
  <si>
    <t>To Bank</t>
  </si>
  <si>
    <t>To Fair Value Gain</t>
  </si>
  <si>
    <t>Date</t>
  </si>
  <si>
    <t>Remarks</t>
  </si>
  <si>
    <t>Property, plant &amp; equipment</t>
  </si>
  <si>
    <t>Holder:</t>
  </si>
  <si>
    <t>Amount</t>
  </si>
  <si>
    <t>Discounted Value</t>
  </si>
  <si>
    <t>Opening Balance</t>
  </si>
  <si>
    <t>Interest @7%</t>
  </si>
  <si>
    <t>Cash Flows</t>
  </si>
  <si>
    <t>Closing Balance</t>
  </si>
  <si>
    <t>Journal Entries in the Books of BVC *</t>
  </si>
  <si>
    <t>Issuer:</t>
  </si>
  <si>
    <t>Instrument:</t>
  </si>
  <si>
    <t>Non-Cumulative Optionally Convertible Redeemable Preference Shares (OCRPS)</t>
  </si>
  <si>
    <t>Face Value INR:</t>
  </si>
  <si>
    <t>Day one Fair Valuation of Instrument</t>
  </si>
  <si>
    <t>Premium INR:</t>
  </si>
  <si>
    <t>Issue Price INR:</t>
  </si>
  <si>
    <t>Dividend Rate:</t>
  </si>
  <si>
    <t>Date of Allotment</t>
  </si>
  <si>
    <t>Date of Maturity / Conversion</t>
  </si>
  <si>
    <t>No. of preference shares:</t>
  </si>
  <si>
    <t>Issue Size INR:</t>
  </si>
  <si>
    <t>Conversion Option:</t>
  </si>
  <si>
    <t>At the option of Holder</t>
  </si>
  <si>
    <t>Conversion Ratio:</t>
  </si>
  <si>
    <t>1 Equity share for 1 Preference share</t>
  </si>
  <si>
    <t>Tenure:</t>
  </si>
  <si>
    <t>20 Years</t>
  </si>
  <si>
    <t>Redemption:</t>
  </si>
  <si>
    <t>If OCRPS are not converted into equity share, the same shall be redeemed at the end of 20 year from the date of allotment at a redemption premium of INR 2072 per share.</t>
  </si>
  <si>
    <t>Market Discount Rate (Assumed):</t>
  </si>
  <si>
    <t>Tax Rate (Subsidiary):</t>
  </si>
  <si>
    <t>To be passed based on fair valuation report</t>
  </si>
  <si>
    <t>* No deferred tax impact is considered applying initial recognition exemption.</t>
  </si>
  <si>
    <t xml:space="preserve">** Holder will require to obtain fair valuation report as on each reporting date and difference between two reporting dates will be recognised in the statement of profit and loss. </t>
  </si>
  <si>
    <t>Liability Component</t>
  </si>
  <si>
    <t>Equity Component</t>
  </si>
  <si>
    <t>Bank Dr</t>
  </si>
  <si>
    <t>To Equity component of Compound FI</t>
  </si>
  <si>
    <t>To Preference Share Capital - Liability</t>
  </si>
  <si>
    <t>Finance Costs Dr</t>
  </si>
  <si>
    <t>Deferred Tax Liability Dr</t>
  </si>
  <si>
    <t>To Deferred Tax Expenses</t>
  </si>
  <si>
    <t>BVC Specialities Private Limited</t>
  </si>
  <si>
    <t>Journal Entries in the Books of BVS</t>
  </si>
  <si>
    <t>SN</t>
  </si>
  <si>
    <t>Right of Use Assets</t>
  </si>
  <si>
    <t>(g)</t>
  </si>
  <si>
    <t>31 March 2023</t>
  </si>
  <si>
    <t>Other Statutory Information</t>
  </si>
  <si>
    <t>OTHER STATUTORY INFORMATION</t>
  </si>
  <si>
    <t>(i) The Company does not have any Benami property, where any proceeding has been initiated or pending against the Company for holding any Benami Property.</t>
  </si>
  <si>
    <t>(ii) Basis the information available with the Company as on the reporting date and as on the date on which financial statements are approved and authorised for issue, the Company does not have any transactions with the companies struck off. Further, the Company has not been declared as a wilful defaulter by any Bank / Financial Institution / any other lender.</t>
  </si>
  <si>
    <t xml:space="preserve">(iii) The Company does not have any charges or satisfaction which is yet to be registered with ROC beyond the statutory period. </t>
  </si>
  <si>
    <t>Revenue from contracts with customers</t>
  </si>
  <si>
    <t>Derivative Instrument</t>
  </si>
  <si>
    <t>RELATED PARTY DISCLOSURES</t>
  </si>
  <si>
    <t>Names of related parties and relationship</t>
  </si>
  <si>
    <t>Entity with control over the Company</t>
  </si>
  <si>
    <t>Name</t>
  </si>
  <si>
    <t>Description of Relationship</t>
  </si>
  <si>
    <t>(A)</t>
  </si>
  <si>
    <t>Azim Premji Trust</t>
  </si>
  <si>
    <t>Ultimate holding entity</t>
  </si>
  <si>
    <t>Holding company</t>
  </si>
  <si>
    <t>(B)</t>
  </si>
  <si>
    <t>Sr no.</t>
  </si>
  <si>
    <t>Name of related party</t>
  </si>
  <si>
    <t>Description of transaction</t>
  </si>
  <si>
    <t>Transactions during the year ended</t>
  </si>
  <si>
    <t>Outstanding balance</t>
  </si>
  <si>
    <t>Share based payments</t>
  </si>
  <si>
    <t>Contingent Liabilties</t>
  </si>
  <si>
    <t>Capital Commitments</t>
  </si>
  <si>
    <t>FINANCIAL INSTRUMENTS – FAIR VALUE AND RISK MEASUREMENTS</t>
  </si>
  <si>
    <t>A. Accounting classification and fair values</t>
  </si>
  <si>
    <t>Carrying amount</t>
  </si>
  <si>
    <t>Fair value</t>
  </si>
  <si>
    <t>FVTPL</t>
  </si>
  <si>
    <t>FVTOCI</t>
  </si>
  <si>
    <t>Amortised Cost #</t>
  </si>
  <si>
    <t>Level 1 - Quoted price in active markets</t>
  </si>
  <si>
    <t>Amortised Cost</t>
  </si>
  <si>
    <t>Financial assets</t>
  </si>
  <si>
    <t>Cash and Cash Equivalents</t>
  </si>
  <si>
    <t>Fair Value Hierarchy of Financial Assets and Liabilities:</t>
  </si>
  <si>
    <t>Credit Risk</t>
  </si>
  <si>
    <t>Not Due</t>
  </si>
  <si>
    <t>Outstanding for following periods from due date of payment</t>
  </si>
  <si>
    <t>1-2 years</t>
  </si>
  <si>
    <t>2-3 years</t>
  </si>
  <si>
    <t>More than 3 years</t>
  </si>
  <si>
    <t>Liquidity Risk</t>
  </si>
  <si>
    <t>Liquidity risk is the risk that the Company will not be able to meet its financial obligations as they become due. The Company manages its liquidity risk by ensuring, as far as possible, that it will always have sufficient liquidity to meet its liabilities when due. Also, the Company has unutilized credit limits with banks.</t>
  </si>
  <si>
    <t>Exposure to liquidity risk</t>
  </si>
  <si>
    <t>Contractual cash flows</t>
  </si>
  <si>
    <t>Less than 12 months</t>
  </si>
  <si>
    <t>2-5 years</t>
  </si>
  <si>
    <t>More than 5 years</t>
  </si>
  <si>
    <t>Foreign Currency Risk</t>
  </si>
  <si>
    <t>The ageing of trade payables was as follows:</t>
  </si>
  <si>
    <t>Unbilled</t>
  </si>
  <si>
    <t>Less than 1 Year</t>
  </si>
  <si>
    <t>(i) MSME</t>
  </si>
  <si>
    <t>(ii) Others</t>
  </si>
  <si>
    <t>Interest Rate Risk</t>
  </si>
  <si>
    <t>FINANCIAL RATIO</t>
  </si>
  <si>
    <t>Numerator</t>
  </si>
  <si>
    <t>Denominator</t>
  </si>
  <si>
    <t>% of variance</t>
  </si>
  <si>
    <t>Explanation for change in the ratio by more than 25%</t>
  </si>
  <si>
    <t>Liquidity Ratio</t>
  </si>
  <si>
    <t>Current Ratio (times)</t>
  </si>
  <si>
    <t>Solvency Ratio</t>
  </si>
  <si>
    <t>Debt-Equity Ratio  (times)</t>
  </si>
  <si>
    <t>Debt Service Coverage Ratio  (times)</t>
  </si>
  <si>
    <t>Profitability ratio</t>
  </si>
  <si>
    <t>Return on Equity Ratio (%)</t>
  </si>
  <si>
    <t>Net Profit Ratio (%)</t>
  </si>
  <si>
    <t>Total Revenue from Operations</t>
  </si>
  <si>
    <t>Return on Capital employed (%)</t>
  </si>
  <si>
    <t>Return on Investment  (%)</t>
  </si>
  <si>
    <t>Income generated from investments</t>
  </si>
  <si>
    <t>Weighted average invested funds</t>
  </si>
  <si>
    <t>Utilization Ratio</t>
  </si>
  <si>
    <t>Net capital turnover ratio (times)</t>
  </si>
  <si>
    <t>NOT APPLICABLE</t>
  </si>
  <si>
    <t>CAPITAL MANAGEMENT</t>
  </si>
  <si>
    <t>The Company's objectives when managing capital are to:
- safeguard their ability to continue as a going concern, so that they can continue to provide returns for shareholders and benefits for other stakeholders, and
- Maintain an optimal capital structure to reduce the cost of capital.
The Board of Directors seeks to maintain a balance between the higher returns that might be possible with higher levels of borrowings and the advantages and security afforded by a sound capital position.
The Company monitors capital using a ratio of ‘adjusted net debt’ to ‘adjusted equity’. For this purpose, adjusted net debt is defined as total liabilities, comprising interest-bearing loans, lease liabilities and borrowings, less cash and cash equivalents. Adjusted equity comprises all components of equity. The Company’s adjusted net debt to equity ratio is as follows:</t>
  </si>
  <si>
    <t>Interest bearing liabilities</t>
  </si>
  <si>
    <t>Less : Cash and cash equivalent</t>
  </si>
  <si>
    <t>Adjusted net debt</t>
  </si>
  <si>
    <t>Total equity</t>
  </si>
  <si>
    <t>Adjusted net debt to adjusted equity ratio</t>
  </si>
  <si>
    <t>Balance at the beginning of the reporting period</t>
  </si>
  <si>
    <t>Changes in equity share capital during the year</t>
  </si>
  <si>
    <t>Balance at the end of the reporting period</t>
  </si>
  <si>
    <t>Total Other Equity</t>
  </si>
  <si>
    <t>Total comprehensive income for the year</t>
  </si>
  <si>
    <t>Attributable to the equity shareholders</t>
  </si>
  <si>
    <t>Reserve and Surplus</t>
  </si>
  <si>
    <t>Nature and purpose of reserves:</t>
  </si>
  <si>
    <t>Disclosure as required by the Micro, Small and Medium Enterprises Development Act, 2006</t>
  </si>
  <si>
    <t>(i) Reconciliation of the number of equity shares outstanding at the beginning and at the end of the reporting period :</t>
  </si>
  <si>
    <t>Outstanding at the beginning of the year</t>
  </si>
  <si>
    <t>Add : Issued during the year</t>
  </si>
  <si>
    <t>Outstanding at the end of the year</t>
  </si>
  <si>
    <t>Nos.</t>
  </si>
  <si>
    <t>% Holding</t>
  </si>
  <si>
    <t>% Change</t>
  </si>
  <si>
    <t xml:space="preserve">Name of shareholders </t>
  </si>
  <si>
    <t>Recognised in profit or loss</t>
  </si>
  <si>
    <t>Deferred Tax Liabilities (Net) (A-B)</t>
  </si>
  <si>
    <t>Current tax</t>
  </si>
  <si>
    <t>Current income tax</t>
  </si>
  <si>
    <t>Total - A</t>
  </si>
  <si>
    <t>Deferred tax expenses / (income) - net</t>
  </si>
  <si>
    <t>In respect of current year, origination and reversal of temporary differences</t>
  </si>
  <si>
    <t>Total - B</t>
  </si>
  <si>
    <t>Tax expenses for the year (A + B)</t>
  </si>
  <si>
    <t>Accounting profit before income tax expenses</t>
  </si>
  <si>
    <t>Tax effects of amounts which are not deductible (taxable) in calculating the taxable income:</t>
  </si>
  <si>
    <t>Tax expenses at effective income tax rate</t>
  </si>
  <si>
    <t>Others</t>
  </si>
  <si>
    <t>(a) For Statutory Audit</t>
  </si>
  <si>
    <t>Terms of repayment, security and interest are as follows:</t>
  </si>
  <si>
    <t>Cash Flow from Operating Activities</t>
  </si>
  <si>
    <t>Adjustments for:</t>
  </si>
  <si>
    <t>Changes in working capital:</t>
  </si>
  <si>
    <t>(Increase)/Decrease in Other Non-Financial Assets</t>
  </si>
  <si>
    <t>Increase/(Decrease) in Trade payable</t>
  </si>
  <si>
    <t>Increase/(Decrease) in Non-Financial Liabilities</t>
  </si>
  <si>
    <t>Net Cash Flow from Operating Activities    (A)</t>
  </si>
  <si>
    <t>Cash Flow from Investing Activities</t>
  </si>
  <si>
    <t>Acquisition of Property, Plant and Equipment and Change in Capital Work in Progress</t>
  </si>
  <si>
    <t>Net Cash Flow from Investing Activities      (B)</t>
  </si>
  <si>
    <t>Cash Flow from Financing Activities</t>
  </si>
  <si>
    <t xml:space="preserve">Net Cash Flow from Financing Activities    (C) </t>
  </si>
  <si>
    <t>Net Increase / (Decrease) in Cash and Cash Equivalents (A+ B+ C)</t>
  </si>
  <si>
    <t>Cash and Cash Equivalents at the beginning of the  period</t>
  </si>
  <si>
    <t>Cash and Cash Equivalents at the end of the period</t>
  </si>
  <si>
    <t>Notes to Statement of Cash Flows</t>
  </si>
  <si>
    <t>Cash flow working</t>
  </si>
  <si>
    <t>Unrealized foreign exchange loss/ (gain)</t>
  </si>
  <si>
    <t>Forward exchange loss</t>
  </si>
  <si>
    <t>Forex loss</t>
  </si>
  <si>
    <t>Decimal</t>
  </si>
  <si>
    <t>Checks</t>
  </si>
  <si>
    <t xml:space="preserve">(vi) All immovable properties are held in the name of the Company and for immovable properties taken on lease, lease agreements are executed with Lessor. </t>
  </si>
  <si>
    <t>Total Cash and Cash Equivalents</t>
  </si>
  <si>
    <t>3. Reconciliation of Financing Activities</t>
  </si>
  <si>
    <t>1. Cash and cash equivalent includes:</t>
  </si>
  <si>
    <t>Total Cash Flow from Financing Activities</t>
  </si>
  <si>
    <t>Liability related other changes</t>
  </si>
  <si>
    <t>Balance as at 31 March 2022</t>
  </si>
  <si>
    <t>Balance as at 31 March 2023</t>
  </si>
  <si>
    <t>Terms and conditions with related parties</t>
  </si>
  <si>
    <t>Balance sheet</t>
  </si>
  <si>
    <t>SOCIE</t>
  </si>
  <si>
    <t>Cash flow</t>
  </si>
  <si>
    <t>BS Notes</t>
  </si>
  <si>
    <t>10,000  equity shares of Rs 10 each fully paid up</t>
  </si>
  <si>
    <t>Unsecured loan from related parties</t>
  </si>
  <si>
    <t>SGST Receivables</t>
  </si>
  <si>
    <t>Accumulated Dep on Land (Lease Property Dahej)</t>
  </si>
  <si>
    <t>Short-term borrowings</t>
  </si>
  <si>
    <t>Current liabilities</t>
  </si>
  <si>
    <t>Best Value Chem Pvt Ltd.</t>
  </si>
  <si>
    <t>Legal &amp; Professional Expenses</t>
  </si>
  <si>
    <t xml:space="preserve"> </t>
  </si>
  <si>
    <t>MSME Interest Expense</t>
  </si>
  <si>
    <t>Depreciation on Lease Property at Dahej</t>
  </si>
  <si>
    <t>Preference Share Capital</t>
  </si>
  <si>
    <t>Leasehold land</t>
  </si>
  <si>
    <t>Equity shares</t>
  </si>
  <si>
    <t xml:space="preserve">Addition during the year </t>
  </si>
  <si>
    <t>Manual entry</t>
  </si>
  <si>
    <t>HDFC Bank (C/A)</t>
  </si>
  <si>
    <t>97,276 - 0.01% non cumulative optionally convertible preference shares of Rs 10 each fully paid up issued at premium of ₹ 2046 to Best Value Chem Private Limited (Holding company)</t>
  </si>
  <si>
    <t>Best Value Chem Private Limited*</t>
  </si>
  <si>
    <t>* This includes the share held by nominees</t>
  </si>
  <si>
    <t>Basic  / Diluted EPS (₹)</t>
  </si>
  <si>
    <t>Trial Balance as on 31 March 2023</t>
  </si>
  <si>
    <t>Issue of 0.01% non cumulative optionally convertible preference shares</t>
  </si>
  <si>
    <t>Reimbursement of expenses paid</t>
  </si>
  <si>
    <t xml:space="preserve">Inter company loan taken </t>
  </si>
  <si>
    <t>Inter company loan repaid</t>
  </si>
  <si>
    <t>Interest on inter company loan</t>
  </si>
  <si>
    <t xml:space="preserve"># Fair value of financial assets and liabilities which are measured at amortised cost is not materially different from the carrying value (i.e. amortised cost). Accordingly, the fair value has not been disclosed separately. </t>
  </si>
  <si>
    <t>At the commencement of the year</t>
  </si>
  <si>
    <t>Current &amp; Non-Current Borrowing</t>
  </si>
  <si>
    <t>Average capital employed</t>
  </si>
  <si>
    <t>P &amp; L</t>
  </si>
  <si>
    <t>Total assets</t>
  </si>
  <si>
    <t>Trade Receivables turnover ratio (days)</t>
  </si>
  <si>
    <t>Inventory turnover ratio (days)</t>
  </si>
  <si>
    <t>Trade payables turnover ratio (days)</t>
  </si>
  <si>
    <t>Inventory</t>
  </si>
  <si>
    <t>B. Financial risk management</t>
  </si>
  <si>
    <t>- Basic &amp; Diluted</t>
  </si>
  <si>
    <t>(i) Cash &amp; Cash Equivalents</t>
  </si>
  <si>
    <t>Transactions with owners in their capacity as owners</t>
  </si>
  <si>
    <t>Equity component of Compound Financial Instruments</t>
  </si>
  <si>
    <t>Closing balance - Equity component of compound financial instruments</t>
  </si>
  <si>
    <t>Optionally convertible redeemable preference shares</t>
  </si>
  <si>
    <t>Equity component of compound financial instruments*</t>
  </si>
  <si>
    <t>SAP GL Name</t>
  </si>
  <si>
    <t>Schedule No</t>
  </si>
  <si>
    <t>Schedule Name</t>
  </si>
  <si>
    <t>Group Name</t>
  </si>
  <si>
    <t>Share capital</t>
  </si>
  <si>
    <t>Shareholders’ funds</t>
  </si>
  <si>
    <t>Preference Share Cap</t>
  </si>
  <si>
    <t>TDS_Professional and</t>
  </si>
  <si>
    <t>Best Value Chem Pvt</t>
  </si>
  <si>
    <t>Freehold land</t>
  </si>
  <si>
    <t>Non current assets</t>
  </si>
  <si>
    <t>Leasehold Land</t>
  </si>
  <si>
    <t>Capital WIP IO</t>
  </si>
  <si>
    <t>HDFC_57500000732637</t>
  </si>
  <si>
    <t>Current assets</t>
  </si>
  <si>
    <t>Provision_Other Expe</t>
  </si>
  <si>
    <t>ACC_DEP_Leased Land</t>
  </si>
  <si>
    <t>Profit &amp; Loss Accoun</t>
  </si>
  <si>
    <t>TDS_Interest on borr</t>
  </si>
  <si>
    <t>TDS_Land Purchase_19</t>
  </si>
  <si>
    <t>SAP GL No.</t>
  </si>
  <si>
    <t>Professional &amp; Consu</t>
  </si>
  <si>
    <t>Rates and Taxes</t>
  </si>
  <si>
    <t>Other Bank Charges</t>
  </si>
  <si>
    <t>Processing and Stamp Duty Expense</t>
  </si>
  <si>
    <t>Interest on Borrowin</t>
  </si>
  <si>
    <t>Depreciation on Lease Property (Dahej)</t>
  </si>
  <si>
    <t>Repair and Maintance</t>
  </si>
  <si>
    <t>Project Expenses</t>
  </si>
  <si>
    <t>Purchases -RM</t>
  </si>
  <si>
    <t>Repair and maintenance</t>
  </si>
  <si>
    <t>Capital work in progress</t>
  </si>
  <si>
    <t>(ii) Trade Payables</t>
  </si>
  <si>
    <t>Cash &amp; cash equivalents</t>
  </si>
  <si>
    <t>CIN : U24230GJ2021PTC123855</t>
  </si>
  <si>
    <t>Net Profit after taxes + Depreciation &amp; Amortisation Expenses + Finance Costs - Other Income + Taxes</t>
  </si>
  <si>
    <t>Interest + Principal Repayments of Loan</t>
  </si>
  <si>
    <t>Profit after tax</t>
  </si>
  <si>
    <t>CWIP</t>
  </si>
  <si>
    <t>Amount in CWIP for a period of</t>
  </si>
  <si>
    <t>1-2 Years</t>
  </si>
  <si>
    <t>2-3 Years</t>
  </si>
  <si>
    <t>More than 3 Years</t>
  </si>
  <si>
    <t>Projects in Progress</t>
  </si>
  <si>
    <t>Additions During the year</t>
  </si>
  <si>
    <t>Disposals / Adjustments During the year</t>
  </si>
  <si>
    <t>Stamp Duty Expenses</t>
  </si>
  <si>
    <t>- Preference shares</t>
  </si>
  <si>
    <t>Interest on borrowings measured at amortised cost</t>
  </si>
  <si>
    <t>Firm's Registration No: 128510W</t>
  </si>
  <si>
    <t>Jeyur Shah</t>
  </si>
  <si>
    <t>Membership No. 045754</t>
  </si>
  <si>
    <t>Issue of Optionally Convertible Preference Shares</t>
  </si>
  <si>
    <t>Equity component of compound financial instrument</t>
  </si>
  <si>
    <t>Note:</t>
  </si>
  <si>
    <t xml:space="preserve">The Company has taken a land on lease with lease term of 99 Years. For the lease contract, upfront payments have been made and accordingly, no lease liability is recognised. </t>
  </si>
  <si>
    <t>Carried forward losses</t>
  </si>
  <si>
    <t>Recognised in Equity</t>
  </si>
  <si>
    <t>Tax expenses at statutory tax rate of 17.16% (Previous Year 17.16%)</t>
  </si>
  <si>
    <t>The company has a single class of equity shares. Accordingly, all equity shares rank equally with regards to dividends and shares in the company's residual assets. The equity shares are entitled to receive dividend as declared from time to time. The voting rights of an equity shareholder on a poll are in proportion to its shares of the paid up equity capital of the company. Voting rights cannot be exercised in respect of shares on which any call or other sums presently payable have not been paid. On winding up of the company, the holder of equity shares will be entitled to receive the residual assets of the company, remaining after distribution of all preferential amounts in proportion to the number of equity shares held.</t>
  </si>
  <si>
    <t xml:space="preserve">(ii) Terms/Rights attached to Equity Shares : </t>
  </si>
  <si>
    <t>(iii) Details of Equity Shares held by holding Company and Promoters:</t>
  </si>
  <si>
    <t>Optionally Convertible Preference Shares - Unsecured (From Related Parties)</t>
  </si>
  <si>
    <t xml:space="preserve">The disclosure in respect of the amount payable to enterprises which have provided goods and services to the Company and which qualify under the definition of micro and small enterprises, as defined under Micro, Small and Medium Enterprises Development Act, 2006 has been made in the Financial statement as at March 31, 2023 based on the information received and available with the Company. </t>
  </si>
  <si>
    <t>(vii) The Code on Social Security, 2020 (‘Code’) relating to employee benefits during employment and post-employment benefits received Presidential assent in September 2020. The Code has been published in the Gazette of India. However, the date on which the Code will come in to effect has not been notified. The Company will assess the impact of the Code when it comes into effect and will record any related impact in the period when the Code becomes effective.</t>
  </si>
  <si>
    <t>DISCLOSURES UNDER IND AS 116 LEASES:</t>
  </si>
  <si>
    <t>The Company as lessee:</t>
  </si>
  <si>
    <t>Nature of the lease transaction:</t>
  </si>
  <si>
    <t>Amounts recognised in profit or loss</t>
  </si>
  <si>
    <t>Amortization for Right of Use Assets</t>
  </si>
  <si>
    <t>BORROWING COSTS CAPITALISATION</t>
  </si>
  <si>
    <t>As per Indian Accounting Standard -23 "Borrowing Costs", the Company has capitalised the borrowing costs amounting to:</t>
  </si>
  <si>
    <t>Borrowing costs capitalised</t>
  </si>
  <si>
    <t>The Company’s activities expose it to a variety of financial risks: credit risk, liquidity risk, foreign currency risk and interest rate risk. The Company’s primary focus is to foresee the unpredictability of financial markets and seek to minimize potential adverse effects on its financial performance. The primary market risk to the Company is foreign exchange risk. The Board of Directors reviews and agrees policies for managing each of these risks, which are summarised below:</t>
  </si>
  <si>
    <t>Credit risk is the risk of financial loss to the Company if a customer or counterparty to a financial instrument fails to meet its contractual obligations, and arises principally from the Company’s receivables from customers and investment securities. Credit risk arises from cash held with banks and financial institutions, as well as credit exposure to customers, including outstanding accounts receivable. The maximum exposure to credit risk is equal to the carrying value of the financial assets. The objective of managing counterparty credit risk is to prevent losses in financial assets. The Company assesses the credit quality of the counterparties, taking into account their financial position, past experience and other factors..</t>
  </si>
  <si>
    <t>Average Total Equity</t>
  </si>
  <si>
    <t>Total Equity + Debt consists of borrowings + Deferred Tax Liabilities - Deferred tax assets</t>
  </si>
  <si>
    <t>Return on Capital employed</t>
  </si>
  <si>
    <t>TRANSITION TO INDIAN ACCOUNTING STANDARDS</t>
  </si>
  <si>
    <t xml:space="preserve">Note on First Time Adoption of Ind AS: 
</t>
  </si>
  <si>
    <t>These are the Company’s first financial statements prepared in accordance with Ind AS.</t>
  </si>
  <si>
    <t>Ind AS 101- First-time adoption of Indian Accounting Standards, allows first-time adopters, exemptions from the retrospective application and exemption from application of certain requirements of other Ind AS. The Company has availed the following exemptions as per Ind AS 101:</t>
  </si>
  <si>
    <r>
      <rPr>
        <b/>
        <sz val="11"/>
        <color theme="1"/>
        <rFont val="Calibri"/>
        <family val="2"/>
        <scheme val="minor"/>
      </rPr>
      <t>Optional Exemptions</t>
    </r>
    <r>
      <rPr>
        <sz val="11"/>
        <color theme="1"/>
        <rFont val="Calibri"/>
        <family val="2"/>
        <scheme val="minor"/>
      </rPr>
      <t xml:space="preserve">
</t>
    </r>
    <r>
      <rPr>
        <b/>
        <sz val="11"/>
        <color theme="1"/>
        <rFont val="Calibri"/>
        <family val="2"/>
        <scheme val="minor"/>
      </rPr>
      <t>a) Leases</t>
    </r>
    <r>
      <rPr>
        <sz val="11"/>
        <color theme="1"/>
        <rFont val="Calibri"/>
        <family val="2"/>
        <scheme val="minor"/>
      </rPr>
      <t xml:space="preserve">
Ind AS 116 requires the entity to assess whether a contract or arrangement contains a lease. This assessment should be carried out at the inception of the contract or arrangement. However the entity has used Ind AS 101 exemption and assessed all arrangements based on conditions in place at the date of transition. Further, the Company has used hindsight while determining the lease term. The Company has elected not to recognise right of use asset and lease liabilities for the leases whose lease term ends within 12 months from the date of transition to Ind AS.</t>
    </r>
  </si>
  <si>
    <r>
      <rPr>
        <b/>
        <sz val="11"/>
        <color theme="1"/>
        <rFont val="Calibri"/>
        <family val="2"/>
        <scheme val="minor"/>
      </rPr>
      <t>Mandatory Exceptions
a) Estimates</t>
    </r>
    <r>
      <rPr>
        <sz val="11"/>
        <color theme="1"/>
        <rFont val="Calibri"/>
        <family val="2"/>
        <scheme val="minor"/>
      </rPr>
      <t xml:space="preserve">
Under Ind AS 101, an entity’s estimates in accordance with Ind AS at ‘the date of transition to Ind AS’ or ‘the end of the comparative period presented in the entity’s first Ind AS financial statements’, as the case may be, should be consistent with estimates made for the same date in accordance with previous GAAP unless there is objective evidence that those estimates were in error. However, the estimates should be adjusted to reflect any differences in accounting policies. The Company’s Ind AS estimates as on the transition date are consistent with the estimates made under previous GAAP as on this date.
</t>
    </r>
    <r>
      <rPr>
        <b/>
        <sz val="11"/>
        <color theme="1"/>
        <rFont val="Calibri"/>
        <family val="2"/>
        <scheme val="minor"/>
      </rPr>
      <t>b) Classification and measurement of financial assets</t>
    </r>
    <r>
      <rPr>
        <sz val="11"/>
        <color theme="1"/>
        <rFont val="Calibri"/>
        <family val="2"/>
        <scheme val="minor"/>
      </rPr>
      <t xml:space="preserve">
Ind AS 101 requires an entity to assess classification of financial assets on the basis of facts and circumstances existing as on the date of transition. Further, the standard permits measurement of financial assets accounted at amortised cost based on facts and circumstances existing at the date of transition if retrospective application is impracticable. Accordingly, the Company has determined the classification of financial assets based on facts and circumstances that exist on the date of transition. Measurement of the financial assets accounted at amortised cost has been done retrospectively except where the same is impracticable.</t>
    </r>
  </si>
  <si>
    <r>
      <rPr>
        <b/>
        <sz val="11"/>
        <rFont val="Calibri"/>
        <family val="2"/>
        <scheme val="minor"/>
      </rPr>
      <t>a) Optionally Convertible Preference Shares</t>
    </r>
    <r>
      <rPr>
        <sz val="11"/>
        <rFont val="Calibri"/>
        <family val="2"/>
        <scheme val="minor"/>
      </rPr>
      <t xml:space="preserve">
Under Previous GAAP, the preference share capital were recorded as part of equity. Under Ind AS, based on the characterisitics of the instruments, the same is assessed to be compound financial instrument i.e. it contains both equity and liability component. Accordingly, the present value of contractual cash flows have been accounted as liability while the residual component is accounted as part of other equity.</t>
    </r>
  </si>
  <si>
    <r>
      <t xml:space="preserve">b) Deferred Tax
</t>
    </r>
    <r>
      <rPr>
        <sz val="11"/>
        <color theme="1"/>
        <rFont val="Calibri"/>
        <family val="2"/>
        <scheme val="minor"/>
      </rPr>
      <t>In the financial statements prepared under Previous GAAP, deferred tax was accounted as per the income statement approach which required creation of deferred tax asset/liability on temporary differences between taxable profit and accounting profit. Under Ind AS, deferred tax is accounted as per the Balance Sheet approach which requires creation of deferred tax asset/liability on temporary differences between the carrying amount of an asset/liability in the Balance Sheet and its corresponding tax base. The application of Ind AS has resulted in recognition of deferred tax on new temporary differences which were not required to be recognised under Previous GAAP.</t>
    </r>
  </si>
  <si>
    <t>Net Profit as per previously applicable Indian GAAP</t>
  </si>
  <si>
    <t>Unwinding of Interest on Optionally Convertible Preference Shares</t>
  </si>
  <si>
    <t>Net Profit after tax as per Ind AS</t>
  </si>
  <si>
    <t>Other Comprehensive Income (Net of Tax)</t>
  </si>
  <si>
    <t>Total Comprehensive Income as per Ind AS</t>
  </si>
  <si>
    <t>Equity as per previously applicable Indian GAAP</t>
  </si>
  <si>
    <t>Liability Component of Optionally Convertible Preference Shares</t>
  </si>
  <si>
    <t>Deferred tax  in respect of above adjustments</t>
  </si>
  <si>
    <t>Equity as per Ind AS</t>
  </si>
  <si>
    <t>5 July 2021</t>
  </si>
  <si>
    <t>Issued, Subscribed and Fully Paid-Up Share Capital</t>
  </si>
  <si>
    <t>SEGMENT REPORTING</t>
  </si>
  <si>
    <t>2. The above Statement of Cash Flows has been prepared under the 'Indirect Method' as set out in the Indian Accounting Standard (Ind AS) 7 - "Statement of Cash Flows".</t>
  </si>
  <si>
    <t>(b) Deferred Tax</t>
  </si>
  <si>
    <t>Depreciation and Amortisation Expense</t>
  </si>
  <si>
    <t xml:space="preserve">Depreciation and amortisation </t>
  </si>
  <si>
    <t>Balances with Government Authorities</t>
  </si>
  <si>
    <t>(a) Property, Plant &amp; Equipment</t>
  </si>
  <si>
    <t>(b) Right of use assets</t>
  </si>
  <si>
    <t>Total Right of Use Assets</t>
  </si>
  <si>
    <t>Right of use assets</t>
  </si>
  <si>
    <t>(A) Equity Share Capital</t>
  </si>
  <si>
    <t>Total Expense (II)</t>
  </si>
  <si>
    <t>Loss for the year</t>
  </si>
  <si>
    <t>For B S R and Co</t>
  </si>
  <si>
    <t>Repayment of borrowing</t>
  </si>
  <si>
    <t>Proceeds from borrowing/ Preference share capital</t>
  </si>
  <si>
    <t>10,000 (as at March 31, 2022 : 10,000) Equity shares of  ₹ 10/- each</t>
  </si>
  <si>
    <t>1.</t>
  </si>
  <si>
    <t>Reconciliation between previous GAAP and Ind AS</t>
  </si>
  <si>
    <t>Ind AS 101 requires an entity to reconcile equity, total comprehensive income and cash flows for prior periods. The folowing tables represent the reconciliations from previous GAAP to Ind AS.</t>
  </si>
  <si>
    <t>Reconciliation of Equity as at 31 March 2022</t>
  </si>
  <si>
    <t>Notes to first time adpotion</t>
  </si>
  <si>
    <t>Previous GAAP*</t>
  </si>
  <si>
    <t>Ind AS adjustments</t>
  </si>
  <si>
    <t>3(a)</t>
  </si>
  <si>
    <t>3(b)</t>
  </si>
  <si>
    <t>Reconciliation of total comprehensive income for the year ended 31 March, 2022 is presented as under:</t>
  </si>
  <si>
    <t xml:space="preserve">Total Expense </t>
  </si>
  <si>
    <t xml:space="preserve">Profit Before Tax </t>
  </si>
  <si>
    <t>Profit for the Year</t>
  </si>
  <si>
    <t>Total Comprehensive Income for the Year</t>
  </si>
  <si>
    <t>Reconciliation of total comprehensive income for the year ended 31 March 2022</t>
  </si>
  <si>
    <t xml:space="preserve">Reconciliation of total equity as at 31 March 2022 </t>
  </si>
  <si>
    <t xml:space="preserve">Impact of Ind AS adoption on the statements of cash flows for the year ended 31 March 2022 </t>
  </si>
  <si>
    <t>Previous GAAP</t>
  </si>
  <si>
    <t>Net cash flow from operating activities</t>
  </si>
  <si>
    <t>Net cash flow from investing activities</t>
  </si>
  <si>
    <t>Net cash flow from financing activities</t>
  </si>
  <si>
    <t>Net increase/(decrease) in cash and cash equivalents</t>
  </si>
  <si>
    <t>(iv) The Company has not traded or invested in Crypto currency or Virtual currency during the financial year.</t>
  </si>
  <si>
    <t>(v) The Company does not have any such transaction which is not recorded in the books of accounts that has been surrendered or disclosed as income during the year in the tax assessments under the Income Tax Act, 1961 (such as, search or survey or any other relevant provisions of the Income Tax Act, 1961).</t>
  </si>
  <si>
    <t>Transactions during the year with related parties mentioned in (A) above, in ordinary course of business &amp; balances outstanding as at the year end:</t>
  </si>
  <si>
    <t>Self Assessment Tax Paid</t>
  </si>
  <si>
    <t>TDS</t>
  </si>
  <si>
    <t xml:space="preserve">Advance Tax </t>
  </si>
  <si>
    <t>Prepaid Taxes</t>
  </si>
  <si>
    <t>Less:</t>
  </si>
  <si>
    <t>Total Tax Payable</t>
  </si>
  <si>
    <t>Interest Under Section 234 C</t>
  </si>
  <si>
    <t>Interest Under Section 234 B</t>
  </si>
  <si>
    <t>Interest Under Section 234 A</t>
  </si>
  <si>
    <t>Interest Payable</t>
  </si>
  <si>
    <t>Add :</t>
  </si>
  <si>
    <t>Total Income Tax</t>
  </si>
  <si>
    <t>Education Cess @ 4%</t>
  </si>
  <si>
    <t>Surcharge @ 10%</t>
  </si>
  <si>
    <t>Income Subject To Special Rates</t>
  </si>
  <si>
    <t>Income Subject To Normal Rates</t>
  </si>
  <si>
    <t>TOTAL INCOME</t>
  </si>
  <si>
    <t>PARTICULARS</t>
  </si>
  <si>
    <t>STATEMENT SHOWING COMPUTATION OF TAX</t>
  </si>
  <si>
    <t>Income from business / profession</t>
  </si>
  <si>
    <t>Depreciation as per IT Act</t>
  </si>
  <si>
    <t>Income considered under other head/ignored for tax</t>
  </si>
  <si>
    <t>Expenditure relating to manufacturing (deferred)</t>
  </si>
  <si>
    <t>Expenditure relating to lease (deferred)</t>
  </si>
  <si>
    <t>This is related to lease</t>
  </si>
  <si>
    <t>Depreciation as per P&amp;L</t>
  </si>
  <si>
    <t>Interest on borrowings measured at amortised cost - Preference Shares (notional)</t>
  </si>
  <si>
    <t>Interest on late payment of TDS</t>
  </si>
  <si>
    <t>Expenditure relating to trading activities/Other disallowances</t>
  </si>
  <si>
    <t>Items disallowed</t>
  </si>
  <si>
    <t>Net Profit as per Statement of Profit and Loss before tax</t>
  </si>
  <si>
    <t>Income From Business</t>
  </si>
  <si>
    <t>Amt In INR</t>
  </si>
  <si>
    <t>STATEMENT SHOWING COMPUTATION OF INCOME</t>
  </si>
  <si>
    <t>2022 - 2023</t>
  </si>
  <si>
    <t>P.Y. :</t>
  </si>
  <si>
    <t>2023 - 2024</t>
  </si>
  <si>
    <t>A.Y. :</t>
  </si>
  <si>
    <t>Address :</t>
  </si>
  <si>
    <t>AAJCB9629E</t>
  </si>
  <si>
    <t>PAN :</t>
  </si>
  <si>
    <t>Name  :</t>
  </si>
  <si>
    <t>*The previous GAAP figures have been reclassified to conform to Ind AS presentation requirements for the purpose of this note.</t>
  </si>
  <si>
    <t>Deferred Tax Working + Effective Tax Reconciliation</t>
  </si>
  <si>
    <t>Inter Company Loan Outstanding Balance Current Year and PY - Please reconcile once. We believe there is some mismatch to the tune of INR 388000.</t>
  </si>
  <si>
    <t>Done</t>
  </si>
  <si>
    <t>FY22</t>
  </si>
  <si>
    <t>BVO</t>
  </si>
  <si>
    <t>BVS</t>
  </si>
  <si>
    <t>Loss as per Financial</t>
  </si>
  <si>
    <t>*Expense Disallowed</t>
  </si>
  <si>
    <t>Expense Disallowed in Current FY but allowed in Subsequent FY</t>
  </si>
  <si>
    <t>Preliminery expense claimed 1st Year of 5 Year</t>
  </si>
  <si>
    <t>Preliminery expense claimed in 2nd Year of 5 Year</t>
  </si>
  <si>
    <t>Net Loss Carried Forward in Current FY</t>
  </si>
  <si>
    <t>Asset</t>
  </si>
  <si>
    <t>Deferred tax assets (net)</t>
  </si>
  <si>
    <t>Proceeds from Borrowing</t>
  </si>
  <si>
    <t>2. Notes to Reconciliation</t>
  </si>
  <si>
    <t>2(a) &amp; 2(b)</t>
  </si>
  <si>
    <t>2(a)</t>
  </si>
  <si>
    <t>2(b)</t>
  </si>
  <si>
    <t>GL No</t>
  </si>
  <si>
    <t>Net</t>
  </si>
  <si>
    <t>IND AS - BS Entry</t>
  </si>
  <si>
    <t>IND AS - PL Entry</t>
  </si>
  <si>
    <t>Reclass - PL Entry</t>
  </si>
  <si>
    <t>GL Name</t>
  </si>
  <si>
    <t>BS</t>
  </si>
  <si>
    <t>PL</t>
  </si>
  <si>
    <t>As per TB 190723</t>
  </si>
  <si>
    <t>Invoice Rounding Off</t>
  </si>
  <si>
    <t>Rounding Adjustment</t>
  </si>
  <si>
    <t>As per TB 210723</t>
  </si>
  <si>
    <t>IND AS - Equity comp</t>
  </si>
  <si>
    <t>IND AS - Opening RE</t>
  </si>
  <si>
    <t>IND AS - Pref Share</t>
  </si>
  <si>
    <t>IND AS - DTL</t>
  </si>
  <si>
    <t>IND AS - DTA</t>
  </si>
  <si>
    <t>IND AS - Int on Pref</t>
  </si>
  <si>
    <t>IND AS -Deferred Tax</t>
  </si>
  <si>
    <t>Rajesh Gagrani</t>
  </si>
  <si>
    <t>Place: Vadodara</t>
  </si>
  <si>
    <t>31 March 2024</t>
  </si>
  <si>
    <t>1 April 2023</t>
  </si>
  <si>
    <t>1 April 2024</t>
  </si>
  <si>
    <t>2023-24</t>
  </si>
  <si>
    <t>Balance as at 31 March 2024</t>
  </si>
  <si>
    <r>
      <t xml:space="preserve">The accounting policies set out in Note 2 have been applied in preparing the financial statements for the year ended 31 March, 2024, the comparative information presented in these financial statements for the year ended 31 March, 2023. </t>
    </r>
    <r>
      <rPr>
        <sz val="11"/>
        <color rgb="FFFF0000"/>
        <rFont val="Calibri"/>
        <family val="2"/>
        <scheme val="minor"/>
      </rPr>
      <t>BVC Specialities Private Limited was incorporated on July 5, 2021 as a wholly owned subsidiary of the Best Value Chem Private Limited.  Accordingly, the Company has presented financial statements for the period ended March 31, 2022 (From July 5, 2021 to March 31, 2022) with no comparative figures since this being the first year.</t>
    </r>
  </si>
  <si>
    <t>Income</t>
  </si>
  <si>
    <t>315,940 (previous year: 315,940) equity shares of Rs 10 each fully paid up</t>
  </si>
  <si>
    <t>Closing balance - Securities Premium</t>
  </si>
  <si>
    <t>Term Loan from Bank</t>
  </si>
  <si>
    <t>Salary Payable</t>
  </si>
  <si>
    <t>TDS_Contractors_194C</t>
  </si>
  <si>
    <t>TDS_Rent_194I</t>
  </si>
  <si>
    <t>TDS_Salary_192</t>
  </si>
  <si>
    <t>Professional Tax</t>
  </si>
  <si>
    <t>Payable for capital goods</t>
  </si>
  <si>
    <t>Retention Money</t>
  </si>
  <si>
    <t>Plant and machinery</t>
  </si>
  <si>
    <t>Computers</t>
  </si>
  <si>
    <t>Capital Advances</t>
  </si>
  <si>
    <t>Deposit_Other</t>
  </si>
  <si>
    <t>Raw Material Stock</t>
  </si>
  <si>
    <t>Work-in-progress</t>
  </si>
  <si>
    <t>SFG Stock in Plants</t>
  </si>
  <si>
    <t>Stores and spares</t>
  </si>
  <si>
    <t>Store and Spares -</t>
  </si>
  <si>
    <t>Trade receivables</t>
  </si>
  <si>
    <t>Considered good - unsecured</t>
  </si>
  <si>
    <t>Receivables-Domestic</t>
  </si>
  <si>
    <t>Receivables- Scrap</t>
  </si>
  <si>
    <t>Receivables- Advance</t>
  </si>
  <si>
    <t>Deposits with original maturity for more than 3 months and less than 12 Months</t>
  </si>
  <si>
    <t>FD_Axis</t>
  </si>
  <si>
    <t>TDS Receiveable_194Q</t>
  </si>
  <si>
    <t>TDS Receivable_Other</t>
  </si>
  <si>
    <t>CGST Payable</t>
  </si>
  <si>
    <t>SGST Payable</t>
  </si>
  <si>
    <t>IGST Payable</t>
  </si>
  <si>
    <t>TCS Receivable</t>
  </si>
  <si>
    <t>ITC not in GSTR 2B</t>
  </si>
  <si>
    <t>Advance to employees</t>
  </si>
  <si>
    <t>Advance to Vendor</t>
  </si>
  <si>
    <t>Finance lease receivable (Unsecured - considered good)</t>
  </si>
  <si>
    <t>Revenue from operations</t>
  </si>
  <si>
    <t>Sales of Products</t>
  </si>
  <si>
    <t>Sales Export</t>
  </si>
  <si>
    <t>Domestic Sales</t>
  </si>
  <si>
    <t>Foreign exchange gain (net)</t>
  </si>
  <si>
    <t>- From banks</t>
  </si>
  <si>
    <t>- From others</t>
  </si>
  <si>
    <t>Add : Purchases -RM</t>
  </si>
  <si>
    <t>Freight Inward Local</t>
  </si>
  <si>
    <t>Changes in inventories of finished goods and work in progress</t>
  </si>
  <si>
    <t>COGS SFG and FG</t>
  </si>
  <si>
    <t>COGM Material</t>
  </si>
  <si>
    <t>COGM SFG and FG</t>
  </si>
  <si>
    <t xml:space="preserve">Salary, Wages, Allowances and Bonus etc. </t>
  </si>
  <si>
    <t>Basic Salary</t>
  </si>
  <si>
    <t>Consumption of stores and spares</t>
  </si>
  <si>
    <t>Power and fuel</t>
  </si>
  <si>
    <t>Insurance Expenses</t>
  </si>
  <si>
    <t>Insurance Expense</t>
  </si>
  <si>
    <t>Consumable Items</t>
  </si>
  <si>
    <t>IT Expenses</t>
  </si>
  <si>
    <t>Cntrl Stores&amp; Spares</t>
  </si>
  <si>
    <t>Clearing  Services</t>
  </si>
  <si>
    <t>TL_AXIS_ 92306005314</t>
  </si>
  <si>
    <t>CA_Axis_923020022099</t>
  </si>
  <si>
    <t>Loan to BVO frm BVCS</t>
  </si>
  <si>
    <t>Import cost Ctrl GL</t>
  </si>
  <si>
    <t>AUC Down Payment</t>
  </si>
  <si>
    <t>Gain/Loss from MF In</t>
  </si>
  <si>
    <t>Loans to related party - subsidiaries (Considered good - unsecured)</t>
  </si>
  <si>
    <t>(iii) Other Financial Liabilities</t>
  </si>
  <si>
    <t>(ii) Cash and Cash Equivalents</t>
  </si>
  <si>
    <t>(i) Trade Receivables</t>
  </si>
  <si>
    <t>NON-CURRENT FINANCIAL ASSETS : LOANS</t>
  </si>
  <si>
    <t>Interest accrued on Loan given to related party not removed in IND AS, to check with Bhavya, to be shown under "Other Current Asset"</t>
  </si>
  <si>
    <t>CURRENT FINANCIAL ASSETS : LOANS</t>
  </si>
  <si>
    <t>NON-CURRENT FINANCIAL ASSETS : OTHERS</t>
  </si>
  <si>
    <t>Security Deposits</t>
  </si>
  <si>
    <t>Security Deposit Reclass to ROU Asset Impact - INR 5,17,144</t>
  </si>
  <si>
    <t>Receivable against Employee Car shown as Finance Lease - INR  43,49,959 - Non Current Portion</t>
  </si>
  <si>
    <t>Ok</t>
  </si>
  <si>
    <t>CURRENT FINANCIAL ASSETS : OTHERS</t>
  </si>
  <si>
    <t>GL 21100006 - Loan to Others, should not come under Security Deposit grouping</t>
  </si>
  <si>
    <t>Receivable against Employee Car shown as Finance Lease - INR  7,07,498 - Current Portion</t>
  </si>
  <si>
    <t>Refer Note</t>
  </si>
  <si>
    <t>REVENUE FROM OPERATIONS</t>
  </si>
  <si>
    <t>Other operating revenue</t>
  </si>
  <si>
    <t>Scrap sales</t>
  </si>
  <si>
    <t>Duty drawback income</t>
  </si>
  <si>
    <t>RODTEP Script income</t>
  </si>
  <si>
    <t>Reconciling the amount of revenue recognised in the statement of profit and loss with the contracted price:</t>
  </si>
  <si>
    <t>Revenue as per contracted price</t>
  </si>
  <si>
    <t>Adjustments</t>
  </si>
  <si>
    <t>Price Difference</t>
  </si>
  <si>
    <t>Do we need to show it separately? Yes - Para 126AA of Ind AS 115</t>
  </si>
  <si>
    <t>Revenue from contract with customer</t>
  </si>
  <si>
    <t>OTHER INCOME</t>
  </si>
  <si>
    <t>Interest Income on Financial assets measured at amortised cost</t>
  </si>
  <si>
    <t>Int Income of Security Deposit - INR 1,73,050 &amp; Int Income of Empl Car Loan - INR 91,107</t>
  </si>
  <si>
    <t>Fair value gain - Instruments measured at FVTPL</t>
  </si>
  <si>
    <t>Fair value gain - Instruments measured at FVTPL - INR 1,61,54,732</t>
  </si>
  <si>
    <t>Gain on Sale of assets</t>
  </si>
  <si>
    <t>Revenue from Sale of assets</t>
  </si>
  <si>
    <t>Cost of materials consumed</t>
  </si>
  <si>
    <t>Due to Impact of Change in Inv method</t>
  </si>
  <si>
    <t>COST OF MATERIAL CONSUMED</t>
  </si>
  <si>
    <t>Cost of raw material consumed</t>
  </si>
  <si>
    <t>Opening Inventory</t>
  </si>
  <si>
    <t>Increase in RM Inventory due to impact of change in Inventory - INR 23,44,586 (FY22)</t>
  </si>
  <si>
    <t>Less : Closing Inventory</t>
  </si>
  <si>
    <t>Cost of packing material consumed</t>
  </si>
  <si>
    <t xml:space="preserve">Increase in PM Inventory due to impact of change in Inventory - INR 64,848 (FY22) </t>
  </si>
  <si>
    <t>CHANGES IN INVENTORIES OF FINISHED GOODS AND WORK IN PROGRESS</t>
  </si>
  <si>
    <t>Opening Stock</t>
  </si>
  <si>
    <t xml:space="preserve">Increase in SFG Inventory due to impact of change in Inventory - INR 10,20,789 (FY22)  </t>
  </si>
  <si>
    <t>Finished goods</t>
  </si>
  <si>
    <t xml:space="preserve">Increase in FG Inventory due to impact of change in Inventory - INR 15,63,017 (FY22)  </t>
  </si>
  <si>
    <t>Closing stock</t>
  </si>
  <si>
    <t>EMPLOYEE BENEFITS EXPENSE</t>
  </si>
  <si>
    <t>Contribution to Provident and Other funds</t>
  </si>
  <si>
    <t>Employee share based payment expense</t>
  </si>
  <si>
    <t>Ok, Rounding off adjustment</t>
  </si>
  <si>
    <t>Staff Welfare Expenses</t>
  </si>
  <si>
    <t>Employee Deferreal Cost on Car Loan charged to P&amp;L - INR 10,75,793</t>
  </si>
  <si>
    <t>INVENTORIES (Refer accounting policies for mode of valuation)</t>
  </si>
  <si>
    <t>Packing material</t>
  </si>
  <si>
    <t>CURRENT FINANCIAL ASSETS : TRADE RECEIVABLES</t>
  </si>
  <si>
    <t>Less: Provision for expected credit losses</t>
  </si>
  <si>
    <t>Less than 6 months</t>
  </si>
  <si>
    <t>6 months - 1 year</t>
  </si>
  <si>
    <t>NOTE 19</t>
  </si>
  <si>
    <t>NOTE 20</t>
  </si>
  <si>
    <t>NOTE 21</t>
  </si>
  <si>
    <t>NOTE 22</t>
  </si>
  <si>
    <t>Account Number</t>
  </si>
  <si>
    <t>Account Name</t>
  </si>
  <si>
    <t>Accumulated balance</t>
  </si>
  <si>
    <t>Pref Shar CCPS-BVCPL</t>
  </si>
  <si>
    <t>Security Premium Acc</t>
  </si>
  <si>
    <t>IND AS -Tran Cost TL</t>
  </si>
  <si>
    <t>TDS_Purchase on Good</t>
  </si>
  <si>
    <t>PF Employee Contribu</t>
  </si>
  <si>
    <t>Capital Work In Prog</t>
  </si>
  <si>
    <t>AUC Cost</t>
  </si>
  <si>
    <t>GST Refund_GST Depar</t>
  </si>
  <si>
    <t>Advances to Emp</t>
  </si>
  <si>
    <t>IND AS - E'yee Recei</t>
  </si>
  <si>
    <t>Realised Forex Gain/</t>
  </si>
  <si>
    <t>Interest on Bank Dep</t>
  </si>
  <si>
    <t>IND AS - Interest</t>
  </si>
  <si>
    <t>Consumption of RM</t>
  </si>
  <si>
    <t>Consumption of SFG</t>
  </si>
  <si>
    <t>Interest on Term Loa</t>
  </si>
  <si>
    <t>Processing and Stamp</t>
  </si>
  <si>
    <t>IND AS - TL Interest</t>
  </si>
  <si>
    <t>Cons Stores &amp; Spares</t>
  </si>
  <si>
    <t>Cons of Consumables</t>
  </si>
  <si>
    <t>Power Cost_Factory</t>
  </si>
  <si>
    <t>Sales In transit</t>
  </si>
  <si>
    <t>Receivables- GIT</t>
  </si>
  <si>
    <t>Securities premium</t>
  </si>
  <si>
    <t>At the commencement of the year - Securities premium</t>
  </si>
  <si>
    <t>Addition during the year - Securities Premium</t>
  </si>
  <si>
    <t>CURRENT FINANCIAL LIABILITIES : OTHERS</t>
  </si>
  <si>
    <t>NOTE 5</t>
  </si>
  <si>
    <t>NOTE 6</t>
  </si>
  <si>
    <t>NOTE 7</t>
  </si>
  <si>
    <t>NOTE 8</t>
  </si>
  <si>
    <t>NOTE 9</t>
  </si>
  <si>
    <t>NOTE 11</t>
  </si>
  <si>
    <t>NOTE 12</t>
  </si>
  <si>
    <t>Profit (Loss) for the year</t>
  </si>
  <si>
    <t>Securities Premium</t>
  </si>
  <si>
    <t>Addition during the year</t>
  </si>
  <si>
    <t>NOTE 4</t>
  </si>
  <si>
    <t>Other Bank Balance</t>
  </si>
  <si>
    <t>Raw materials</t>
  </si>
  <si>
    <t>Finished goods*</t>
  </si>
  <si>
    <t>ACC_DEP_Plant and ma</t>
  </si>
  <si>
    <t>ACC_DEP_Computers</t>
  </si>
  <si>
    <t>Interest on MSME</t>
  </si>
  <si>
    <t>Less: Salary, Wages, Allowances and Bonus etc. transfer to CWIP</t>
  </si>
  <si>
    <t>Payable - Forex</t>
  </si>
  <si>
    <t>Provision_MSME Inter</t>
  </si>
  <si>
    <t>Provision_Incentive</t>
  </si>
  <si>
    <t>Goods In Transit - S</t>
  </si>
  <si>
    <t>Unrealised Forex Gai</t>
  </si>
  <si>
    <t>Month end Adj - Mat</t>
  </si>
  <si>
    <t>Miscellaneosus expenses</t>
  </si>
  <si>
    <t>Capital gain on redemption of units of mutual fund</t>
  </si>
  <si>
    <t>Income From Capital Gains</t>
  </si>
  <si>
    <t>Gain redemption of units of mutual fund</t>
  </si>
  <si>
    <t>Sale consideration</t>
  </si>
  <si>
    <t>Less:- Cost of acquisition</t>
  </si>
  <si>
    <t>Income From Other Sources</t>
  </si>
  <si>
    <t>Interest Income</t>
  </si>
  <si>
    <t>ICD Interest (BVO)</t>
  </si>
  <si>
    <t>801 to 809, 824, 8th FLOOR, BLOCK 1, BUILDING 73, EST AVENUE, SARABHAI COMPOUND VADODARA - 390023</t>
  </si>
  <si>
    <t>Profit on Sale of Mutual Fund</t>
  </si>
  <si>
    <t>Balance with Bank</t>
  </si>
  <si>
    <t>Current Tax Assets (net)</t>
  </si>
  <si>
    <t>NOTE 13</t>
  </si>
  <si>
    <t>NOTE 23</t>
  </si>
  <si>
    <t>Other Borrowing Cost</t>
  </si>
  <si>
    <t>Less: Transfer to CWIP</t>
  </si>
  <si>
    <t>CFS</t>
  </si>
  <si>
    <t>NON CURRENT ASSETS : OTHERS</t>
  </si>
  <si>
    <t>Capital Advance</t>
  </si>
  <si>
    <t>Manual Entries</t>
  </si>
  <si>
    <t>Instrument entirely equity in nature</t>
  </si>
  <si>
    <t>(Increase)/Decrease in Trade Receivable</t>
  </si>
  <si>
    <t>(Increase)/Decrease in Inventory</t>
  </si>
  <si>
    <t>Investment in fixed deposit and bank balances other than cash and cash equivalent</t>
  </si>
  <si>
    <t>Other Tax Assets (Net)</t>
  </si>
  <si>
    <t>-</t>
  </si>
  <si>
    <t>(Increase)/Decrease in Other Financial Assets</t>
  </si>
  <si>
    <t>Income Taxes Paid</t>
  </si>
  <si>
    <t>Issue of equity share capital including Premium</t>
  </si>
  <si>
    <t>Corporate Information &amp; Material Accounting Policies</t>
  </si>
  <si>
    <t>Level 2 - Material observable inputs</t>
  </si>
  <si>
    <t>Level 3 - Material unobservable inputs</t>
  </si>
  <si>
    <t>The table below provides details regarding the contractual maturities of Material financial liabilities as at reporting dates:</t>
  </si>
  <si>
    <t>Interest rate risk is the risk that the fair value of future cash flows of a financial instrument will fluctuate because of changes in market interest rates. The Company’s exposure to the risk of changes in market interest rates relates primarily to the Company’s debt obligations with floating interest rates and investments. The Company’s borrowings and investments are primarily fixed rate, which do not expose it to Material interest rate risk..</t>
  </si>
  <si>
    <t>Anuj Khandelwal</t>
  </si>
  <si>
    <t>Shaju Ouseph Chazhoor</t>
  </si>
  <si>
    <t>Other Interest Expenses*</t>
  </si>
  <si>
    <t>Billing against common services and Bank Guarantee</t>
  </si>
  <si>
    <t>Purchase of Goods</t>
  </si>
  <si>
    <t>Krishna to update</t>
  </si>
  <si>
    <t>CAPITAL COMMITMENTS</t>
  </si>
  <si>
    <t>Estimated amount of contracts remaining to be executed on capital account and not provided for (net of advances)</t>
  </si>
  <si>
    <t>COMPULSORY CONVERTIBLE PREFERENCE SHARES</t>
  </si>
  <si>
    <t>The Company received ₹ 10,144 Lakhs during the year 31 March 2023 pursuant to issuance of 25,003 - 0.01% Compulsory Convertible Preference Share of face value of ₹ 10/- each. The same shall be converted in to 25,003 equity shares of ₹ 10/- each at the end of 20 years from the date of allotment of preference shares or at the discretion of the holder of the instrument. The preference shares are participating in nature i.e. they have right to participate in the surplus fund of the Company. They have voting rights at par with the equity shareholders. The preference shares shall confer on the holder, the right to receive, in priority to the holders of Equity Shares in the Share Capital, a dividend equal to 0.01% per annum subject to applicable law, on a distribution of capital on winding up, the assets of the Company available for distribution to its members shall be applied in the manner set forth in the Articles of Organization of the Company as amended from time to time and the preference shares shall rank senior to any other nature of security issued by the Company. The shares are allotted during the year ended 31 March 2024</t>
  </si>
  <si>
    <t>Best Value Organics Private Limited</t>
  </si>
  <si>
    <t>Loan given</t>
  </si>
  <si>
    <t>Loan recovered</t>
  </si>
  <si>
    <t>Interest income</t>
  </si>
  <si>
    <t>Land purchase from BVO</t>
  </si>
  <si>
    <t>CWIP Transfer from BVO</t>
  </si>
  <si>
    <t>Key managerial personnel</t>
  </si>
  <si>
    <t>Shaju Chazhoor Ouseph</t>
  </si>
  <si>
    <t>Best Value Organics Pvt Ltd</t>
  </si>
  <si>
    <t>Fellow subsidiary</t>
  </si>
  <si>
    <t>Issue of 0.01% non cumulative compulsory convertible preference shares</t>
  </si>
  <si>
    <t>DISCLOSURE OF EMPLOYEE BENEFITS</t>
  </si>
  <si>
    <t>(i) Defined contribution plan</t>
  </si>
  <si>
    <t>(ii) Defined benefit plan</t>
  </si>
  <si>
    <t>The Company has applied the principles of Ind AS 19 - Employee Benefits for accounting of gratuity. Provision has been made for gratuity as per the actuarial valuation. The principal assumptions used in actuarial valuation and necessary disclosures are as below:</t>
  </si>
  <si>
    <t>Gratuity</t>
  </si>
  <si>
    <t>Compensated absences</t>
  </si>
  <si>
    <t>I. Components of Employer Expenses</t>
  </si>
  <si>
    <t>a) Current Service Cost</t>
  </si>
  <si>
    <t>b) Past Service Cost</t>
  </si>
  <si>
    <t>c) Net Interest Cost</t>
  </si>
  <si>
    <t>d) Net value of remeasurements on the obligation and plan assets</t>
  </si>
  <si>
    <t>Total Expense recognised in Statement of Profit &amp; Loss</t>
  </si>
  <si>
    <t xml:space="preserve">II. Net Asset / (Liability) recognised in Balance Sheet </t>
  </si>
  <si>
    <t>a) Present value of Defined Benefit Obligation</t>
  </si>
  <si>
    <t>b) Fair Value of Plan Assets</t>
  </si>
  <si>
    <t xml:space="preserve">Net Asset / (Liability) recognised in Balance Sheet </t>
  </si>
  <si>
    <t xml:space="preserve">Current </t>
  </si>
  <si>
    <t xml:space="preserve">III. Changes in Defined Benefit Obligations (DBO) during the year </t>
  </si>
  <si>
    <t>a) Opening Present Value of Obligation</t>
  </si>
  <si>
    <t>b) Current Service Cost</t>
  </si>
  <si>
    <t>c) Interest Cost</t>
  </si>
  <si>
    <t>d) Actuarial (Gain) / Loss</t>
  </si>
  <si>
    <t>e) Benefits settled</t>
  </si>
  <si>
    <t>Present Value of Obligation at the year end</t>
  </si>
  <si>
    <t>IV. Changes in the fair value of plan assets during the year</t>
  </si>
  <si>
    <t>a) Opening fair value of plan assets</t>
  </si>
  <si>
    <t>b) Expected return</t>
  </si>
  <si>
    <t>c) Contributions by employer</t>
  </si>
  <si>
    <t>d) Benefit Paid</t>
  </si>
  <si>
    <t xml:space="preserve">e) Actuarial gain/(loss) </t>
  </si>
  <si>
    <t>Fair Value of Plan assets at the year end</t>
  </si>
  <si>
    <t xml:space="preserve">V. Actuarial Assumptions </t>
  </si>
  <si>
    <t>a) Type of fund</t>
  </si>
  <si>
    <t>Funded</t>
  </si>
  <si>
    <t>Unfunded</t>
  </si>
  <si>
    <t>b) Discount Rate (per annum)</t>
  </si>
  <si>
    <t xml:space="preserve">c) Mortality </t>
  </si>
  <si>
    <t>Indian  Assured  Lives Mortality</t>
  </si>
  <si>
    <t>d) Withdrawal Rate (per annum)</t>
  </si>
  <si>
    <t>f) Annual Increase in Salary Cost</t>
  </si>
  <si>
    <t xml:space="preserve"> 15.00% p.a. for next 2 years &amp; 12.00% p.a. thereafter </t>
  </si>
  <si>
    <t>g) Retirement age</t>
  </si>
  <si>
    <t>VI. Actuarial (gain) / loss recognised</t>
  </si>
  <si>
    <t>Actuarial (gain) / loss recognised on obligations:</t>
  </si>
  <si>
    <t>Due to experience adjustments</t>
  </si>
  <si>
    <t>Due to Change in financial assumptions</t>
  </si>
  <si>
    <t>Due to change in demographic assumption</t>
  </si>
  <si>
    <t>Return on plan assets excluding interest income</t>
  </si>
  <si>
    <t>Net Actuarial (gain) / loss recognised during the year</t>
  </si>
  <si>
    <t>VII. Other Information</t>
  </si>
  <si>
    <t>Expected contribution during the next financial year</t>
  </si>
  <si>
    <t>Average outstanding term of the obligations (Years)</t>
  </si>
  <si>
    <t>VIII. Experience adjustment</t>
  </si>
  <si>
    <t>Present value of defined benefit obligation</t>
  </si>
  <si>
    <t>Fair value of plan assets</t>
  </si>
  <si>
    <t>Funded  status (deficit)</t>
  </si>
  <si>
    <t>Experience (gain) / loss on plan assets</t>
  </si>
  <si>
    <t>Experience (gain) / loss on plan liabilities</t>
  </si>
  <si>
    <t>Notes :</t>
  </si>
  <si>
    <t>(i) Discount rate is determined by reference to market yields at the Balance Sheet date on Government Bonds, where the currency and terms of the Govt. Bonds are consistent with the currency and estimated terms for the benefit obligation.</t>
  </si>
  <si>
    <t>(ii) The estimate of future salary increases takes into account inflation, seniority, promotion and other relevant factors such as supply and demand in the employment market.</t>
  </si>
  <si>
    <t>(iii) Expected return on plan assets is based on market expectation, at the beginning of the period for returns over the entire life of the related obligation.</t>
  </si>
  <si>
    <t>Sensitivity</t>
  </si>
  <si>
    <t>Reasonably possible changes at the reporting date to one of the relevant actuarial assumptions, holding other assumptions constant, would have affected the defined benefit obligation by the amounts shown below:</t>
  </si>
  <si>
    <t>Increase</t>
  </si>
  <si>
    <t>Decrease</t>
  </si>
  <si>
    <t>Discount rate ( - / +0.5%)</t>
  </si>
  <si>
    <t>Salary growth rate (- / +0.5%)</t>
  </si>
  <si>
    <t>Withdrawal rate ( - / +10%)</t>
  </si>
  <si>
    <t>A description of methods used for sensitivity analysis and its Limitations:</t>
  </si>
  <si>
    <t>Sensitivity analysis is performed by varying a single parameter while keeping all the other parameters unchanged. Sensitivity analysis fails to focus on the interrelationships between underlying parameters. Hence, the results may vary if two or more variables are changed simultaneously. The method used does not indicate anything about the likelihood of change in any parameter and the extent of the change, if any.</t>
  </si>
  <si>
    <t>CWIP Transferred from BVO</t>
  </si>
  <si>
    <t>NOTE 33</t>
  </si>
  <si>
    <t>NOTE 34</t>
  </si>
  <si>
    <t>Redemption of compound financial instruments</t>
  </si>
  <si>
    <t>Opening</t>
  </si>
  <si>
    <t>CY</t>
  </si>
  <si>
    <t>Closing</t>
  </si>
  <si>
    <t>Note (i): Payment to Auditors (excluding tax)</t>
  </si>
  <si>
    <t>Revenue from operations*366</t>
  </si>
  <si>
    <t>Tangible Net Worth (Shareholder's equity)</t>
  </si>
  <si>
    <t>Total Debt</t>
  </si>
  <si>
    <t>Deferred Tax Liability(Assets)</t>
  </si>
  <si>
    <t xml:space="preserve">Working capital </t>
  </si>
  <si>
    <t>Interest on fixed deposits with banks</t>
  </si>
  <si>
    <t>Interest on fixed deposits with others</t>
  </si>
  <si>
    <t>Provision for compensated absences</t>
  </si>
  <si>
    <t>Provision for employee benefits - Gratuity</t>
  </si>
  <si>
    <t>NON-CURRENT PROVISIONS</t>
  </si>
  <si>
    <t>CURRENT PROVISIONS</t>
  </si>
  <si>
    <t>Increase/(Decrease) in Employee Benefit Liabilities</t>
  </si>
  <si>
    <t>Revenue (including other income)</t>
  </si>
  <si>
    <t xml:space="preserve">    - India</t>
  </si>
  <si>
    <t xml:space="preserve">    - Outside India</t>
  </si>
  <si>
    <t>REVENUE FROM CONTRACTS WITH CUSTOMERS</t>
  </si>
  <si>
    <t>(a) Disaggregation of revenue from contracts with customers</t>
  </si>
  <si>
    <t>(b) Contract balances</t>
  </si>
  <si>
    <t>The following table provides information about receivables, contract assets and contract liabilities from contracts with customers:</t>
  </si>
  <si>
    <t>Advance from Customers</t>
  </si>
  <si>
    <t>NOTE 27</t>
  </si>
  <si>
    <t>NOTE 28</t>
  </si>
  <si>
    <t>NOTE 29</t>
  </si>
  <si>
    <t>NOTE 31</t>
  </si>
  <si>
    <t>NOTE 32</t>
  </si>
  <si>
    <t>NOTE 35</t>
  </si>
  <si>
    <t>NOTE 36</t>
  </si>
  <si>
    <t>INSTRUMENT ENTIRELY EQUITY IN NATURE</t>
  </si>
  <si>
    <t>Balance at the beginning of the reporting year</t>
  </si>
  <si>
    <t>(c) Tax expenses  Amounts recognised in the Statement of Profit and Loss:</t>
  </si>
  <si>
    <t>(d) Reconciliation of tax expenses and the accounting profit multiplied by India's tax rate:</t>
  </si>
  <si>
    <t>(B) Instruments entirely equity in nature</t>
  </si>
  <si>
    <t>Compulsory Convertible Preference Shares - Share Application Money Pending Allotment</t>
  </si>
  <si>
    <t>Addition in compulsorily convertible preference shares during the year</t>
  </si>
  <si>
    <t>(B) Instrument Entirely Equity in Nature</t>
  </si>
  <si>
    <t>(C) Other Equity</t>
  </si>
  <si>
    <t>Changes in instruments entirely equity in nature during the year</t>
  </si>
  <si>
    <t>CWIP - Completion Schedule whose completion date is overdue or has exceeded its cost compared to its original plan:</t>
  </si>
  <si>
    <t>To be completed in</t>
  </si>
  <si>
    <t>Project Nirman</t>
  </si>
  <si>
    <t>Loans to related party - (Considered good - unsecured)</t>
  </si>
  <si>
    <t>Bank Deposit with more than 12 months of maturity</t>
  </si>
  <si>
    <t>Salary</t>
  </si>
  <si>
    <t>PF</t>
  </si>
  <si>
    <t>Tr. to CWIP</t>
  </si>
  <si>
    <t>Exp.</t>
  </si>
  <si>
    <t>NOTE 18</t>
  </si>
  <si>
    <t>NOTE 17</t>
  </si>
  <si>
    <t>NOTE 14</t>
  </si>
  <si>
    <t>NOTE 15</t>
  </si>
  <si>
    <t>NOTE 24</t>
  </si>
  <si>
    <t>NOTE 26</t>
  </si>
  <si>
    <t>NOTE 25</t>
  </si>
  <si>
    <t>Add : Purchases -PM</t>
  </si>
  <si>
    <r>
      <rPr>
        <b/>
        <sz val="11"/>
        <rFont val="Calibri"/>
        <family val="2"/>
        <scheme val="minor"/>
      </rPr>
      <t>1. Equity component of compound financial instruments</t>
    </r>
    <r>
      <rPr>
        <sz val="11"/>
        <rFont val="Calibri"/>
        <family val="2"/>
        <scheme val="minor"/>
      </rPr>
      <t xml:space="preserve"> - The Company has issued Optionally Convertible Redeemable Preference Shares (OCRPS) during the financial year ended March 31, 2022. Considering the accounting principles to be followed in line with Indian Accounting Standards, the Company has computed the liability portion of OCRPS as the present value of the contractual obligations associated with the instrument. The difference (net of tax) between the issue amount of the OCRPS and the liability so computed has been treated as the 'Equity component of compound financial instruments' and grouped under other equity.</t>
    </r>
  </si>
  <si>
    <t>IT Computation workings</t>
  </si>
  <si>
    <t>Earlier disallowances</t>
  </si>
  <si>
    <t>AY 2023-24</t>
  </si>
  <si>
    <t>Expenditure deferred relating to manufacturing</t>
  </si>
  <si>
    <t>Expenditure deferred relating to leasehold rights amortisation</t>
  </si>
  <si>
    <t>AY 2022-23</t>
  </si>
  <si>
    <t>Additions during FY 2023-24</t>
  </si>
  <si>
    <t>Allocation of deferred manufacturing exp</t>
  </si>
  <si>
    <t>Depreciation</t>
  </si>
  <si>
    <t>Capital gains</t>
  </si>
  <si>
    <t>HDFC Overnight Fund - Direct Plan - Growth Option</t>
  </si>
  <si>
    <t xml:space="preserve">HDFC Liquid Fund-Direct Plan-Growth Option Cash, </t>
  </si>
  <si>
    <t xml:space="preserve">HDFC Arbitrage Fund - Wholesale Plan - Growth - Direct Plan Arbitrage Fund, </t>
  </si>
  <si>
    <t>diff</t>
  </si>
  <si>
    <t xml:space="preserve">Leasehold </t>
  </si>
  <si>
    <t>Expenditure deferred relating to leasehold rights amortisation (AY 2023-24)</t>
  </si>
  <si>
    <t>Amortisation</t>
  </si>
  <si>
    <t>Expenditure deferred relating to leasehold rights amortisation (AY 2022-23)</t>
  </si>
  <si>
    <t>Int on borrowing</t>
  </si>
  <si>
    <t>Cost of acquisition</t>
  </si>
  <si>
    <t>Lease period</t>
  </si>
  <si>
    <t>Balance lease period</t>
  </si>
  <si>
    <t>Per month</t>
  </si>
  <si>
    <t>Jan 24 to March 24</t>
  </si>
  <si>
    <t>35D - Preliminary expenses (3rd year)</t>
  </si>
  <si>
    <t>Leasehold amortisation</t>
  </si>
  <si>
    <t>Interest Income HDFC BANK LIMITED - as per 26AS</t>
  </si>
  <si>
    <t>Interest Income AXIS BANK LIMITED - as per 26AS</t>
  </si>
  <si>
    <t>Gain redemption of units of  Debt mutual fund</t>
  </si>
  <si>
    <t>Month end Adjustment  - Material</t>
  </si>
  <si>
    <t>Provision_MSME Interest</t>
  </si>
  <si>
    <t>Tax Expense</t>
  </si>
  <si>
    <t>Provision_Other Expenses</t>
  </si>
  <si>
    <t>Provision for Leave</t>
  </si>
  <si>
    <t>Gratuity Expenses</t>
  </si>
  <si>
    <t>Provision for Gratui</t>
  </si>
  <si>
    <t>Income tax liabilities (Net)</t>
  </si>
  <si>
    <t>Current tax liabilities (Net)</t>
  </si>
  <si>
    <t>Difference in tax rate for certain income</t>
  </si>
  <si>
    <t>Expenses disallowed</t>
  </si>
  <si>
    <t>ITWDV</t>
  </si>
  <si>
    <t>Book WDV</t>
  </si>
  <si>
    <t>(C)</t>
  </si>
  <si>
    <t>Note on Ultimate Beneficiaries</t>
  </si>
  <si>
    <t>No funds have been advanced or loaned or invested (either from borrowed funds or share premium or any other sources or kind of funds) by the Company to or in any other person(s) or entity(ies), including foreign entities (“Intermediaries”) with the understanding, whether recorded in writing or otherwise, that the Intermediary shall lend or invest in party identified by or on behalf of the Company (Ultimate Beneficiaries). The Company has not received any fund from any party(s)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</si>
  <si>
    <t>Re-Class Entry</t>
  </si>
  <si>
    <t>IND AS - Deferred Tax Liability</t>
  </si>
  <si>
    <t>(₹ in '000)</t>
  </si>
  <si>
    <t>Issue of preference share capital (CCPS) including preference share premium</t>
  </si>
  <si>
    <t>Increase/(Decrease) in Other Financial Liabilities</t>
  </si>
  <si>
    <t>Conversion of Optionally convertible preference shares into equity shares</t>
  </si>
  <si>
    <t>Total Interest in Finance Cost</t>
  </si>
  <si>
    <t>Interest Accrued</t>
  </si>
  <si>
    <t>Provision other expe &gt;&gt;&gt; Trade Payable</t>
  </si>
  <si>
    <t>DTL &gt;&gt;&gt; Other Equity</t>
  </si>
  <si>
    <t>Manual Entry</t>
  </si>
  <si>
    <t>Loan given to fellow subsidiary</t>
  </si>
  <si>
    <t>Provision_Income Tax</t>
  </si>
  <si>
    <t>Income Tax Exp</t>
  </si>
  <si>
    <t>Building</t>
  </si>
  <si>
    <t>ACC_DEP_Building</t>
  </si>
  <si>
    <t>Other Tax Asset (Net)</t>
  </si>
  <si>
    <t>Payment of Interest</t>
  </si>
  <si>
    <t>DT</t>
  </si>
  <si>
    <t>Employee Benefits - Provisions for Gratuity and Compensated absences</t>
  </si>
  <si>
    <t>@ 17.168%</t>
  </si>
  <si>
    <t>NON CURRENT ASSETS : Other Tax Asset (Net)</t>
  </si>
  <si>
    <t>Loan to subsidiary</t>
  </si>
  <si>
    <t>Loan to subsdiary (net)</t>
  </si>
  <si>
    <t>Equity related other changes</t>
  </si>
  <si>
    <t>Loss</t>
  </si>
  <si>
    <t>CF Loss</t>
  </si>
  <si>
    <r>
      <rPr>
        <b/>
        <sz val="11"/>
        <color theme="1"/>
        <rFont val="Calibri"/>
        <family val="2"/>
        <scheme val="minor"/>
      </rPr>
      <t>Level 1:</t>
    </r>
    <r>
      <rPr>
        <sz val="11"/>
        <color theme="1"/>
        <rFont val="Calibri"/>
        <family val="2"/>
        <scheme val="minor"/>
      </rPr>
      <t xml:space="preserve"> Level 1 hierarchy includes financial instruments measured using quoted prices. </t>
    </r>
  </si>
  <si>
    <r>
      <rPr>
        <b/>
        <sz val="11"/>
        <color theme="1"/>
        <rFont val="Calibri"/>
        <family val="2"/>
        <scheme val="minor"/>
      </rPr>
      <t>Level 2:</t>
    </r>
    <r>
      <rPr>
        <sz val="11"/>
        <color theme="1"/>
        <rFont val="Calibri"/>
        <family val="2"/>
        <scheme val="minor"/>
      </rPr>
      <t xml:space="preserve"> The fair value of financial instruments that are not traded in an active market (for example, traded bonds, over-the counter derivatives) is determined using valuation techniques which maximise the use of observable market data and rely as little as possible on entity-specific estimates. If all Material inputs required to fair value an instrument are observable, the instrument is included in level 2.</t>
    </r>
  </si>
  <si>
    <r>
      <rPr>
        <b/>
        <sz val="11"/>
        <color theme="1"/>
        <rFont val="Calibri"/>
        <family val="2"/>
        <scheme val="minor"/>
      </rPr>
      <t>Level 3:</t>
    </r>
    <r>
      <rPr>
        <sz val="11"/>
        <color theme="1"/>
        <rFont val="Calibri"/>
        <family val="2"/>
        <scheme val="minor"/>
      </rPr>
      <t xml:space="preserve"> If one or more of the Material inputs is not based on observable market data, the instrument is included in level 3. This is the case for unlisted equity securities included in level 3.</t>
    </r>
  </si>
  <si>
    <t>Amount Received</t>
  </si>
  <si>
    <t>Amount paid</t>
  </si>
  <si>
    <t>Interest paid</t>
  </si>
  <si>
    <t>Opening balance</t>
  </si>
  <si>
    <t>Closing balance</t>
  </si>
  <si>
    <t>31 March 2025</t>
  </si>
  <si>
    <t>As at 31 March 2025</t>
  </si>
  <si>
    <t>Balance as at 31 March 2025</t>
  </si>
  <si>
    <t>Balance as at 1 April 2022</t>
  </si>
  <si>
    <t>Balance as at 1 April 2024</t>
  </si>
  <si>
    <t>(b) Deferred tax balances and movement for the year ended 31 March 2024</t>
  </si>
  <si>
    <t>(c) Deferred tax balances and movement for the year ended 31 March 2023</t>
  </si>
  <si>
    <t>Balance as on 31 March 2024</t>
  </si>
  <si>
    <t>For the year ended 31 March 2025</t>
  </si>
  <si>
    <t>2024-25</t>
  </si>
  <si>
    <t>The company has issued 0.01% non-cumulative compulsory convertible preference shares. The Preference shares issued, carry a preferential right vis-à-vis equity shares of the company with respect to the payment of dividend and repayment of capital during the winding up. The said preference shares will be converted into equity shares in the ration of 1:1 at the option of preference share holder.</t>
  </si>
  <si>
    <t>(i) During the year ended 31 March 2022, the Company has issued 0.01% 97,276 non-cumulative optionally convertible preference shares (OCPS). The Preference issued, carry a preferential right vis-à-vis equity shares of the Company with respect to the payment of dividend and repayment of capital during the winding up. The said preference shares will be converted into equity shares in the ratio of 1:1 at the option of preference share holder. In case same is not converted into equity shares, then same shall be redeemed at the end of 20 years from the date of allotment of shares with redemption premium of Rs 2,046/- per share. During the year ended 31 March 2024, the Company has converted OCPS to Equity shares.</t>
  </si>
  <si>
    <t>The borrowing cost is capitalized at rate(s) applicable to specific loan(s) used for specific project(s). The weighted average rate of borrowings used for projects is 8.50% for FY 2024-25  [P.Y. : 8.50%].</t>
  </si>
  <si>
    <t>Trial Balance as on 31 March 2024</t>
  </si>
  <si>
    <t>IND AS - Deferred Tax Expense</t>
  </si>
  <si>
    <t>Unrealised Forex Gain/loss</t>
  </si>
  <si>
    <t>Income Tax Expense</t>
  </si>
  <si>
    <t>Leave Salary- BVCPL</t>
  </si>
  <si>
    <t>Payable - Fuel</t>
  </si>
  <si>
    <t>Payables - Employees</t>
  </si>
  <si>
    <t>Fuel Stock</t>
  </si>
  <si>
    <t>Prepaid Expenses</t>
  </si>
  <si>
    <t>Scrap Sales</t>
  </si>
  <si>
    <t>Custom Duty</t>
  </si>
  <si>
    <t>Vehicle Hire Charges</t>
  </si>
  <si>
    <t>Consumption of Fuel</t>
  </si>
  <si>
    <t>Labour Charges</t>
  </si>
  <si>
    <t>Lease Rent_Factory</t>
  </si>
  <si>
    <t>Conveyance Expenses</t>
  </si>
  <si>
    <t>Penalty Expense</t>
  </si>
  <si>
    <t>Freight Outward</t>
  </si>
  <si>
    <t>Security Charges</t>
  </si>
  <si>
    <t>Office Expenses</t>
  </si>
  <si>
    <t>Clearing Material</t>
  </si>
  <si>
    <t>Rent expenses</t>
  </si>
  <si>
    <t>Travelling and conveyance</t>
  </si>
  <si>
    <t>Security charges</t>
  </si>
  <si>
    <t>0.01% Non-Cumulative CCPS</t>
  </si>
  <si>
    <t>Grand Total</t>
  </si>
  <si>
    <t>Sum of Current</t>
  </si>
  <si>
    <t>Sum of Non-Current</t>
  </si>
  <si>
    <t>Sum of Total</t>
  </si>
  <si>
    <t>Values</t>
  </si>
  <si>
    <t>Equity Total</t>
  </si>
  <si>
    <t>Liabilities Total</t>
  </si>
  <si>
    <t>Asset Total</t>
  </si>
  <si>
    <t>Expenses Total</t>
  </si>
  <si>
    <t>Income Total</t>
  </si>
  <si>
    <t>CY Profit</t>
  </si>
  <si>
    <t>Sr No</t>
  </si>
  <si>
    <t>Nature of Shares</t>
  </si>
  <si>
    <t>Date of Issue</t>
  </si>
  <si>
    <t>No of Shares</t>
  </si>
  <si>
    <t>WA Days</t>
  </si>
  <si>
    <t>Basic</t>
  </si>
  <si>
    <t>Dilluted</t>
  </si>
  <si>
    <t>Ordinary Equity Shares - Basic + Dilluted</t>
  </si>
  <si>
    <t>On Incorporation</t>
  </si>
  <si>
    <t>OCPS Converted to Equity</t>
  </si>
  <si>
    <t>Loan Converted to Equity</t>
  </si>
  <si>
    <t>CCPS issued - Basic + Dilluted_1st Lot</t>
  </si>
  <si>
    <t>CCPS issued - Basic + Dilluted_2nd Lot</t>
  </si>
  <si>
    <t>NOTE 3</t>
  </si>
  <si>
    <t>Cash &amp; Cash Equivalents</t>
  </si>
  <si>
    <t>Security Premium Account</t>
  </si>
  <si>
    <t>Profit &amp; Loss Account</t>
  </si>
  <si>
    <t>IND AS - Opening Balance - Retained Earnings</t>
  </si>
  <si>
    <t>IND AS - Transaction Cost Impact on TL</t>
  </si>
  <si>
    <t>TL_AXIS_ 923060053143888</t>
  </si>
  <si>
    <t>TL_AXIS_924060051723539</t>
  </si>
  <si>
    <t>TL_HDFC_02400930000746</t>
  </si>
  <si>
    <t>Provision for Gratuity</t>
  </si>
  <si>
    <t>Provision for Leave Salary</t>
  </si>
  <si>
    <t>Payable - Raw Material Import</t>
  </si>
  <si>
    <t>Payable - Raw Material Domestic</t>
  </si>
  <si>
    <t>Payable - Packing Material</t>
  </si>
  <si>
    <t>TDS_Professional and Consulting_194J</t>
  </si>
  <si>
    <t>TDS_Interest on borrowing_194A</t>
  </si>
  <si>
    <t>TDS_Purchase on Goods_194Q</t>
  </si>
  <si>
    <t>PF Employee Contribution</t>
  </si>
  <si>
    <t>ACC_DEP_Plant and machinery</t>
  </si>
  <si>
    <t>Capital Work In Progress - Internal Orders</t>
  </si>
  <si>
    <t>Deposit_Prohibition and Excise</t>
  </si>
  <si>
    <t>IND AS - Deferred Tax Assets</t>
  </si>
  <si>
    <t>Packing Material Stock</t>
  </si>
  <si>
    <t>Goods In Transit - Sales</t>
  </si>
  <si>
    <t>Inventory_Manual Entry</t>
  </si>
  <si>
    <t>CA_HDFC_57500000732637</t>
  </si>
  <si>
    <t>CA_Axis_923020022099965</t>
  </si>
  <si>
    <t>Advances to Employees_IOU</t>
  </si>
  <si>
    <t>IND AS - Receivable from employee (Finance Lease)</t>
  </si>
  <si>
    <t>Domestic Sales Inter Company</t>
  </si>
  <si>
    <t>Realised Forex Gain/loss</t>
  </si>
  <si>
    <t>Interest on Bank Deposit</t>
  </si>
  <si>
    <t>Gain / Loss from MF Investment</t>
  </si>
  <si>
    <t>IND AS - Interest Income</t>
  </si>
  <si>
    <t>Import Cost on Material</t>
  </si>
  <si>
    <t>Interest on Custom Duty</t>
  </si>
  <si>
    <t>Consumption of Raw Material</t>
  </si>
  <si>
    <t>Price Difference Material</t>
  </si>
  <si>
    <t>Consumption of Packing Material</t>
  </si>
  <si>
    <t>Consumption of Semi-Finished Goods</t>
  </si>
  <si>
    <t>Price difference SFG and FG</t>
  </si>
  <si>
    <t>COGM Material_Manual Entry</t>
  </si>
  <si>
    <t>Interest on Term Loan</t>
  </si>
  <si>
    <t>IND AS - Interest on TL</t>
  </si>
  <si>
    <t>Import Payment_Charges</t>
  </si>
  <si>
    <t>Consumption of Stores and Spares</t>
  </si>
  <si>
    <t>Consumption of Consumable Item</t>
  </si>
  <si>
    <t>Power Cost</t>
  </si>
  <si>
    <t>Effluent Treatment Charges</t>
  </si>
  <si>
    <t>Travelling Expenses_Domestic</t>
  </si>
  <si>
    <t>Communication Expenses</t>
  </si>
  <si>
    <t>Power Cost_Corporate office</t>
  </si>
  <si>
    <t>Reach Registration Charges</t>
  </si>
  <si>
    <t>Printing and Stationery</t>
  </si>
  <si>
    <t>Prior year Tax Short/Excess</t>
  </si>
  <si>
    <t>Professional &amp; Consulting Fees</t>
  </si>
  <si>
    <t>ACC_DEP_Leasehold Land</t>
  </si>
  <si>
    <t>Less: Current Maturities of Long term borrowings</t>
  </si>
  <si>
    <t>Secured</t>
  </si>
  <si>
    <t>Term loan from Bank - Current Maturities</t>
  </si>
  <si>
    <t>Unsecured Loan Repayable on Demand</t>
  </si>
  <si>
    <t>Provision_Bonus</t>
  </si>
  <si>
    <t>Interest Accrued but</t>
  </si>
  <si>
    <t>Other Receivables</t>
  </si>
  <si>
    <t>Sales adjut-Manual</t>
  </si>
  <si>
    <t>Interest On Deposit</t>
  </si>
  <si>
    <t>Interest on Income T</t>
  </si>
  <si>
    <t>Freight on Job Work</t>
  </si>
  <si>
    <t>Consumption_Manual</t>
  </si>
  <si>
    <t>Admin Charges on PF</t>
  </si>
  <si>
    <t>Bonus_BVC Employee</t>
  </si>
  <si>
    <t>Company Contribution</t>
  </si>
  <si>
    <t>Education Allowance</t>
  </si>
  <si>
    <t>House Rent Allowance</t>
  </si>
  <si>
    <t>Medical Expenses</t>
  </si>
  <si>
    <t>Other Allowance</t>
  </si>
  <si>
    <t>Helper Allowance</t>
  </si>
  <si>
    <t>Monthly Prod Incenti</t>
  </si>
  <si>
    <t>Interest on Cash Cre</t>
  </si>
  <si>
    <t>Lease Rent_Office</t>
  </si>
  <si>
    <t>EHS Expense</t>
  </si>
  <si>
    <t>Selling and Distribu</t>
  </si>
  <si>
    <t>Membership and Subsc</t>
  </si>
  <si>
    <t>Detention Charges</t>
  </si>
  <si>
    <t>Working Capital Loans from Bank</t>
  </si>
  <si>
    <t>Other receivable</t>
  </si>
  <si>
    <t>- Plant and machinery</t>
  </si>
  <si>
    <t>(iii) Other Financial Assets</t>
  </si>
  <si>
    <t>Office Equipment</t>
  </si>
  <si>
    <t>Furniture &amp; Fixture</t>
  </si>
  <si>
    <t>Electrical Fittings</t>
  </si>
  <si>
    <t>Computer Software</t>
  </si>
  <si>
    <t>Capita Adv Audit Adj</t>
  </si>
  <si>
    <t>Navaz</t>
  </si>
  <si>
    <t>navaz</t>
  </si>
  <si>
    <t>ACC_DEP_Office equim</t>
  </si>
  <si>
    <t>ACC_DEP_Furniture an</t>
  </si>
  <si>
    <t>ACC_DEP_Electrical f</t>
  </si>
  <si>
    <t>ACC_DEP_Computer Sof</t>
  </si>
  <si>
    <t>Provision_PF and ESIC Contribution by Company</t>
  </si>
  <si>
    <t>Tomorrow</t>
  </si>
  <si>
    <t>Sampling done we have not received samples yet</t>
  </si>
  <si>
    <t>Rahul</t>
  </si>
  <si>
    <t>Pending</t>
  </si>
  <si>
    <t>done</t>
  </si>
  <si>
    <t>reclass pending</t>
  </si>
  <si>
    <t>pending</t>
  </si>
  <si>
    <t>repayment schedule pending</t>
  </si>
  <si>
    <t>Done entry needs to be checked once</t>
  </si>
  <si>
    <t>Advance to vendor</t>
  </si>
  <si>
    <t>Job Work Income</t>
  </si>
  <si>
    <t>(c) Intangible Assets</t>
  </si>
  <si>
    <t>Software</t>
  </si>
  <si>
    <t>Furniture &amp; Fixtures</t>
  </si>
  <si>
    <t>Other Financial Liability</t>
  </si>
  <si>
    <t>Intangible assets</t>
  </si>
  <si>
    <t>(i)  Current Year - Nil (Previous Year - These loans are repayable after 2 years from the date of loan given and carry the interest rate of 8.50%.)</t>
  </si>
  <si>
    <t xml:space="preserve">Revenue </t>
  </si>
  <si>
    <t xml:space="preserve">    - Customer X</t>
  </si>
  <si>
    <t xml:space="preserve">    - Customer Y</t>
  </si>
  <si>
    <t>i) Principal remaining unpaid to any supplier as at the end of each accounting year</t>
  </si>
  <si>
    <t>- Interest due theron remaining unpaid to any supplier as at the end of each accounting year</t>
  </si>
  <si>
    <t>ii) Amount of interest paid by buyer in terms of section 16, along with the amount of the payment made to supplier beyond the appointed date during each accounting year</t>
  </si>
  <si>
    <t xml:space="preserve">   'Interest as per section 16 of the MSME Act, 2016</t>
  </si>
  <si>
    <t xml:space="preserve">   'Payment other than interest (as per section 16 of the MSME Act, 2016)</t>
  </si>
  <si>
    <t>iii) The amount of interest due and payable for the period of delay in making payment (which have been paid but beyond the appointed day during the year) but without adding the interest specified under this Act</t>
  </si>
  <si>
    <t>v) The amount of further interest due and payable even in the succeeding period until such date when the interest dues as above are actually paid to the small enterprise for the purpose of disallowance as a deductible expenditure under section 23.</t>
  </si>
  <si>
    <t>Corporate Gauranteee taken</t>
  </si>
  <si>
    <t>Sale of Goods</t>
  </si>
  <si>
    <t>Loan Converted into equity</t>
  </si>
  <si>
    <t>Repayment from Borrowing</t>
  </si>
  <si>
    <t xml:space="preserve">Billing against common services </t>
  </si>
  <si>
    <t>Interest on Corporate Guarantee Given</t>
  </si>
  <si>
    <t>Loan converted into equity</t>
  </si>
  <si>
    <t>Mukesh Lodha</t>
  </si>
  <si>
    <t>Shishir Srivastava</t>
  </si>
  <si>
    <t>DIN: 00330342</t>
  </si>
  <si>
    <t>Remeasurement of defined benefit plans</t>
  </si>
  <si>
    <t>Income tax relating to items that will not be reclassified to profit or loss</t>
  </si>
  <si>
    <t>IND AS -I.Tax on OCI</t>
  </si>
  <si>
    <t>(i) Item that will not be reclassified to profit or loss</t>
  </si>
  <si>
    <t>iv) The amount of interest accrued and remaining unpaid at the end of each accounting year</t>
  </si>
  <si>
    <t>Repayment of loan by fellow subsidiary</t>
  </si>
  <si>
    <t>Other comprehensive income, net of tax</t>
  </si>
  <si>
    <t xml:space="preserve">            Remeasurement of post-employment benefit obligations</t>
  </si>
  <si>
    <t xml:space="preserve">Balances with banks </t>
  </si>
  <si>
    <t>Outstanding at the end of the year (i) and (ii)</t>
  </si>
  <si>
    <t>Outstanding at the end of the year (ii)</t>
  </si>
  <si>
    <t>Outstanding at the end of the year (i)</t>
  </si>
  <si>
    <t>Equity component of Compound Financial Instruments*</t>
  </si>
  <si>
    <t>CFO (Resigned w.e.f. 31 May 2025)</t>
  </si>
  <si>
    <t>Additional Director (w.e.f. 19 January 2024) (upto 1 May 2025)</t>
  </si>
  <si>
    <t>CFO (w.e.f. 1 June 2025)</t>
  </si>
  <si>
    <t>*Mr Shaju Ouseph Chazhoor is nominee shareholder appointed by Best Value Chem Private Limited.</t>
  </si>
  <si>
    <t>(iii) Reconciliation of the number of 0.01% Non cumulative Compulsory Convertible Preference Shares outstanding at the beginning and at the end of the reporting period :</t>
  </si>
  <si>
    <t xml:space="preserve">(iv) Terms/Rights attached to 0.01% Non cumulative Compulsory Convertible Preference Shares : </t>
  </si>
  <si>
    <t>(v) Details of 0.01% Non cumulative Compulsory Convertible Preference Shares held by holding Company and Promoters:</t>
  </si>
  <si>
    <t>0.01% Non cumulative Compulsory Convertible Preference Shares</t>
  </si>
  <si>
    <t>(vi) Details of Shareholders holding more than 5%, 0.01% Non cumulative  compulsory convertible preference share</t>
  </si>
  <si>
    <t>Interest Received</t>
  </si>
  <si>
    <t>The Company had incurred ₹ 58,875  [₹ in '000] (P.Y:₹ 25,115 [₹ in '000]) towards salary, wages, allowances and bonus - employee benefits expenses and the same has been capitalised in capital work in progress.</t>
  </si>
  <si>
    <t>Profit on sale of mutual fund</t>
  </si>
  <si>
    <t>Proceeds from sale of mutual fund</t>
  </si>
  <si>
    <t>Investment in mutual fund</t>
  </si>
  <si>
    <t>Job work Income</t>
  </si>
  <si>
    <t>Other comprehensive Income for the year</t>
  </si>
  <si>
    <t>Contribution by and distribution to owners</t>
  </si>
  <si>
    <t>Total contribution by and distribution to owners</t>
  </si>
  <si>
    <t>2025 - 2026</t>
  </si>
  <si>
    <t>2024 - 2025</t>
  </si>
  <si>
    <t>Penalty</t>
  </si>
  <si>
    <t>Traced from Financials</t>
  </si>
  <si>
    <t xml:space="preserve">MSME - 43B(h) </t>
  </si>
  <si>
    <t>Gratuity U/s. 40A(7)</t>
  </si>
  <si>
    <t>Leave Provision - 43B</t>
  </si>
  <si>
    <t>Bonus - 43B</t>
  </si>
  <si>
    <t>Traced from Link</t>
  </si>
  <si>
    <t>35D - Preliminary expenses (4th year)</t>
  </si>
  <si>
    <t>Interest Income Bank and DVG/MGVCL deposits</t>
  </si>
  <si>
    <t>Interest income IND AS</t>
  </si>
  <si>
    <t>Interest on Income Tax refund</t>
  </si>
  <si>
    <t>Loan Interest (BVO)</t>
  </si>
  <si>
    <t>Less:- Interest expenditure</t>
  </si>
  <si>
    <t>TCS</t>
  </si>
  <si>
    <t>Loss as per computation</t>
  </si>
  <si>
    <t>Carried Forward loss and Depreciation</t>
  </si>
  <si>
    <t>Total Loss</t>
  </si>
  <si>
    <t>Tax rate</t>
  </si>
  <si>
    <t>Unaborbed Depreciation carried forward as per return</t>
  </si>
  <si>
    <t>IT Depreciation</t>
  </si>
  <si>
    <t>Total Depreciation</t>
  </si>
  <si>
    <t>Opening IT WDV (as per financials of FY 23-24)</t>
  </si>
  <si>
    <t>Additions FY 24-25</t>
  </si>
  <si>
    <t>Depreciation-IT</t>
  </si>
  <si>
    <t>For expenditure allocation</t>
  </si>
  <si>
    <t>Permanent Account No :  AAACB9400C</t>
  </si>
  <si>
    <t>Previous Year ended : 31 March, 2024</t>
  </si>
  <si>
    <t>Assessment Year : 2024-25</t>
  </si>
  <si>
    <t>Enclosure - 5</t>
  </si>
  <si>
    <t>Clause 18 : Particulars of Depreciation allowable as per Income Tax Act, 1961 in respect of each Block of Assets :</t>
  </si>
  <si>
    <t>Sr. No</t>
  </si>
  <si>
    <t>Description</t>
  </si>
  <si>
    <t>Depreciation Rate
(%)</t>
  </si>
  <si>
    <t>Written Down Value as on 1 April 2024</t>
  </si>
  <si>
    <t>Adjustment made to the written down value under sec 115BAA</t>
  </si>
  <si>
    <t>Adjusted written down value</t>
  </si>
  <si>
    <t>Sold during the year</t>
  </si>
  <si>
    <t>Additions/ adjustments during the year</t>
  </si>
  <si>
    <t>Net Written Down Value as on 1 April 2023</t>
  </si>
  <si>
    <t>Depreciation/Amortisation</t>
  </si>
  <si>
    <t>Closing  Written Down Value as on 31 March 2025</t>
  </si>
  <si>
    <t>Equal to or
more than 180 days</t>
  </si>
  <si>
    <t>Less than 180 days</t>
  </si>
  <si>
    <t>On opening Written Down Value</t>
  </si>
  <si>
    <t>Used for            &gt; 180 days</t>
  </si>
  <si>
    <t>Used for            &lt; 180 days</t>
  </si>
  <si>
    <t>Normal</t>
  </si>
  <si>
    <t>Additional</t>
  </si>
  <si>
    <t>(Rs.)</t>
  </si>
  <si>
    <t>Plant &amp; Machinery</t>
  </si>
  <si>
    <t>Furniture</t>
  </si>
  <si>
    <t>To add Vehicle Block</t>
  </si>
  <si>
    <t>Addition as per last year Deferred</t>
  </si>
  <si>
    <t>Notes:</t>
  </si>
  <si>
    <t>1)</t>
  </si>
  <si>
    <t>The opening written down value of each block of assets and classification of asset as on 1 April 2023 is on the basis of the return of income filed for A.Y. 2023-24 and has been relied upon by the auditors.</t>
  </si>
  <si>
    <t>2)</t>
  </si>
  <si>
    <t>Date of addition is the date when the asset is put to use and is as represented by Company's Management. (Refer "Enclosure - 6A"). Fixed assets purchased during the year have been capitalised on the day the asset has been put to use or came into being. In view of this, the assessee has claimed depreciation for full year on assets capitalised before 3 October 2023 and has claimed depreciation at half rates on assets capitalised after the above date.</t>
  </si>
  <si>
    <t>3)</t>
  </si>
  <si>
    <t>Additions do not include any adjustments on account of CENVAT/Input Tax Credit on property, plant and equipment during the year, subsidy, grant or any other reimbursements. Further, there is no realized foreign exchange fluctuation (loss) has been adjusted in the cost of assets capitalized during the year.  Refer enclosure 6A for details.</t>
  </si>
  <si>
    <t>4)</t>
  </si>
  <si>
    <t>The Company has decided to exercise the option permitted under Section 115BAA of the Income Tax Act, 1961 as introduced by the Taxation Laws (Amendment) Ordinance, 2019 from the financial year 2019-20. Accordingly, the Company is not entitled to additional depreciation.</t>
  </si>
  <si>
    <t>5)</t>
  </si>
  <si>
    <t>The auditors have relied on the Management's classification in respect of Property, Plant and Equipment. The information regarding to classification of assets and written down value has been determined on the basis of the tax records maintained by the assessee.</t>
  </si>
  <si>
    <t>6)</t>
  </si>
  <si>
    <t>The addition in vehicles amounting to Rs. 22,155,004/- which have been given to employees are not capitalised in the books of accounts on account of Ind AS adjustment. The same has been accounted as Deferred Employee cost under Other assets (non-current/ current). As explained by the management, the said addition in such vehicles, can be capitalised under Income Tax Act.</t>
  </si>
  <si>
    <t>Gross Block</t>
  </si>
  <si>
    <t>Depreciation up to 31.03.2024</t>
  </si>
  <si>
    <t>Net Block</t>
  </si>
  <si>
    <t>FA Class</t>
  </si>
  <si>
    <t>Opending</t>
  </si>
  <si>
    <t>Addition</t>
  </si>
  <si>
    <t>Deletion</t>
  </si>
  <si>
    <t>Depreciation FY2024-25</t>
  </si>
  <si>
    <t>Lease Land</t>
  </si>
  <si>
    <t>Buildings</t>
  </si>
  <si>
    <t>Electrical Installations and Equipment</t>
  </si>
  <si>
    <t>Laboratory Equipment</t>
  </si>
  <si>
    <t>Plant and Machinery</t>
  </si>
  <si>
    <t>Lease</t>
  </si>
  <si>
    <t>Current year Business loss</t>
  </si>
  <si>
    <t>As per Return</t>
  </si>
  <si>
    <t>Current year depreciation</t>
  </si>
  <si>
    <t>Unabsorbed depreciation</t>
  </si>
  <si>
    <t>(Deferred Tax Liability)/Deferred Tax Asset recognized</t>
  </si>
  <si>
    <t>Balance as on 31 March 2025</t>
  </si>
  <si>
    <t>As at
31 March 2025</t>
  </si>
  <si>
    <t>HDFC Buyer’s Credit</t>
  </si>
  <si>
    <t>CC_Axis_925030026102</t>
  </si>
  <si>
    <t>Code</t>
  </si>
  <si>
    <t>INDAS Head</t>
  </si>
  <si>
    <t>INDAS Sub Head</t>
  </si>
  <si>
    <t>Job work and labour charges</t>
  </si>
  <si>
    <t>Investment Equit-JSW</t>
  </si>
  <si>
    <t>Duty Drawback Receiv</t>
  </si>
  <si>
    <t>Consumption of FG</t>
  </si>
  <si>
    <t>Export Collection_Ch</t>
  </si>
  <si>
    <t>GST Expense</t>
  </si>
  <si>
    <t>Investments</t>
  </si>
  <si>
    <t>(i) Investments</t>
  </si>
  <si>
    <t>(ii) Loans</t>
  </si>
  <si>
    <t>Conveyance Allowance</t>
  </si>
  <si>
    <t>Freight cost– Others</t>
  </si>
  <si>
    <t>DEP</t>
  </si>
  <si>
    <t>As per MIS</t>
  </si>
  <si>
    <t>Capital Crs As per MIS</t>
  </si>
  <si>
    <t xml:space="preserve">Diff </t>
  </si>
  <si>
    <t>WCDL_HDFC</t>
  </si>
  <si>
    <t>Sales_Rate Differenc</t>
  </si>
  <si>
    <t>Annual Maintainance</t>
  </si>
  <si>
    <t>Interest on WCDL</t>
  </si>
  <si>
    <t>July</t>
  </si>
  <si>
    <t>Receivables- Deemed</t>
  </si>
  <si>
    <t>ITC appearing in 2B</t>
  </si>
  <si>
    <t>MEIS/RODTEP Script</t>
  </si>
  <si>
    <t>Garden Expense</t>
  </si>
  <si>
    <t>Packing Material Adj - Out of books</t>
  </si>
  <si>
    <t>Income Tax_Refund_AY</t>
  </si>
  <si>
    <t>Interest on IC Loan</t>
  </si>
  <si>
    <t>Nov</t>
  </si>
  <si>
    <t>TL_AXIS_926060049706</t>
  </si>
  <si>
    <t>WCDL_Axis Bank</t>
  </si>
  <si>
    <t>Consumtion of Steam-Fuel</t>
  </si>
  <si>
    <t>(iii) 23,192 Non Cumulative Compulsory Convertible Preference Shares  ₹ 10/- each Issued at premium of ₹ 28,933/-</t>
  </si>
  <si>
    <t>Outstanding at the end of the year (i) (ii) and (iii)</t>
  </si>
  <si>
    <t>Trial Balance as on 31st March 2026</t>
  </si>
  <si>
    <t>As at
 31st March 2026</t>
  </si>
  <si>
    <t>Provision_Commission</t>
  </si>
  <si>
    <t>Commission Expense</t>
  </si>
  <si>
    <t>Duty Draw Back Rece</t>
  </si>
  <si>
    <t>Sales commission</t>
  </si>
  <si>
    <t>Export Incentive Scheme receivable</t>
  </si>
  <si>
    <t>Balance Write Off</t>
  </si>
  <si>
    <t>Travelling Expenses_</t>
  </si>
  <si>
    <t xml:space="preserve">Advance from customers </t>
  </si>
  <si>
    <t>Reversal of Expected credit Loss provision on trade receivable (net)</t>
  </si>
  <si>
    <t>Trade receivable which have significant increase in credit risk</t>
  </si>
  <si>
    <t>Impairment allowances</t>
  </si>
  <si>
    <t>Allowance for expected credit loss on trade receivables</t>
  </si>
  <si>
    <t>Exchange difference to the extent considered as an adjustment to borrowing cost</t>
  </si>
  <si>
    <t>Ex. diff. on borrowi</t>
  </si>
  <si>
    <t>Unrealised Gain/Loss on Borrowing P&amp;L</t>
  </si>
  <si>
    <t>(ii) Lease Liabilities</t>
  </si>
  <si>
    <t>Common Expense</t>
  </si>
  <si>
    <t>Reclass</t>
  </si>
  <si>
    <t>TP reclass</t>
  </si>
  <si>
    <t>Provision for Expected Credit Loss</t>
  </si>
  <si>
    <t>Balance as at 1 April 2025</t>
  </si>
  <si>
    <t>Balance as at 31 March 2026</t>
  </si>
  <si>
    <t>Building on lease</t>
  </si>
  <si>
    <t>Capital Work in Progress (CWIP) Ageing Schedule as at 31 March 2026</t>
  </si>
  <si>
    <t>(ii) Other Financial Assets</t>
  </si>
  <si>
    <t>31 March 2026</t>
  </si>
  <si>
    <t>1,59,789 (as at March 31, 2025 : 1,36,597) Equity shares of  ₹ 10/- each</t>
  </si>
  <si>
    <t>Buyers Credit</t>
  </si>
  <si>
    <t>Interest on lease liabilities</t>
  </si>
  <si>
    <t>Payment of principal portion of lease liabilities</t>
  </si>
  <si>
    <t>NOTE 10</t>
  </si>
  <si>
    <t>GIT reversal</t>
  </si>
  <si>
    <t>Row Labels</t>
  </si>
  <si>
    <t>Sum of Taxable Value (INR)</t>
  </si>
  <si>
    <t>ASHAPURA</t>
  </si>
  <si>
    <t>BVC</t>
  </si>
  <si>
    <t>CPL</t>
  </si>
  <si>
    <t>FIRMENICH</t>
  </si>
  <si>
    <t>IFF</t>
  </si>
  <si>
    <t>LLUCH</t>
  </si>
  <si>
    <t>Lucta</t>
  </si>
  <si>
    <t>Mane</t>
  </si>
  <si>
    <t>OQEMA</t>
  </si>
  <si>
    <t>P&amp;G</t>
  </si>
  <si>
    <t>PC Others</t>
  </si>
  <si>
    <t>Robertet</t>
  </si>
  <si>
    <t>TAKASAGO</t>
  </si>
  <si>
    <t>VENTOS</t>
  </si>
  <si>
    <t>NON- CURRENT FINANCIAL ASSETS : INVESTMENTS</t>
  </si>
  <si>
    <t>Refer Note 3 for details relating to right of use assets.</t>
  </si>
  <si>
    <t>The following is the movement in lease liabilities during the year:</t>
  </si>
  <si>
    <t>Add: Addition during the period</t>
  </si>
  <si>
    <t>Less : Deletion during the year</t>
  </si>
  <si>
    <t>Add: Interest Expenses</t>
  </si>
  <si>
    <t>Less: Payments</t>
  </si>
  <si>
    <t>Interest on Lease Liabilities</t>
  </si>
  <si>
    <t>Amounts recognised in the Statement of Profit and Loss</t>
  </si>
  <si>
    <t>Expenses relating to short-term leases &amp; low value assets</t>
  </si>
  <si>
    <t>Interest expenses</t>
  </si>
  <si>
    <t>Depreciation &amp; Amortization expenses</t>
  </si>
  <si>
    <t>Amounts recognised in statement of cash flows</t>
  </si>
  <si>
    <t>Total cash outflow for leases</t>
  </si>
  <si>
    <t>2025-26</t>
  </si>
  <si>
    <t>Maturity Analysis of lease liabilities (undiscounted cashflows):</t>
  </si>
  <si>
    <t>Less than 12 Months</t>
  </si>
  <si>
    <t>2-5 Years</t>
  </si>
  <si>
    <t>NOTE 30</t>
  </si>
  <si>
    <t>Refer Note 21 for details on disaggregation of revenue from contracts with customers.</t>
  </si>
  <si>
    <t>(i)The Company has taken a land on lease with lease term of 99 Years. For the lease contract of 99 years upfront payments have been made and accordingly,  there is no lease liability required to be recognized and would not be accounted for under Ind AS 116. Lease contract can be renewed with mutual consent and lease contract also contains the termination options. Such options are appropriately considered in determination of the lease term based on the management's judgement. In certain contracts, the Company is restricted from assigning and subletting the leased assets.</t>
  </si>
  <si>
    <t>(ii) The Company has taken buildings on lease with lease term of 10 years. Lease contract can be renewed with mutual consent and they also contains the termination options. Such options are appropriately considered in determination of the lease term based on the management's judgement. In certain contacts, the Company is restricted from assigning and subletting the leased assets. For leases where the lease term is less than 12 months with no purchase option or the underlying leased assets are of low value, the Company has elected to apply exemption for such leases and accordingly, right of use assets and lease liabilities for these contracts are not recognised.</t>
  </si>
  <si>
    <t>For the year ended 31 March 2026</t>
  </si>
  <si>
    <t>Lease Liabilities</t>
  </si>
  <si>
    <t>Repayment from Borrowing / Lease Liabilities</t>
  </si>
  <si>
    <t>Payable for capital goods (including retention amount)</t>
  </si>
  <si>
    <t>Inventory Written Off</t>
  </si>
  <si>
    <t>PBG-retention amt-Reclass</t>
  </si>
  <si>
    <t>Corporate Gaurantee</t>
  </si>
  <si>
    <t>Unrealized Gain/Loss</t>
  </si>
  <si>
    <t>NMI provision and WO</t>
  </si>
  <si>
    <t>As at 31 March 2026</t>
  </si>
  <si>
    <t>(iii) Bank balances other than (ii) above</t>
  </si>
  <si>
    <t>CURRENT FINANCIAL ASSETS : OTHER BANK BALANCES</t>
  </si>
  <si>
    <t>NOTE 16</t>
  </si>
  <si>
    <t>43,75,67,746</t>
  </si>
  <si>
    <t>IT &amp; loss</t>
  </si>
  <si>
    <t>Provision for Bonus</t>
  </si>
  <si>
    <t>Credit Loss</t>
  </si>
  <si>
    <t>TBD</t>
  </si>
  <si>
    <t>Deferred in FY2023-24</t>
  </si>
  <si>
    <t>Deferred in FY2024-25</t>
  </si>
  <si>
    <t>Purchase Expense  Register</t>
  </si>
  <si>
    <r>
      <rPr>
        <sz val="9"/>
        <color rgb="FF000000"/>
        <rFont val="Calibri"/>
        <family val="2"/>
      </rPr>
      <t xml:space="preserve">G/L Account No: </t>
    </r>
    <r>
      <rPr>
        <sz val="9"/>
        <color rgb="FF000000"/>
        <rFont val="Calibri"/>
        <family val="2"/>
      </rPr>
      <t>4310036</t>
    </r>
  </si>
  <si>
    <r>
      <rPr>
        <sz val="9"/>
        <color rgb="FF000000"/>
        <rFont val="Calibri"/>
        <family val="2"/>
      </rPr>
      <t xml:space="preserve">G/L Account Name : </t>
    </r>
    <r>
      <rPr>
        <sz val="9"/>
        <color rgb="FF000000"/>
        <rFont val="Calibri"/>
        <family val="2"/>
      </rPr>
      <t>Legal &amp; Professional Fees</t>
    </r>
  </si>
  <si>
    <t>Posting Date</t>
  </si>
  <si>
    <t>Document Type</t>
  </si>
  <si>
    <t>Debit Amount</t>
  </si>
  <si>
    <t>Invoice</t>
  </si>
  <si>
    <t>JV</t>
  </si>
  <si>
    <t/>
  </si>
  <si>
    <t>2026 - 2027</t>
  </si>
  <si>
    <t>MSME</t>
  </si>
  <si>
    <t>Interest on lease liability</t>
  </si>
  <si>
    <t>43B</t>
  </si>
  <si>
    <t>35D - Preliminary expenses (5th year)</t>
  </si>
  <si>
    <t>Other Income postd in books</t>
  </si>
  <si>
    <t>Refund</t>
  </si>
  <si>
    <t>Total Comprehensive Income/(Loss) for the Year (V+VI)</t>
  </si>
  <si>
    <t>(Loss) before Tax</t>
  </si>
  <si>
    <t>Cash used in Operations</t>
  </si>
  <si>
    <t>Acquisition of Investments</t>
  </si>
  <si>
    <t>Loan converted to equity</t>
  </si>
  <si>
    <t>Balance at the end of the reporting year</t>
  </si>
  <si>
    <t>(Loss) for the year</t>
  </si>
  <si>
    <t>Capital Work in Progress (CWIP) Ageing Schedule as at 31 March 2025</t>
  </si>
  <si>
    <t>150,000 (as at March 31, 2025 : 150,000) Equity shares of  ₹ 10/- each</t>
  </si>
  <si>
    <t>100,000 (as at March 31, 2025 : 100,000)  Non-cumulative optionally convertible preference shares  ₹ 10/- each</t>
  </si>
  <si>
    <t>100,000 (as at March 31, 2025 : 1,00,000)  Non-cumulative compulsory convertible preference shares  ₹ 10/- each</t>
  </si>
  <si>
    <t>Undisputed - Considered good</t>
  </si>
  <si>
    <t>Undisputed - significant increase in credit risk</t>
  </si>
  <si>
    <t>Disputed-Credit Impaired</t>
  </si>
  <si>
    <r>
      <rPr>
        <b/>
        <sz val="11"/>
        <rFont val="Calibri"/>
        <family val="2"/>
        <scheme val="minor"/>
      </rPr>
      <t>1. Securities Premium</t>
    </r>
    <r>
      <rPr>
        <sz val="11"/>
        <rFont val="Calibri"/>
        <family val="2"/>
        <scheme val="minor"/>
      </rPr>
      <t xml:space="preserve"> - Securities premium is used to record the premium on issue of shares. The reserve is utilised in accordance with the provisions of section 52 of the Companies Act, 2013.</t>
    </r>
  </si>
  <si>
    <r>
      <rPr>
        <b/>
        <sz val="11"/>
        <rFont val="Calibri"/>
        <family val="2"/>
        <scheme val="minor"/>
      </rPr>
      <t>2. Retained earnings</t>
    </r>
    <r>
      <rPr>
        <sz val="11"/>
        <rFont val="Calibri"/>
        <family val="2"/>
        <scheme val="minor"/>
      </rPr>
      <t xml:space="preserve"> - It represents surplus / accumulated earnings of the Company available for distribution to the shareholders. The same can be distributed as per the provisions of the Companies Act 2013.</t>
    </r>
  </si>
  <si>
    <t>EARNINGS PER SHARE (EPS)</t>
  </si>
  <si>
    <t>(Loss) after tax attributable to equity shareholders  (₹ in '00000)</t>
  </si>
  <si>
    <t>Potential preference shares are anti-dulitive, hence in accordance with Ind AS 33 "Earning Per Share" effect of anti-dilutive potential preference shares has been ignored in calculation of dilutive earnings per share.</t>
  </si>
  <si>
    <t xml:space="preserve">(vii) Contingent liabilities and Contingent assets as on the reporting dates are Nil. </t>
  </si>
  <si>
    <t>The Company is primarily engaged in a single segment business of manufacturing of fragrance and flavour ingredients. The board of directors of the Company allocate resources and assess the performance of the Company, and hence board of directors are considered as the Chief Operating Decision Maker (CODM). The CODM monitors the operating results of the business as a one, hence no separate segment need to be disclosed. None of the Company's assets are located out of India. Revenue of INR ₹ 2,774 [₹ in Lakhs] is derived from one customers (P.Y:₹ 1,011 [₹ in Lakhs] is derived from two customer. The Company's revenue is derived from below mentioned geographies:</t>
  </si>
  <si>
    <t>The Company has imported property, plant and equipment under the EPCG scheme whereby the Company has saved custom duty on import of property, plant and equipment NIL  (₹ in Lakhs) [P.Y:₹ 3,888 (₹ in Lakhs)] . Under such scheme, the Company is committed to export prescribed times of the duty saved on import of capital goods over a specified period of time. In case such commitments are not met, the Company would be required to pay the duty saved along with interest to the regulatory authorities. Such grants recognized are released to the statement of profit and loss based on fulfilment of related export obligations.</t>
  </si>
  <si>
    <t>The amount recognised as an expense towards contribution to Provident Fund and other fund for the year aggregated to ₹ 51 [₹ in Lakhs] (previous year: ₹ 6 [₹ in Lakhs]).</t>
  </si>
  <si>
    <t>Director (w.e.f 1st May 2025)</t>
  </si>
  <si>
    <t>Due to increase inventory and Trade receivables and Borrowings</t>
  </si>
  <si>
    <t>Proceeds from borrowing</t>
  </si>
  <si>
    <t>Balance Sheet as at 31 March 2026</t>
  </si>
  <si>
    <t>Statement of Profit and Loss for the Year Ended 31 March 2026</t>
  </si>
  <si>
    <t>Statement of Cash Flows for the Year Ended 31 March 2026</t>
  </si>
  <si>
    <t>Statement of Changes in Equity (SOCIE) for the Year Ended on 31 March 2026</t>
  </si>
  <si>
    <t>Notes to Financial Statements for the year ended 31 March 2026</t>
  </si>
  <si>
    <r>
      <rPr>
        <b/>
        <sz val="11"/>
        <rFont val="Calibri"/>
        <family val="2"/>
        <scheme val="minor"/>
      </rPr>
      <t>Note on Conversion of Loan to Equity</t>
    </r>
    <r>
      <rPr>
        <sz val="11"/>
        <rFont val="Calibri"/>
        <family val="2"/>
        <scheme val="minor"/>
      </rPr>
      <t xml:space="preserve">
During the financial year ended March 31, 2026, the Company converted an unsecured loan amounting to ₹6,710 Lakhs into equity share capital.In accordance with the terms agreed upon with the lender and pursuant to the approval of the Board of Directors and shareholders, 23,192 equity shares of ₹ 10 each were issued at a premium of ₹ 28,923 per share.
The conversion has been accounted for in compliance with the applicable provisions of the Companies Act, 2013 and Ind AS 32 – Financial Instruments: Presentation. The resultant increase in share capital and securities premium has been duly reflected in the financial statements.</t>
    </r>
  </si>
  <si>
    <t>Salary, Wages, Allowances and Bonus</t>
  </si>
  <si>
    <t>(i) Axis Bank Term loan - 3888/ 3539 aggregating ₹ 21,200 [₹ in Lakhs] (31 March 2025: ₹ 24,000 [₹ in Lakhs]) repayable in 60 monthly instalments of INR 333 and INR 67 [₹ in Lakhs] carrying an interest rate of 7.95% [Repo + 1.45% &amp; Repo + 2.00% respectively] (31 March 2025: 7.95% (Repo + 1.45%) , after a moratorium period of 24 months from the date of sanction of loan, against primary security by way of exclusive hypothecation for all the fixed assets situated at BVC Specialities Pvt Ltd located at Dahej industrial area, Gujarat and exclusive hypothecation for all the Current Assets &amp; movable fixed asset of BVC Specialities Pvt Ltd located at Dahej Industrial Area, Gujarat. Corporate Guarantee is given by BEST VALUE CHEM PRIVATE LIMITED of ₹ 2,000 [₹ in Lakhs] (31 March 2025: ₹ 2,000 [₹ in Lakhs]).</t>
  </si>
  <si>
    <t>(ii) HDFC Bank Term loan - 0746 aggregating ₹ 3,500 [₹ in Lakhs] (31 March 2025: ₹ 2,475 [₹ in Lakhs]) repayable in 17 monthly instalments of INR 248 [₹ in Lakhs] carrying an interest rate of 7.25% (31 March 2025: 8.00%) , after a moratorium period of 6 months from the date of sanction of loan, against primary security by way of exclusive hypothecation for all the fixed assets situated at BVC Specialities Pvt Ltd located at Dahej industrial area, Gujarat and exclusive hypothecation for all the Current Assets &amp; movable fixed asset of BVC Specialities Pvt Ltd located at Dahej Industrial Area, Gujarat. Corporate Guarantee is given by BEST VALUE CHEM PRIVATE LIMITED of ₹ 1,000 [₹ in Lakhs] (31 March 2025: 1,000 [₹ in Lakhs]).</t>
  </si>
  <si>
    <t>(iii) Axis Term loan - 6405 aggregating ₹ 1,450 [₹ in Lakhs] (31 March 2025: ₹ NIL [₹ in Lakhs]) repayable in 48 monthly instalments of INR 111 [₹ in Lakhs] carrying an interest rate of 7.25%, (repo + 2.00%)  after a moratorium period of 12 months from the date of sanction of loan, against primary security by way of exclusive hypothecation for all the fixed assets situated at BVC Specialities Pvt Ltd located at Dahej industrial area, Gujarat and exclusive hypothecation for all the Current Assets &amp; movable fixed asset of BVC Specialities Pvt Ltd located at Dahej Industrial Area, Gujarat. Corporate Guarantee is given by BEST VALUE CHEM PRIVATE LIMITED of ₹9600 [₹ in Lakhs].</t>
  </si>
  <si>
    <t>Purchase of stock-in-trade (traded goods)</t>
  </si>
  <si>
    <t xml:space="preserve">Activity Rate OH-101010111 </t>
  </si>
  <si>
    <t>Ambrish Dixit</t>
  </si>
  <si>
    <t>CFO</t>
  </si>
  <si>
    <t>CEO</t>
  </si>
  <si>
    <t>BVC-ICT Entry- Booked in April</t>
  </si>
  <si>
    <t xml:space="preserve">Inventory GIT NRV-101010113 </t>
  </si>
  <si>
    <t xml:space="preserve">Inventory Over valued-101010114 </t>
  </si>
  <si>
    <t>(Loss) for the Year (III-IV)</t>
  </si>
  <si>
    <t>(Loss) Before Tax (I-II)</t>
  </si>
  <si>
    <t>Addition during the year - CCPS issued during the year</t>
  </si>
  <si>
    <t>Transactions with owners of the Company</t>
  </si>
  <si>
    <t>Securities premium on Loan converted into equity</t>
  </si>
  <si>
    <t>*includes goods in transit amounting to ₹2,171 Lakhs (31 March 2025: ₹ NIL)</t>
  </si>
  <si>
    <t>During the previous financial year ended March 31, 2025, the Company converted an unsecured loan amounting to ₹ 6,855 Lakhs into equity share capital.In accordance with the terms agreed upon with the lender and pursuant to the approval of the Board of Directors and shareholders, 29,321 equity shares of ₹ 10 each were issued at a premium of ₹ 23,370 per share.
The conversion has been accounted for in compliance with the applicable provisions of the Companies Act, 2013 and Ind AS 32 – Financial Instruments: Presentation. The resultant increase in share capital and securities premium has been duly reflected in the financial statements.</t>
  </si>
  <si>
    <t>(iv) Details of Shareholders holding more than 5% equity shares / Details of shares held by Promoters / Promoters Group/Holding Company:</t>
  </si>
  <si>
    <t>(Loss) during the period</t>
  </si>
  <si>
    <t>(h)</t>
  </si>
  <si>
    <t>Date: 17 July 2026</t>
  </si>
  <si>
    <t>9,48,000 (31 March 2025: NIL) fully paid up equity shares of par value of ₹ 10 each of JSW Renew Energy Twenty-Six Limited</t>
  </si>
  <si>
    <r>
      <rPr>
        <b/>
        <sz val="11"/>
        <rFont val="Calibri"/>
        <family val="2"/>
        <scheme val="minor"/>
      </rPr>
      <t xml:space="preserve">Note: </t>
    </r>
    <r>
      <rPr>
        <sz val="11"/>
        <rFont val="Calibri"/>
        <family val="2"/>
        <scheme val="minor"/>
      </rPr>
      <t xml:space="preserve">The purpose of investment in JSW Renew Energy Twenty-Six Limited was to avail power through captive renewable energy sources to meet the power requirements for captive consumption of the Company. As per the terms of the agreement and in-line with the guidance under the standards, investment in JSW Renew Energy Twenty-Six Limited would not be a subsidiary or associate of the Company. Investments are initally recognised at fair value through Profit and Loss and subsequently measured at amortised cost. </t>
    </r>
  </si>
  <si>
    <t>Aggregate value of unquoted investments</t>
  </si>
  <si>
    <t>Investments in Equity Instruments (unquoted) - JSW Renew Energy Twenty-Six Limited (initally recognised at fair value through Profit and Loss and subsequently measured at amortised cost)</t>
  </si>
  <si>
    <t>Trade Receivables Ageing Schedule 31 March 2026</t>
  </si>
  <si>
    <t>Trade Receivables Ageing Schedule 31 March 2025</t>
  </si>
  <si>
    <t>(iv) During the financial year ended March 31, 2026, the Company converted an unsecured loan amounting to ₹6,710 Lakhs (31 March 2025: ₹6,855 Lakhs) into equity share capital.In accordance with the terms agreed upon with the lender and pursuant to the approval of the Board of Directors and shareholders, 23,192 equity shares (31 March 2025: 29,321) of ₹ 10 each were issued at a premium of ₹ 28,923 per share (31 March 2025: 23,370).</t>
  </si>
  <si>
    <t>Revenue from Contracts with Customers (including traded goods)</t>
  </si>
  <si>
    <t>Export Incentives</t>
  </si>
  <si>
    <t>Inventory written off</t>
  </si>
  <si>
    <t>Weighted average no. of ordinary equity share</t>
  </si>
  <si>
    <t>Corporate Guarantee received</t>
  </si>
  <si>
    <t xml:space="preserve">The above transactions are at arm’s length and in the ordinary course of business. </t>
  </si>
  <si>
    <t xml:space="preserve">Investments </t>
  </si>
  <si>
    <t>Variance is on account of business commencement during the year which resulted into higher depreciation and higher finance costs.</t>
  </si>
  <si>
    <t>Change on account of conversion of intercorporate loan to equity and increase in borrowing.</t>
  </si>
  <si>
    <t>Variance is on account of business commencement during the year, while in previous year the Company were in capitalisation stage for the major part of the year.</t>
  </si>
  <si>
    <t>Raw materials**</t>
  </si>
  <si>
    <t>**includes goods in transit amounting to ₹ 127 Lakhs (31 March 2025: ₹ NIL)</t>
  </si>
  <si>
    <t>EHS Expenses</t>
  </si>
  <si>
    <t>The Company’s exchange risk arises from its foreign operations, foreign currency revenues and expenses (primarily in U.S. Dollars). A material portion of the Company’s revenues are in these foreign currencies, while a material portion of its costs are in Indian Rupees. As a result, if the value of the Indian Rupee appreciates relative to these foreign currencies, the Company’s revenues measured in Rupees may decrease. The exchange rate between the Indian Rupee and these foreign currencies has changed substantially in recent periods and may continue to fluctuate substantially in the future. Consequently, the Company uses derivative financial instruments, such as foreign exchange forward contracts, to mitigate the risk of changes in foreign currency exchange rates in respect of its forecasted cash flows and trade receivables. The following table presents foreign currency risk from non-derivative financial instruments as on reporting dates:</t>
  </si>
  <si>
    <t>EURO</t>
  </si>
  <si>
    <t>USD</t>
  </si>
  <si>
    <t>Total unhedged foreign currency exposure</t>
  </si>
  <si>
    <t>Foreign Currency</t>
  </si>
  <si>
    <t>Amount in INR</t>
  </si>
  <si>
    <t>The Company is mainly exposed to changes in USD. The below table demonstrates the sensitivity to a 5%  increase or decrease in the USD against INR, with all other variables held constant. The sensitivity analysis is  prepared on the net unhedged exposure of the Company as at the reporting date. 5% represents management's assessment of reasonably possible change in foreign exchange rate.</t>
  </si>
  <si>
    <t>Change in USD Rate</t>
  </si>
  <si>
    <t>Effect on profit after tax</t>
  </si>
  <si>
    <t>Effect on total equity</t>
  </si>
  <si>
    <t>+5%</t>
  </si>
  <si>
    <t>-5%</t>
  </si>
  <si>
    <t>To be validated as per individual entity</t>
  </si>
  <si>
    <t>Carried Forward loss - Business</t>
  </si>
  <si>
    <t>@ 17.16%</t>
  </si>
  <si>
    <t>Allowance for Expected Credit Loss</t>
  </si>
  <si>
    <t>`</t>
  </si>
  <si>
    <t>Property, plant and equipment (including ROU)</t>
  </si>
  <si>
    <t>Balance as on 
31 March 2026</t>
  </si>
  <si>
    <t>Balance as on 
31 March 2025</t>
  </si>
  <si>
    <t>(a) Deferred tax balances and movement for the year ended 31 March 2026</t>
  </si>
  <si>
    <t>Deferred Tax Asset recognized</t>
  </si>
  <si>
    <t>(b) Deferred tax balances and movement for the year ended 31 March 2025</t>
  </si>
  <si>
    <r>
      <t xml:space="preserve">Note: </t>
    </r>
    <r>
      <rPr>
        <sz val="11"/>
        <rFont val="Calibri"/>
        <family val="2"/>
        <scheme val="minor"/>
      </rPr>
      <t>Deferred tax assets have been recognised to the extent of Deferred tax liabilities only as at 31 March 2025, the Company has not recognised Deferred tax assets aggregating to ₹ 280 Lakhs on unabsorbed business loss and unabsorbed depreciation in absence of certainty and its realisation in the forseeable future.</t>
    </r>
  </si>
  <si>
    <t>Deferred Tax asset not recognized on business loss and unabsorbed depreciation</t>
  </si>
  <si>
    <t>Deferred Tax asset recognized during the year which was not recognized previously</t>
  </si>
  <si>
    <t>Change Control WBS</t>
  </si>
  <si>
    <t>CIVIL WORK - MISC ON DAHEJ SITE</t>
  </si>
  <si>
    <t>Change Control Realted MISC. work</t>
  </si>
  <si>
    <t>STEAM SUPPLY LINE- WILLOWOOD TO BVCSPL</t>
  </si>
  <si>
    <t>Civil Work for Storm water Diversion</t>
  </si>
  <si>
    <t>PA SYSTEM UNIT-3</t>
  </si>
  <si>
    <t>MEE/ETP Plant Stabilization</t>
  </si>
  <si>
    <t>UV LIGHT TRIAL IN FG BLENDER</t>
  </si>
  <si>
    <t>Anethole Re-organization</t>
  </si>
  <si>
    <t>PMA capacity enhancement</t>
  </si>
  <si>
    <t>232 Hydrogenation in REC-10302</t>
  </si>
  <si>
    <t>BRINE SYSTEM COMMISSIONING &amp; OPERATIONAL</t>
  </si>
  <si>
    <t>FCS Panel from Karakhadi to Dahej</t>
  </si>
  <si>
    <t>EMP CRUDE OXIDATION</t>
  </si>
  <si>
    <t>Dimister Pad in Oxidation Reactor Vent</t>
  </si>
  <si>
    <t>REC-10104-A oxidation reactor repairing</t>
  </si>
  <si>
    <t>Partial HM &amp; Flash MBAL closed loop</t>
  </si>
  <si>
    <t>Flooring for Empty Drum &amp; IBC storage@P2</t>
  </si>
  <si>
    <t>spare cartridges for existing CDF HGO</t>
  </si>
  <si>
    <t>METAL PALLET PROCUREMENT FOR ASRS LOT-02</t>
  </si>
  <si>
    <t>OXIDATION REACTOR REPLACEMENT</t>
  </si>
  <si>
    <t>Purchase of Asset</t>
  </si>
  <si>
    <t>NOTE 37</t>
  </si>
  <si>
    <t>Custom Duty against imports made under advance authorization [refer below note]</t>
  </si>
  <si>
    <t>Note: As at 31 March 2026 - The Company has imported raw materials under advance license whereby the Company has saved custom duty on import of raw materials. As per the advance license, the Company is required to export goods of  7,500  kgs within the expiration period mentioned in license ranging from April 2025 to March 2027. As on 31 March 2026, the Company has exported goods of  2,545  kgs against advance license. In case the Company fails to meet the export obligation, the Company has to repay proportionate custom duty to the Government to the extent of export obligations are not met. If the Company does not achieve its balance export obligations within the specified time, the total exposure on the Company towards payment of duty is ₹ 762 Lakh.</t>
  </si>
  <si>
    <t xml:space="preserve">The borrowing cost of ₹ 1,396 Lakhs is capitalized at rate(s) applicable to specific loan(s) used for specific project(s). The weighted average rate of borrowings used for projects is 8.50% for FY 2024-25 </t>
  </si>
  <si>
    <t>Less : Cash and cash equivalent (including other bank balance)</t>
  </si>
  <si>
    <t>*During the year, the Company has reclassified comparative figures of the security premium component relating to Compulsorily Convertible Preference Shares (CCPS) from "Instruments Entirely Equity in Nature" to "Securities Premium" under "Other Equity". It does not have any impact on the total equity, net worth, profit/(loss) for the year, earnings per share, ratios or cash flows of the Company.</t>
  </si>
  <si>
    <t>(ii) 42,771 (as at March 31, 2025 :  42,771) 0.01% Non cumulative Compulsory Convertible Preference Shares  ₹ 10/- each Issued at premium of ₹ 23,370/-*</t>
  </si>
  <si>
    <t>(i) 44,097 (as at March 31, 2025 : 44,097) 0.01% Non cumulative Compulsory Convertible Preference Shares  ₹ 10/- each Issued at premium of ₹ 22,667/-*</t>
  </si>
  <si>
    <t xml:space="preserve">*The Company has shown borrowings as non-current as waiver for the breach of loan covenant was obtained from the bank prior to the approval of these financial statements.
 </t>
  </si>
  <si>
    <t>Term Loan from Bank*</t>
  </si>
  <si>
    <t>JSW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</si>
</sst>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3" formatCode="_ * #,##0.00_ ;_ * \-#,##0.00_ ;_ * &quot;-&quot;??_ ;_ @_ "/>
    <numFmt numFmtId="164" formatCode="_(* #,##0_);_(* \(#,##0\);_(* &quot;-&quot;_);_(@_)"/>
    <numFmt numFmtId="165" formatCode="_(&quot;$&quot;* #,##0.00_);_(&quot;$&quot;* \(#,##0.00\);_(&quot;$&quot;* &quot;-&quot;??_);_(@_)"/>
    <numFmt numFmtId="166" formatCode="_(* #,##0.00_);_(* \(#,##0.00\);_(* &quot;-&quot;??_);_(@_)"/>
    <numFmt numFmtId="167" formatCode="0_);\(0\)"/>
    <numFmt numFmtId="168" formatCode="#,##0;\-#,##0;&quot;-&quot;"/>
    <numFmt numFmtId="169" formatCode="#,##0.00;\-#,##0.00;&quot;-&quot;"/>
    <numFmt numFmtId="170" formatCode="#,##0%;\-#,##0%;&quot;- &quot;"/>
    <numFmt numFmtId="171" formatCode="#,##0.0%;\-#,##0.0%;&quot;- &quot;"/>
    <numFmt numFmtId="172" formatCode="#,##0.00%;\-#,##0.00%;&quot;- &quot;"/>
    <numFmt numFmtId="173" formatCode="#,##0.0;\-#,##0.0;&quot;-&quot;"/>
    <numFmt numFmtId="174" formatCode="#,##0.00\ ;&quot; (&quot;#,##0.00\);&quot; -&quot;#\ ;@\ "/>
    <numFmt numFmtId="175" formatCode="_(* #,##0_);_(* \(#,##0\);_(* &quot;-&quot;??_);_(@_)"/>
    <numFmt numFmtId="176" formatCode="0.00_)"/>
    <numFmt numFmtId="177" formatCode="_-[$€]* #,##0.00_-;\-[$€]* #,##0.00_-;_-[$€]* &quot;-&quot;??_-;_-@_-"/>
    <numFmt numFmtId="178" formatCode="[Red]0%;[Red]\(0%\)"/>
    <numFmt numFmtId="179" formatCode="0%;\(0%\)"/>
    <numFmt numFmtId="180" formatCode="[$$-409]#,##0.00;[Red]&quot;-&quot;[$$-409]#,##0.00"/>
    <numFmt numFmtId="181" formatCode="\ \ @"/>
    <numFmt numFmtId="182" formatCode="\ \ \ \ @"/>
    <numFmt numFmtId="183" formatCode="_(* #,##0.00_);_(* \(#,##0.00\);_(* \-??_);_(@_)"/>
    <numFmt numFmtId="184" formatCode="_ * #,##0_ ;_ * \-#,##0_ ;_ * &quot;-&quot;??_ ;_ @_ "/>
    <numFmt numFmtId="185" formatCode="&quot;&quot;0"/>
    <numFmt numFmtId="186" formatCode="&quot;&quot;0.00"/>
    <numFmt numFmtId="187" formatCode="[$€-2]\ #,##0.00_);[Red]\([$€-2]\ #,##0.00\)"/>
    <numFmt numFmtId="188" formatCode="dd\ mmmm\ yyyy"/>
    <numFmt numFmtId="189" formatCode="_(* #,##0_);_(* \(#,##0\);_(* \-??_);_(@_)"/>
    <numFmt numFmtId="190" formatCode="[$-F400]h:mm:ss\ AM/PM"/>
    <numFmt numFmtId="191" formatCode="_(* #,##0_);_(* \(#,##0\);_(* &quot;-&quot;?_);_(@_)"/>
    <numFmt numFmtId="192" formatCode="_(* #,##0_);_(* \(#,##0\)"/>
    <numFmt numFmtId="193" formatCode="_ * #,##0.000_ ;_ * \-#,##0.000_ ;_ * &quot;-&quot;??_ ;_ @_ "/>
    <numFmt numFmtId="194" formatCode="0.0%"/>
    <numFmt numFmtId="195" formatCode="_(* #,##0.00000_);_(* \(#,##0.00000\);_(* &quot;-&quot;??_);_(@_)"/>
    <numFmt numFmtId="196" formatCode="0.0"/>
    <numFmt numFmtId="197" formatCode="[$-14009]dd\-mm\-yyyy"/>
    <numFmt numFmtId="198" formatCode="_ * #,##0.0_ ;_ * \-#,##0.0_ ;_ * &quot;-&quot;??_ ;_ @_ "/>
  </numFmts>
  <fonts count="128" x14ac:knownFonts="1">
    <font>
      <sz val="11"/>
      <color theme="1"/>
      <name val="Calibri"/>
      <family val="2"/>
      <scheme val="minor"/>
    </font>
    <font>
      <sz val="10"/>
      <color theme="1"/>
      <name val="Franklin Gothic Book"/>
      <family val="2"/>
    </font>
    <font>
      <sz val="11"/>
      <color theme="1"/>
      <name val="Calibri"/>
      <family val="2"/>
      <scheme val="minor"/>
    </font>
    <font>
      <sz val="11"/>
      <color indexed="8"/>
      <name val="Calibri"/>
      <family val="2"/>
    </font>
    <font>
      <sz val="11"/>
      <color theme="1"/>
      <name val="Calibri"/>
      <family val="2"/>
    </font>
    <font>
      <sz val="11"/>
      <color indexed="9"/>
      <name val="Calibri"/>
      <family val="2"/>
    </font>
    <font>
      <sz val="11"/>
      <color theme="0"/>
      <name val="Calibri"/>
      <family val="2"/>
    </font>
    <font>
      <sz val="11"/>
      <color indexed="20"/>
      <name val="Calibri"/>
      <family val="2"/>
    </font>
    <font>
      <sz val="11"/>
      <color rgb="FF9C0006"/>
      <name val="Calibri"/>
      <family val="2"/>
    </font>
    <font>
      <sz val="10"/>
      <color indexed="8"/>
      <name val="Arial"/>
      <family val="2"/>
    </font>
    <font>
      <b/>
      <sz val="11"/>
      <color indexed="52"/>
      <name val="Calibri"/>
      <family val="2"/>
    </font>
    <font>
      <b/>
      <sz val="11"/>
      <color rgb="FFFA7D00"/>
      <name val="Calibri"/>
      <family val="2"/>
    </font>
    <font>
      <b/>
      <sz val="11"/>
      <color indexed="9"/>
      <name val="Calibri"/>
      <family val="2"/>
    </font>
    <font>
      <b/>
      <sz val="11"/>
      <color theme="0"/>
      <name val="Calibri"/>
      <family val="2"/>
    </font>
    <font>
      <sz val="10"/>
      <name val="Arial"/>
      <family val="2"/>
    </font>
    <font>
      <sz val="12"/>
      <name val="Arial"/>
      <family val="2"/>
    </font>
    <font>
      <sz val="10"/>
      <color theme="1"/>
      <name val="Verdana"/>
      <family val="2"/>
    </font>
    <font>
      <sz val="12"/>
      <name val="Helv"/>
    </font>
    <font>
      <sz val="10"/>
      <color indexed="12"/>
      <name val="Arial"/>
      <family val="2"/>
    </font>
    <font>
      <sz val="11"/>
      <color indexed="8"/>
      <name val="Calibri"/>
      <family val="2"/>
      <charset val="1"/>
    </font>
    <font>
      <i/>
      <sz val="11"/>
      <color indexed="23"/>
      <name val="Calibri"/>
      <family val="2"/>
    </font>
    <font>
      <i/>
      <sz val="11"/>
      <color rgb="FF7F7F7F"/>
      <name val="Calibri"/>
      <family val="2"/>
    </font>
    <font>
      <sz val="11"/>
      <color indexed="17"/>
      <name val="Calibri"/>
      <family val="2"/>
    </font>
    <font>
      <sz val="11"/>
      <color rgb="FF006100"/>
      <name val="Calibri"/>
      <family val="2"/>
    </font>
    <font>
      <sz val="8"/>
      <name val="Arial"/>
      <family val="2"/>
    </font>
    <font>
      <b/>
      <sz val="12"/>
      <name val="Arial"/>
      <family val="2"/>
    </font>
    <font>
      <b/>
      <i/>
      <sz val="16"/>
      <color theme="1"/>
      <name val="Arial"/>
      <family val="2"/>
    </font>
    <font>
      <b/>
      <sz val="15"/>
      <color indexed="62"/>
      <name val="Calibri"/>
      <family val="2"/>
    </font>
    <font>
      <b/>
      <sz val="15"/>
      <color theme="3"/>
      <name val="Calibri"/>
      <family val="2"/>
    </font>
    <font>
      <b/>
      <sz val="13"/>
      <color indexed="62"/>
      <name val="Calibri"/>
      <family val="2"/>
    </font>
    <font>
      <b/>
      <sz val="13"/>
      <color theme="3"/>
      <name val="Calibri"/>
      <family val="2"/>
    </font>
    <font>
      <b/>
      <sz val="11"/>
      <color indexed="62"/>
      <name val="Calibri"/>
      <family val="2"/>
    </font>
    <font>
      <b/>
      <sz val="11"/>
      <color theme="3"/>
      <name val="Calibri"/>
      <family val="2"/>
    </font>
    <font>
      <u/>
      <sz val="11"/>
      <color theme="10"/>
      <name val="Calibri"/>
      <family val="2"/>
    </font>
    <font>
      <sz val="11"/>
      <color indexed="62"/>
      <name val="Calibri"/>
      <family val="2"/>
    </font>
    <font>
      <sz val="11"/>
      <color rgb="FF3F3F76"/>
      <name val="Calibri"/>
      <family val="2"/>
    </font>
    <font>
      <sz val="10"/>
      <color indexed="14"/>
      <name val="Arial"/>
      <family val="2"/>
    </font>
    <font>
      <sz val="11"/>
      <color indexed="52"/>
      <name val="Calibri"/>
      <family val="2"/>
    </font>
    <font>
      <sz val="11"/>
      <color rgb="FFFA7D00"/>
      <name val="Calibri"/>
      <family val="2"/>
    </font>
    <font>
      <sz val="11"/>
      <color indexed="60"/>
      <name val="Calibri"/>
      <family val="2"/>
    </font>
    <font>
      <sz val="11"/>
      <color rgb="FF9C5700"/>
      <name val="Calibri"/>
      <family val="2"/>
    </font>
    <font>
      <sz val="8"/>
      <name val="Arial Narrow"/>
      <family val="2"/>
    </font>
    <font>
      <sz val="10"/>
      <color rgb="FF000000"/>
      <name val="Times New Roman"/>
      <family val="1"/>
    </font>
    <font>
      <sz val="11"/>
      <color theme="1"/>
      <name val="Arial"/>
      <family val="2"/>
    </font>
    <font>
      <sz val="10"/>
      <name val="Courier New"/>
      <family val="3"/>
    </font>
    <font>
      <b/>
      <sz val="11"/>
      <color indexed="63"/>
      <name val="Calibri"/>
      <family val="2"/>
    </font>
    <font>
      <b/>
      <sz val="11"/>
      <color rgb="FF3F3F3F"/>
      <name val="Calibri"/>
      <family val="2"/>
    </font>
    <font>
      <sz val="10"/>
      <color indexed="10"/>
      <name val="Arial"/>
      <family val="2"/>
    </font>
    <font>
      <b/>
      <i/>
      <u/>
      <sz val="11"/>
      <color theme="1"/>
      <name val="Arial"/>
      <family val="2"/>
    </font>
    <font>
      <b/>
      <sz val="18"/>
      <color indexed="62"/>
      <name val="Cambria"/>
      <family val="2"/>
    </font>
    <font>
      <sz val="18"/>
      <color theme="3"/>
      <name val="Cambria"/>
      <family val="2"/>
      <scheme val="major"/>
    </font>
    <font>
      <b/>
      <sz val="11"/>
      <color indexed="8"/>
      <name val="Calibri"/>
      <family val="2"/>
    </font>
    <font>
      <b/>
      <sz val="11"/>
      <color theme="1"/>
      <name val="Calibri"/>
      <family val="2"/>
    </font>
    <font>
      <sz val="11"/>
      <color indexed="10"/>
      <name val="Calibri"/>
      <family val="2"/>
    </font>
    <font>
      <sz val="11"/>
      <color rgb="FFFF0000"/>
      <name val="Calibri"/>
      <family val="2"/>
    </font>
    <font>
      <b/>
      <sz val="11"/>
      <color rgb="FFFF0000"/>
      <name val="Calibri"/>
      <family val="2"/>
      <scheme val="minor"/>
    </font>
    <font>
      <b/>
      <sz val="9"/>
      <color indexed="81"/>
      <name val="Tahoma"/>
      <family val="2"/>
    </font>
    <font>
      <sz val="9"/>
      <color indexed="81"/>
      <name val="Tahoma"/>
      <family val="2"/>
    </font>
    <font>
      <b/>
      <sz val="11"/>
      <name val="Calibri"/>
      <family val="2"/>
      <scheme val="minor"/>
    </font>
    <font>
      <b/>
      <sz val="11"/>
      <color theme="1"/>
      <name val="Calibri"/>
      <family val="2"/>
      <scheme val="minor"/>
    </font>
    <font>
      <sz val="10"/>
      <color theme="1"/>
      <name val="Trebuchet MS"/>
      <family val="2"/>
    </font>
    <font>
      <b/>
      <sz val="11"/>
      <color indexed="8"/>
      <name val="Calibri"/>
      <family val="2"/>
      <scheme val="minor"/>
    </font>
    <font>
      <sz val="11"/>
      <name val="Calibri"/>
      <family val="2"/>
      <scheme val="minor"/>
    </font>
    <font>
      <sz val="11"/>
      <color indexed="8"/>
      <name val="Calibri"/>
      <family val="2"/>
      <scheme val="minor"/>
    </font>
    <font>
      <u/>
      <sz val="10"/>
      <color indexed="12"/>
      <name val="Arial"/>
      <family val="2"/>
    </font>
    <font>
      <sz val="11"/>
      <color rgb="FFFF0000"/>
      <name val="Calibri"/>
      <family val="2"/>
      <scheme val="minor"/>
    </font>
    <font>
      <b/>
      <u/>
      <sz val="11"/>
      <name val="Calibri"/>
      <family val="2"/>
      <scheme val="minor"/>
    </font>
    <font>
      <sz val="11"/>
      <name val="Times New Roman"/>
      <family val="1"/>
    </font>
    <font>
      <sz val="10"/>
      <name val="Arial"/>
      <family val="2"/>
    </font>
    <font>
      <sz val="10"/>
      <name val="Arial"/>
      <family val="2"/>
    </font>
    <font>
      <b/>
      <u/>
      <sz val="11"/>
      <color theme="1"/>
      <name val="Calibri"/>
      <family val="2"/>
      <scheme val="minor"/>
    </font>
    <font>
      <b/>
      <sz val="9"/>
      <color theme="1"/>
      <name val="Calibri"/>
      <family val="2"/>
      <scheme val="minor"/>
    </font>
    <font>
      <b/>
      <u/>
      <sz val="11"/>
      <color indexed="8"/>
      <name val="Calibri"/>
      <family val="2"/>
      <scheme val="minor"/>
    </font>
    <font>
      <b/>
      <u/>
      <sz val="9"/>
      <color theme="1"/>
      <name val="Calibri"/>
      <family val="2"/>
      <scheme val="minor"/>
    </font>
    <font>
      <sz val="9"/>
      <color theme="1"/>
      <name val="Calibri"/>
      <family val="2"/>
      <scheme val="minor"/>
    </font>
    <font>
      <i/>
      <sz val="11"/>
      <color theme="1"/>
      <name val="Calibri"/>
      <family val="2"/>
      <scheme val="minor"/>
    </font>
    <font>
      <b/>
      <i/>
      <sz val="11"/>
      <name val="Calibri"/>
      <family val="2"/>
      <scheme val="minor"/>
    </font>
    <font>
      <b/>
      <sz val="11"/>
      <color rgb="FF0070C0"/>
      <name val="Calibri"/>
      <family val="2"/>
      <scheme val="minor"/>
    </font>
    <font>
      <sz val="11"/>
      <color rgb="FF0070C0"/>
      <name val="Calibri"/>
      <family val="2"/>
      <scheme val="minor"/>
    </font>
    <font>
      <sz val="11"/>
      <color rgb="FF000000"/>
      <name val="Calibri"/>
      <family val="2"/>
      <scheme val="minor"/>
    </font>
    <font>
      <b/>
      <sz val="11"/>
      <name val="Calibri"/>
      <family val="2"/>
    </font>
    <font>
      <sz val="10"/>
      <name val="Trebuchet MS"/>
      <family val="2"/>
    </font>
    <font>
      <b/>
      <sz val="10"/>
      <name val="Trebuchet MS"/>
      <family val="2"/>
    </font>
    <font>
      <sz val="10"/>
      <color theme="1"/>
      <name val="Franklin Gothic Book"/>
      <family val="2"/>
    </font>
    <font>
      <b/>
      <sz val="9"/>
      <color theme="1"/>
      <name val="Arial"/>
      <family val="2"/>
    </font>
    <font>
      <sz val="9"/>
      <color theme="1"/>
      <name val="Arial"/>
      <family val="2"/>
    </font>
    <font>
      <sz val="9"/>
      <name val="Arial"/>
      <family val="2"/>
    </font>
    <font>
      <b/>
      <sz val="9"/>
      <name val="Arial"/>
      <family val="2"/>
    </font>
    <font>
      <b/>
      <sz val="10"/>
      <color theme="1"/>
      <name val="Franklin Gothic Book"/>
      <family val="2"/>
    </font>
    <font>
      <sz val="11"/>
      <color theme="0"/>
      <name val="Calibri"/>
      <family val="2"/>
      <scheme val="minor"/>
    </font>
    <font>
      <b/>
      <sz val="9"/>
      <name val="Calibri"/>
      <family val="2"/>
      <scheme val="minor"/>
    </font>
    <font>
      <sz val="9"/>
      <name val="Calibri"/>
      <family val="2"/>
      <scheme val="minor"/>
    </font>
    <font>
      <sz val="9"/>
      <color rgb="FFFF0000"/>
      <name val="Calibri"/>
      <family val="2"/>
      <scheme val="minor"/>
    </font>
    <font>
      <b/>
      <sz val="9"/>
      <color rgb="FFFF0000"/>
      <name val="Calibri"/>
      <family val="2"/>
      <scheme val="minor"/>
    </font>
    <font>
      <b/>
      <sz val="12"/>
      <color theme="0"/>
      <name val="Calibri"/>
      <family val="2"/>
      <scheme val="minor"/>
    </font>
    <font>
      <sz val="11"/>
      <color rgb="FFFFC000"/>
      <name val="Calibri"/>
      <family val="2"/>
      <scheme val="minor"/>
    </font>
    <font>
      <sz val="9"/>
      <color theme="2" tint="-0.499984740745262"/>
      <name val="Calibri"/>
      <family val="2"/>
      <scheme val="minor"/>
    </font>
    <font>
      <b/>
      <sz val="10"/>
      <color theme="1"/>
      <name val="Arial"/>
      <family val="2"/>
    </font>
    <font>
      <sz val="10"/>
      <color theme="1"/>
      <name val="Arial"/>
      <family val="2"/>
    </font>
    <font>
      <b/>
      <sz val="10"/>
      <name val="Times New Roman"/>
      <family val="1"/>
    </font>
    <font>
      <i/>
      <sz val="10"/>
      <name val="Times New Roman"/>
      <family val="1"/>
    </font>
    <font>
      <sz val="10"/>
      <name val="Times New Roman"/>
      <family val="1"/>
    </font>
    <font>
      <sz val="11"/>
      <name val="Arial"/>
      <family val="2"/>
    </font>
    <font>
      <b/>
      <sz val="12"/>
      <name val="Times New Roman"/>
      <family val="1"/>
    </font>
    <font>
      <b/>
      <i/>
      <sz val="10"/>
      <name val="Times New Roman"/>
      <family val="1"/>
    </font>
    <font>
      <sz val="10"/>
      <color theme="0"/>
      <name val="Times New Roman"/>
      <family val="1"/>
    </font>
    <font>
      <b/>
      <sz val="10"/>
      <color theme="0"/>
      <name val="Times New Roman"/>
      <family val="1"/>
    </font>
    <font>
      <sz val="10"/>
      <color rgb="FFFF0000"/>
      <name val="Times New Roman"/>
      <family val="1"/>
    </font>
    <font>
      <b/>
      <u/>
      <sz val="10"/>
      <color theme="0"/>
      <name val="Times New Roman"/>
      <family val="1"/>
    </font>
    <font>
      <sz val="12"/>
      <name val="Times New Roman"/>
      <family val="1"/>
    </font>
    <font>
      <sz val="10"/>
      <color theme="1"/>
      <name val="Times New Roman"/>
      <family val="1"/>
    </font>
    <font>
      <sz val="11"/>
      <color theme="0"/>
      <name val="Arial"/>
      <family val="2"/>
    </font>
    <font>
      <b/>
      <sz val="11"/>
      <color theme="0"/>
      <name val="Arial"/>
      <family val="2"/>
    </font>
    <font>
      <sz val="9"/>
      <color theme="2" tint="-0.749992370372631"/>
      <name val="Calibri"/>
      <family val="2"/>
      <scheme val="minor"/>
    </font>
    <font>
      <sz val="11"/>
      <color rgb="FF00B050"/>
      <name val="Calibri"/>
      <family val="2"/>
      <scheme val="minor"/>
    </font>
    <font>
      <sz val="11"/>
      <color rgb="FFFFFF00"/>
      <name val="Calibri"/>
      <family val="2"/>
      <scheme val="minor"/>
    </font>
    <font>
      <sz val="9"/>
      <color theme="9" tint="-0.249977111117893"/>
      <name val="Calibri"/>
      <family val="2"/>
      <scheme val="minor"/>
    </font>
    <font>
      <b/>
      <sz val="9"/>
      <color theme="9" tint="-0.249977111117893"/>
      <name val="Calibri"/>
      <family val="2"/>
      <scheme val="minor"/>
    </font>
    <font>
      <b/>
      <u/>
      <sz val="12"/>
      <color rgb="FF000000"/>
      <name val="Calibri"/>
      <family val="2"/>
    </font>
    <font>
      <sz val="9"/>
      <color rgb="FF000000"/>
      <name val="Calibri"/>
      <family val="2"/>
    </font>
    <font>
      <b/>
      <sz val="9"/>
      <color rgb="FF000000"/>
      <name val="Calibri"/>
      <family val="2"/>
    </font>
    <font>
      <b/>
      <u/>
      <sz val="9"/>
      <color rgb="FF000000"/>
      <name val="Calibri"/>
      <family val="2"/>
    </font>
    <font>
      <i/>
      <sz val="9"/>
      <color rgb="FFA52A2A"/>
      <name val="Calibri"/>
      <family val="2"/>
    </font>
    <font>
      <b/>
      <i/>
      <sz val="9"/>
      <color rgb="FFA52A2A"/>
      <name val="Calibri"/>
      <family val="2"/>
    </font>
    <font>
      <sz val="9"/>
      <color rgb="FF00B050"/>
      <name val="Calibri"/>
      <family val="2"/>
      <scheme val="minor"/>
    </font>
    <font>
      <b/>
      <sz val="9"/>
      <color rgb="FF00B050"/>
      <name val="Calibri"/>
      <family val="2"/>
      <scheme val="minor"/>
    </font>
    <font>
      <b/>
      <sz val="11"/>
      <color rgb="FF00B0F0"/>
      <name val="Calibri"/>
      <family val="2"/>
      <scheme val="minor"/>
    </font>
    <font>
      <sz val="11"/>
      <color rgb="FF00B0F0"/>
      <name val="Calibri"/>
      <family val="2"/>
      <scheme val="minor"/>
    </font>
  </fonts>
  <fills count="7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43"/>
        <bgColor indexed="26"/>
      </patternFill>
    </fill>
    <fill>
      <patternFill patternType="solid">
        <fgColor indexed="44"/>
        <bgColor indexed="31"/>
      </patternFill>
    </fill>
    <fill>
      <patternFill patternType="solid">
        <fgColor indexed="49"/>
        <bgColor indexed="40"/>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52"/>
      </patternFill>
    </fill>
    <fill>
      <patternFill patternType="solid">
        <fgColor indexed="45"/>
        <bgColor indexed="29"/>
      </patternFill>
    </fill>
    <fill>
      <patternFill patternType="solid">
        <fgColor indexed="55"/>
        <bgColor indexed="23"/>
      </patternFill>
    </fill>
    <fill>
      <patternFill patternType="solid">
        <fgColor indexed="42"/>
        <bgColor indexed="27"/>
      </patternFill>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206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rgb="FFCC00CC"/>
        <bgColor indexed="64"/>
      </patternFill>
    </fill>
    <fill>
      <patternFill patternType="solid">
        <fgColor rgb="FFF6C3FF"/>
        <bgColor indexed="64"/>
      </patternFill>
    </fill>
    <fill>
      <patternFill patternType="solid">
        <fgColor theme="2" tint="-0.249977111117893"/>
        <bgColor indexed="64"/>
      </patternFill>
    </fill>
  </fills>
  <borders count="1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auto="1"/>
      </right>
      <top style="thin">
        <color auto="1"/>
      </top>
      <bottom style="double">
        <color auto="1"/>
      </bottom>
      <diagonal/>
    </border>
    <border>
      <left/>
      <right style="thin">
        <color indexed="64"/>
      </right>
      <top style="thin">
        <color indexed="64"/>
      </top>
      <bottom/>
      <diagonal/>
    </border>
    <border>
      <left style="thin">
        <color indexed="64"/>
      </left>
      <right style="medium">
        <color indexed="64"/>
      </right>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thin">
        <color auto="1"/>
      </bottom>
      <diagonal/>
    </border>
    <border>
      <left style="medium">
        <color indexed="64"/>
      </left>
      <right style="thin">
        <color indexed="64"/>
      </right>
      <top/>
      <bottom/>
      <diagonal/>
    </border>
    <border>
      <left style="medium">
        <color indexed="64"/>
      </left>
      <right style="medium">
        <color indexed="64"/>
      </right>
      <top style="thin">
        <color auto="1"/>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auto="1"/>
      </right>
      <top style="thin">
        <color auto="1"/>
      </top>
      <bottom style="thin">
        <color auto="1"/>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indexed="64"/>
      </top>
      <bottom style="double">
        <color indexed="64"/>
      </bottom>
      <diagonal/>
    </border>
  </borders>
  <cellStyleXfs count="4090">
    <xf numFmtId="0" fontId="0" fillId="0" borderId="0"/>
    <xf numFmtId="43" fontId="3" fillId="0" borderId="0" applyFont="0" applyFill="0" applyBorder="0" applyAlignment="0" applyProtection="0"/>
    <xf numFmtId="0" fontId="3" fillId="33" borderId="0" applyNumberFormat="0" applyBorder="0" applyAlignment="0" applyProtection="0"/>
    <xf numFmtId="0" fontId="3" fillId="33" borderId="0" applyNumberFormat="0" applyBorder="0" applyAlignment="0" applyProtection="0"/>
    <xf numFmtId="0" fontId="4" fillId="10"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4" fillId="14"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4" fillId="18"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4" fillId="2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4" fillId="26"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4" fillId="30"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4" fillId="11"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4" fillId="1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4" fillId="19"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4" fillId="23"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4" fillId="27"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4" fillId="3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4" fillId="12"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4"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4" fillId="20"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4" fillId="24"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4" fillId="28"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4" fillId="32"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6" fillId="9"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6" fillId="1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6" fillId="17"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6" fillId="2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6" fillId="2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6" fillId="29"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8" fillId="3" borderId="0" applyNumberFormat="0" applyBorder="0" applyAlignment="0" applyProtection="0"/>
    <xf numFmtId="168" fontId="9" fillId="0" borderId="0" applyFill="0" applyBorder="0" applyAlignment="0"/>
    <xf numFmtId="169" fontId="9" fillId="0" borderId="0" applyFill="0" applyBorder="0" applyAlignment="0"/>
    <xf numFmtId="170" fontId="9" fillId="0" borderId="0" applyFill="0" applyBorder="0" applyAlignment="0"/>
    <xf numFmtId="171" fontId="9" fillId="0" borderId="0" applyFill="0" applyBorder="0" applyAlignment="0"/>
    <xf numFmtId="172" fontId="9" fillId="0" borderId="0" applyFill="0" applyBorder="0" applyAlignment="0"/>
    <xf numFmtId="168" fontId="9" fillId="0" borderId="0" applyFill="0" applyBorder="0" applyAlignment="0"/>
    <xf numFmtId="173" fontId="9" fillId="0" borderId="0" applyFill="0" applyBorder="0" applyAlignment="0"/>
    <xf numFmtId="169" fontId="9" fillId="0" borderId="0" applyFill="0" applyBorder="0" applyAlignment="0"/>
    <xf numFmtId="0" fontId="10" fillId="33" borderId="13" applyNumberFormat="0" applyAlignment="0" applyProtection="0"/>
    <xf numFmtId="0" fontId="11" fillId="6" borderId="4"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2" fillId="47" borderId="14" applyNumberFormat="0" applyAlignment="0" applyProtection="0"/>
    <xf numFmtId="0" fontId="12" fillId="47" borderId="14" applyNumberFormat="0" applyAlignment="0" applyProtection="0"/>
    <xf numFmtId="0" fontId="13" fillId="7" borderId="7" applyNumberFormat="0" applyAlignment="0" applyProtection="0"/>
    <xf numFmtId="168" fontId="14" fillId="0" borderId="0" applyFont="0" applyFill="0" applyBorder="0" applyAlignment="0" applyProtection="0"/>
    <xf numFmtId="174" fontId="14" fillId="0" borderId="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3" fontId="3" fillId="0" borderId="0" applyFont="0" applyFill="0" applyBorder="0" applyAlignment="0" applyProtection="0"/>
    <xf numFmtId="166" fontId="15" fillId="0" borderId="0" applyFont="0" applyFill="0" applyBorder="0" applyAlignment="0" applyProtection="0"/>
    <xf numFmtId="43" fontId="14"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15" fillId="0" borderId="0" applyFont="0" applyFill="0" applyBorder="0" applyAlignment="0" applyProtection="0"/>
    <xf numFmtId="175" fontId="3"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74" fontId="14" fillId="0" borderId="0" applyFill="0" applyBorder="0" applyAlignment="0" applyProtection="0"/>
    <xf numFmtId="174" fontId="14" fillId="0" borderId="0" applyFill="0" applyBorder="0" applyAlignment="0" applyProtection="0"/>
    <xf numFmtId="166" fontId="15" fillId="0" borderId="0" applyFont="0" applyFill="0" applyBorder="0" applyAlignment="0" applyProtection="0"/>
    <xf numFmtId="43" fontId="16" fillId="0" borderId="0" applyFont="0" applyFill="0" applyBorder="0" applyAlignment="0" applyProtection="0"/>
    <xf numFmtId="174" fontId="14" fillId="0" borderId="0" applyFill="0" applyBorder="0" applyAlignment="0" applyProtection="0"/>
    <xf numFmtId="169" fontId="14" fillId="0" borderId="0" applyFont="0" applyFill="0" applyBorder="0" applyAlignment="0" applyProtection="0"/>
    <xf numFmtId="176" fontId="17" fillId="0" borderId="0"/>
    <xf numFmtId="14" fontId="9" fillId="0" borderId="0" applyFill="0" applyBorder="0" applyAlignment="0"/>
    <xf numFmtId="168" fontId="18" fillId="0" borderId="0" applyFill="0" applyBorder="0" applyAlignment="0"/>
    <xf numFmtId="169" fontId="18" fillId="0" borderId="0" applyFill="0" applyBorder="0" applyAlignment="0"/>
    <xf numFmtId="168" fontId="18" fillId="0" borderId="0" applyFill="0" applyBorder="0" applyAlignment="0"/>
    <xf numFmtId="173" fontId="18" fillId="0" borderId="0" applyFill="0" applyBorder="0" applyAlignment="0"/>
    <xf numFmtId="169" fontId="18" fillId="0" borderId="0" applyFill="0" applyBorder="0" applyAlignment="0"/>
    <xf numFmtId="177" fontId="14" fillId="0" borderId="0" applyFont="0" applyFill="0" applyBorder="0" applyAlignment="0" applyProtection="0"/>
    <xf numFmtId="0" fontId="3" fillId="0" borderId="0"/>
    <xf numFmtId="0" fontId="19" fillId="0" borderId="0"/>
    <xf numFmtId="0" fontId="19" fillId="0" borderId="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48" borderId="0" applyNumberFormat="0" applyBorder="0" applyAlignment="0" applyProtection="0"/>
    <xf numFmtId="0" fontId="22" fillId="48" borderId="0" applyNumberFormat="0" applyBorder="0" applyAlignment="0" applyProtection="0"/>
    <xf numFmtId="0" fontId="23" fillId="2" borderId="0" applyNumberFormat="0" applyBorder="0" applyAlignment="0" applyProtection="0"/>
    <xf numFmtId="38" fontId="24" fillId="49" borderId="0" applyNumberFormat="0" applyBorder="0" applyAlignment="0" applyProtection="0"/>
    <xf numFmtId="0" fontId="25" fillId="0" borderId="15" applyNumberFormat="0" applyAlignment="0" applyProtection="0">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6" fillId="0" borderId="0">
      <alignment horizontal="center"/>
    </xf>
    <xf numFmtId="0" fontId="27" fillId="0" borderId="16" applyNumberFormat="0" applyFill="0" applyAlignment="0" applyProtection="0"/>
    <xf numFmtId="0" fontId="27" fillId="0" borderId="16" applyNumberFormat="0" applyFill="0" applyAlignment="0" applyProtection="0"/>
    <xf numFmtId="0" fontId="28" fillId="0" borderId="1" applyNumberFormat="0" applyFill="0" applyAlignment="0" applyProtection="0"/>
    <xf numFmtId="0" fontId="29" fillId="0" borderId="17" applyNumberFormat="0" applyFill="0" applyAlignment="0" applyProtection="0"/>
    <xf numFmtId="0" fontId="29" fillId="0" borderId="17" applyNumberFormat="0" applyFill="0" applyAlignment="0" applyProtection="0"/>
    <xf numFmtId="0" fontId="30" fillId="0" borderId="2"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2" fillId="0" borderId="3"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26" fillId="0" borderId="0">
      <alignment horizontal="center" textRotation="90"/>
    </xf>
    <xf numFmtId="0" fontId="33" fillId="0" borderId="0" applyNumberFormat="0" applyFill="0" applyBorder="0" applyAlignment="0" applyProtection="0">
      <alignment vertical="top"/>
      <protection locked="0"/>
    </xf>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0" fontId="34" fillId="34" borderId="13" applyNumberFormat="0" applyAlignment="0" applyProtection="0"/>
    <xf numFmtId="0" fontId="35" fillId="5" borderId="4"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168" fontId="36" fillId="0" borderId="0" applyFill="0" applyBorder="0" applyAlignment="0"/>
    <xf numFmtId="169" fontId="36" fillId="0" borderId="0" applyFill="0" applyBorder="0" applyAlignment="0"/>
    <xf numFmtId="168" fontId="36" fillId="0" borderId="0" applyFill="0" applyBorder="0" applyAlignment="0"/>
    <xf numFmtId="173" fontId="36" fillId="0" borderId="0" applyFill="0" applyBorder="0" applyAlignment="0"/>
    <xf numFmtId="169" fontId="36" fillId="0" borderId="0" applyFill="0" applyBorder="0" applyAlignment="0"/>
    <xf numFmtId="0" fontId="37" fillId="0" borderId="20" applyNumberFormat="0" applyFill="0" applyAlignment="0" applyProtection="0"/>
    <xf numFmtId="0" fontId="37" fillId="0" borderId="20" applyNumberFormat="0" applyFill="0" applyAlignment="0" applyProtection="0"/>
    <xf numFmtId="0" fontId="38" fillId="0" borderId="6" applyNumberFormat="0" applyFill="0" applyAlignment="0" applyProtection="0"/>
    <xf numFmtId="0" fontId="39" fillId="39" borderId="0" applyNumberFormat="0" applyBorder="0" applyAlignment="0" applyProtection="0"/>
    <xf numFmtId="0" fontId="39" fillId="39" borderId="0" applyNumberFormat="0" applyBorder="0" applyAlignment="0" applyProtection="0"/>
    <xf numFmtId="0" fontId="40" fillId="4" borderId="0" applyNumberFormat="0" applyBorder="0" applyAlignment="0" applyProtection="0"/>
    <xf numFmtId="178" fontId="4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5" fillId="0" borderId="0"/>
    <xf numFmtId="0" fontId="15" fillId="0" borderId="0"/>
    <xf numFmtId="0" fontId="4" fillId="0" borderId="0"/>
    <xf numFmtId="0" fontId="2" fillId="0" borderId="0"/>
    <xf numFmtId="0" fontId="15" fillId="0" borderId="0"/>
    <xf numFmtId="0" fontId="15" fillId="0" borderId="0"/>
    <xf numFmtId="0" fontId="15" fillId="0" borderId="0"/>
    <xf numFmtId="0" fontId="42" fillId="0" borderId="0"/>
    <xf numFmtId="0" fontId="15" fillId="0" borderId="0"/>
    <xf numFmtId="0" fontId="14"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43" fillId="0" borderId="0"/>
    <xf numFmtId="0" fontId="43" fillId="0" borderId="0"/>
    <xf numFmtId="176" fontId="44" fillId="0" borderId="0"/>
    <xf numFmtId="0" fontId="43" fillId="0" borderId="0"/>
    <xf numFmtId="0" fontId="15" fillId="0" borderId="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4" fillId="8" borderId="8" applyNumberFormat="0" applyFon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45" fillId="33" borderId="22" applyNumberFormat="0" applyAlignment="0" applyProtection="0"/>
    <xf numFmtId="0" fontId="46" fillId="6" borderId="5"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172" fontId="14" fillId="0" borderId="0" applyFont="0" applyFill="0" applyBorder="0" applyAlignment="0" applyProtection="0"/>
    <xf numFmtId="179" fontId="14" fillId="0" borderId="0" applyFont="0" applyFill="0" applyBorder="0" applyAlignment="0" applyProtection="0"/>
    <xf numFmtId="10" fontId="1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ill="0" applyBorder="0" applyAlignment="0" applyProtection="0"/>
    <xf numFmtId="9" fontId="14" fillId="0" borderId="0" applyFill="0" applyBorder="0" applyAlignment="0" applyProtection="0"/>
    <xf numFmtId="9" fontId="15" fillId="0" borderId="0" applyFont="0" applyFill="0" applyBorder="0" applyAlignment="0" applyProtection="0"/>
    <xf numFmtId="9" fontId="14" fillId="0" borderId="0" applyFill="0" applyBorder="0" applyAlignment="0" applyProtection="0"/>
    <xf numFmtId="9" fontId="14" fillId="0" borderId="0" applyFill="0" applyBorder="0" applyAlignment="0" applyProtection="0"/>
    <xf numFmtId="9" fontId="3" fillId="0" borderId="0" applyFont="0" applyFill="0" applyBorder="0" applyAlignment="0" applyProtection="0"/>
    <xf numFmtId="168" fontId="47" fillId="0" borderId="0" applyFill="0" applyBorder="0" applyAlignment="0"/>
    <xf numFmtId="169" fontId="47" fillId="0" borderId="0" applyFill="0" applyBorder="0" applyAlignment="0"/>
    <xf numFmtId="168" fontId="47" fillId="0" borderId="0" applyFill="0" applyBorder="0" applyAlignment="0"/>
    <xf numFmtId="173" fontId="47" fillId="0" borderId="0" applyFill="0" applyBorder="0" applyAlignment="0"/>
    <xf numFmtId="169" fontId="47" fillId="0" borderId="0" applyFill="0" applyBorder="0" applyAlignment="0"/>
    <xf numFmtId="0" fontId="48" fillId="0" borderId="0"/>
    <xf numFmtId="180" fontId="48" fillId="0" borderId="0"/>
    <xf numFmtId="0" fontId="14" fillId="0" borderId="0"/>
    <xf numFmtId="49" fontId="9" fillId="0" borderId="0" applyFill="0" applyBorder="0" applyAlignment="0"/>
    <xf numFmtId="181" fontId="9" fillId="0" borderId="0" applyFill="0" applyBorder="0" applyAlignment="0"/>
    <xf numFmtId="182" fontId="9" fillId="0" borderId="0" applyFill="0" applyBorder="0" applyAlignment="0"/>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23" applyNumberFormat="0" applyFill="0" applyAlignment="0" applyProtection="0"/>
    <xf numFmtId="0" fontId="52" fillId="0" borderId="9"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14" fillId="51" borderId="0" applyNumberFormat="0" applyFont="0" applyBorder="0" applyAlignment="0" applyProtection="0"/>
    <xf numFmtId="0" fontId="14" fillId="51" borderId="0" applyNumberFormat="0" applyFont="0" applyBorder="0" applyAlignment="0" applyProtection="0"/>
    <xf numFmtId="165" fontId="2" fillId="0" borderId="0" applyFont="0" applyFill="0" applyBorder="0" applyAlignment="0" applyProtection="0"/>
    <xf numFmtId="9" fontId="3" fillId="0" borderId="0" applyFont="0" applyFill="0" applyBorder="0" applyAlignment="0" applyProtection="0"/>
    <xf numFmtId="165" fontId="2" fillId="0" borderId="0" applyFont="0" applyFill="0" applyBorder="0" applyAlignment="0" applyProtection="0"/>
    <xf numFmtId="0" fontId="10" fillId="33" borderId="36" applyNumberFormat="0" applyAlignment="0" applyProtection="0"/>
    <xf numFmtId="0" fontId="10" fillId="33" borderId="36" applyNumberFormat="0" applyAlignment="0" applyProtection="0"/>
    <xf numFmtId="0" fontId="34" fillId="34" borderId="54" applyNumberFormat="0" applyAlignment="0" applyProtection="0"/>
    <xf numFmtId="10" fontId="24" fillId="50" borderId="40" applyNumberFormat="0" applyBorder="0" applyAlignment="0" applyProtection="0"/>
    <xf numFmtId="10" fontId="24" fillId="50" borderId="52" applyNumberFormat="0" applyBorder="0" applyAlignment="0" applyProtection="0"/>
    <xf numFmtId="10" fontId="24" fillId="50" borderId="34" applyNumberFormat="0" applyBorder="0" applyAlignment="0" applyProtection="0"/>
    <xf numFmtId="10" fontId="24" fillId="50" borderId="57" applyNumberFormat="0" applyBorder="0" applyAlignment="0" applyProtection="0"/>
    <xf numFmtId="0" fontId="25" fillId="0" borderId="53">
      <alignment horizontal="left" vertical="center"/>
    </xf>
    <xf numFmtId="0" fontId="34" fillId="34" borderId="48" applyNumberFormat="0" applyAlignment="0" applyProtection="0"/>
    <xf numFmtId="0" fontId="25" fillId="0" borderId="47">
      <alignment horizontal="left" vertical="center"/>
    </xf>
    <xf numFmtId="0" fontId="25" fillId="0" borderId="47">
      <alignment horizontal="left" vertical="center"/>
    </xf>
    <xf numFmtId="0" fontId="25" fillId="0" borderId="58">
      <alignment horizontal="left" vertical="center"/>
    </xf>
    <xf numFmtId="0" fontId="34" fillId="34" borderId="48"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34" applyNumberFormat="0" applyBorder="0" applyAlignment="0" applyProtection="0"/>
    <xf numFmtId="0" fontId="10" fillId="33" borderId="42" applyNumberFormat="0" applyAlignment="0" applyProtection="0"/>
    <xf numFmtId="10" fontId="24" fillId="50" borderId="34" applyNumberFormat="0" applyBorder="0" applyAlignment="0" applyProtection="0"/>
    <xf numFmtId="0" fontId="10" fillId="33" borderId="42" applyNumberFormat="0" applyAlignment="0" applyProtection="0"/>
    <xf numFmtId="0" fontId="25" fillId="0" borderId="35">
      <alignment horizontal="left" vertical="center"/>
    </xf>
    <xf numFmtId="0" fontId="25" fillId="0" borderId="53">
      <alignment horizontal="left" vertical="center"/>
    </xf>
    <xf numFmtId="10" fontId="24" fillId="50" borderId="52" applyNumberFormat="0" applyBorder="0" applyAlignment="0" applyProtection="0"/>
    <xf numFmtId="0" fontId="34" fillId="34" borderId="36" applyNumberFormat="0" applyAlignment="0" applyProtection="0"/>
    <xf numFmtId="0" fontId="34" fillId="34" borderId="36" applyNumberFormat="0" applyAlignment="0" applyProtection="0"/>
    <xf numFmtId="0" fontId="34" fillId="34" borderId="36" applyNumberFormat="0" applyAlignment="0" applyProtection="0"/>
    <xf numFmtId="0" fontId="10" fillId="33" borderId="48" applyNumberFormat="0" applyAlignment="0" applyProtection="0"/>
    <xf numFmtId="0" fontId="34" fillId="34" borderId="48" applyNumberFormat="0" applyAlignment="0" applyProtection="0"/>
    <xf numFmtId="10" fontId="24" fillId="50" borderId="40" applyNumberFormat="0" applyBorder="0" applyAlignment="0" applyProtection="0"/>
    <xf numFmtId="0" fontId="25" fillId="0" borderId="41">
      <alignment horizontal="left" vertical="center"/>
    </xf>
    <xf numFmtId="0" fontId="25" fillId="0" borderId="41">
      <alignment horizontal="left" vertical="center"/>
    </xf>
    <xf numFmtId="10" fontId="24" fillId="50" borderId="40" applyNumberFormat="0" applyBorder="0" applyAlignment="0" applyProtection="0"/>
    <xf numFmtId="0" fontId="10" fillId="33" borderId="54" applyNumberFormat="0" applyAlignment="0" applyProtection="0"/>
    <xf numFmtId="0" fontId="15" fillId="35" borderId="59" applyNumberFormat="0" applyAlignment="0" applyProtection="0"/>
    <xf numFmtId="0" fontId="45" fillId="33" borderId="44" applyNumberFormat="0" applyAlignment="0" applyProtection="0"/>
    <xf numFmtId="10" fontId="24" fillId="50" borderId="46" applyNumberFormat="0" applyBorder="0" applyAlignment="0" applyProtection="0"/>
    <xf numFmtId="0" fontId="25" fillId="0" borderId="41">
      <alignment horizontal="left" vertical="center"/>
    </xf>
    <xf numFmtId="10" fontId="24" fillId="50" borderId="40" applyNumberFormat="0" applyBorder="0" applyAlignment="0" applyProtection="0"/>
    <xf numFmtId="0" fontId="25" fillId="0" borderId="35">
      <alignment horizontal="left" vertical="center"/>
    </xf>
    <xf numFmtId="0" fontId="45" fillId="33" borderId="44" applyNumberFormat="0" applyAlignment="0" applyProtection="0"/>
    <xf numFmtId="0" fontId="15" fillId="35" borderId="43" applyNumberFormat="0" applyAlignment="0" applyProtection="0"/>
    <xf numFmtId="0" fontId="34" fillId="34" borderId="54" applyNumberFormat="0" applyAlignment="0" applyProtection="0"/>
    <xf numFmtId="0" fontId="15" fillId="35" borderId="43" applyNumberFormat="0" applyAlignment="0" applyProtection="0"/>
    <xf numFmtId="0" fontId="34" fillId="34" borderId="42" applyNumberFormat="0" applyAlignment="0" applyProtection="0"/>
    <xf numFmtId="0" fontId="34" fillId="34" borderId="42" applyNumberFormat="0" applyAlignment="0" applyProtection="0"/>
    <xf numFmtId="10" fontId="24" fillId="50" borderId="46" applyNumberFormat="0" applyBorder="0" applyAlignment="0" applyProtection="0"/>
    <xf numFmtId="0" fontId="34" fillId="34" borderId="54" applyNumberFormat="0" applyAlignment="0" applyProtection="0"/>
    <xf numFmtId="10" fontId="24" fillId="50" borderId="40" applyNumberFormat="0" applyBorder="0" applyAlignment="0" applyProtection="0"/>
    <xf numFmtId="0" fontId="25" fillId="0" borderId="41">
      <alignment horizontal="left" vertical="center"/>
    </xf>
    <xf numFmtId="0" fontId="51" fillId="0" borderId="45" applyNumberFormat="0" applyFill="0" applyAlignment="0" applyProtection="0"/>
    <xf numFmtId="0" fontId="10" fillId="33" borderId="54" applyNumberFormat="0" applyAlignment="0" applyProtection="0"/>
    <xf numFmtId="0" fontId="25" fillId="0" borderId="35">
      <alignment horizontal="left" vertical="center"/>
    </xf>
    <xf numFmtId="10" fontId="24" fillId="50" borderId="34" applyNumberFormat="0" applyBorder="0" applyAlignment="0" applyProtection="0"/>
    <xf numFmtId="0" fontId="25" fillId="0" borderId="35">
      <alignment horizontal="left" vertical="center"/>
    </xf>
    <xf numFmtId="10" fontId="24" fillId="50" borderId="34" applyNumberFormat="0" applyBorder="0" applyAlignment="0" applyProtection="0"/>
    <xf numFmtId="10" fontId="24" fillId="50" borderId="52" applyNumberFormat="0" applyBorder="0" applyAlignment="0" applyProtection="0"/>
    <xf numFmtId="0" fontId="10" fillId="33" borderId="54" applyNumberFormat="0" applyAlignment="0" applyProtection="0"/>
    <xf numFmtId="0" fontId="10" fillId="33" borderId="54" applyNumberFormat="0" applyAlignment="0" applyProtection="0"/>
    <xf numFmtId="0" fontId="15" fillId="35" borderId="37" applyNumberFormat="0" applyAlignment="0" applyProtection="0"/>
    <xf numFmtId="0" fontId="15" fillId="35" borderId="37" applyNumberFormat="0" applyAlignment="0" applyProtection="0"/>
    <xf numFmtId="0" fontId="45" fillId="33" borderId="38" applyNumberFormat="0" applyAlignment="0" applyProtection="0"/>
    <xf numFmtId="0" fontId="45" fillId="33" borderId="38" applyNumberFormat="0" applyAlignment="0" applyProtection="0"/>
    <xf numFmtId="0" fontId="34" fillId="34" borderId="42" applyNumberFormat="0" applyAlignment="0" applyProtection="0"/>
    <xf numFmtId="0" fontId="51" fillId="0" borderId="39" applyNumberFormat="0" applyFill="0" applyAlignment="0" applyProtection="0"/>
    <xf numFmtId="0" fontId="51" fillId="0" borderId="39" applyNumberFormat="0" applyFill="0" applyAlignment="0" applyProtection="0"/>
    <xf numFmtId="0" fontId="25" fillId="0" borderId="41">
      <alignment horizontal="left" vertical="center"/>
    </xf>
    <xf numFmtId="10" fontId="24" fillId="50" borderId="40" applyNumberFormat="0" applyBorder="0" applyAlignment="0" applyProtection="0"/>
    <xf numFmtId="0" fontId="25" fillId="0" borderId="41">
      <alignment horizontal="left" vertical="center"/>
    </xf>
    <xf numFmtId="10" fontId="24" fillId="50" borderId="40" applyNumberFormat="0" applyBorder="0" applyAlignment="0" applyProtection="0"/>
    <xf numFmtId="0" fontId="34" fillId="34" borderId="54" applyNumberFormat="0" applyAlignment="0" applyProtection="0"/>
    <xf numFmtId="0" fontId="25" fillId="0" borderId="58">
      <alignment horizontal="left" vertical="center"/>
    </xf>
    <xf numFmtId="0" fontId="10" fillId="33" borderId="48" applyNumberFormat="0" applyAlignment="0" applyProtection="0"/>
    <xf numFmtId="0" fontId="25" fillId="0" borderId="41">
      <alignment horizontal="left" vertical="center"/>
    </xf>
    <xf numFmtId="10" fontId="24" fillId="50" borderId="40" applyNumberFormat="0" applyBorder="0" applyAlignment="0" applyProtection="0"/>
    <xf numFmtId="0" fontId="25" fillId="0" borderId="41">
      <alignment horizontal="left" vertical="center"/>
    </xf>
    <xf numFmtId="10" fontId="24" fillId="50" borderId="40" applyNumberFormat="0" applyBorder="0" applyAlignment="0" applyProtection="0"/>
    <xf numFmtId="0" fontId="51" fillId="0" borderId="45" applyNumberFormat="0" applyFill="0" applyAlignment="0" applyProtection="0"/>
    <xf numFmtId="0" fontId="25" fillId="0" borderId="47">
      <alignment horizontal="left" vertical="center"/>
    </xf>
    <xf numFmtId="10" fontId="24" fillId="50" borderId="46" applyNumberFormat="0" applyBorder="0" applyAlignment="0" applyProtection="0"/>
    <xf numFmtId="0" fontId="25" fillId="0" borderId="47">
      <alignment horizontal="left" vertical="center"/>
    </xf>
    <xf numFmtId="10" fontId="24" fillId="50" borderId="46" applyNumberFormat="0" applyBorder="0" applyAlignment="0" applyProtection="0"/>
    <xf numFmtId="0" fontId="15" fillId="35" borderId="49" applyNumberFormat="0" applyAlignment="0" applyProtection="0"/>
    <xf numFmtId="0" fontId="15" fillId="35" borderId="49" applyNumberFormat="0" applyAlignment="0" applyProtection="0"/>
    <xf numFmtId="0" fontId="45" fillId="33" borderId="50" applyNumberFormat="0" applyAlignment="0" applyProtection="0"/>
    <xf numFmtId="0" fontId="45" fillId="33" borderId="50" applyNumberFormat="0" applyAlignment="0" applyProtection="0"/>
    <xf numFmtId="0" fontId="51" fillId="0" borderId="51" applyNumberFormat="0" applyFill="0" applyAlignment="0" applyProtection="0"/>
    <xf numFmtId="0" fontId="51" fillId="0" borderId="51" applyNumberFormat="0" applyFill="0" applyAlignment="0" applyProtection="0"/>
    <xf numFmtId="0" fontId="25" fillId="0" borderId="53">
      <alignment horizontal="left" vertical="center"/>
    </xf>
    <xf numFmtId="10" fontId="24" fillId="50" borderId="52" applyNumberFormat="0" applyBorder="0" applyAlignment="0" applyProtection="0"/>
    <xf numFmtId="0" fontId="25" fillId="0" borderId="53">
      <alignment horizontal="left" vertical="center"/>
    </xf>
    <xf numFmtId="10" fontId="24" fillId="50" borderId="52" applyNumberFormat="0" applyBorder="0" applyAlignment="0" applyProtection="0"/>
    <xf numFmtId="0" fontId="25" fillId="0" borderId="53">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0" fillId="33" borderId="60" applyNumberFormat="0" applyAlignment="0" applyProtection="0"/>
    <xf numFmtId="0" fontId="10" fillId="33" borderId="60" applyNumberFormat="0" applyAlignment="0" applyProtection="0"/>
    <xf numFmtId="0" fontId="10" fillId="33" borderId="60"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34" fillId="34" borderId="60" applyNumberFormat="0" applyAlignment="0" applyProtection="0"/>
    <xf numFmtId="0" fontId="34" fillId="34" borderId="60" applyNumberFormat="0" applyAlignment="0" applyProtection="0"/>
    <xf numFmtId="0" fontId="34" fillId="34" borderId="60" applyNumberFormat="0" applyAlignment="0" applyProtection="0"/>
    <xf numFmtId="0" fontId="34" fillId="34" borderId="60" applyNumberFormat="0" applyAlignment="0" applyProtection="0"/>
    <xf numFmtId="0" fontId="34" fillId="34" borderId="60" applyNumberFormat="0" applyAlignment="0" applyProtection="0"/>
    <xf numFmtId="0" fontId="15" fillId="35" borderId="61" applyNumberFormat="0" applyAlignment="0" applyProtection="0"/>
    <xf numFmtId="0" fontId="45" fillId="33" borderId="62" applyNumberFormat="0" applyAlignment="0" applyProtection="0"/>
    <xf numFmtId="0" fontId="45" fillId="33" borderId="62" applyNumberFormat="0" applyAlignment="0" applyProtection="0"/>
    <xf numFmtId="0" fontId="45" fillId="33" borderId="62" applyNumberFormat="0" applyAlignment="0" applyProtection="0"/>
    <xf numFmtId="0" fontId="51" fillId="0" borderId="63" applyNumberFormat="0" applyFill="0" applyAlignment="0" applyProtection="0"/>
    <xf numFmtId="0" fontId="51" fillId="0" borderId="63" applyNumberFormat="0" applyFill="0" applyAlignment="0" applyProtection="0"/>
    <xf numFmtId="0" fontId="51" fillId="0" borderId="63"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57" applyNumberFormat="0" applyBorder="0" applyAlignment="0" applyProtection="0"/>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57" applyNumberFormat="0" applyBorder="0" applyAlignment="0" applyProtection="0"/>
    <xf numFmtId="0" fontId="10" fillId="33" borderId="54" applyNumberFormat="0" applyAlignment="0" applyProtection="0"/>
    <xf numFmtId="10" fontId="24" fillId="50" borderId="57" applyNumberFormat="0" applyBorder="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57" applyNumberFormat="0" applyBorder="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5" fillId="35" borderId="59" applyNumberFormat="0" applyAlignment="0" applyProtection="0"/>
    <xf numFmtId="0" fontId="45" fillId="33" borderId="55" applyNumberFormat="0" applyAlignment="0" applyProtection="0"/>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45" fillId="33" borderId="55"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57" applyNumberFormat="0" applyBorder="0" applyAlignment="0" applyProtection="0"/>
    <xf numFmtId="0" fontId="34" fillId="34" borderId="54" applyNumberFormat="0" applyAlignment="0" applyProtection="0"/>
    <xf numFmtId="10" fontId="24" fillId="50" borderId="57" applyNumberFormat="0" applyBorder="0" applyAlignment="0" applyProtection="0"/>
    <xf numFmtId="0" fontId="25" fillId="0" borderId="58">
      <alignment horizontal="left" vertical="center"/>
    </xf>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10" fillId="33"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34" fillId="34"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34" fillId="34" borderId="54" applyNumberFormat="0" applyAlignment="0" applyProtection="0"/>
    <xf numFmtId="0" fontId="25" fillId="0" borderId="58">
      <alignment horizontal="left" vertical="center"/>
    </xf>
    <xf numFmtId="0" fontId="10" fillId="33" borderId="54" applyNumberFormat="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10" fontId="24" fillId="50" borderId="46" applyNumberFormat="0" applyBorder="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0" fontId="25" fillId="0" borderId="53">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53">
      <alignment horizontal="left" vertical="center"/>
    </xf>
    <xf numFmtId="0" fontId="25" fillId="0" borderId="53">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53">
      <alignment horizontal="left" vertical="center"/>
    </xf>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46" applyNumberFormat="0" applyBorder="0" applyAlignment="0" applyProtection="0"/>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25" fillId="0" borderId="53">
      <alignment horizontal="left" vertical="center"/>
    </xf>
    <xf numFmtId="0" fontId="25" fillId="0" borderId="53">
      <alignment horizontal="left" vertical="center"/>
    </xf>
    <xf numFmtId="0" fontId="34" fillId="34" borderId="54"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46" applyNumberFormat="0" applyBorder="0" applyAlignment="0" applyProtection="0"/>
    <xf numFmtId="0" fontId="10" fillId="33" borderId="54" applyNumberFormat="0" applyAlignment="0" applyProtection="0"/>
    <xf numFmtId="10" fontId="24" fillId="50" borderId="46" applyNumberFormat="0" applyBorder="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46" applyNumberFormat="0" applyBorder="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0" fontId="10" fillId="33" borderId="54" applyNumberFormat="0" applyAlignment="0" applyProtection="0"/>
    <xf numFmtId="0" fontId="15" fillId="35" borderId="59" applyNumberFormat="0" applyAlignment="0" applyProtection="0"/>
    <xf numFmtId="0" fontId="45" fillId="33" borderId="55" applyNumberFormat="0" applyAlignment="0" applyProtection="0"/>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45" fillId="33" borderId="55"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46" applyNumberFormat="0" applyBorder="0" applyAlignment="0" applyProtection="0"/>
    <xf numFmtId="0" fontId="34" fillId="34" borderId="54" applyNumberFormat="0" applyAlignment="0" applyProtection="0"/>
    <xf numFmtId="10" fontId="24" fillId="50" borderId="46" applyNumberFormat="0" applyBorder="0" applyAlignment="0" applyProtection="0"/>
    <xf numFmtId="0" fontId="25" fillId="0" borderId="53">
      <alignment horizontal="left" vertical="center"/>
    </xf>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10" fillId="33"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34" fillId="34"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34" fillId="34" borderId="54" applyNumberFormat="0" applyAlignment="0" applyProtection="0"/>
    <xf numFmtId="0" fontId="25" fillId="0" borderId="53">
      <alignment horizontal="left" vertical="center"/>
    </xf>
    <xf numFmtId="0" fontId="10" fillId="33" borderId="54" applyNumberFormat="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34" fillId="34" borderId="42"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0" fontId="34" fillId="34" borderId="42" applyNumberFormat="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10" fontId="24" fillId="50" borderId="34" applyNumberFormat="0" applyBorder="0" applyAlignment="0" applyProtection="0"/>
    <xf numFmtId="0" fontId="10" fillId="33" borderId="42" applyNumberFormat="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0" fillId="33" borderId="42" applyNumberFormat="0" applyAlignment="0" applyProtection="0"/>
    <xf numFmtId="0" fontId="34" fillId="34" borderId="42" applyNumberFormat="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0" fontId="10" fillId="33" borderId="42" applyNumberFormat="0" applyAlignment="0" applyProtection="0"/>
    <xf numFmtId="0" fontId="15" fillId="35" borderId="43" applyNumberFormat="0" applyAlignment="0" applyProtection="0"/>
    <xf numFmtId="0" fontId="45" fillId="33" borderId="44" applyNumberFormat="0" applyAlignment="0" applyProtection="0"/>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45" fillId="33" borderId="44" applyNumberFormat="0" applyAlignment="0" applyProtection="0"/>
    <xf numFmtId="0" fontId="15" fillId="35" borderId="43"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34" fillId="34" borderId="42" applyNumberFormat="0" applyAlignment="0" applyProtection="0"/>
    <xf numFmtId="0" fontId="34" fillId="34" borderId="42" applyNumberFormat="0" applyAlignment="0" applyProtection="0"/>
    <xf numFmtId="10" fontId="24" fillId="50" borderId="34" applyNumberFormat="0" applyBorder="0" applyAlignment="0" applyProtection="0"/>
    <xf numFmtId="0" fontId="34" fillId="34" borderId="42" applyNumberFormat="0" applyAlignment="0" applyProtection="0"/>
    <xf numFmtId="10" fontId="24" fillId="50" borderId="34" applyNumberFormat="0" applyBorder="0" applyAlignment="0" applyProtection="0"/>
    <xf numFmtId="0" fontId="25" fillId="0" borderId="41">
      <alignment horizontal="left" vertical="center"/>
    </xf>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10" fillId="33" borderId="42"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34" fillId="34" borderId="42"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34" fillId="34" borderId="42" applyNumberFormat="0" applyAlignment="0" applyProtection="0"/>
    <xf numFmtId="0" fontId="25" fillId="0" borderId="41">
      <alignment horizontal="left" vertical="center"/>
    </xf>
    <xf numFmtId="0" fontId="10" fillId="33" borderId="42" applyNumberFormat="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34" fillId="34" borderId="54" applyNumberFormat="0" applyAlignment="0" applyProtection="0"/>
    <xf numFmtId="10" fontId="24" fillId="50" borderId="46" applyNumberFormat="0" applyBorder="0" applyAlignment="0" applyProtection="0"/>
    <xf numFmtId="10" fontId="24" fillId="50" borderId="64" applyNumberFormat="0" applyBorder="0" applyAlignment="0" applyProtection="0"/>
    <xf numFmtId="0" fontId="25" fillId="0" borderId="53">
      <alignment horizontal="left" vertical="center"/>
    </xf>
    <xf numFmtId="0" fontId="25" fillId="0" borderId="41">
      <alignment horizontal="left" vertical="center"/>
    </xf>
    <xf numFmtId="0" fontId="34" fillId="34" borderId="42" applyNumberFormat="0" applyAlignment="0" applyProtection="0"/>
    <xf numFmtId="0" fontId="25" fillId="0" borderId="41">
      <alignment horizontal="left" vertical="center"/>
    </xf>
    <xf numFmtId="0" fontId="25" fillId="0" borderId="41">
      <alignment horizontal="left" vertical="center"/>
    </xf>
    <xf numFmtId="0" fontId="25" fillId="0" borderId="65">
      <alignment horizontal="left" vertical="center"/>
    </xf>
    <xf numFmtId="0" fontId="34" fillId="34" borderId="42"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25" fillId="0" borderId="53">
      <alignment horizontal="left" vertical="center"/>
    </xf>
    <xf numFmtId="10" fontId="24" fillId="50" borderId="46"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0" fillId="33" borderId="42" applyNumberFormat="0" applyAlignment="0" applyProtection="0"/>
    <xf numFmtId="0" fontId="34" fillId="34" borderId="42" applyNumberFormat="0" applyAlignment="0" applyProtection="0"/>
    <xf numFmtId="0" fontId="10" fillId="33" borderId="54" applyNumberFormat="0" applyAlignment="0" applyProtection="0"/>
    <xf numFmtId="0" fontId="15" fillId="35" borderId="66"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54" applyNumberFormat="0" applyAlignment="0" applyProtection="0"/>
    <xf numFmtId="10" fontId="24" fillId="50" borderId="34" applyNumberFormat="0" applyBorder="0" applyAlignment="0" applyProtection="0"/>
    <xf numFmtId="0" fontId="34" fillId="34" borderId="54" applyNumberFormat="0" applyAlignment="0" applyProtection="0"/>
    <xf numFmtId="0" fontId="45" fillId="33" borderId="44" applyNumberFormat="0" applyAlignment="0" applyProtection="0"/>
    <xf numFmtId="0" fontId="45" fillId="33" borderId="44" applyNumberFormat="0" applyAlignment="0" applyProtection="0"/>
    <xf numFmtId="0" fontId="10" fillId="33" borderId="54" applyNumberFormat="0" applyAlignment="0" applyProtection="0"/>
    <xf numFmtId="0" fontId="51" fillId="0" borderId="45" applyNumberFormat="0" applyFill="0" applyAlignment="0" applyProtection="0"/>
    <xf numFmtId="0" fontId="51" fillId="0" borderId="45" applyNumberFormat="0" applyFill="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34" fillId="34" borderId="54" applyNumberFormat="0" applyAlignment="0" applyProtection="0"/>
    <xf numFmtId="0" fontId="25" fillId="0" borderId="65">
      <alignment horizontal="left" vertical="center"/>
    </xf>
    <xf numFmtId="0" fontId="10" fillId="33" borderId="42" applyNumberFormat="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65">
      <alignment horizontal="left" vertical="center"/>
    </xf>
    <xf numFmtId="10" fontId="24" fillId="50" borderId="64" applyNumberFormat="0" applyBorder="0" applyAlignment="0" applyProtection="0"/>
    <xf numFmtId="0" fontId="25" fillId="0" borderId="65">
      <alignment horizontal="left" vertical="center"/>
    </xf>
    <xf numFmtId="10" fontId="24" fillId="50" borderId="64" applyNumberFormat="0" applyBorder="0" applyAlignment="0" applyProtection="0"/>
    <xf numFmtId="0" fontId="15" fillId="35" borderId="66"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65">
      <alignment horizontal="left" vertical="center"/>
    </xf>
    <xf numFmtId="10" fontId="24" fillId="50" borderId="64" applyNumberFormat="0" applyBorder="0" applyAlignment="0" applyProtection="0"/>
    <xf numFmtId="0" fontId="25" fillId="0" borderId="65">
      <alignment horizontal="left" vertical="center"/>
    </xf>
    <xf numFmtId="10" fontId="24" fillId="50" borderId="64" applyNumberFormat="0" applyBorder="0" applyAlignment="0" applyProtection="0"/>
    <xf numFmtId="43" fontId="2" fillId="0" borderId="0" applyFont="0" applyFill="0" applyBorder="0" applyAlignment="0" applyProtection="0"/>
    <xf numFmtId="0" fontId="3" fillId="0" borderId="0"/>
    <xf numFmtId="0" fontId="2" fillId="0" borderId="0"/>
    <xf numFmtId="0" fontId="3" fillId="0" borderId="0"/>
    <xf numFmtId="166" fontId="2" fillId="0" borderId="0" applyFont="0" applyFill="0" applyBorder="0" applyAlignment="0" applyProtection="0"/>
    <xf numFmtId="0" fontId="60" fillId="0" borderId="0"/>
    <xf numFmtId="0" fontId="14" fillId="0" borderId="0"/>
    <xf numFmtId="0" fontId="14" fillId="0" borderId="0"/>
    <xf numFmtId="43" fontId="3" fillId="0" borderId="0" applyFont="0" applyFill="0" applyBorder="0" applyAlignment="0" applyProtection="0"/>
    <xf numFmtId="43" fontId="3"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43" fontId="14"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64" fillId="0" borderId="0" applyNumberFormat="0" applyFill="0" applyBorder="0" applyAlignment="0" applyProtection="0">
      <alignment vertical="top"/>
      <protection locked="0"/>
    </xf>
    <xf numFmtId="0" fontId="14" fillId="0" borderId="0"/>
    <xf numFmtId="0" fontId="14" fillId="0" borderId="0"/>
    <xf numFmtId="0" fontId="14" fillId="0" borderId="0"/>
    <xf numFmtId="0" fontId="2" fillId="0" borderId="0"/>
    <xf numFmtId="0" fontId="2" fillId="0" borderId="0"/>
    <xf numFmtId="9" fontId="14" fillId="0" borderId="0" applyFont="0" applyFill="0" applyBorder="0" applyAlignment="0" applyProtection="0"/>
    <xf numFmtId="0" fontId="67" fillId="0" borderId="0"/>
    <xf numFmtId="43" fontId="67" fillId="0" borderId="0" applyFont="0" applyFill="0" applyBorder="0" applyAlignment="0" applyProtection="0"/>
    <xf numFmtId="0" fontId="68" fillId="0" borderId="0"/>
    <xf numFmtId="0" fontId="69" fillId="0" borderId="0"/>
    <xf numFmtId="0" fontId="14" fillId="0" borderId="0"/>
    <xf numFmtId="0" fontId="14" fillId="0" borderId="0" applyNumberFormat="0" applyFill="0" applyBorder="0" applyAlignment="0" applyProtection="0"/>
    <xf numFmtId="0" fontId="14" fillId="0" borderId="0"/>
    <xf numFmtId="0" fontId="14"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14" fillId="0" borderId="0"/>
    <xf numFmtId="43" fontId="2"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0" fontId="83" fillId="0" borderId="0"/>
    <xf numFmtId="43" fontId="83"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02" fillId="0" borderId="0"/>
    <xf numFmtId="0" fontId="14" fillId="0" borderId="0" applyNumberForma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0" fontId="14" fillId="0" borderId="0"/>
    <xf numFmtId="0" fontId="14" fillId="0" borderId="0" applyNumberFormat="0" applyFill="0" applyBorder="0" applyAlignment="0" applyProtection="0"/>
    <xf numFmtId="0" fontId="109" fillId="0" borderId="0"/>
    <xf numFmtId="0" fontId="2" fillId="0" borderId="0"/>
  </cellStyleXfs>
  <cellXfs count="2049">
    <xf numFmtId="0" fontId="0" fillId="0" borderId="0" xfId="0"/>
    <xf numFmtId="43" fontId="0" fillId="0" borderId="0" xfId="0" applyNumberFormat="1"/>
    <xf numFmtId="43" fontId="0" fillId="0" borderId="0" xfId="1" applyFont="1" applyFill="1" applyBorder="1"/>
    <xf numFmtId="0" fontId="61" fillId="0" borderId="0" xfId="0" applyFont="1"/>
    <xf numFmtId="0" fontId="59" fillId="0" borderId="0" xfId="0" applyFont="1"/>
    <xf numFmtId="0" fontId="0" fillId="0" borderId="10" xfId="0" applyBorder="1"/>
    <xf numFmtId="0" fontId="63" fillId="0" borderId="0" xfId="0" applyFont="1"/>
    <xf numFmtId="43" fontId="0" fillId="0" borderId="0" xfId="1" applyFont="1" applyBorder="1"/>
    <xf numFmtId="43" fontId="59" fillId="0" borderId="0" xfId="1" applyFont="1" applyBorder="1"/>
    <xf numFmtId="43" fontId="63" fillId="0" borderId="0" xfId="0" applyNumberFormat="1" applyFont="1"/>
    <xf numFmtId="0" fontId="63" fillId="0" borderId="0" xfId="0" applyFont="1" applyAlignment="1">
      <alignment horizontal="center"/>
    </xf>
    <xf numFmtId="4" fontId="63" fillId="0" borderId="0" xfId="1" applyNumberFormat="1" applyFont="1" applyFill="1" applyBorder="1"/>
    <xf numFmtId="0" fontId="70" fillId="0" borderId="0" xfId="0" applyFont="1"/>
    <xf numFmtId="0" fontId="58" fillId="0" borderId="0" xfId="359" applyNumberFormat="1" applyFont="1" applyFill="1" applyBorder="1" applyAlignment="1">
      <alignment horizontal="left" vertical="top" wrapText="1"/>
    </xf>
    <xf numFmtId="0" fontId="62" fillId="0" borderId="25" xfId="359" applyNumberFormat="1" applyFont="1" applyFill="1" applyBorder="1" applyAlignment="1">
      <alignment horizontal="left" vertical="top"/>
    </xf>
    <xf numFmtId="175" fontId="62" fillId="0" borderId="0" xfId="359" applyNumberFormat="1" applyFont="1" applyFill="1" applyBorder="1" applyAlignment="1">
      <alignment horizontal="center" vertical="top"/>
    </xf>
    <xf numFmtId="0" fontId="58" fillId="0" borderId="0" xfId="359" applyNumberFormat="1" applyFont="1" applyFill="1" applyBorder="1" applyAlignment="1">
      <alignment horizontal="left" vertical="top"/>
    </xf>
    <xf numFmtId="0" fontId="59" fillId="0" borderId="25" xfId="0" applyFont="1" applyBorder="1" applyAlignment="1">
      <alignment vertical="center"/>
    </xf>
    <xf numFmtId="0" fontId="0" fillId="0" borderId="25" xfId="0" applyBorder="1"/>
    <xf numFmtId="0" fontId="61" fillId="0" borderId="24" xfId="0" applyFont="1" applyBorder="1"/>
    <xf numFmtId="0" fontId="63" fillId="0" borderId="79" xfId="0" applyFont="1" applyBorder="1"/>
    <xf numFmtId="0" fontId="61" fillId="0" borderId="25" xfId="0" applyFont="1" applyBorder="1"/>
    <xf numFmtId="0" fontId="61" fillId="0" borderId="80" xfId="0" applyFont="1" applyBorder="1" applyAlignment="1">
      <alignment horizontal="right"/>
    </xf>
    <xf numFmtId="43" fontId="63" fillId="0" borderId="27" xfId="1" applyFont="1" applyFill="1" applyBorder="1"/>
    <xf numFmtId="184" fontId="63" fillId="0" borderId="0" xfId="0" applyNumberFormat="1" applyFont="1"/>
    <xf numFmtId="0" fontId="63" fillId="0" borderId="27" xfId="0" applyFont="1" applyBorder="1"/>
    <xf numFmtId="43" fontId="63" fillId="0" borderId="27" xfId="0" applyNumberFormat="1" applyFont="1" applyBorder="1"/>
    <xf numFmtId="0" fontId="59" fillId="0" borderId="25" xfId="0" applyFont="1" applyBorder="1"/>
    <xf numFmtId="0" fontId="61" fillId="0" borderId="0" xfId="0" applyFont="1" applyAlignment="1">
      <alignment horizontal="center" vertical="top"/>
    </xf>
    <xf numFmtId="183" fontId="63" fillId="0" borderId="0" xfId="0" applyNumberFormat="1" applyFont="1"/>
    <xf numFmtId="184" fontId="63" fillId="0" borderId="0" xfId="1" applyNumberFormat="1" applyFont="1" applyBorder="1"/>
    <xf numFmtId="0" fontId="63" fillId="0" borderId="86" xfId="0" applyFont="1" applyBorder="1"/>
    <xf numFmtId="0" fontId="63" fillId="0" borderId="86" xfId="0" applyFont="1" applyBorder="1" applyAlignment="1">
      <alignment horizontal="center"/>
    </xf>
    <xf numFmtId="0" fontId="61" fillId="0" borderId="25" xfId="0" applyFont="1" applyBorder="1" applyAlignment="1">
      <alignment horizontal="center" vertical="top"/>
    </xf>
    <xf numFmtId="4" fontId="63" fillId="0" borderId="27" xfId="1" applyNumberFormat="1" applyFont="1" applyFill="1" applyBorder="1"/>
    <xf numFmtId="0" fontId="61" fillId="0" borderId="25" xfId="0" applyFont="1" applyBorder="1" applyAlignment="1">
      <alignment horizontal="left" vertical="top"/>
    </xf>
    <xf numFmtId="0" fontId="61" fillId="0" borderId="27" xfId="0" applyFont="1" applyBorder="1" applyAlignment="1">
      <alignment horizontal="left" vertical="top"/>
    </xf>
    <xf numFmtId="0" fontId="55" fillId="0" borderId="25" xfId="0" applyFont="1" applyBorder="1" applyAlignment="1">
      <alignment horizontal="left" vertical="top"/>
    </xf>
    <xf numFmtId="0" fontId="58" fillId="0" borderId="27" xfId="0" applyFont="1" applyBorder="1" applyAlignment="1">
      <alignment horizontal="left" vertical="top"/>
    </xf>
    <xf numFmtId="0" fontId="61" fillId="0" borderId="26" xfId="0" applyFont="1" applyBorder="1" applyAlignment="1">
      <alignment horizontal="left" vertical="top"/>
    </xf>
    <xf numFmtId="0" fontId="58" fillId="0" borderId="24" xfId="0" applyFont="1" applyBorder="1"/>
    <xf numFmtId="0" fontId="61" fillId="0" borderId="81" xfId="0" applyFont="1" applyBorder="1" applyAlignment="1">
      <alignment horizontal="left"/>
    </xf>
    <xf numFmtId="2" fontId="62" fillId="0" borderId="10" xfId="0" applyNumberFormat="1" applyFont="1" applyBorder="1"/>
    <xf numFmtId="0" fontId="73" fillId="0" borderId="0" xfId="0" applyFont="1"/>
    <xf numFmtId="0" fontId="74" fillId="0" borderId="0" xfId="0" applyFont="1"/>
    <xf numFmtId="43" fontId="0" fillId="0" borderId="0" xfId="1" applyFont="1" applyBorder="1" applyAlignment="1">
      <alignment horizontal="right" vertical="top"/>
    </xf>
    <xf numFmtId="43" fontId="55" fillId="0" borderId="0" xfId="0" applyNumberFormat="1" applyFont="1"/>
    <xf numFmtId="4" fontId="63" fillId="0" borderId="79" xfId="1" applyNumberFormat="1" applyFont="1" applyFill="1" applyBorder="1"/>
    <xf numFmtId="0" fontId="61" fillId="0" borderId="27" xfId="0" applyFont="1" applyBorder="1"/>
    <xf numFmtId="0" fontId="61" fillId="0" borderId="27" xfId="0" applyFont="1" applyBorder="1" applyAlignment="1">
      <alignment horizontal="right"/>
    </xf>
    <xf numFmtId="184" fontId="63" fillId="0" borderId="27" xfId="1" applyNumberFormat="1" applyFont="1" applyFill="1" applyBorder="1"/>
    <xf numFmtId="43" fontId="0" fillId="0" borderId="27" xfId="1" applyFont="1" applyBorder="1"/>
    <xf numFmtId="184" fontId="63" fillId="0" borderId="27" xfId="1" applyNumberFormat="1" applyFont="1" applyBorder="1" applyAlignment="1">
      <alignment horizontal="center"/>
    </xf>
    <xf numFmtId="0" fontId="61" fillId="0" borderId="0" xfId="0" applyFont="1" applyAlignment="1">
      <alignment horizontal="left" vertical="top"/>
    </xf>
    <xf numFmtId="0" fontId="63" fillId="0" borderId="81" xfId="0" applyFont="1" applyBorder="1"/>
    <xf numFmtId="0" fontId="0" fillId="0" borderId="78" xfId="0" applyBorder="1"/>
    <xf numFmtId="0" fontId="0" fillId="0" borderId="79" xfId="0" applyBorder="1"/>
    <xf numFmtId="2" fontId="59" fillId="0" borderId="70" xfId="0" applyNumberFormat="1" applyFont="1" applyBorder="1"/>
    <xf numFmtId="0" fontId="0" fillId="0" borderId="27" xfId="0" applyBorder="1"/>
    <xf numFmtId="0" fontId="59" fillId="0" borderId="70" xfId="0" applyFont="1" applyBorder="1"/>
    <xf numFmtId="4" fontId="61" fillId="0" borderId="27" xfId="1" applyNumberFormat="1" applyFont="1" applyFill="1" applyBorder="1"/>
    <xf numFmtId="0" fontId="58" fillId="0" borderId="25" xfId="0" applyFont="1" applyBorder="1" applyAlignment="1">
      <alignment horizontal="left" vertical="top"/>
    </xf>
    <xf numFmtId="184" fontId="0" fillId="0" borderId="0" xfId="1" applyNumberFormat="1" applyFont="1" applyFill="1"/>
    <xf numFmtId="189" fontId="0" fillId="0" borderId="0" xfId="1" applyNumberFormat="1" applyFont="1" applyBorder="1"/>
    <xf numFmtId="43" fontId="0" fillId="0" borderId="0" xfId="1" applyFont="1"/>
    <xf numFmtId="0" fontId="58" fillId="54" borderId="88" xfId="2174" applyFont="1" applyFill="1" applyBorder="1" applyAlignment="1">
      <alignment horizontal="center"/>
    </xf>
    <xf numFmtId="0" fontId="58" fillId="54" borderId="88" xfId="2174" applyFont="1" applyFill="1" applyBorder="1"/>
    <xf numFmtId="0" fontId="58" fillId="54" borderId="29" xfId="2174" applyFont="1" applyFill="1" applyBorder="1" applyAlignment="1">
      <alignment horizontal="center"/>
    </xf>
    <xf numFmtId="0" fontId="58" fillId="54" borderId="71" xfId="2174" applyFont="1" applyFill="1" applyBorder="1" applyAlignment="1">
      <alignment horizontal="center"/>
    </xf>
    <xf numFmtId="0" fontId="58" fillId="54" borderId="72" xfId="2174" applyFont="1" applyFill="1" applyBorder="1" applyAlignment="1">
      <alignment horizontal="center"/>
    </xf>
    <xf numFmtId="0" fontId="58" fillId="54" borderId="73" xfId="2174" applyFont="1" applyFill="1" applyBorder="1" applyAlignment="1">
      <alignment horizontal="center"/>
    </xf>
    <xf numFmtId="184" fontId="58" fillId="54" borderId="71" xfId="359" applyNumberFormat="1" applyFont="1" applyFill="1" applyBorder="1" applyAlignment="1">
      <alignment horizontal="center"/>
    </xf>
    <xf numFmtId="43" fontId="58" fillId="54" borderId="72" xfId="359" applyFont="1" applyFill="1" applyBorder="1" applyAlignment="1">
      <alignment horizontal="center"/>
    </xf>
    <xf numFmtId="43" fontId="58" fillId="54" borderId="73" xfId="359" applyFont="1" applyFill="1" applyBorder="1" applyAlignment="1">
      <alignment horizontal="center"/>
    </xf>
    <xf numFmtId="0" fontId="58" fillId="54" borderId="29" xfId="2174" applyFont="1" applyFill="1" applyBorder="1"/>
    <xf numFmtId="184" fontId="0" fillId="0" borderId="0" xfId="1" applyNumberFormat="1" applyFont="1"/>
    <xf numFmtId="0" fontId="0" fillId="0" borderId="91" xfId="0" applyBorder="1"/>
    <xf numFmtId="0" fontId="0" fillId="0" borderId="93" xfId="0" applyBorder="1" applyAlignment="1">
      <alignment horizontal="right"/>
    </xf>
    <xf numFmtId="0" fontId="0" fillId="0" borderId="94" xfId="0" applyBorder="1"/>
    <xf numFmtId="0" fontId="0" fillId="0" borderId="95" xfId="0" applyBorder="1"/>
    <xf numFmtId="0" fontId="0" fillId="0" borderId="96" xfId="0" applyBorder="1"/>
    <xf numFmtId="0" fontId="0" fillId="0" borderId="99" xfId="0" applyBorder="1"/>
    <xf numFmtId="0" fontId="0" fillId="0" borderId="97" xfId="0" applyBorder="1"/>
    <xf numFmtId="0" fontId="62" fillId="0" borderId="99" xfId="0" applyFont="1" applyBorder="1"/>
    <xf numFmtId="49" fontId="58" fillId="54" borderId="88" xfId="0" applyNumberFormat="1" applyFont="1" applyFill="1" applyBorder="1" applyAlignment="1">
      <alignment vertical="top"/>
    </xf>
    <xf numFmtId="49" fontId="58" fillId="54" borderId="29" xfId="0" applyNumberFormat="1" applyFont="1" applyFill="1" applyBorder="1" applyAlignment="1">
      <alignment vertical="top"/>
    </xf>
    <xf numFmtId="49" fontId="58" fillId="54" borderId="71" xfId="0" applyNumberFormat="1" applyFont="1" applyFill="1" applyBorder="1" applyAlignment="1">
      <alignment horizontal="center" vertical="top"/>
    </xf>
    <xf numFmtId="49" fontId="58" fillId="54" borderId="72" xfId="0" applyNumberFormat="1" applyFont="1" applyFill="1" applyBorder="1" applyAlignment="1">
      <alignment horizontal="center" vertical="top"/>
    </xf>
    <xf numFmtId="0" fontId="58" fillId="54" borderId="72" xfId="0" applyFont="1" applyFill="1" applyBorder="1" applyAlignment="1">
      <alignment horizontal="center"/>
    </xf>
    <xf numFmtId="0" fontId="62" fillId="0" borderId="89" xfId="0" applyFont="1" applyBorder="1"/>
    <xf numFmtId="0" fontId="62" fillId="0" borderId="74" xfId="0" applyFont="1" applyBorder="1" applyAlignment="1">
      <alignment horizontal="right"/>
    </xf>
    <xf numFmtId="0" fontId="62" fillId="0" borderId="30" xfId="0" applyFont="1" applyBorder="1"/>
    <xf numFmtId="0" fontId="62" fillId="0" borderId="75" xfId="0" applyFont="1" applyBorder="1"/>
    <xf numFmtId="49" fontId="62" fillId="0" borderId="89" xfId="0" applyNumberFormat="1" applyFont="1" applyBorder="1" applyAlignment="1">
      <alignment vertical="top"/>
    </xf>
    <xf numFmtId="43" fontId="62" fillId="0" borderId="97" xfId="1" applyFont="1" applyFill="1" applyBorder="1"/>
    <xf numFmtId="0" fontId="62" fillId="0" borderId="0" xfId="0" applyFont="1"/>
    <xf numFmtId="0" fontId="62" fillId="0" borderId="97" xfId="0" applyFont="1" applyBorder="1"/>
    <xf numFmtId="0" fontId="62" fillId="0" borderId="101" xfId="0" applyFont="1" applyBorder="1" applyAlignment="1">
      <alignment horizontal="right"/>
    </xf>
    <xf numFmtId="0" fontId="62" fillId="0" borderId="96" xfId="0" applyFont="1" applyBorder="1"/>
    <xf numFmtId="49" fontId="62" fillId="0" borderId="97" xfId="0" applyNumberFormat="1" applyFont="1" applyBorder="1" applyAlignment="1">
      <alignment vertical="top"/>
    </xf>
    <xf numFmtId="0" fontId="62" fillId="0" borderId="91" xfId="0" applyFont="1" applyBorder="1"/>
    <xf numFmtId="0" fontId="62" fillId="0" borderId="93" xfId="0" applyFont="1" applyBorder="1" applyAlignment="1">
      <alignment horizontal="right"/>
    </xf>
    <xf numFmtId="0" fontId="62" fillId="0" borderId="94" xfId="0" applyFont="1" applyBorder="1"/>
    <xf numFmtId="0" fontId="62" fillId="0" borderId="95" xfId="0" applyFont="1" applyBorder="1"/>
    <xf numFmtId="49" fontId="62" fillId="0" borderId="91" xfId="0" applyNumberFormat="1" applyFont="1" applyBorder="1" applyAlignment="1">
      <alignment vertical="top"/>
    </xf>
    <xf numFmtId="43" fontId="62" fillId="0" borderId="91" xfId="1" applyFont="1" applyFill="1" applyBorder="1"/>
    <xf numFmtId="49" fontId="75" fillId="0" borderId="91" xfId="0" applyNumberFormat="1" applyFont="1" applyBorder="1" applyAlignment="1">
      <alignment horizontal="left" vertical="top"/>
    </xf>
    <xf numFmtId="43" fontId="0" fillId="0" borderId="95" xfId="1" applyFont="1" applyFill="1" applyBorder="1"/>
    <xf numFmtId="0" fontId="62" fillId="0" borderId="29" xfId="0" applyFont="1" applyBorder="1"/>
    <xf numFmtId="0" fontId="62" fillId="0" borderId="71" xfId="0" applyFont="1" applyBorder="1" applyAlignment="1">
      <alignment horizontal="right"/>
    </xf>
    <xf numFmtId="0" fontId="62" fillId="0" borderId="72" xfId="0" applyFont="1" applyBorder="1"/>
    <xf numFmtId="0" fontId="62" fillId="0" borderId="73" xfId="0" applyFont="1" applyBorder="1"/>
    <xf numFmtId="49" fontId="58" fillId="0" borderId="29" xfId="0" applyNumberFormat="1" applyFont="1" applyBorder="1" applyAlignment="1">
      <alignment horizontal="left" vertical="top" indent="3"/>
    </xf>
    <xf numFmtId="186" fontId="76" fillId="0" borderId="71" xfId="0" applyNumberFormat="1" applyFont="1" applyBorder="1" applyAlignment="1">
      <alignment horizontal="right" vertical="top"/>
    </xf>
    <xf numFmtId="186" fontId="76" fillId="0" borderId="72" xfId="0" applyNumberFormat="1" applyFont="1" applyBorder="1" applyAlignment="1">
      <alignment horizontal="right" vertical="top"/>
    </xf>
    <xf numFmtId="185" fontId="58" fillId="0" borderId="72" xfId="0" applyNumberFormat="1" applyFont="1" applyBorder="1" applyAlignment="1">
      <alignment horizontal="right" vertical="top"/>
    </xf>
    <xf numFmtId="184" fontId="62" fillId="0" borderId="93" xfId="1" applyNumberFormat="1" applyFont="1" applyFill="1" applyBorder="1" applyAlignment="1">
      <alignment vertical="top"/>
    </xf>
    <xf numFmtId="184" fontId="62" fillId="0" borderId="30" xfId="1" applyNumberFormat="1" applyFont="1" applyFill="1" applyBorder="1" applyAlignment="1">
      <alignment vertical="top"/>
    </xf>
    <xf numFmtId="184" fontId="62" fillId="0" borderId="30" xfId="1" applyNumberFormat="1" applyFont="1" applyFill="1" applyBorder="1"/>
    <xf numFmtId="184" fontId="62" fillId="0" borderId="75" xfId="1" applyNumberFormat="1" applyFont="1" applyFill="1" applyBorder="1"/>
    <xf numFmtId="184" fontId="62" fillId="0" borderId="101" xfId="1" applyNumberFormat="1" applyFont="1" applyFill="1" applyBorder="1" applyAlignment="1">
      <alignment vertical="top"/>
    </xf>
    <xf numFmtId="184" fontId="62" fillId="0" borderId="96" xfId="1" applyNumberFormat="1" applyFont="1" applyFill="1" applyBorder="1" applyAlignment="1">
      <alignment vertical="top"/>
    </xf>
    <xf numFmtId="184" fontId="62" fillId="0" borderId="94" xfId="1" applyNumberFormat="1" applyFont="1" applyFill="1" applyBorder="1" applyAlignment="1">
      <alignment vertical="top"/>
    </xf>
    <xf numFmtId="184" fontId="62" fillId="0" borderId="95" xfId="1" applyNumberFormat="1" applyFont="1" applyFill="1" applyBorder="1"/>
    <xf numFmtId="184" fontId="62" fillId="0" borderId="96" xfId="1" applyNumberFormat="1" applyFont="1" applyFill="1" applyBorder="1" applyAlignment="1">
      <alignment horizontal="right" vertical="top"/>
    </xf>
    <xf numFmtId="184" fontId="62" fillId="0" borderId="99" xfId="1" applyNumberFormat="1" applyFont="1" applyFill="1" applyBorder="1" applyAlignment="1">
      <alignment horizontal="right" vertical="top"/>
    </xf>
    <xf numFmtId="0" fontId="0" fillId="0" borderId="0" xfId="0" applyAlignment="1">
      <alignment horizontal="center"/>
    </xf>
    <xf numFmtId="0" fontId="62" fillId="0" borderId="97" xfId="0" applyFont="1" applyBorder="1" applyAlignment="1">
      <alignment horizontal="center"/>
    </xf>
    <xf numFmtId="184" fontId="62" fillId="0" borderId="97" xfId="1" applyNumberFormat="1" applyFont="1" applyFill="1" applyBorder="1"/>
    <xf numFmtId="0" fontId="58" fillId="0" borderId="0" xfId="0" applyFont="1" applyAlignment="1">
      <alignment horizontal="left" vertical="top"/>
    </xf>
    <xf numFmtId="0" fontId="63" fillId="0" borderId="81" xfId="0" applyFont="1" applyBorder="1" applyAlignment="1">
      <alignment horizontal="center"/>
    </xf>
    <xf numFmtId="43" fontId="59" fillId="0" borderId="0" xfId="1" applyFont="1" applyFill="1" applyBorder="1"/>
    <xf numFmtId="0" fontId="61" fillId="0" borderId="105" xfId="0" applyFont="1" applyBorder="1"/>
    <xf numFmtId="0" fontId="61" fillId="0" borderId="98" xfId="0" applyFont="1" applyBorder="1"/>
    <xf numFmtId="184" fontId="61" fillId="0" borderId="98" xfId="1" applyNumberFormat="1" applyFont="1" applyBorder="1" applyAlignment="1">
      <alignment horizontal="center"/>
    </xf>
    <xf numFmtId="43" fontId="63" fillId="0" borderId="108" xfId="1" applyFont="1" applyBorder="1"/>
    <xf numFmtId="43" fontId="63" fillId="0" borderId="0" xfId="1" applyFont="1" applyBorder="1"/>
    <xf numFmtId="0" fontId="63" fillId="0" borderId="108" xfId="0" applyFont="1" applyBorder="1"/>
    <xf numFmtId="0" fontId="61" fillId="0" borderId="76" xfId="0" applyFont="1" applyBorder="1"/>
    <xf numFmtId="0" fontId="61" fillId="0" borderId="100" xfId="0" applyFont="1" applyBorder="1"/>
    <xf numFmtId="43" fontId="61" fillId="0" borderId="0" xfId="1" applyFont="1" applyBorder="1"/>
    <xf numFmtId="43" fontId="78" fillId="55" borderId="0" xfId="1" applyFont="1" applyFill="1" applyBorder="1"/>
    <xf numFmtId="0" fontId="78" fillId="0" borderId="0" xfId="1" applyNumberFormat="1" applyFont="1" applyBorder="1"/>
    <xf numFmtId="0" fontId="78" fillId="0" borderId="33" xfId="0" applyFont="1" applyBorder="1"/>
    <xf numFmtId="0" fontId="78" fillId="0" borderId="0" xfId="0" applyFont="1"/>
    <xf numFmtId="43" fontId="77" fillId="55" borderId="100" xfId="0" applyNumberFormat="1" applyFont="1" applyFill="1" applyBorder="1"/>
    <xf numFmtId="0" fontId="77" fillId="0" borderId="100" xfId="0" applyFont="1" applyBorder="1"/>
    <xf numFmtId="0" fontId="77" fillId="0" borderId="77" xfId="0" applyFont="1" applyBorder="1"/>
    <xf numFmtId="0" fontId="58" fillId="55" borderId="98" xfId="0" applyFont="1" applyFill="1" applyBorder="1" applyAlignment="1">
      <alignment horizontal="center"/>
    </xf>
    <xf numFmtId="0" fontId="58" fillId="0" borderId="98" xfId="0" applyFont="1" applyBorder="1" applyAlignment="1">
      <alignment horizontal="center"/>
    </xf>
    <xf numFmtId="0" fontId="58" fillId="0" borderId="84" xfId="0" applyFont="1" applyBorder="1" applyAlignment="1">
      <alignment horizontal="center"/>
    </xf>
    <xf numFmtId="0" fontId="62" fillId="0" borderId="89" xfId="0" applyFont="1" applyBorder="1" applyAlignment="1">
      <alignment horizontal="center"/>
    </xf>
    <xf numFmtId="0" fontId="0" fillId="0" borderId="92" xfId="0" applyBorder="1"/>
    <xf numFmtId="184" fontId="62" fillId="0" borderId="95" xfId="1" applyNumberFormat="1" applyFont="1" applyFill="1" applyBorder="1" applyAlignment="1">
      <alignment horizontal="right" vertical="top"/>
    </xf>
    <xf numFmtId="0" fontId="71" fillId="57" borderId="96" xfId="0" applyFont="1" applyFill="1" applyBorder="1" applyAlignment="1">
      <alignment horizontal="center"/>
    </xf>
    <xf numFmtId="15" fontId="74" fillId="0" borderId="96" xfId="0" applyNumberFormat="1" applyFont="1" applyBorder="1"/>
    <xf numFmtId="0" fontId="74" fillId="0" borderId="96" xfId="0" applyFont="1" applyBorder="1"/>
    <xf numFmtId="184" fontId="0" fillId="0" borderId="0" xfId="0" applyNumberFormat="1"/>
    <xf numFmtId="0" fontId="71" fillId="0" borderId="96" xfId="0" applyFont="1" applyBorder="1" applyAlignment="1">
      <alignment vertical="top"/>
    </xf>
    <xf numFmtId="0" fontId="74" fillId="0" borderId="96" xfId="0" applyFont="1" applyBorder="1" applyAlignment="1">
      <alignment vertical="top"/>
    </xf>
    <xf numFmtId="0" fontId="74" fillId="53" borderId="0" xfId="0" applyFont="1" applyFill="1"/>
    <xf numFmtId="0" fontId="71" fillId="57" borderId="96" xfId="0" applyFont="1" applyFill="1" applyBorder="1"/>
    <xf numFmtId="14" fontId="74" fillId="0" borderId="96" xfId="0" applyNumberFormat="1" applyFont="1" applyBorder="1"/>
    <xf numFmtId="184" fontId="74" fillId="0" borderId="96" xfId="0" applyNumberFormat="1" applyFont="1" applyBorder="1"/>
    <xf numFmtId="184" fontId="74" fillId="0" borderId="96" xfId="4068" applyNumberFormat="1" applyFont="1" applyBorder="1" applyAlignment="1">
      <alignment horizontal="left" vertical="top"/>
    </xf>
    <xf numFmtId="10" fontId="74" fillId="0" borderId="96" xfId="0" applyNumberFormat="1" applyFont="1" applyBorder="1" applyAlignment="1">
      <alignment horizontal="left" vertical="top"/>
    </xf>
    <xf numFmtId="14" fontId="74" fillId="0" borderId="96" xfId="0" applyNumberFormat="1" applyFont="1" applyBorder="1" applyAlignment="1">
      <alignment horizontal="left" vertical="top"/>
    </xf>
    <xf numFmtId="20" fontId="74" fillId="0" borderId="96" xfId="0" applyNumberFormat="1" applyFont="1" applyBorder="1" applyAlignment="1">
      <alignment vertical="top"/>
    </xf>
    <xf numFmtId="0" fontId="74" fillId="0" borderId="96" xfId="0" applyFont="1" applyBorder="1" applyAlignment="1">
      <alignment vertical="top" wrapText="1"/>
    </xf>
    <xf numFmtId="0" fontId="71" fillId="0" borderId="96" xfId="0" applyFont="1" applyBorder="1"/>
    <xf numFmtId="0" fontId="71" fillId="0" borderId="0" xfId="0" applyFont="1"/>
    <xf numFmtId="184" fontId="71" fillId="57" borderId="96" xfId="0" applyNumberFormat="1" applyFont="1" applyFill="1" applyBorder="1"/>
    <xf numFmtId="0" fontId="74" fillId="57" borderId="96" xfId="0" applyFont="1" applyFill="1" applyBorder="1"/>
    <xf numFmtId="0" fontId="74" fillId="0" borderId="0" xfId="0" applyFont="1" applyAlignment="1">
      <alignment vertical="top"/>
    </xf>
    <xf numFmtId="0" fontId="74" fillId="0" borderId="96" xfId="0" applyFont="1" applyBorder="1" applyAlignment="1">
      <alignment horizontal="center" vertical="top"/>
    </xf>
    <xf numFmtId="0" fontId="71" fillId="58" borderId="96" xfId="0" applyFont="1" applyFill="1" applyBorder="1" applyAlignment="1">
      <alignment horizontal="center" vertical="top"/>
    </xf>
    <xf numFmtId="0" fontId="59" fillId="0" borderId="96" xfId="0" applyFont="1" applyBorder="1"/>
    <xf numFmtId="43" fontId="62" fillId="0" borderId="0" xfId="1" applyFont="1"/>
    <xf numFmtId="14" fontId="0" fillId="0" borderId="0" xfId="0" applyNumberFormat="1"/>
    <xf numFmtId="0" fontId="0" fillId="0" borderId="70" xfId="0" applyBorder="1"/>
    <xf numFmtId="43" fontId="0" fillId="0" borderId="96" xfId="1" applyFont="1" applyBorder="1"/>
    <xf numFmtId="0" fontId="59" fillId="0" borderId="80" xfId="0" applyFont="1" applyBorder="1" applyAlignment="1">
      <alignment horizontal="right"/>
    </xf>
    <xf numFmtId="0" fontId="0" fillId="0" borderId="80" xfId="0" applyBorder="1"/>
    <xf numFmtId="0" fontId="0" fillId="0" borderId="0" xfId="0" applyAlignment="1">
      <alignment wrapText="1"/>
    </xf>
    <xf numFmtId="0" fontId="59" fillId="0" borderId="94" xfId="0" applyFont="1" applyBorder="1" applyAlignment="1">
      <alignment vertical="top"/>
    </xf>
    <xf numFmtId="0" fontId="59" fillId="0" borderId="94" xfId="0" applyFont="1" applyBorder="1" applyAlignment="1">
      <alignment vertical="top" wrapText="1"/>
    </xf>
    <xf numFmtId="0" fontId="59" fillId="0" borderId="32" xfId="0" applyFont="1" applyBorder="1" applyAlignment="1">
      <alignment vertical="top"/>
    </xf>
    <xf numFmtId="4" fontId="61" fillId="0" borderId="0" xfId="1" applyNumberFormat="1" applyFont="1" applyFill="1" applyBorder="1"/>
    <xf numFmtId="4" fontId="63" fillId="0" borderId="81" xfId="1" applyNumberFormat="1" applyFont="1" applyFill="1" applyBorder="1"/>
    <xf numFmtId="166" fontId="59" fillId="0" borderId="27" xfId="1" applyNumberFormat="1" applyFont="1" applyBorder="1"/>
    <xf numFmtId="166" fontId="0" fillId="0" borderId="0" xfId="0" applyNumberFormat="1"/>
    <xf numFmtId="0" fontId="0" fillId="0" borderId="0" xfId="0" applyAlignment="1">
      <alignment horizontal="left" indent="1"/>
    </xf>
    <xf numFmtId="0" fontId="63" fillId="0" borderId="27" xfId="0" applyFont="1" applyBorder="1" applyAlignment="1">
      <alignment horizontal="center"/>
    </xf>
    <xf numFmtId="0" fontId="59" fillId="0" borderId="24" xfId="0" applyFont="1" applyBorder="1"/>
    <xf numFmtId="0" fontId="59" fillId="0" borderId="93" xfId="0" applyFont="1" applyBorder="1" applyAlignment="1">
      <alignment vertical="top"/>
    </xf>
    <xf numFmtId="0" fontId="59" fillId="0" borderId="90" xfId="0" applyFont="1" applyBorder="1" applyAlignment="1">
      <alignment vertical="top"/>
    </xf>
    <xf numFmtId="43" fontId="59" fillId="0" borderId="0" xfId="1" applyFont="1"/>
    <xf numFmtId="43" fontId="65" fillId="0" borderId="0" xfId="1" applyFont="1"/>
    <xf numFmtId="43" fontId="65" fillId="0" borderId="10" xfId="1" applyFont="1" applyBorder="1"/>
    <xf numFmtId="0" fontId="0" fillId="0" borderId="0" xfId="0" applyAlignment="1">
      <alignment vertical="top"/>
    </xf>
    <xf numFmtId="188" fontId="79" fillId="0" borderId="0" xfId="0" quotePrefix="1" applyNumberFormat="1" applyFont="1"/>
    <xf numFmtId="15" fontId="79" fillId="0" borderId="0" xfId="0" quotePrefix="1" applyNumberFormat="1" applyFont="1"/>
    <xf numFmtId="166" fontId="63" fillId="0" borderId="0" xfId="0" applyNumberFormat="1" applyFont="1"/>
    <xf numFmtId="0" fontId="59" fillId="0" borderId="92" xfId="0" applyFont="1" applyBorder="1"/>
    <xf numFmtId="0" fontId="59" fillId="0" borderId="0" xfId="0" applyFont="1" applyAlignment="1">
      <alignment horizontal="left"/>
    </xf>
    <xf numFmtId="0" fontId="0" fillId="0" borderId="0" xfId="0" applyAlignment="1">
      <alignment horizontal="left"/>
    </xf>
    <xf numFmtId="0" fontId="59" fillId="0" borderId="0" xfId="0" applyFont="1" applyAlignment="1">
      <alignment horizontal="center" vertical="center" wrapText="1"/>
    </xf>
    <xf numFmtId="166" fontId="0" fillId="0" borderId="0" xfId="0" applyNumberFormat="1" applyAlignment="1">
      <alignment wrapText="1"/>
    </xf>
    <xf numFmtId="184" fontId="0" fillId="0" borderId="0" xfId="1" applyNumberFormat="1" applyFont="1" applyBorder="1"/>
    <xf numFmtId="43" fontId="63" fillId="0" borderId="87" xfId="0" applyNumberFormat="1" applyFont="1" applyBorder="1"/>
    <xf numFmtId="0" fontId="58" fillId="0" borderId="27" xfId="359" applyNumberFormat="1" applyFont="1" applyFill="1" applyBorder="1" applyAlignment="1">
      <alignment horizontal="left" vertical="top" wrapText="1"/>
    </xf>
    <xf numFmtId="43" fontId="0" fillId="0" borderId="27" xfId="359" applyFont="1" applyBorder="1"/>
    <xf numFmtId="0" fontId="58" fillId="0" borderId="27" xfId="359" applyNumberFormat="1" applyFont="1" applyFill="1" applyBorder="1" applyAlignment="1">
      <alignment horizontal="left" vertical="top"/>
    </xf>
    <xf numFmtId="43" fontId="2" fillId="0" borderId="0" xfId="359" applyFont="1" applyFill="1" applyBorder="1" applyAlignment="1">
      <alignment horizontal="center" vertical="top" wrapText="1"/>
    </xf>
    <xf numFmtId="43" fontId="2" fillId="0" borderId="0" xfId="359" applyFont="1" applyFill="1" applyBorder="1" applyAlignment="1">
      <alignment horizontal="justify" vertical="top" wrapText="1"/>
    </xf>
    <xf numFmtId="43" fontId="58" fillId="0" borderId="0" xfId="359" applyFont="1" applyFill="1" applyBorder="1" applyAlignment="1">
      <alignment horizontal="center" vertical="top" wrapText="1"/>
    </xf>
    <xf numFmtId="166" fontId="59" fillId="0" borderId="0" xfId="359" applyNumberFormat="1" applyFont="1" applyFill="1" applyBorder="1" applyAlignment="1">
      <alignment horizontal="justify" vertical="top" wrapText="1"/>
    </xf>
    <xf numFmtId="15" fontId="59" fillId="0" borderId="0" xfId="0" applyNumberFormat="1" applyFont="1" applyAlignment="1">
      <alignment horizontal="center" vertical="center"/>
    </xf>
    <xf numFmtId="0" fontId="59" fillId="0" borderId="0" xfId="0" applyFont="1" applyAlignment="1">
      <alignment horizontal="center" vertical="center"/>
    </xf>
    <xf numFmtId="43" fontId="59" fillId="0" borderId="0" xfId="1" applyFont="1" applyBorder="1" applyAlignment="1">
      <alignment horizontal="right" vertical="top"/>
    </xf>
    <xf numFmtId="43" fontId="0" fillId="0" borderId="10" xfId="1" applyFont="1" applyBorder="1"/>
    <xf numFmtId="0" fontId="59" fillId="0" borderId="105" xfId="0" applyFont="1" applyBorder="1" applyAlignment="1">
      <alignment vertical="top" wrapText="1"/>
    </xf>
    <xf numFmtId="0" fontId="59" fillId="0" borderId="27" xfId="0" applyFont="1" applyBorder="1" applyAlignment="1">
      <alignment vertical="top" wrapText="1"/>
    </xf>
    <xf numFmtId="0" fontId="59" fillId="0" borderId="0" xfId="0" applyFont="1" applyAlignment="1">
      <alignment horizontal="center"/>
    </xf>
    <xf numFmtId="0" fontId="62" fillId="0" borderId="0" xfId="0" applyFont="1" applyAlignment="1">
      <alignment horizontal="center"/>
    </xf>
    <xf numFmtId="184" fontId="62" fillId="0" borderId="0" xfId="0" applyNumberFormat="1" applyFont="1"/>
    <xf numFmtId="43" fontId="62" fillId="0" borderId="0" xfId="1" applyFont="1" applyFill="1" applyBorder="1"/>
    <xf numFmtId="0" fontId="63" fillId="0" borderId="0" xfId="0" applyFont="1" applyAlignment="1">
      <alignment horizontal="left" indent="2"/>
    </xf>
    <xf numFmtId="43" fontId="62" fillId="0" borderId="74" xfId="1" applyFont="1" applyBorder="1" applyAlignment="1">
      <alignment horizontal="right"/>
    </xf>
    <xf numFmtId="43" fontId="61" fillId="56" borderId="98" xfId="1" applyFont="1" applyFill="1" applyBorder="1" applyAlignment="1">
      <alignment horizontal="center" vertical="top" wrapText="1"/>
    </xf>
    <xf numFmtId="43" fontId="61" fillId="56" borderId="102" xfId="1" applyFont="1" applyFill="1" applyBorder="1" applyAlignment="1">
      <alignment horizontal="center" vertical="top" wrapText="1"/>
    </xf>
    <xf numFmtId="14" fontId="61" fillId="56" borderId="80" xfId="1" quotePrefix="1" applyNumberFormat="1" applyFont="1" applyFill="1" applyBorder="1" applyAlignment="1">
      <alignment horizontal="center" vertical="top" wrapText="1"/>
    </xf>
    <xf numFmtId="0" fontId="61" fillId="56" borderId="100" xfId="0" applyFont="1" applyFill="1" applyBorder="1"/>
    <xf numFmtId="0" fontId="63" fillId="56" borderId="100" xfId="0" applyFont="1" applyFill="1" applyBorder="1" applyAlignment="1">
      <alignment horizontal="center"/>
    </xf>
    <xf numFmtId="0" fontId="61" fillId="56" borderId="11" xfId="0" applyFont="1" applyFill="1" applyBorder="1"/>
    <xf numFmtId="0" fontId="63" fillId="56" borderId="11" xfId="0" applyFont="1" applyFill="1" applyBorder="1" applyAlignment="1">
      <alignment horizontal="center"/>
    </xf>
    <xf numFmtId="14" fontId="61" fillId="56" borderId="80" xfId="1" applyNumberFormat="1" applyFont="1" applyFill="1" applyBorder="1" applyAlignment="1">
      <alignment horizontal="right" vertical="top" wrapText="1"/>
    </xf>
    <xf numFmtId="43" fontId="58" fillId="56" borderId="96" xfId="359" applyFont="1" applyFill="1" applyBorder="1" applyAlignment="1">
      <alignment horizontal="center" vertical="top" wrapText="1"/>
    </xf>
    <xf numFmtId="43" fontId="58" fillId="56" borderId="96" xfId="359" applyFont="1" applyFill="1" applyBorder="1" applyAlignment="1">
      <alignment horizontal="center" vertical="center" wrapText="1"/>
    </xf>
    <xf numFmtId="4" fontId="61" fillId="56" borderId="98" xfId="1" applyNumberFormat="1" applyFont="1" applyFill="1" applyBorder="1" applyAlignment="1">
      <alignment horizontal="right" vertical="top" wrapText="1"/>
    </xf>
    <xf numFmtId="4" fontId="61" fillId="56" borderId="102" xfId="1" applyNumberFormat="1" applyFont="1" applyFill="1" applyBorder="1" applyAlignment="1">
      <alignment horizontal="right" vertical="top" wrapText="1"/>
    </xf>
    <xf numFmtId="0" fontId="59" fillId="56" borderId="103" xfId="0" applyFont="1" applyFill="1" applyBorder="1"/>
    <xf numFmtId="0" fontId="0" fillId="56" borderId="100" xfId="0" applyFill="1" applyBorder="1"/>
    <xf numFmtId="0" fontId="58" fillId="56" borderId="96" xfId="0" applyFont="1" applyFill="1" applyBorder="1" applyAlignment="1">
      <alignment horizontal="center" vertical="top" wrapText="1"/>
    </xf>
    <xf numFmtId="166" fontId="58" fillId="56" borderId="98" xfId="359" applyNumberFormat="1" applyFont="1" applyFill="1" applyBorder="1" applyAlignment="1">
      <alignment horizontal="center" vertical="top"/>
    </xf>
    <xf numFmtId="166" fontId="58" fillId="56" borderId="102" xfId="359" applyNumberFormat="1" applyFont="1" applyFill="1" applyBorder="1" applyAlignment="1">
      <alignment horizontal="center" vertical="top"/>
    </xf>
    <xf numFmtId="166" fontId="58" fillId="56" borderId="10" xfId="359" applyNumberFormat="1" applyFont="1" applyFill="1" applyBorder="1" applyAlignment="1">
      <alignment horizontal="center" vertical="top"/>
    </xf>
    <xf numFmtId="166" fontId="58" fillId="56" borderId="80" xfId="359" applyNumberFormat="1" applyFont="1" applyFill="1" applyBorder="1" applyAlignment="1">
      <alignment horizontal="center" vertical="top"/>
    </xf>
    <xf numFmtId="0" fontId="58" fillId="56" borderId="100" xfId="346" applyNumberFormat="1" applyFont="1" applyFill="1" applyBorder="1" applyAlignment="1">
      <alignment horizontal="center" vertical="top" wrapText="1"/>
    </xf>
    <xf numFmtId="0" fontId="0" fillId="56" borderId="98" xfId="0" applyFill="1" applyBorder="1"/>
    <xf numFmtId="0" fontId="59" fillId="56" borderId="98" xfId="0" applyFont="1" applyFill="1" applyBorder="1" applyAlignment="1">
      <alignment horizontal="center"/>
    </xf>
    <xf numFmtId="0" fontId="59" fillId="56" borderId="10" xfId="0" applyFont="1" applyFill="1" applyBorder="1"/>
    <xf numFmtId="0" fontId="0" fillId="56" borderId="10" xfId="0" applyFill="1" applyBorder="1"/>
    <xf numFmtId="0" fontId="59" fillId="56" borderId="101" xfId="0" applyFont="1" applyFill="1" applyBorder="1"/>
    <xf numFmtId="0" fontId="58" fillId="56" borderId="96" xfId="4064" applyFont="1" applyFill="1" applyBorder="1" applyAlignment="1">
      <alignment horizontal="center" vertical="center" wrapText="1"/>
    </xf>
    <xf numFmtId="0" fontId="58" fillId="56" borderId="100" xfId="4064" applyFont="1" applyFill="1" applyBorder="1" applyAlignment="1">
      <alignment horizontal="center" vertical="center" wrapText="1"/>
    </xf>
    <xf numFmtId="0" fontId="58" fillId="56" borderId="77" xfId="4064" applyFont="1" applyFill="1" applyBorder="1" applyAlignment="1">
      <alignment horizontal="center" vertical="center" wrapText="1"/>
    </xf>
    <xf numFmtId="0" fontId="58" fillId="56" borderId="104" xfId="0" applyFont="1" applyFill="1" applyBorder="1" applyAlignment="1">
      <alignment horizontal="center" vertical="top" wrapText="1"/>
    </xf>
    <xf numFmtId="0" fontId="59" fillId="56" borderId="76" xfId="4064" applyFont="1" applyFill="1" applyBorder="1" applyAlignment="1">
      <alignment horizontal="left" vertical="top"/>
    </xf>
    <xf numFmtId="0" fontId="2" fillId="56" borderId="100" xfId="4064" applyFont="1" applyFill="1" applyBorder="1" applyAlignment="1">
      <alignment horizontal="center" vertical="top"/>
    </xf>
    <xf numFmtId="0" fontId="2" fillId="56" borderId="77" xfId="4064" applyFont="1" applyFill="1" applyBorder="1" applyAlignment="1">
      <alignment horizontal="center" vertical="top"/>
    </xf>
    <xf numFmtId="0" fontId="59" fillId="56" borderId="76" xfId="4064" applyFont="1" applyFill="1" applyBorder="1" applyAlignment="1">
      <alignment vertical="top"/>
    </xf>
    <xf numFmtId="0" fontId="2" fillId="56" borderId="100" xfId="4064" applyFont="1" applyFill="1" applyBorder="1" applyAlignment="1">
      <alignment horizontal="left" vertical="top"/>
    </xf>
    <xf numFmtId="0" fontId="2" fillId="56" borderId="77" xfId="4064" applyFont="1" applyFill="1" applyBorder="1" applyAlignment="1">
      <alignment horizontal="left" vertical="top"/>
    </xf>
    <xf numFmtId="0" fontId="61" fillId="0" borderId="10" xfId="0" applyFont="1" applyBorder="1" applyAlignment="1">
      <alignment horizontal="right"/>
    </xf>
    <xf numFmtId="0" fontId="0" fillId="52" borderId="0" xfId="0" applyFill="1"/>
    <xf numFmtId="0" fontId="58" fillId="56" borderId="103" xfId="0" applyFont="1" applyFill="1" applyBorder="1" applyAlignment="1">
      <alignment horizontal="left" vertical="center" wrapText="1"/>
    </xf>
    <xf numFmtId="0" fontId="0" fillId="52" borderId="96" xfId="0" applyFill="1" applyBorder="1"/>
    <xf numFmtId="43" fontId="0" fillId="52" borderId="96" xfId="1" applyFont="1" applyFill="1" applyBorder="1"/>
    <xf numFmtId="43" fontId="0" fillId="0" borderId="94" xfId="1" applyFont="1" applyBorder="1" applyAlignment="1">
      <alignment horizontal="right" vertical="top"/>
    </xf>
    <xf numFmtId="43" fontId="0" fillId="0" borderId="93" xfId="1" applyFont="1" applyBorder="1" applyAlignment="1">
      <alignment horizontal="right" vertical="top"/>
    </xf>
    <xf numFmtId="9" fontId="74" fillId="0" borderId="0" xfId="4071" applyFont="1"/>
    <xf numFmtId="10" fontId="74" fillId="0" borderId="0" xfId="4071" applyNumberFormat="1" applyFont="1"/>
    <xf numFmtId="10" fontId="74" fillId="0" borderId="96" xfId="0" applyNumberFormat="1" applyFont="1" applyBorder="1"/>
    <xf numFmtId="175" fontId="74" fillId="0" borderId="96" xfId="0" applyNumberFormat="1" applyFont="1" applyBorder="1"/>
    <xf numFmtId="189" fontId="0" fillId="0" borderId="0" xfId="1" applyNumberFormat="1" applyFont="1" applyFill="1" applyBorder="1"/>
    <xf numFmtId="189" fontId="0" fillId="0" borderId="27" xfId="1" applyNumberFormat="1" applyFont="1" applyBorder="1"/>
    <xf numFmtId="189" fontId="59" fillId="56" borderId="100" xfId="1" applyNumberFormat="1" applyFont="1" applyFill="1" applyBorder="1"/>
    <xf numFmtId="189" fontId="59" fillId="56" borderId="104" xfId="1" applyNumberFormat="1" applyFont="1" applyFill="1" applyBorder="1"/>
    <xf numFmtId="189" fontId="0" fillId="0" borderId="0" xfId="0" applyNumberFormat="1"/>
    <xf numFmtId="189" fontId="59" fillId="0" borderId="0" xfId="1" applyNumberFormat="1" applyFont="1" applyFill="1" applyBorder="1"/>
    <xf numFmtId="189" fontId="59" fillId="0" borderId="27" xfId="1" applyNumberFormat="1" applyFont="1" applyFill="1" applyBorder="1"/>
    <xf numFmtId="189" fontId="0" fillId="0" borderId="27" xfId="1" applyNumberFormat="1" applyFont="1" applyFill="1" applyBorder="1"/>
    <xf numFmtId="189" fontId="59" fillId="0" borderId="27" xfId="1" applyNumberFormat="1" applyFont="1" applyBorder="1"/>
    <xf numFmtId="189" fontId="0" fillId="0" borderId="98" xfId="1" applyNumberFormat="1" applyFont="1" applyBorder="1"/>
    <xf numFmtId="189" fontId="0" fillId="0" borderId="102" xfId="1" applyNumberFormat="1" applyFont="1" applyBorder="1"/>
    <xf numFmtId="0" fontId="72" fillId="0" borderId="0" xfId="0" applyFont="1"/>
    <xf numFmtId="0" fontId="63" fillId="0" borderId="0" xfId="0" quotePrefix="1" applyFont="1" applyAlignment="1">
      <alignment horizontal="left" indent="4"/>
    </xf>
    <xf numFmtId="0" fontId="63" fillId="0" borderId="0" xfId="0" quotePrefix="1" applyFont="1" applyAlignment="1">
      <alignment horizontal="left" wrapText="1" indent="4"/>
    </xf>
    <xf numFmtId="189" fontId="63" fillId="0" borderId="0" xfId="1" applyNumberFormat="1" applyFont="1" applyFill="1" applyBorder="1"/>
    <xf numFmtId="189" fontId="63" fillId="0" borderId="27" xfId="1" applyNumberFormat="1" applyFont="1" applyFill="1" applyBorder="1"/>
    <xf numFmtId="189" fontId="61" fillId="56" borderId="100" xfId="1" applyNumberFormat="1" applyFont="1" applyFill="1" applyBorder="1"/>
    <xf numFmtId="189" fontId="61" fillId="56" borderId="104" xfId="1" applyNumberFormat="1" applyFont="1" applyFill="1" applyBorder="1"/>
    <xf numFmtId="189" fontId="61" fillId="0" borderId="27" xfId="1" applyNumberFormat="1" applyFont="1" applyFill="1" applyBorder="1"/>
    <xf numFmtId="189" fontId="63" fillId="0" borderId="0" xfId="1" applyNumberFormat="1" applyFont="1" applyFill="1" applyBorder="1" applyAlignment="1">
      <alignment horizontal="center"/>
    </xf>
    <xf numFmtId="189" fontId="63" fillId="0" borderId="10" xfId="1" applyNumberFormat="1" applyFont="1" applyFill="1" applyBorder="1"/>
    <xf numFmtId="189" fontId="63" fillId="0" borderId="80" xfId="1" applyNumberFormat="1" applyFont="1" applyFill="1" applyBorder="1"/>
    <xf numFmtId="189" fontId="61" fillId="56" borderId="11" xfId="1" applyNumberFormat="1" applyFont="1" applyFill="1" applyBorder="1"/>
    <xf numFmtId="189" fontId="61" fillId="56" borderId="83" xfId="1" applyNumberFormat="1" applyFont="1" applyFill="1" applyBorder="1"/>
    <xf numFmtId="189" fontId="63" fillId="0" borderId="27" xfId="1" applyNumberFormat="1" applyFont="1" applyFill="1" applyBorder="1" applyAlignment="1">
      <alignment vertical="top"/>
    </xf>
    <xf numFmtId="189" fontId="61" fillId="0" borderId="10" xfId="1" applyNumberFormat="1" applyFont="1" applyFill="1" applyBorder="1"/>
    <xf numFmtId="189" fontId="58" fillId="56" borderId="96" xfId="359" applyNumberFormat="1" applyFont="1" applyFill="1" applyBorder="1" applyAlignment="1">
      <alignment horizontal="right" vertical="top"/>
    </xf>
    <xf numFmtId="189" fontId="58" fillId="56" borderId="96" xfId="1" applyNumberFormat="1" applyFont="1" applyFill="1" applyBorder="1"/>
    <xf numFmtId="189" fontId="0" fillId="0" borderId="32" xfId="1" applyNumberFormat="1" applyFont="1" applyFill="1" applyBorder="1"/>
    <xf numFmtId="189" fontId="0" fillId="0" borderId="32" xfId="1" applyNumberFormat="1" applyFont="1" applyBorder="1"/>
    <xf numFmtId="189" fontId="59" fillId="0" borderId="33" xfId="1" applyNumberFormat="1" applyFont="1" applyFill="1" applyBorder="1"/>
    <xf numFmtId="189" fontId="59" fillId="0" borderId="100" xfId="1" applyNumberFormat="1" applyFont="1" applyFill="1" applyBorder="1"/>
    <xf numFmtId="189" fontId="59" fillId="0" borderId="77" xfId="1" applyNumberFormat="1" applyFont="1" applyFill="1" applyBorder="1"/>
    <xf numFmtId="189" fontId="58" fillId="0" borderId="94" xfId="4063" applyNumberFormat="1" applyFont="1" applyFill="1" applyBorder="1" applyAlignment="1" applyProtection="1">
      <alignment horizontal="center" vertical="center" wrapText="1"/>
    </xf>
    <xf numFmtId="189" fontId="58" fillId="0" borderId="94" xfId="4063" applyNumberFormat="1" applyFont="1" applyFill="1" applyBorder="1" applyAlignment="1">
      <alignment horizontal="center" vertical="center" wrapText="1"/>
    </xf>
    <xf numFmtId="189" fontId="59" fillId="0" borderId="0" xfId="1" applyNumberFormat="1" applyFont="1" applyBorder="1"/>
    <xf numFmtId="189" fontId="0" fillId="0" borderId="10" xfId="1" applyNumberFormat="1" applyFont="1" applyBorder="1"/>
    <xf numFmtId="0" fontId="59" fillId="56" borderId="112" xfId="0" applyFont="1" applyFill="1" applyBorder="1"/>
    <xf numFmtId="189" fontId="59" fillId="56" borderId="113" xfId="1" applyNumberFormat="1" applyFont="1" applyFill="1" applyBorder="1"/>
    <xf numFmtId="0" fontId="58" fillId="0" borderId="25" xfId="0" applyFont="1" applyBorder="1"/>
    <xf numFmtId="0" fontId="0" fillId="0" borderId="0" xfId="0" applyAlignment="1">
      <alignment horizontal="justify" vertical="top" wrapText="1"/>
    </xf>
    <xf numFmtId="189" fontId="0" fillId="0" borderId="27" xfId="1" applyNumberFormat="1" applyFont="1" applyBorder="1" applyAlignment="1">
      <alignment horizontal="right"/>
    </xf>
    <xf numFmtId="189" fontId="59" fillId="0" borderId="100" xfId="1" applyNumberFormat="1" applyFont="1" applyFill="1" applyBorder="1" applyAlignment="1">
      <alignment horizontal="right"/>
    </xf>
    <xf numFmtId="189" fontId="58" fillId="0" borderId="104" xfId="1" applyNumberFormat="1" applyFont="1" applyFill="1" applyBorder="1" applyAlignment="1">
      <alignment horizontal="right"/>
    </xf>
    <xf numFmtId="189" fontId="58" fillId="0" borderId="0" xfId="1" applyNumberFormat="1" applyFont="1" applyFill="1" applyBorder="1" applyAlignment="1">
      <alignment horizontal="right"/>
    </xf>
    <xf numFmtId="189" fontId="58" fillId="0" borderId="27" xfId="1" applyNumberFormat="1" applyFont="1" applyFill="1" applyBorder="1" applyAlignment="1">
      <alignment horizontal="right"/>
    </xf>
    <xf numFmtId="189" fontId="58" fillId="56" borderId="100" xfId="1" applyNumberFormat="1" applyFont="1" applyFill="1" applyBorder="1" applyAlignment="1">
      <alignment horizontal="right"/>
    </xf>
    <xf numFmtId="189" fontId="58" fillId="56" borderId="104" xfId="1" applyNumberFormat="1" applyFont="1" applyFill="1" applyBorder="1" applyAlignment="1">
      <alignment horizontal="right"/>
    </xf>
    <xf numFmtId="189" fontId="0" fillId="0" borderId="27" xfId="1" applyNumberFormat="1" applyFont="1" applyFill="1" applyBorder="1" applyAlignment="1">
      <alignment horizontal="right"/>
    </xf>
    <xf numFmtId="189" fontId="59" fillId="0" borderId="100" xfId="1" applyNumberFormat="1" applyFont="1" applyBorder="1" applyAlignment="1">
      <alignment horizontal="right"/>
    </xf>
    <xf numFmtId="189" fontId="59" fillId="0" borderId="104" xfId="1" applyNumberFormat="1" applyFont="1" applyBorder="1" applyAlignment="1">
      <alignment horizontal="right"/>
    </xf>
    <xf numFmtId="189" fontId="0" fillId="59" borderId="27" xfId="1" applyNumberFormat="1" applyFont="1" applyFill="1" applyBorder="1" applyAlignment="1">
      <alignment horizontal="right"/>
    </xf>
    <xf numFmtId="0" fontId="0" fillId="59" borderId="79" xfId="0" applyFill="1" applyBorder="1"/>
    <xf numFmtId="0" fontId="0" fillId="59" borderId="27" xfId="0" applyFill="1" applyBorder="1"/>
    <xf numFmtId="0" fontId="61" fillId="59" borderId="10" xfId="0" applyFont="1" applyFill="1" applyBorder="1"/>
    <xf numFmtId="0" fontId="61" fillId="59" borderId="80" xfId="0" applyFont="1" applyFill="1" applyBorder="1" applyAlignment="1">
      <alignment horizontal="right"/>
    </xf>
    <xf numFmtId="0" fontId="58" fillId="59" borderId="27" xfId="346" applyNumberFormat="1" applyFont="1" applyFill="1" applyBorder="1" applyAlignment="1">
      <alignment horizontal="right"/>
    </xf>
    <xf numFmtId="189" fontId="62" fillId="59" borderId="94" xfId="1" applyNumberFormat="1" applyFont="1" applyFill="1" applyBorder="1"/>
    <xf numFmtId="189" fontId="62" fillId="59" borderId="94" xfId="1" applyNumberFormat="1" applyFont="1" applyFill="1" applyBorder="1" applyAlignment="1">
      <alignment horizontal="justify" vertical="top" wrapText="1"/>
    </xf>
    <xf numFmtId="189" fontId="62" fillId="59" borderId="32" xfId="1" applyNumberFormat="1" applyFont="1" applyFill="1" applyBorder="1"/>
    <xf numFmtId="189" fontId="62" fillId="59" borderId="32" xfId="1" applyNumberFormat="1" applyFont="1" applyFill="1" applyBorder="1" applyAlignment="1">
      <alignment horizontal="justify" vertical="top" wrapText="1"/>
    </xf>
    <xf numFmtId="189" fontId="59" fillId="0" borderId="32" xfId="1" applyNumberFormat="1" applyFont="1" applyBorder="1"/>
    <xf numFmtId="189" fontId="59" fillId="56" borderId="100" xfId="1" applyNumberFormat="1" applyFont="1" applyFill="1" applyBorder="1" applyAlignment="1">
      <alignment horizontal="right"/>
    </xf>
    <xf numFmtId="189" fontId="59" fillId="56" borderId="104" xfId="1" applyNumberFormat="1" applyFont="1" applyFill="1" applyBorder="1" applyAlignment="1">
      <alignment horizontal="right"/>
    </xf>
    <xf numFmtId="189" fontId="2" fillId="0" borderId="33" xfId="359" applyNumberFormat="1" applyFont="1" applyFill="1" applyBorder="1" applyAlignment="1">
      <alignment horizontal="center" vertical="top" wrapText="1"/>
    </xf>
    <xf numFmtId="189" fontId="2" fillId="0" borderId="33" xfId="359" applyNumberFormat="1" applyFont="1" applyFill="1" applyBorder="1" applyAlignment="1">
      <alignment horizontal="justify" vertical="top" wrapText="1"/>
    </xf>
    <xf numFmtId="189" fontId="59" fillId="0" borderId="94" xfId="359" applyNumberFormat="1" applyFont="1" applyFill="1" applyBorder="1" applyAlignment="1">
      <alignment horizontal="justify" vertical="top" wrapText="1"/>
    </xf>
    <xf numFmtId="189" fontId="59" fillId="0" borderId="84" xfId="359" applyNumberFormat="1" applyFont="1" applyFill="1" applyBorder="1" applyAlignment="1">
      <alignment horizontal="justify" vertical="top" wrapText="1"/>
    </xf>
    <xf numFmtId="189" fontId="2" fillId="0" borderId="94" xfId="359" applyNumberFormat="1" applyFont="1" applyFill="1" applyBorder="1" applyAlignment="1">
      <alignment horizontal="justify" vertical="top" wrapText="1"/>
    </xf>
    <xf numFmtId="189" fontId="59" fillId="56" borderId="96" xfId="1" applyNumberFormat="1" applyFont="1" applyFill="1" applyBorder="1"/>
    <xf numFmtId="189" fontId="58" fillId="0" borderId="0" xfId="359" applyNumberFormat="1" applyFont="1" applyFill="1" applyBorder="1" applyAlignment="1">
      <alignment horizontal="right" vertical="top"/>
    </xf>
    <xf numFmtId="189" fontId="58" fillId="0" borderId="27" xfId="359" applyNumberFormat="1" applyFont="1" applyFill="1" applyBorder="1" applyAlignment="1">
      <alignment horizontal="right" vertical="top"/>
    </xf>
    <xf numFmtId="0" fontId="63" fillId="59" borderId="27" xfId="0" applyFont="1" applyFill="1" applyBorder="1" applyAlignment="1">
      <alignment horizontal="center"/>
    </xf>
    <xf numFmtId="4" fontId="61" fillId="59" borderId="27" xfId="1" applyNumberFormat="1" applyFont="1" applyFill="1" applyBorder="1"/>
    <xf numFmtId="0" fontId="62" fillId="0" borderId="0" xfId="359" applyNumberFormat="1" applyFont="1" applyFill="1" applyBorder="1" applyAlignment="1">
      <alignment horizontal="left" vertical="top"/>
    </xf>
    <xf numFmtId="0" fontId="0" fillId="0" borderId="25" xfId="0" applyBorder="1" applyAlignment="1">
      <alignment vertical="center"/>
    </xf>
    <xf numFmtId="0" fontId="62" fillId="0" borderId="25" xfId="0" applyFont="1" applyBorder="1" applyAlignment="1">
      <alignment horizontal="left" vertical="top"/>
    </xf>
    <xf numFmtId="0" fontId="63" fillId="59" borderId="27" xfId="0" applyFont="1" applyFill="1" applyBorder="1" applyAlignment="1">
      <alignment horizontal="left" vertical="top"/>
    </xf>
    <xf numFmtId="189" fontId="0" fillId="0" borderId="0" xfId="1" applyNumberFormat="1" applyFont="1" applyBorder="1" applyAlignment="1">
      <alignment horizontal="right"/>
    </xf>
    <xf numFmtId="0" fontId="58" fillId="56" borderId="103" xfId="0" applyFont="1" applyFill="1" applyBorder="1" applyAlignment="1">
      <alignment horizontal="justify" vertical="top" wrapText="1"/>
    </xf>
    <xf numFmtId="0" fontId="58" fillId="0" borderId="25" xfId="0" applyFont="1" applyBorder="1" applyAlignment="1">
      <alignment horizontal="justify" vertical="top" wrapText="1"/>
    </xf>
    <xf numFmtId="0" fontId="62" fillId="0" borderId="25" xfId="0" applyFont="1" applyBorder="1" applyAlignment="1">
      <alignment horizontal="left" vertical="top" indent="3"/>
    </xf>
    <xf numFmtId="183" fontId="59" fillId="56" borderId="77" xfId="359" applyNumberFormat="1" applyFont="1" applyFill="1" applyBorder="1" applyAlignment="1">
      <alignment horizontal="justify" vertical="top" wrapText="1"/>
    </xf>
    <xf numFmtId="189" fontId="59" fillId="0" borderId="32" xfId="1" applyNumberFormat="1" applyFont="1" applyFill="1" applyBorder="1"/>
    <xf numFmtId="189" fontId="59" fillId="0" borderId="94" xfId="1" applyNumberFormat="1" applyFont="1" applyFill="1" applyBorder="1"/>
    <xf numFmtId="189" fontId="59" fillId="0" borderId="94" xfId="1" applyNumberFormat="1" applyFont="1" applyBorder="1"/>
    <xf numFmtId="14" fontId="61" fillId="0" borderId="27" xfId="1" applyNumberFormat="1" applyFont="1" applyFill="1" applyBorder="1" applyAlignment="1">
      <alignment horizontal="right" vertical="top" wrapText="1"/>
    </xf>
    <xf numFmtId="189" fontId="59" fillId="0" borderId="27" xfId="1" applyNumberFormat="1" applyFont="1" applyFill="1" applyBorder="1" applyAlignment="1">
      <alignment horizontal="right"/>
    </xf>
    <xf numFmtId="0" fontId="0" fillId="0" borderId="26" xfId="0" applyBorder="1"/>
    <xf numFmtId="2" fontId="58" fillId="56" borderId="100" xfId="0" applyNumberFormat="1" applyFont="1" applyFill="1" applyBorder="1"/>
    <xf numFmtId="0" fontId="61" fillId="56" borderId="103" xfId="0" applyFont="1" applyFill="1" applyBorder="1"/>
    <xf numFmtId="0" fontId="63" fillId="56" borderId="100" xfId="0" applyFont="1" applyFill="1" applyBorder="1"/>
    <xf numFmtId="189" fontId="63" fillId="56" borderId="104" xfId="1" applyNumberFormat="1" applyFont="1" applyFill="1" applyBorder="1" applyAlignment="1">
      <alignment horizontal="center"/>
    </xf>
    <xf numFmtId="0" fontId="80" fillId="0" borderId="25" xfId="2165" quotePrefix="1" applyFont="1" applyBorder="1" applyAlignment="1">
      <alignment horizontal="center" vertical="center"/>
    </xf>
    <xf numFmtId="0" fontId="80" fillId="56" borderId="107" xfId="2169" applyFont="1" applyFill="1" applyBorder="1" applyAlignment="1">
      <alignment horizontal="center" vertical="justify"/>
    </xf>
    <xf numFmtId="0" fontId="59" fillId="56" borderId="107" xfId="0" applyFont="1" applyFill="1" applyBorder="1" applyAlignment="1">
      <alignment horizontal="center" vertical="center"/>
    </xf>
    <xf numFmtId="0" fontId="59" fillId="56" borderId="82" xfId="0" applyFont="1" applyFill="1" applyBorder="1" applyAlignment="1">
      <alignment horizontal="center" vertical="center"/>
    </xf>
    <xf numFmtId="0" fontId="0" fillId="56" borderId="100" xfId="0" applyFill="1" applyBorder="1" applyAlignment="1">
      <alignment horizontal="justify" vertical="top" wrapText="1"/>
    </xf>
    <xf numFmtId="0" fontId="0" fillId="56" borderId="106" xfId="0" applyFill="1" applyBorder="1" applyAlignment="1">
      <alignment horizontal="justify" vertical="top" wrapText="1"/>
    </xf>
    <xf numFmtId="0" fontId="0" fillId="56" borderId="107" xfId="0" applyFill="1" applyBorder="1" applyAlignment="1">
      <alignment horizontal="justify" vertical="top" wrapText="1"/>
    </xf>
    <xf numFmtId="0" fontId="72" fillId="0" borderId="25" xfId="0" applyFont="1" applyBorder="1"/>
    <xf numFmtId="0" fontId="63" fillId="0" borderId="25" xfId="0" applyFont="1" applyBorder="1"/>
    <xf numFmtId="0" fontId="63" fillId="0" borderId="25" xfId="0" applyFont="1" applyBorder="1" applyAlignment="1">
      <alignment horizontal="left" indent="2"/>
    </xf>
    <xf numFmtId="0" fontId="63" fillId="0" borderId="25" xfId="0" quotePrefix="1" applyFont="1" applyBorder="1" applyAlignment="1">
      <alignment horizontal="left" indent="4"/>
    </xf>
    <xf numFmtId="0" fontId="61" fillId="56" borderId="112" xfId="0" applyFont="1" applyFill="1" applyBorder="1"/>
    <xf numFmtId="0" fontId="61" fillId="56" borderId="113" xfId="0" applyFont="1" applyFill="1" applyBorder="1"/>
    <xf numFmtId="0" fontId="61" fillId="56" borderId="70" xfId="0" applyFont="1" applyFill="1" applyBorder="1"/>
    <xf numFmtId="0" fontId="61" fillId="56" borderId="10" xfId="0" applyFont="1" applyFill="1" applyBorder="1"/>
    <xf numFmtId="0" fontId="0" fillId="56" borderId="10" xfId="0" applyFill="1" applyBorder="1" applyAlignment="1">
      <alignment horizontal="justify" vertical="top" wrapText="1"/>
    </xf>
    <xf numFmtId="0" fontId="61" fillId="56" borderId="92" xfId="0" applyFont="1" applyFill="1" applyBorder="1"/>
    <xf numFmtId="0" fontId="61" fillId="56" borderId="98" xfId="0" applyFont="1" applyFill="1" applyBorder="1"/>
    <xf numFmtId="0" fontId="0" fillId="56" borderId="98" xfId="0" applyFill="1" applyBorder="1" applyAlignment="1">
      <alignment horizontal="justify" vertical="top" wrapText="1"/>
    </xf>
    <xf numFmtId="189" fontId="0" fillId="0" borderId="27" xfId="0" applyNumberFormat="1" applyBorder="1" applyAlignment="1">
      <alignment horizontal="justify" vertical="top" wrapText="1"/>
    </xf>
    <xf numFmtId="189" fontId="0" fillId="56" borderId="100" xfId="0" applyNumberFormat="1" applyFill="1" applyBorder="1" applyAlignment="1">
      <alignment horizontal="justify" vertical="top" wrapText="1"/>
    </xf>
    <xf numFmtId="189" fontId="0" fillId="56" borderId="104" xfId="0" applyNumberFormat="1" applyFill="1" applyBorder="1" applyAlignment="1">
      <alignment horizontal="justify" vertical="top" wrapText="1"/>
    </xf>
    <xf numFmtId="189" fontId="0" fillId="56" borderId="10" xfId="0" applyNumberFormat="1" applyFill="1" applyBorder="1" applyAlignment="1">
      <alignment horizontal="justify" vertical="top" wrapText="1"/>
    </xf>
    <xf numFmtId="189" fontId="0" fillId="56" borderId="98" xfId="0" applyNumberFormat="1" applyFill="1" applyBorder="1" applyAlignment="1">
      <alignment horizontal="justify" vertical="top" wrapText="1"/>
    </xf>
    <xf numFmtId="189" fontId="59" fillId="56" borderId="100" xfId="0" applyNumberFormat="1" applyFont="1" applyFill="1" applyBorder="1" applyAlignment="1">
      <alignment horizontal="justify" vertical="top" wrapText="1"/>
    </xf>
    <xf numFmtId="189" fontId="59" fillId="56" borderId="104" xfId="0" applyNumberFormat="1" applyFont="1" applyFill="1" applyBorder="1" applyAlignment="1">
      <alignment horizontal="justify" vertical="top" wrapText="1"/>
    </xf>
    <xf numFmtId="189" fontId="59" fillId="56" borderId="10" xfId="0" applyNumberFormat="1" applyFont="1" applyFill="1" applyBorder="1" applyAlignment="1">
      <alignment horizontal="justify" vertical="top" wrapText="1"/>
    </xf>
    <xf numFmtId="189" fontId="59" fillId="56" borderId="98" xfId="0" applyNumberFormat="1" applyFont="1" applyFill="1" applyBorder="1" applyAlignment="1">
      <alignment horizontal="justify" vertical="top" wrapText="1"/>
    </xf>
    <xf numFmtId="189" fontId="62" fillId="0" borderId="0" xfId="1" applyNumberFormat="1" applyFont="1" applyBorder="1" applyAlignment="1">
      <alignment horizontal="center" vertical="center" wrapText="1"/>
    </xf>
    <xf numFmtId="189" fontId="62" fillId="0" borderId="0" xfId="1" applyNumberFormat="1" applyFont="1" applyBorder="1" applyAlignment="1">
      <alignment horizontal="center" vertical="center"/>
    </xf>
    <xf numFmtId="189" fontId="59" fillId="56" borderId="80" xfId="0" applyNumberFormat="1" applyFont="1" applyFill="1" applyBorder="1" applyAlignment="1">
      <alignment horizontal="justify" vertical="top" wrapText="1"/>
    </xf>
    <xf numFmtId="184" fontId="0" fillId="0" borderId="0" xfId="1" applyNumberFormat="1" applyFont="1" applyBorder="1" applyAlignment="1">
      <alignment horizontal="center" vertical="center"/>
    </xf>
    <xf numFmtId="0" fontId="59" fillId="56" borderId="107" xfId="0" applyFont="1" applyFill="1" applyBorder="1" applyAlignment="1">
      <alignment horizontal="center" vertical="center" wrapText="1"/>
    </xf>
    <xf numFmtId="189" fontId="59" fillId="56" borderId="114" xfId="1" applyNumberFormat="1" applyFont="1" applyFill="1" applyBorder="1"/>
    <xf numFmtId="0" fontId="0" fillId="56" borderId="113" xfId="0" applyFill="1" applyBorder="1" applyAlignment="1">
      <alignment horizontal="justify" vertical="top" wrapText="1"/>
    </xf>
    <xf numFmtId="189" fontId="59" fillId="56" borderId="114" xfId="0" applyNumberFormat="1" applyFont="1" applyFill="1" applyBorder="1" applyAlignment="1">
      <alignment horizontal="justify" vertical="top" wrapText="1"/>
    </xf>
    <xf numFmtId="189" fontId="0" fillId="56" borderId="113" xfId="0" applyNumberFormat="1" applyFill="1" applyBorder="1" applyAlignment="1">
      <alignment horizontal="justify" vertical="top" wrapText="1"/>
    </xf>
    <xf numFmtId="189" fontId="59" fillId="56" borderId="113" xfId="0" applyNumberFormat="1" applyFont="1" applyFill="1" applyBorder="1" applyAlignment="1">
      <alignment horizontal="justify" vertical="top" wrapText="1"/>
    </xf>
    <xf numFmtId="189" fontId="59" fillId="56" borderId="102" xfId="0" applyNumberFormat="1" applyFont="1" applyFill="1" applyBorder="1" applyAlignment="1">
      <alignment horizontal="justify" vertical="top" wrapText="1"/>
    </xf>
    <xf numFmtId="0" fontId="61" fillId="56" borderId="26" xfId="0" applyFont="1" applyFill="1" applyBorder="1"/>
    <xf numFmtId="0" fontId="61" fillId="56" borderId="81" xfId="0" applyFont="1" applyFill="1" applyBorder="1"/>
    <xf numFmtId="0" fontId="0" fillId="56" borderId="81" xfId="0" applyFill="1" applyBorder="1" applyAlignment="1">
      <alignment horizontal="justify" vertical="top" wrapText="1"/>
    </xf>
    <xf numFmtId="189" fontId="0" fillId="56" borderId="81" xfId="0" applyNumberFormat="1" applyFill="1" applyBorder="1" applyAlignment="1">
      <alignment horizontal="justify" vertical="top" wrapText="1"/>
    </xf>
    <xf numFmtId="189" fontId="59" fillId="56" borderId="81" xfId="0" applyNumberFormat="1" applyFont="1" applyFill="1" applyBorder="1" applyAlignment="1">
      <alignment horizontal="justify" vertical="top" wrapText="1"/>
    </xf>
    <xf numFmtId="189" fontId="59" fillId="56" borderId="28" xfId="0" applyNumberFormat="1" applyFont="1" applyFill="1" applyBorder="1" applyAlignment="1">
      <alignment horizontal="justify" vertical="top" wrapText="1"/>
    </xf>
    <xf numFmtId="0" fontId="72" fillId="0" borderId="92" xfId="0" applyFont="1" applyBorder="1"/>
    <xf numFmtId="2" fontId="58" fillId="0" borderId="25" xfId="0" applyNumberFormat="1" applyFont="1" applyBorder="1"/>
    <xf numFmtId="2" fontId="58" fillId="56" borderId="103" xfId="0" applyNumberFormat="1" applyFont="1" applyFill="1" applyBorder="1"/>
    <xf numFmtId="0" fontId="0" fillId="0" borderId="24" xfId="0" applyBorder="1"/>
    <xf numFmtId="0" fontId="61" fillId="0" borderId="78" xfId="0" applyFont="1" applyBorder="1"/>
    <xf numFmtId="0" fontId="0" fillId="0" borderId="78" xfId="0" applyBorder="1" applyAlignment="1">
      <alignment horizontal="justify" vertical="top" wrapText="1"/>
    </xf>
    <xf numFmtId="189" fontId="0" fillId="0" borderId="78" xfId="0" applyNumberFormat="1" applyBorder="1" applyAlignment="1">
      <alignment horizontal="justify" vertical="top" wrapText="1"/>
    </xf>
    <xf numFmtId="189" fontId="0" fillId="0" borderId="79" xfId="0" applyNumberFormat="1" applyBorder="1" applyAlignment="1">
      <alignment horizontal="justify" vertical="top" wrapText="1"/>
    </xf>
    <xf numFmtId="0" fontId="81" fillId="0" borderId="0" xfId="4052" applyFont="1"/>
    <xf numFmtId="175" fontId="81" fillId="0" borderId="0" xfId="4033" applyNumberFormat="1" applyFont="1" applyFill="1"/>
    <xf numFmtId="175" fontId="81" fillId="0" borderId="0" xfId="4033" applyNumberFormat="1" applyFont="1" applyFill="1" applyAlignment="1">
      <alignment horizontal="justify" vertical="center" shrinkToFit="1"/>
    </xf>
    <xf numFmtId="175" fontId="82" fillId="0" borderId="96" xfId="4033" applyNumberFormat="1" applyFont="1" applyFill="1" applyBorder="1"/>
    <xf numFmtId="175" fontId="81" fillId="0" borderId="32" xfId="4033" applyNumberFormat="1" applyFont="1" applyFill="1" applyBorder="1"/>
    <xf numFmtId="175" fontId="81" fillId="0" borderId="30" xfId="4033" applyNumberFormat="1" applyFont="1" applyFill="1" applyBorder="1"/>
    <xf numFmtId="175" fontId="81" fillId="0" borderId="32" xfId="4033" applyNumberFormat="1" applyFont="1" applyFill="1" applyBorder="1" applyAlignment="1">
      <alignment horizontal="center"/>
    </xf>
    <xf numFmtId="175" fontId="81" fillId="0" borderId="32" xfId="4033" applyNumberFormat="1" applyFont="1" applyFill="1" applyBorder="1" applyAlignment="1">
      <alignment horizontal="left" indent="1"/>
    </xf>
    <xf numFmtId="184" fontId="81" fillId="0" borderId="0" xfId="4073" applyNumberFormat="1" applyFont="1" applyFill="1"/>
    <xf numFmtId="175" fontId="81" fillId="0" borderId="32" xfId="4052" applyNumberFormat="1" applyFont="1" applyBorder="1"/>
    <xf numFmtId="184" fontId="81" fillId="0" borderId="32" xfId="4033" applyNumberFormat="1" applyFont="1" applyFill="1" applyBorder="1"/>
    <xf numFmtId="9" fontId="81" fillId="0" borderId="32" xfId="2642" applyFont="1" applyFill="1" applyBorder="1"/>
    <xf numFmtId="175" fontId="82" fillId="0" borderId="115" xfId="4033" applyNumberFormat="1" applyFont="1" applyFill="1" applyBorder="1" applyAlignment="1">
      <alignment horizontal="center"/>
    </xf>
    <xf numFmtId="0" fontId="82" fillId="0" borderId="0" xfId="4052" applyFont="1"/>
    <xf numFmtId="175" fontId="82" fillId="0" borderId="32" xfId="4033" applyNumberFormat="1" applyFont="1" applyFill="1" applyBorder="1"/>
    <xf numFmtId="175" fontId="81" fillId="0" borderId="32" xfId="4074" applyNumberFormat="1" applyFont="1" applyFill="1" applyBorder="1"/>
    <xf numFmtId="175" fontId="82" fillId="0" borderId="32" xfId="4033" applyNumberFormat="1" applyFont="1" applyFill="1" applyBorder="1" applyAlignment="1">
      <alignment horizontal="center"/>
    </xf>
    <xf numFmtId="175" fontId="81" fillId="0" borderId="32" xfId="4074" applyNumberFormat="1" applyFont="1" applyFill="1" applyBorder="1" applyAlignment="1">
      <alignment horizontal="left" indent="1"/>
    </xf>
    <xf numFmtId="175" fontId="82" fillId="0" borderId="32" xfId="4074" applyNumberFormat="1" applyFont="1" applyFill="1" applyBorder="1"/>
    <xf numFmtId="190" fontId="81" fillId="0" borderId="32" xfId="4033" applyNumberFormat="1" applyFont="1" applyFill="1" applyBorder="1" applyAlignment="1">
      <alignment vertical="center"/>
    </xf>
    <xf numFmtId="166" fontId="82" fillId="0" borderId="32" xfId="4075" applyFont="1" applyFill="1" applyBorder="1" applyAlignment="1">
      <alignment horizontal="left"/>
    </xf>
    <xf numFmtId="166" fontId="81" fillId="0" borderId="32" xfId="4075" applyFont="1" applyFill="1" applyBorder="1" applyAlignment="1">
      <alignment horizontal="left"/>
    </xf>
    <xf numFmtId="175" fontId="81" fillId="0" borderId="31" xfId="4033" applyNumberFormat="1" applyFont="1" applyFill="1" applyBorder="1"/>
    <xf numFmtId="175" fontId="81" fillId="0" borderId="10" xfId="4033" applyNumberFormat="1" applyFont="1" applyFill="1" applyBorder="1"/>
    <xf numFmtId="175" fontId="81" fillId="0" borderId="109" xfId="4033" applyNumberFormat="1" applyFont="1" applyFill="1" applyBorder="1"/>
    <xf numFmtId="175" fontId="81" fillId="0" borderId="33" xfId="4033" applyNumberFormat="1" applyFont="1" applyFill="1" applyBorder="1"/>
    <xf numFmtId="175" fontId="81" fillId="0" borderId="0" xfId="4033" applyNumberFormat="1" applyFont="1" applyFill="1" applyBorder="1" applyAlignment="1">
      <alignment horizontal="right"/>
    </xf>
    <xf numFmtId="175" fontId="81" fillId="0" borderId="0" xfId="4033" applyNumberFormat="1" applyFont="1" applyFill="1" applyBorder="1"/>
    <xf numFmtId="175" fontId="81" fillId="0" borderId="108" xfId="4033" applyNumberFormat="1" applyFont="1" applyFill="1" applyBorder="1"/>
    <xf numFmtId="175" fontId="82" fillId="0" borderId="33" xfId="4033" applyNumberFormat="1" applyFont="1" applyFill="1" applyBorder="1"/>
    <xf numFmtId="175" fontId="82" fillId="0" borderId="0" xfId="4033" applyNumberFormat="1" applyFont="1" applyFill="1" applyBorder="1" applyAlignment="1">
      <alignment horizontal="right"/>
    </xf>
    <xf numFmtId="175" fontId="82" fillId="0" borderId="0" xfId="4033" applyNumberFormat="1" applyFont="1" applyFill="1" applyBorder="1"/>
    <xf numFmtId="175" fontId="82" fillId="0" borderId="108" xfId="4033" applyNumberFormat="1" applyFont="1" applyFill="1" applyBorder="1"/>
    <xf numFmtId="175" fontId="82" fillId="0" borderId="0" xfId="4033" applyNumberFormat="1" applyFont="1" applyFill="1" applyBorder="1" applyAlignment="1">
      <alignment wrapText="1"/>
    </xf>
    <xf numFmtId="0" fontId="82" fillId="0" borderId="84" xfId="4052" applyFont="1" applyBorder="1"/>
    <xf numFmtId="175" fontId="82" fillId="0" borderId="98" xfId="4033" applyNumberFormat="1" applyFont="1" applyFill="1" applyBorder="1" applyAlignment="1">
      <alignment horizontal="right"/>
    </xf>
    <xf numFmtId="175" fontId="82" fillId="0" borderId="98" xfId="4033" applyNumberFormat="1" applyFont="1" applyFill="1" applyBorder="1"/>
    <xf numFmtId="175" fontId="82" fillId="0" borderId="105" xfId="4033" applyNumberFormat="1" applyFont="1" applyFill="1" applyBorder="1"/>
    <xf numFmtId="0" fontId="81" fillId="0" borderId="33" xfId="4052" applyFont="1" applyBorder="1"/>
    <xf numFmtId="0" fontId="82" fillId="0" borderId="33" xfId="4052" applyFont="1" applyBorder="1"/>
    <xf numFmtId="189" fontId="0" fillId="0" borderId="10" xfId="1" applyNumberFormat="1" applyFont="1" applyFill="1" applyBorder="1"/>
    <xf numFmtId="0" fontId="59" fillId="0" borderId="102" xfId="0" applyFont="1" applyBorder="1" applyAlignment="1">
      <alignment vertical="top" wrapText="1"/>
    </xf>
    <xf numFmtId="0" fontId="74" fillId="53" borderId="96" xfId="0" applyFont="1" applyFill="1" applyBorder="1" applyAlignment="1">
      <alignment vertical="top"/>
    </xf>
    <xf numFmtId="0" fontId="59" fillId="56" borderId="10" xfId="0" applyFont="1" applyFill="1" applyBorder="1" applyAlignment="1">
      <alignment horizontal="center" vertical="center"/>
    </xf>
    <xf numFmtId="0" fontId="0" fillId="0" borderId="27" xfId="0" applyBorder="1" applyAlignment="1">
      <alignment horizontal="justify" vertical="top" wrapText="1"/>
    </xf>
    <xf numFmtId="0" fontId="0" fillId="0" borderId="81" xfId="0" applyBorder="1" applyAlignment="1">
      <alignment horizontal="justify" vertical="top" wrapText="1"/>
    </xf>
    <xf numFmtId="0" fontId="0" fillId="0" borderId="28" xfId="0" applyBorder="1" applyAlignment="1">
      <alignment horizontal="justify" vertical="top" wrapText="1"/>
    </xf>
    <xf numFmtId="2" fontId="58" fillId="0" borderId="0" xfId="0" applyNumberFormat="1" applyFont="1"/>
    <xf numFmtId="0" fontId="63" fillId="0" borderId="0" xfId="0" applyFont="1" applyAlignment="1">
      <alignment horizontal="left" vertical="top"/>
    </xf>
    <xf numFmtId="0" fontId="61" fillId="0" borderId="0" xfId="0" applyFont="1" applyAlignment="1">
      <alignment horizontal="left"/>
    </xf>
    <xf numFmtId="0" fontId="63" fillId="59" borderId="0" xfId="0" applyFont="1" applyFill="1" applyAlignment="1">
      <alignment horizontal="left" vertical="top"/>
    </xf>
    <xf numFmtId="0" fontId="61" fillId="59" borderId="0" xfId="0" applyFont="1" applyFill="1" applyAlignment="1">
      <alignment horizontal="left" vertical="top"/>
    </xf>
    <xf numFmtId="0" fontId="80" fillId="0" borderId="0" xfId="4072" applyFont="1" applyAlignment="1">
      <alignment horizontal="left"/>
    </xf>
    <xf numFmtId="189" fontId="0" fillId="0" borderId="0" xfId="0" applyNumberFormat="1" applyAlignment="1">
      <alignment horizontal="justify" vertical="top" wrapText="1"/>
    </xf>
    <xf numFmtId="0" fontId="83" fillId="0" borderId="0" xfId="4076"/>
    <xf numFmtId="0" fontId="84" fillId="0" borderId="76" xfId="4076" applyFont="1" applyBorder="1" applyAlignment="1">
      <alignment horizontal="center"/>
    </xf>
    <xf numFmtId="0" fontId="84" fillId="0" borderId="96" xfId="4076" applyFont="1" applyBorder="1" applyAlignment="1">
      <alignment horizontal="center"/>
    </xf>
    <xf numFmtId="0" fontId="84" fillId="0" borderId="77" xfId="4076" applyFont="1" applyBorder="1" applyAlignment="1">
      <alignment horizontal="center"/>
    </xf>
    <xf numFmtId="0" fontId="85" fillId="0" borderId="108" xfId="4076" applyFont="1" applyBorder="1"/>
    <xf numFmtId="175" fontId="86" fillId="0" borderId="32" xfId="4033" applyNumberFormat="1" applyFont="1" applyFill="1" applyBorder="1"/>
    <xf numFmtId="175" fontId="86" fillId="0" borderId="33" xfId="4033" applyNumberFormat="1" applyFont="1" applyFill="1" applyBorder="1"/>
    <xf numFmtId="184" fontId="86" fillId="0" borderId="32" xfId="4077" applyNumberFormat="1" applyFont="1" applyFill="1" applyBorder="1"/>
    <xf numFmtId="175" fontId="87" fillId="53" borderId="96" xfId="4033" applyNumberFormat="1" applyFont="1" applyFill="1" applyBorder="1"/>
    <xf numFmtId="175" fontId="87" fillId="53" borderId="77" xfId="4033" applyNumberFormat="1" applyFont="1" applyFill="1" applyBorder="1"/>
    <xf numFmtId="0" fontId="88" fillId="0" borderId="0" xfId="4076" applyFont="1" applyAlignment="1">
      <alignment horizontal="center"/>
    </xf>
    <xf numFmtId="0" fontId="58" fillId="0" borderId="0" xfId="2174" applyFont="1" applyAlignment="1">
      <alignment horizontal="center"/>
    </xf>
    <xf numFmtId="184" fontId="62" fillId="0" borderId="0" xfId="1" applyNumberFormat="1" applyFont="1"/>
    <xf numFmtId="184" fontId="0" fillId="0" borderId="0" xfId="1" applyNumberFormat="1" applyFont="1" applyAlignment="1">
      <alignment horizontal="center"/>
    </xf>
    <xf numFmtId="184" fontId="59" fillId="0" borderId="0" xfId="1" applyNumberFormat="1" applyFont="1" applyAlignment="1">
      <alignment horizontal="center"/>
    </xf>
    <xf numFmtId="184" fontId="59" fillId="0" borderId="0" xfId="0" applyNumberFormat="1" applyFont="1"/>
    <xf numFmtId="184" fontId="59" fillId="0" borderId="0" xfId="1" applyNumberFormat="1" applyFont="1"/>
    <xf numFmtId="4" fontId="61" fillId="0" borderId="28" xfId="1" applyNumberFormat="1" applyFont="1" applyFill="1" applyBorder="1"/>
    <xf numFmtId="43" fontId="74" fillId="0" borderId="96" xfId="0" applyNumberFormat="1" applyFont="1" applyBorder="1"/>
    <xf numFmtId="0" fontId="61" fillId="56" borderId="10" xfId="0" applyFont="1" applyFill="1" applyBorder="1" applyAlignment="1">
      <alignment horizontal="right" vertical="center" wrapText="1"/>
    </xf>
    <xf numFmtId="0" fontId="0" fillId="0" borderId="27" xfId="0" applyBorder="1" applyAlignment="1">
      <alignment wrapText="1"/>
    </xf>
    <xf numFmtId="184" fontId="59" fillId="56" borderId="100" xfId="1" applyNumberFormat="1" applyFont="1" applyFill="1" applyBorder="1"/>
    <xf numFmtId="0" fontId="58" fillId="56" borderId="101" xfId="0" applyFont="1" applyFill="1" applyBorder="1" applyAlignment="1">
      <alignment horizontal="center" vertical="center"/>
    </xf>
    <xf numFmtId="0" fontId="58" fillId="56" borderId="96" xfId="0" applyFont="1" applyFill="1" applyBorder="1" applyAlignment="1">
      <alignment horizontal="center" vertical="center"/>
    </xf>
    <xf numFmtId="0" fontId="58" fillId="56" borderId="96" xfId="0" applyFont="1" applyFill="1" applyBorder="1" applyAlignment="1">
      <alignment horizontal="center" vertical="center" wrapText="1"/>
    </xf>
    <xf numFmtId="0" fontId="58" fillId="56" borderId="104" xfId="0" applyFont="1" applyFill="1" applyBorder="1" applyAlignment="1">
      <alignment horizontal="center" vertical="center" wrapText="1"/>
    </xf>
    <xf numFmtId="0" fontId="0" fillId="0" borderId="0" xfId="0" applyAlignment="1">
      <alignment vertical="center"/>
    </xf>
    <xf numFmtId="183" fontId="59" fillId="56" borderId="96" xfId="359" applyNumberFormat="1" applyFont="1" applyFill="1" applyBorder="1" applyAlignment="1">
      <alignment horizontal="right" vertical="top" wrapText="1"/>
    </xf>
    <xf numFmtId="184" fontId="61" fillId="56" borderId="100" xfId="1" applyNumberFormat="1" applyFont="1" applyFill="1" applyBorder="1"/>
    <xf numFmtId="184" fontId="63" fillId="0" borderId="0" xfId="1" applyNumberFormat="1" applyFont="1"/>
    <xf numFmtId="189" fontId="63" fillId="0" borderId="0" xfId="0" applyNumberFormat="1" applyFont="1"/>
    <xf numFmtId="184" fontId="61" fillId="0" borderId="0" xfId="0" applyNumberFormat="1" applyFont="1"/>
    <xf numFmtId="184" fontId="61" fillId="0" borderId="0" xfId="1" applyNumberFormat="1" applyFont="1"/>
    <xf numFmtId="189" fontId="59" fillId="56" borderId="0" xfId="1" applyNumberFormat="1" applyFont="1" applyFill="1" applyBorder="1"/>
    <xf numFmtId="43" fontId="62" fillId="0" borderId="0" xfId="0" applyNumberFormat="1" applyFont="1"/>
    <xf numFmtId="166" fontId="58" fillId="56" borderId="98" xfId="4038" applyFont="1" applyFill="1" applyBorder="1" applyAlignment="1">
      <alignment vertical="center"/>
    </xf>
    <xf numFmtId="166" fontId="58" fillId="56" borderId="10" xfId="4038" applyFont="1" applyFill="1" applyBorder="1" applyAlignment="1">
      <alignment vertical="center"/>
    </xf>
    <xf numFmtId="0" fontId="58" fillId="0" borderId="0" xfId="0" applyFont="1" applyAlignment="1">
      <alignment wrapText="1"/>
    </xf>
    <xf numFmtId="0" fontId="58" fillId="56" borderId="10" xfId="0" applyFont="1" applyFill="1" applyBorder="1" applyAlignment="1">
      <alignment horizontal="center" vertical="center" wrapText="1"/>
    </xf>
    <xf numFmtId="189" fontId="62" fillId="0" borderId="0" xfId="347" applyNumberFormat="1" applyFont="1" applyFill="1" applyBorder="1"/>
    <xf numFmtId="189" fontId="62" fillId="0" borderId="27" xfId="347" applyNumberFormat="1" applyFont="1" applyFill="1" applyBorder="1"/>
    <xf numFmtId="189" fontId="58" fillId="56" borderId="100" xfId="347" applyNumberFormat="1" applyFont="1" applyFill="1" applyBorder="1"/>
    <xf numFmtId="189" fontId="58" fillId="56" borderId="104" xfId="347" applyNumberFormat="1" applyFont="1" applyFill="1" applyBorder="1"/>
    <xf numFmtId="0" fontId="1" fillId="0" borderId="0" xfId="4078"/>
    <xf numFmtId="184" fontId="1" fillId="0" borderId="0" xfId="4079" applyNumberFormat="1" applyFont="1" applyFill="1" applyAlignment="1">
      <alignment horizontal="left"/>
    </xf>
    <xf numFmtId="49" fontId="1" fillId="0" borderId="0" xfId="4078" applyNumberFormat="1"/>
    <xf numFmtId="184" fontId="1" fillId="0" borderId="0" xfId="4079" applyNumberFormat="1" applyFont="1" applyFill="1"/>
    <xf numFmtId="49" fontId="1" fillId="53" borderId="0" xfId="4078" applyNumberFormat="1" applyFill="1"/>
    <xf numFmtId="184" fontId="62" fillId="0" borderId="0" xfId="1" applyNumberFormat="1" applyFont="1" applyFill="1" applyBorder="1"/>
    <xf numFmtId="184" fontId="62" fillId="0" borderId="10" xfId="1" applyNumberFormat="1" applyFont="1" applyFill="1" applyBorder="1"/>
    <xf numFmtId="189" fontId="62" fillId="0" borderId="0" xfId="1" applyNumberFormat="1" applyFont="1" applyFill="1" applyBorder="1"/>
    <xf numFmtId="189" fontId="62" fillId="0" borderId="0" xfId="1" applyNumberFormat="1" applyFont="1" applyFill="1" applyBorder="1" applyAlignment="1">
      <alignment vertical="top"/>
    </xf>
    <xf numFmtId="184" fontId="62" fillId="0" borderId="0" xfId="1" applyNumberFormat="1" applyFont="1" applyFill="1" applyBorder="1" applyAlignment="1">
      <alignment horizontal="center"/>
    </xf>
    <xf numFmtId="0" fontId="62" fillId="59" borderId="0" xfId="359" applyNumberFormat="1" applyFont="1" applyFill="1" applyBorder="1" applyAlignment="1">
      <alignment horizontal="left" vertical="top"/>
    </xf>
    <xf numFmtId="189" fontId="0" fillId="59" borderId="96" xfId="0" applyNumberFormat="1" applyFill="1" applyBorder="1"/>
    <xf numFmtId="43" fontId="58" fillId="56" borderId="104" xfId="359" applyFont="1" applyFill="1" applyBorder="1" applyAlignment="1">
      <alignment horizontal="center" vertical="top" wrapText="1"/>
    </xf>
    <xf numFmtId="175" fontId="81" fillId="0" borderId="32" xfId="2642" applyNumberFormat="1" applyFont="1" applyFill="1" applyBorder="1"/>
    <xf numFmtId="9" fontId="81" fillId="0" borderId="0" xfId="4052" applyNumberFormat="1" applyFont="1"/>
    <xf numFmtId="43" fontId="81" fillId="0" borderId="0" xfId="4052" applyNumberFormat="1" applyFont="1"/>
    <xf numFmtId="184" fontId="81" fillId="0" borderId="0" xfId="1" applyNumberFormat="1" applyFont="1"/>
    <xf numFmtId="184" fontId="82" fillId="0" borderId="0" xfId="1" applyNumberFormat="1" applyFont="1"/>
    <xf numFmtId="175" fontId="82" fillId="0" borderId="108" xfId="4033" applyNumberFormat="1" applyFont="1" applyFill="1" applyBorder="1" applyAlignment="1">
      <alignment vertical="center"/>
    </xf>
    <xf numFmtId="0" fontId="73" fillId="0" borderId="0" xfId="0" applyFont="1" applyAlignment="1">
      <alignment vertical="center"/>
    </xf>
    <xf numFmtId="0" fontId="73" fillId="0" borderId="0" xfId="0" applyFont="1" applyAlignment="1">
      <alignment horizontal="center" vertical="center"/>
    </xf>
    <xf numFmtId="0" fontId="74" fillId="0" borderId="0" xfId="0" applyFont="1" applyAlignment="1">
      <alignment vertical="center"/>
    </xf>
    <xf numFmtId="43" fontId="74" fillId="0" borderId="0" xfId="0" applyNumberFormat="1" applyFont="1" applyAlignment="1">
      <alignment vertical="center"/>
    </xf>
    <xf numFmtId="184" fontId="74" fillId="0" borderId="0" xfId="1" applyNumberFormat="1" applyFont="1" applyBorder="1" applyAlignment="1">
      <alignment vertical="center"/>
    </xf>
    <xf numFmtId="184" fontId="74" fillId="0" borderId="0" xfId="0" applyNumberFormat="1" applyFont="1" applyAlignment="1">
      <alignment vertical="center"/>
    </xf>
    <xf numFmtId="184" fontId="74" fillId="0" borderId="0" xfId="1" applyNumberFormat="1" applyFont="1" applyBorder="1" applyAlignment="1">
      <alignment horizontal="center" vertical="center"/>
    </xf>
    <xf numFmtId="0" fontId="74" fillId="0" borderId="0" xfId="0" applyFont="1" applyAlignment="1">
      <alignment horizontal="center" vertical="center"/>
    </xf>
    <xf numFmtId="184" fontId="74" fillId="0" borderId="0" xfId="1" applyNumberFormat="1" applyFont="1" applyFill="1" applyBorder="1" applyAlignment="1">
      <alignment vertical="center"/>
    </xf>
    <xf numFmtId="0" fontId="90" fillId="0" borderId="0" xfId="2174" applyFont="1" applyAlignment="1">
      <alignment horizontal="center" vertical="center"/>
    </xf>
    <xf numFmtId="184" fontId="71" fillId="0" borderId="0" xfId="1" applyNumberFormat="1" applyFont="1" applyBorder="1" applyAlignment="1">
      <alignment horizontal="center" vertical="center"/>
    </xf>
    <xf numFmtId="0" fontId="71" fillId="0" borderId="0" xfId="0" applyFont="1" applyAlignment="1">
      <alignment horizontal="center" vertical="center"/>
    </xf>
    <xf numFmtId="0" fontId="71" fillId="0" borderId="0" xfId="0" applyFont="1" applyAlignment="1">
      <alignment vertical="center"/>
    </xf>
    <xf numFmtId="184" fontId="91" fillId="0" borderId="0" xfId="1" applyNumberFormat="1" applyFont="1" applyFill="1" applyBorder="1" applyAlignment="1">
      <alignment vertical="center"/>
    </xf>
    <xf numFmtId="43" fontId="91" fillId="0" borderId="0" xfId="1" applyFont="1" applyFill="1" applyBorder="1" applyAlignment="1">
      <alignment vertical="center"/>
    </xf>
    <xf numFmtId="189" fontId="0" fillId="0" borderId="0" xfId="1" applyNumberFormat="1" applyFont="1" applyFill="1" applyBorder="1" applyAlignment="1">
      <alignment horizontal="right"/>
    </xf>
    <xf numFmtId="184" fontId="89" fillId="0" borderId="0" xfId="1" applyNumberFormat="1" applyFont="1" applyBorder="1" applyAlignment="1">
      <alignment horizontal="right" vertical="top"/>
    </xf>
    <xf numFmtId="0" fontId="58" fillId="56" borderId="77" xfId="0" applyFont="1" applyFill="1" applyBorder="1" applyAlignment="1">
      <alignment horizontal="center" vertical="center" wrapText="1"/>
    </xf>
    <xf numFmtId="0" fontId="62" fillId="0" borderId="25" xfId="0" applyFont="1" applyBorder="1" applyAlignment="1">
      <alignment horizontal="justify" wrapText="1"/>
    </xf>
    <xf numFmtId="0" fontId="62" fillId="0" borderId="27" xfId="0" applyFont="1" applyBorder="1" applyAlignment="1">
      <alignment horizontal="justify" wrapText="1"/>
    </xf>
    <xf numFmtId="0" fontId="63" fillId="0" borderId="78" xfId="0" applyFont="1" applyBorder="1"/>
    <xf numFmtId="0" fontId="63" fillId="0" borderId="78" xfId="0" applyFont="1" applyBorder="1" applyAlignment="1">
      <alignment horizontal="center"/>
    </xf>
    <xf numFmtId="0" fontId="63" fillId="0" borderId="79" xfId="0" applyFont="1" applyBorder="1" applyAlignment="1">
      <alignment horizontal="center"/>
    </xf>
    <xf numFmtId="0" fontId="61" fillId="0" borderId="25" xfId="0" quotePrefix="1" applyFont="1" applyBorder="1" applyAlignment="1">
      <alignment horizontal="center"/>
    </xf>
    <xf numFmtId="167" fontId="61" fillId="0" borderId="25" xfId="0" applyNumberFormat="1" applyFont="1" applyBorder="1" applyAlignment="1">
      <alignment horizontal="center"/>
    </xf>
    <xf numFmtId="43" fontId="63" fillId="0" borderId="27" xfId="1" applyFont="1" applyBorder="1" applyAlignment="1">
      <alignment horizontal="center"/>
    </xf>
    <xf numFmtId="0" fontId="63" fillId="0" borderId="25" xfId="0" applyFont="1" applyBorder="1" applyAlignment="1">
      <alignment horizontal="center"/>
    </xf>
    <xf numFmtId="184" fontId="63" fillId="0" borderId="27" xfId="1" applyNumberFormat="1" applyFont="1" applyFill="1" applyBorder="1" applyAlignment="1">
      <alignment horizontal="center"/>
    </xf>
    <xf numFmtId="0" fontId="61" fillId="56" borderId="103" xfId="0" applyFont="1" applyFill="1" applyBorder="1" applyAlignment="1">
      <alignment horizontal="center"/>
    </xf>
    <xf numFmtId="184" fontId="61" fillId="56" borderId="104" xfId="1" applyNumberFormat="1" applyFont="1" applyFill="1" applyBorder="1"/>
    <xf numFmtId="0" fontId="61" fillId="0" borderId="25" xfId="0" applyFont="1" applyBorder="1" applyAlignment="1">
      <alignment horizontal="center"/>
    </xf>
    <xf numFmtId="189" fontId="63" fillId="0" borderId="27" xfId="1" applyNumberFormat="1" applyFont="1" applyBorder="1" applyAlignment="1">
      <alignment horizontal="center"/>
    </xf>
    <xf numFmtId="184" fontId="62" fillId="0" borderId="27" xfId="1" applyNumberFormat="1" applyFont="1" applyFill="1" applyBorder="1" applyAlignment="1">
      <alignment horizontal="center"/>
    </xf>
    <xf numFmtId="189" fontId="63" fillId="0" borderId="27" xfId="1" applyNumberFormat="1" applyFont="1" applyFill="1" applyBorder="1" applyAlignment="1">
      <alignment horizontal="center"/>
    </xf>
    <xf numFmtId="184" fontId="62" fillId="0" borderId="27" xfId="1" applyNumberFormat="1" applyFont="1" applyFill="1" applyBorder="1"/>
    <xf numFmtId="0" fontId="63" fillId="56" borderId="103" xfId="0" applyFont="1" applyFill="1" applyBorder="1" applyAlignment="1">
      <alignment horizontal="center"/>
    </xf>
    <xf numFmtId="0" fontId="63" fillId="56" borderId="116" xfId="0" applyFont="1" applyFill="1" applyBorder="1" applyAlignment="1">
      <alignment horizontal="center"/>
    </xf>
    <xf numFmtId="0" fontId="63" fillId="56" borderId="116" xfId="0" applyFont="1" applyFill="1" applyBorder="1"/>
    <xf numFmtId="0" fontId="61" fillId="0" borderId="117" xfId="0" applyFont="1" applyBorder="1"/>
    <xf numFmtId="0" fontId="63" fillId="0" borderId="87" xfId="0" applyFont="1" applyBorder="1" applyAlignment="1">
      <alignment horizontal="center"/>
    </xf>
    <xf numFmtId="0" fontId="58" fillId="0" borderId="25" xfId="359" applyNumberFormat="1" applyFont="1" applyFill="1" applyBorder="1" applyAlignment="1">
      <alignment horizontal="left" vertical="top"/>
    </xf>
    <xf numFmtId="39" fontId="58" fillId="0" borderId="27" xfId="359" applyNumberFormat="1" applyFont="1" applyFill="1" applyBorder="1" applyAlignment="1">
      <alignment horizontal="left" vertical="top"/>
    </xf>
    <xf numFmtId="0" fontId="62" fillId="0" borderId="27" xfId="359" applyNumberFormat="1" applyFont="1" applyFill="1" applyBorder="1" applyAlignment="1">
      <alignment horizontal="left" vertical="top"/>
    </xf>
    <xf numFmtId="0" fontId="62" fillId="0" borderId="25" xfId="0" applyFont="1" applyBorder="1" applyAlignment="1">
      <alignment vertical="center"/>
    </xf>
    <xf numFmtId="0" fontId="55" fillId="0" borderId="25" xfId="0" applyFont="1" applyBorder="1" applyAlignment="1">
      <alignment vertical="center"/>
    </xf>
    <xf numFmtId="0" fontId="65" fillId="0" borderId="25" xfId="0" applyFont="1" applyBorder="1" applyAlignment="1">
      <alignment vertical="center"/>
    </xf>
    <xf numFmtId="43" fontId="59" fillId="0" borderId="27" xfId="359" applyFont="1" applyBorder="1"/>
    <xf numFmtId="0" fontId="59" fillId="0" borderId="26" xfId="0" applyFont="1" applyBorder="1"/>
    <xf numFmtId="0" fontId="58" fillId="0" borderId="81" xfId="359" applyNumberFormat="1" applyFont="1" applyFill="1" applyBorder="1" applyAlignment="1">
      <alignment horizontal="left" vertical="top"/>
    </xf>
    <xf numFmtId="43" fontId="59" fillId="0" borderId="28" xfId="359" applyFont="1" applyBorder="1"/>
    <xf numFmtId="0" fontId="61" fillId="0" borderId="25" xfId="0" applyFont="1" applyBorder="1" applyAlignment="1">
      <alignment horizontal="center" vertical="center"/>
    </xf>
    <xf numFmtId="0" fontId="61" fillId="56" borderId="103" xfId="0" applyFont="1" applyFill="1" applyBorder="1" applyAlignment="1">
      <alignment horizontal="center" vertical="top"/>
    </xf>
    <xf numFmtId="184" fontId="63" fillId="0" borderId="27" xfId="0" applyNumberFormat="1" applyFont="1" applyBorder="1" applyAlignment="1">
      <alignment horizontal="center"/>
    </xf>
    <xf numFmtId="1" fontId="58" fillId="0" borderId="25" xfId="0" applyNumberFormat="1" applyFont="1" applyBorder="1" applyAlignment="1">
      <alignment horizontal="center"/>
    </xf>
    <xf numFmtId="189" fontId="63" fillId="0" borderId="27" xfId="0" applyNumberFormat="1" applyFont="1" applyBorder="1" applyAlignment="1">
      <alignment horizontal="center"/>
    </xf>
    <xf numFmtId="189" fontId="61" fillId="0" borderId="80" xfId="1" applyNumberFormat="1" applyFont="1" applyFill="1" applyBorder="1"/>
    <xf numFmtId="0" fontId="61" fillId="0" borderId="27" xfId="0" applyFont="1" applyBorder="1" applyAlignment="1">
      <alignment horizontal="left"/>
    </xf>
    <xf numFmtId="0" fontId="63" fillId="0" borderId="27" xfId="0" applyFont="1" applyBorder="1" applyAlignment="1">
      <alignment horizontal="left" vertical="top"/>
    </xf>
    <xf numFmtId="4" fontId="61" fillId="0" borderId="81" xfId="1" applyNumberFormat="1" applyFont="1" applyFill="1" applyBorder="1"/>
    <xf numFmtId="0" fontId="61" fillId="0" borderId="28" xfId="0" applyFont="1" applyBorder="1" applyAlignment="1">
      <alignment horizontal="left"/>
    </xf>
    <xf numFmtId="0" fontId="61" fillId="59" borderId="24" xfId="0" applyFont="1" applyFill="1" applyBorder="1"/>
    <xf numFmtId="0" fontId="61" fillId="59" borderId="78" xfId="0" applyFont="1" applyFill="1" applyBorder="1"/>
    <xf numFmtId="0" fontId="61" fillId="59" borderId="25" xfId="0" applyFont="1" applyFill="1" applyBorder="1"/>
    <xf numFmtId="0" fontId="61" fillId="59" borderId="70" xfId="0" applyFont="1" applyFill="1" applyBorder="1"/>
    <xf numFmtId="0" fontId="0" fillId="59" borderId="80" xfId="0" applyFill="1" applyBorder="1"/>
    <xf numFmtId="0" fontId="0" fillId="59" borderId="25" xfId="0" applyFill="1" applyBorder="1"/>
    <xf numFmtId="0" fontId="58" fillId="59" borderId="25" xfId="0" applyFont="1" applyFill="1" applyBorder="1" applyAlignment="1">
      <alignment horizontal="justify" vertical="top" wrapText="1"/>
    </xf>
    <xf numFmtId="175" fontId="58" fillId="59" borderId="27" xfId="346" applyNumberFormat="1" applyFont="1" applyFill="1" applyBorder="1" applyAlignment="1">
      <alignment horizontal="center" vertical="top"/>
    </xf>
    <xf numFmtId="0" fontId="62" fillId="59" borderId="93" xfId="0" applyFont="1" applyFill="1" applyBorder="1"/>
    <xf numFmtId="189" fontId="62" fillId="59" borderId="85" xfId="1" applyNumberFormat="1" applyFont="1" applyFill="1" applyBorder="1" applyAlignment="1">
      <alignment horizontal="right" vertical="top"/>
    </xf>
    <xf numFmtId="0" fontId="58" fillId="56" borderId="101" xfId="0" applyFont="1" applyFill="1" applyBorder="1"/>
    <xf numFmtId="189" fontId="58" fillId="56" borderId="99" xfId="1" applyNumberFormat="1" applyFont="1" applyFill="1" applyBorder="1" applyAlignment="1">
      <alignment horizontal="right" vertical="top"/>
    </xf>
    <xf numFmtId="0" fontId="62" fillId="59" borderId="90" xfId="0" applyFont="1" applyFill="1" applyBorder="1"/>
    <xf numFmtId="189" fontId="58" fillId="56" borderId="99" xfId="359" applyNumberFormat="1" applyFont="1" applyFill="1" applyBorder="1" applyAlignment="1">
      <alignment horizontal="right" vertical="top"/>
    </xf>
    <xf numFmtId="189" fontId="0" fillId="59" borderId="27" xfId="0" applyNumberFormat="1" applyFill="1" applyBorder="1"/>
    <xf numFmtId="0" fontId="58" fillId="56" borderId="70" xfId="0" applyFont="1" applyFill="1" applyBorder="1"/>
    <xf numFmtId="0" fontId="59" fillId="59" borderId="25" xfId="0" applyFont="1" applyFill="1" applyBorder="1"/>
    <xf numFmtId="0" fontId="62" fillId="59" borderId="25" xfId="359" applyNumberFormat="1" applyFont="1" applyFill="1" applyBorder="1" applyAlignment="1">
      <alignment horizontal="left" vertical="top"/>
    </xf>
    <xf numFmtId="0" fontId="61" fillId="59" borderId="25" xfId="0" applyFont="1" applyFill="1" applyBorder="1" applyAlignment="1">
      <alignment horizontal="center" vertical="top"/>
    </xf>
    <xf numFmtId="0" fontId="61" fillId="59" borderId="25" xfId="0" applyFont="1" applyFill="1" applyBorder="1" applyAlignment="1">
      <alignment horizontal="left" vertical="top"/>
    </xf>
    <xf numFmtId="0" fontId="62" fillId="59" borderId="25" xfId="0" applyFont="1" applyFill="1" applyBorder="1" applyAlignment="1">
      <alignment horizontal="left" vertical="top"/>
    </xf>
    <xf numFmtId="0" fontId="58" fillId="59" borderId="25" xfId="0" applyFont="1" applyFill="1" applyBorder="1" applyAlignment="1">
      <alignment horizontal="left" vertical="top"/>
    </xf>
    <xf numFmtId="0" fontId="61" fillId="59" borderId="27" xfId="0" applyFont="1" applyFill="1" applyBorder="1" applyAlignment="1">
      <alignment horizontal="left" vertical="top"/>
    </xf>
    <xf numFmtId="0" fontId="59" fillId="59" borderId="25" xfId="0" applyFont="1" applyFill="1" applyBorder="1" applyAlignment="1">
      <alignment vertical="center"/>
    </xf>
    <xf numFmtId="0" fontId="0" fillId="59" borderId="25" xfId="0" applyFill="1" applyBorder="1" applyAlignment="1">
      <alignment vertical="center"/>
    </xf>
    <xf numFmtId="0" fontId="61" fillId="59" borderId="26" xfId="0" applyFont="1" applyFill="1" applyBorder="1" applyAlignment="1">
      <alignment horizontal="left" vertical="top"/>
    </xf>
    <xf numFmtId="0" fontId="61" fillId="59" borderId="81" xfId="0" applyFont="1" applyFill="1" applyBorder="1" applyAlignment="1">
      <alignment horizontal="left" vertical="top"/>
    </xf>
    <xf numFmtId="0" fontId="61" fillId="59" borderId="28" xfId="0" applyFont="1" applyFill="1" applyBorder="1" applyAlignment="1">
      <alignment horizontal="left" vertical="top"/>
    </xf>
    <xf numFmtId="2" fontId="62" fillId="0" borderId="78" xfId="0" applyNumberFormat="1" applyFont="1" applyBorder="1"/>
    <xf numFmtId="0" fontId="62" fillId="56" borderId="93" xfId="4063" applyFont="1" applyFill="1" applyBorder="1"/>
    <xf numFmtId="0" fontId="58" fillId="56" borderId="90" xfId="4063" applyFont="1" applyFill="1" applyBorder="1" applyAlignment="1">
      <alignment horizontal="left"/>
    </xf>
    <xf numFmtId="0" fontId="58" fillId="56" borderId="90" xfId="4063" applyFont="1" applyFill="1" applyBorder="1"/>
    <xf numFmtId="0" fontId="58" fillId="56" borderId="74" xfId="4063" applyFont="1" applyFill="1" applyBorder="1"/>
    <xf numFmtId="0" fontId="66" fillId="0" borderId="90" xfId="4063" applyFont="1" applyFill="1" applyBorder="1"/>
    <xf numFmtId="189" fontId="58" fillId="0" borderId="95" xfId="4063" applyNumberFormat="1" applyFont="1" applyFill="1" applyBorder="1" applyAlignment="1" applyProtection="1">
      <alignment horizontal="center" vertical="center" wrapText="1"/>
    </xf>
    <xf numFmtId="0" fontId="62" fillId="0" borderId="90" xfId="4063" applyFont="1" applyFill="1" applyBorder="1"/>
    <xf numFmtId="189" fontId="0" fillId="0" borderId="85" xfId="1" applyNumberFormat="1" applyFont="1" applyBorder="1"/>
    <xf numFmtId="189" fontId="59" fillId="56" borderId="99" xfId="1" applyNumberFormat="1" applyFont="1" applyFill="1" applyBorder="1"/>
    <xf numFmtId="0" fontId="59" fillId="0" borderId="93" xfId="0" applyFont="1" applyBorder="1"/>
    <xf numFmtId="189" fontId="59" fillId="56" borderId="101" xfId="0" applyNumberFormat="1" applyFont="1" applyFill="1" applyBorder="1"/>
    <xf numFmtId="43" fontId="59" fillId="0" borderId="27" xfId="1" applyFont="1" applyBorder="1"/>
    <xf numFmtId="0" fontId="59" fillId="0" borderId="103" xfId="0" applyFont="1" applyBorder="1"/>
    <xf numFmtId="0" fontId="62" fillId="0" borderId="26" xfId="0" applyFont="1" applyBorder="1"/>
    <xf numFmtId="0" fontId="58" fillId="0" borderId="78" xfId="0" applyFont="1" applyBorder="1"/>
    <xf numFmtId="0" fontId="58" fillId="56" borderId="104" xfId="346" applyNumberFormat="1" applyFont="1" applyFill="1" applyBorder="1" applyAlignment="1">
      <alignment horizontal="center" vertical="top" wrapText="1"/>
    </xf>
    <xf numFmtId="0" fontId="62" fillId="0" borderId="25" xfId="0" applyFont="1" applyBorder="1" applyAlignment="1">
      <alignment horizontal="left" indent="2"/>
    </xf>
    <xf numFmtId="0" fontId="62" fillId="0" borderId="92" xfId="0" applyFont="1" applyBorder="1"/>
    <xf numFmtId="0" fontId="62" fillId="0" borderId="27" xfId="0" applyFont="1" applyBorder="1"/>
    <xf numFmtId="0" fontId="62" fillId="0" borderId="25" xfId="0" applyFont="1" applyBorder="1" applyAlignment="1">
      <alignment wrapText="1"/>
    </xf>
    <xf numFmtId="0" fontId="58" fillId="56" borderId="103" xfId="0" applyFont="1" applyFill="1" applyBorder="1"/>
    <xf numFmtId="0" fontId="59" fillId="56" borderId="102" xfId="0" applyFont="1" applyFill="1" applyBorder="1" applyAlignment="1">
      <alignment horizontal="center"/>
    </xf>
    <xf numFmtId="0" fontId="59" fillId="56" borderId="70" xfId="0" applyFont="1" applyFill="1" applyBorder="1"/>
    <xf numFmtId="166" fontId="58" fillId="0" borderId="102" xfId="359" applyNumberFormat="1" applyFont="1" applyFill="1" applyBorder="1" applyAlignment="1">
      <alignment horizontal="center" vertical="top"/>
    </xf>
    <xf numFmtId="189" fontId="0" fillId="0" borderId="80" xfId="1" applyNumberFormat="1" applyFont="1" applyBorder="1"/>
    <xf numFmtId="0" fontId="62" fillId="0" borderId="102" xfId="0" applyFont="1" applyBorder="1" applyAlignment="1">
      <alignment horizontal="justify" wrapText="1"/>
    </xf>
    <xf numFmtId="189" fontId="0" fillId="0" borderId="80" xfId="1" applyNumberFormat="1" applyFont="1" applyFill="1" applyBorder="1"/>
    <xf numFmtId="184" fontId="65" fillId="0" borderId="0" xfId="1" applyNumberFormat="1" applyFont="1"/>
    <xf numFmtId="189" fontId="59" fillId="56" borderId="27" xfId="1" applyNumberFormat="1" applyFont="1" applyFill="1" applyBorder="1"/>
    <xf numFmtId="0" fontId="59" fillId="59" borderId="24" xfId="0" applyFont="1" applyFill="1" applyBorder="1"/>
    <xf numFmtId="0" fontId="59" fillId="59" borderId="70" xfId="0" applyFont="1" applyFill="1" applyBorder="1"/>
    <xf numFmtId="0" fontId="0" fillId="59" borderId="10" xfId="0" applyFill="1" applyBorder="1"/>
    <xf numFmtId="0" fontId="59" fillId="59" borderId="80" xfId="0" applyFont="1" applyFill="1" applyBorder="1" applyAlignment="1">
      <alignment horizontal="right"/>
    </xf>
    <xf numFmtId="0" fontId="59" fillId="59" borderId="98" xfId="0" applyFont="1" applyFill="1" applyBorder="1" applyAlignment="1">
      <alignment horizontal="center" vertical="center"/>
    </xf>
    <xf numFmtId="0" fontId="59" fillId="59" borderId="102" xfId="0" applyFont="1" applyFill="1" applyBorder="1" applyAlignment="1">
      <alignment horizontal="center" vertical="center"/>
    </xf>
    <xf numFmtId="0" fontId="59" fillId="59" borderId="10" xfId="0" applyFont="1" applyFill="1" applyBorder="1" applyAlignment="1">
      <alignment horizontal="center" vertical="top"/>
    </xf>
    <xf numFmtId="15" fontId="59" fillId="59" borderId="80" xfId="0" applyNumberFormat="1" applyFont="1" applyFill="1" applyBorder="1" applyAlignment="1">
      <alignment horizontal="center" vertical="top"/>
    </xf>
    <xf numFmtId="0" fontId="58" fillId="56" borderId="98" xfId="0" applyFont="1" applyFill="1" applyBorder="1" applyAlignment="1">
      <alignment horizontal="center" vertical="center"/>
    </xf>
    <xf numFmtId="0" fontId="58" fillId="56" borderId="10" xfId="0" applyFont="1" applyFill="1" applyBorder="1" applyAlignment="1">
      <alignment horizontal="center" vertical="center"/>
    </xf>
    <xf numFmtId="184" fontId="59" fillId="0" borderId="84" xfId="1" applyNumberFormat="1" applyFont="1" applyFill="1" applyBorder="1" applyAlignment="1">
      <alignment horizontal="justify" vertical="top" wrapText="1"/>
    </xf>
    <xf numFmtId="43" fontId="59" fillId="56" borderId="77" xfId="1" applyFont="1" applyFill="1" applyBorder="1" applyAlignment="1">
      <alignment horizontal="justify" vertical="top" wrapText="1"/>
    </xf>
    <xf numFmtId="0" fontId="58" fillId="56" borderId="100" xfId="0" applyFont="1" applyFill="1" applyBorder="1" applyAlignment="1">
      <alignment horizontal="center" vertical="center" wrapText="1"/>
    </xf>
    <xf numFmtId="0" fontId="58" fillId="56" borderId="98" xfId="0" applyFont="1" applyFill="1" applyBorder="1" applyAlignment="1">
      <alignment horizontal="center" vertical="center" wrapText="1"/>
    </xf>
    <xf numFmtId="0" fontId="59" fillId="0" borderId="24" xfId="0" applyFont="1" applyBorder="1" applyAlignment="1">
      <alignment vertical="center"/>
    </xf>
    <xf numFmtId="0" fontId="0" fillId="0" borderId="78" xfId="0" applyBorder="1" applyAlignment="1">
      <alignment vertical="center"/>
    </xf>
    <xf numFmtId="0" fontId="0" fillId="0" borderId="79" xfId="0" applyBorder="1" applyAlignment="1">
      <alignment vertical="center"/>
    </xf>
    <xf numFmtId="0" fontId="59" fillId="0" borderId="70" xfId="0" applyFont="1" applyBorder="1" applyAlignment="1">
      <alignment vertical="center"/>
    </xf>
    <xf numFmtId="0" fontId="59" fillId="0" borderId="80" xfId="0" applyFont="1" applyBorder="1" applyAlignment="1">
      <alignment horizontal="right" vertical="center"/>
    </xf>
    <xf numFmtId="0" fontId="0" fillId="0" borderId="27" xfId="0" applyBorder="1" applyAlignment="1">
      <alignment vertical="center"/>
    </xf>
    <xf numFmtId="0" fontId="58" fillId="56" borderId="101" xfId="2165" applyFont="1" applyFill="1" applyBorder="1" applyAlignment="1">
      <alignment horizontal="center" vertical="center"/>
    </xf>
    <xf numFmtId="0" fontId="59" fillId="56" borderId="96" xfId="0" applyFont="1" applyFill="1" applyBorder="1" applyAlignment="1">
      <alignment vertical="center"/>
    </xf>
    <xf numFmtId="0" fontId="59" fillId="0" borderId="101" xfId="0" applyFont="1" applyBorder="1" applyAlignment="1">
      <alignment horizontal="center" vertical="center"/>
    </xf>
    <xf numFmtId="0" fontId="59" fillId="0" borderId="96" xfId="0" applyFont="1" applyBorder="1" applyAlignment="1">
      <alignment vertical="center"/>
    </xf>
    <xf numFmtId="0" fontId="59" fillId="0" borderId="101" xfId="0" applyFont="1" applyBorder="1" applyAlignment="1">
      <alignment vertical="center"/>
    </xf>
    <xf numFmtId="0" fontId="0" fillId="0" borderId="96" xfId="0" applyBorder="1" applyAlignment="1">
      <alignment vertical="center"/>
    </xf>
    <xf numFmtId="0" fontId="58" fillId="0" borderId="25" xfId="2165" applyFont="1" applyBorder="1" applyAlignment="1">
      <alignment horizontal="center" vertical="center"/>
    </xf>
    <xf numFmtId="0" fontId="59" fillId="0" borderId="0" xfId="0" applyFont="1" applyAlignment="1">
      <alignment vertical="center"/>
    </xf>
    <xf numFmtId="0" fontId="59" fillId="56" borderId="101" xfId="0" applyFont="1" applyFill="1" applyBorder="1" applyAlignment="1">
      <alignment horizontal="center" vertical="center"/>
    </xf>
    <xf numFmtId="0" fontId="59" fillId="56" borderId="96" xfId="0" applyFont="1" applyFill="1" applyBorder="1" applyAlignment="1">
      <alignment horizontal="center" vertical="center"/>
    </xf>
    <xf numFmtId="0" fontId="59" fillId="56" borderId="99" xfId="0" applyFont="1" applyFill="1" applyBorder="1" applyAlignment="1">
      <alignment horizontal="center" vertical="center"/>
    </xf>
    <xf numFmtId="0" fontId="59" fillId="56" borderId="101" xfId="0" applyFont="1" applyFill="1" applyBorder="1" applyAlignment="1">
      <alignment vertical="center"/>
    </xf>
    <xf numFmtId="43" fontId="0" fillId="0" borderId="0" xfId="1" applyFont="1" applyBorder="1" applyAlignment="1">
      <alignment vertical="center"/>
    </xf>
    <xf numFmtId="43" fontId="0" fillId="0" borderId="27" xfId="1" applyFont="1" applyBorder="1" applyAlignment="1">
      <alignment vertical="center"/>
    </xf>
    <xf numFmtId="0" fontId="62" fillId="0" borderId="25" xfId="0" applyFont="1" applyBorder="1" applyAlignment="1">
      <alignment horizontal="justify" vertical="center" wrapText="1"/>
    </xf>
    <xf numFmtId="0" fontId="62" fillId="0" borderId="27" xfId="0" applyFont="1" applyBorder="1" applyAlignment="1">
      <alignment horizontal="justify" vertical="center" wrapText="1"/>
    </xf>
    <xf numFmtId="0" fontId="58" fillId="0" borderId="25" xfId="0" applyFont="1" applyBorder="1" applyAlignment="1">
      <alignment horizontal="justify" vertical="center" wrapText="1"/>
    </xf>
    <xf numFmtId="0" fontId="58" fillId="0" borderId="25" xfId="0" applyFont="1" applyBorder="1" applyAlignment="1">
      <alignment vertical="center"/>
    </xf>
    <xf numFmtId="0" fontId="58" fillId="0" borderId="27" xfId="0" applyFont="1" applyBorder="1" applyAlignment="1">
      <alignment horizontal="right" vertical="center" wrapText="1"/>
    </xf>
    <xf numFmtId="0" fontId="62" fillId="0" borderId="103" xfId="0" applyFont="1" applyBorder="1" applyAlignment="1">
      <alignment vertical="center"/>
    </xf>
    <xf numFmtId="0" fontId="62" fillId="0" borderId="100" xfId="0" applyFont="1" applyBorder="1" applyAlignment="1">
      <alignment horizontal="justify" vertical="center" wrapText="1"/>
    </xf>
    <xf numFmtId="189" fontId="62" fillId="0" borderId="100" xfId="0" applyNumberFormat="1" applyFont="1" applyBorder="1" applyAlignment="1">
      <alignment horizontal="right" vertical="center" wrapText="1"/>
    </xf>
    <xf numFmtId="184" fontId="62" fillId="0" borderId="104" xfId="1" applyNumberFormat="1" applyFont="1" applyBorder="1" applyAlignment="1">
      <alignment horizontal="right" vertical="center" wrapText="1"/>
    </xf>
    <xf numFmtId="184" fontId="62" fillId="0" borderId="27" xfId="1" applyNumberFormat="1" applyFont="1" applyBorder="1" applyAlignment="1">
      <alignment horizontal="right" vertical="center" wrapText="1"/>
    </xf>
    <xf numFmtId="189" fontId="62" fillId="0" borderId="27" xfId="0" applyNumberFormat="1" applyFont="1" applyBorder="1" applyAlignment="1">
      <alignment horizontal="right" vertical="center" wrapText="1"/>
    </xf>
    <xf numFmtId="0" fontId="58" fillId="56" borderId="102" xfId="0" applyFont="1" applyFill="1" applyBorder="1" applyAlignment="1">
      <alignment horizontal="center" vertical="center" wrapText="1"/>
    </xf>
    <xf numFmtId="189" fontId="62" fillId="0" borderId="100" xfId="0" applyNumberFormat="1" applyFont="1" applyBorder="1" applyAlignment="1">
      <alignment horizontal="center" vertical="center" wrapText="1"/>
    </xf>
    <xf numFmtId="0" fontId="59" fillId="0" borderId="96" xfId="0" applyFont="1" applyBorder="1" applyAlignment="1">
      <alignment horizontal="center" vertical="center"/>
    </xf>
    <xf numFmtId="184" fontId="0" fillId="0" borderId="96" xfId="1" applyNumberFormat="1" applyFont="1" applyBorder="1" applyAlignment="1">
      <alignment vertical="center"/>
    </xf>
    <xf numFmtId="184" fontId="0" fillId="0" borderId="99" xfId="1" applyNumberFormat="1" applyFont="1" applyBorder="1" applyAlignment="1">
      <alignment vertical="center"/>
    </xf>
    <xf numFmtId="0" fontId="59" fillId="0" borderId="10" xfId="0" applyFont="1" applyBorder="1"/>
    <xf numFmtId="0" fontId="65" fillId="0" borderId="25" xfId="0" applyFont="1" applyBorder="1" applyAlignment="1">
      <alignment wrapText="1"/>
    </xf>
    <xf numFmtId="0" fontId="65" fillId="0" borderId="27" xfId="0" applyFont="1" applyBorder="1" applyAlignment="1">
      <alignment wrapText="1"/>
    </xf>
    <xf numFmtId="0" fontId="62" fillId="0" borderId="27" xfId="0" applyFont="1" applyBorder="1" applyAlignment="1">
      <alignment wrapText="1"/>
    </xf>
    <xf numFmtId="15" fontId="59" fillId="56" borderId="10" xfId="0" applyNumberFormat="1" applyFont="1" applyFill="1" applyBorder="1" applyAlignment="1">
      <alignment horizontal="center" vertical="center"/>
    </xf>
    <xf numFmtId="15" fontId="59" fillId="56" borderId="80" xfId="0" applyNumberFormat="1" applyFont="1" applyFill="1" applyBorder="1" applyAlignment="1">
      <alignment horizontal="center" vertical="center"/>
    </xf>
    <xf numFmtId="15" fontId="59" fillId="56" borderId="10" xfId="0" applyNumberFormat="1" applyFont="1" applyFill="1" applyBorder="1" applyAlignment="1">
      <alignment horizontal="center"/>
    </xf>
    <xf numFmtId="15" fontId="59" fillId="56" borderId="80" xfId="0" applyNumberFormat="1" applyFont="1" applyFill="1" applyBorder="1" applyAlignment="1">
      <alignment horizontal="center"/>
    </xf>
    <xf numFmtId="0" fontId="59" fillId="0" borderId="25" xfId="0" applyFont="1" applyBorder="1" applyAlignment="1">
      <alignment horizontal="left" indent="1"/>
    </xf>
    <xf numFmtId="189" fontId="0" fillId="0" borderId="98" xfId="1" applyNumberFormat="1" applyFont="1" applyFill="1" applyBorder="1"/>
    <xf numFmtId="189" fontId="0" fillId="0" borderId="102" xfId="1" applyNumberFormat="1" applyFont="1" applyFill="1" applyBorder="1"/>
    <xf numFmtId="0" fontId="59" fillId="0" borderId="70" xfId="0" applyFont="1" applyBorder="1" applyAlignment="1">
      <alignment horizontal="left" indent="1"/>
    </xf>
    <xf numFmtId="0" fontId="59" fillId="0" borderId="10" xfId="0" applyFont="1" applyBorder="1" applyAlignment="1">
      <alignment horizontal="left" indent="1"/>
    </xf>
    <xf numFmtId="189" fontId="59" fillId="56" borderId="10" xfId="1" applyNumberFormat="1" applyFont="1" applyFill="1" applyBorder="1"/>
    <xf numFmtId="189" fontId="59" fillId="56" borderId="80" xfId="1" applyNumberFormat="1" applyFont="1" applyFill="1" applyBorder="1"/>
    <xf numFmtId="0" fontId="59" fillId="59" borderId="106" xfId="0" applyFont="1" applyFill="1" applyBorder="1"/>
    <xf numFmtId="189" fontId="59" fillId="59" borderId="107" xfId="1" applyNumberFormat="1" applyFont="1" applyFill="1" applyBorder="1"/>
    <xf numFmtId="189" fontId="59" fillId="59" borderId="78" xfId="1" applyNumberFormat="1" applyFont="1" applyFill="1" applyBorder="1"/>
    <xf numFmtId="189" fontId="59" fillId="59" borderId="82" xfId="1" applyNumberFormat="1" applyFont="1" applyFill="1" applyBorder="1"/>
    <xf numFmtId="192" fontId="0" fillId="0" borderId="0" xfId="1" applyNumberFormat="1" applyFont="1" applyBorder="1"/>
    <xf numFmtId="192" fontId="0" fillId="0" borderId="27" xfId="1" applyNumberFormat="1" applyFont="1" applyBorder="1"/>
    <xf numFmtId="192" fontId="59" fillId="56" borderId="100" xfId="1" applyNumberFormat="1" applyFont="1" applyFill="1" applyBorder="1"/>
    <xf numFmtId="192" fontId="59" fillId="56" borderId="104" xfId="1" applyNumberFormat="1" applyFont="1" applyFill="1" applyBorder="1"/>
    <xf numFmtId="184" fontId="0" fillId="0" borderId="98" xfId="1" applyNumberFormat="1" applyFont="1" applyBorder="1"/>
    <xf numFmtId="184" fontId="0" fillId="0" borderId="10" xfId="1" applyNumberFormat="1" applyFont="1" applyBorder="1"/>
    <xf numFmtId="0" fontId="59" fillId="56" borderId="102" xfId="0" applyFont="1" applyFill="1" applyBorder="1"/>
    <xf numFmtId="0" fontId="59" fillId="56" borderId="96" xfId="0" applyFont="1" applyFill="1" applyBorder="1" applyAlignment="1">
      <alignment horizontal="center" vertical="center" wrapText="1"/>
    </xf>
    <xf numFmtId="43" fontId="0" fillId="0" borderId="32" xfId="1" applyFont="1" applyBorder="1" applyAlignment="1">
      <alignment vertical="center"/>
    </xf>
    <xf numFmtId="43" fontId="0" fillId="0" borderId="85" xfId="1" applyFont="1" applyBorder="1" applyAlignment="1">
      <alignment vertical="center"/>
    </xf>
    <xf numFmtId="189" fontId="0" fillId="0" borderId="32" xfId="1" applyNumberFormat="1" applyFont="1" applyBorder="1" applyAlignment="1">
      <alignment vertical="center"/>
    </xf>
    <xf numFmtId="0" fontId="59" fillId="56" borderId="103" xfId="0" applyFont="1" applyFill="1" applyBorder="1" applyAlignment="1">
      <alignment vertical="center"/>
    </xf>
    <xf numFmtId="189" fontId="59" fillId="56" borderId="96" xfId="1" applyNumberFormat="1" applyFont="1" applyFill="1" applyBorder="1" applyAlignment="1">
      <alignment vertical="center"/>
    </xf>
    <xf numFmtId="43" fontId="59" fillId="56" borderId="96" xfId="1" applyFont="1" applyFill="1" applyBorder="1" applyAlignment="1">
      <alignment vertical="center"/>
    </xf>
    <xf numFmtId="43" fontId="59" fillId="56" borderId="99" xfId="1" applyFont="1" applyFill="1" applyBorder="1" applyAlignment="1">
      <alignment vertical="center"/>
    </xf>
    <xf numFmtId="189" fontId="59" fillId="56" borderId="96" xfId="0" applyNumberFormat="1" applyFont="1" applyFill="1" applyBorder="1" applyAlignment="1">
      <alignment horizontal="center" vertical="center"/>
    </xf>
    <xf numFmtId="0" fontId="75" fillId="0" borderId="25" xfId="0" applyFont="1" applyBorder="1" applyAlignment="1">
      <alignment vertical="center"/>
    </xf>
    <xf numFmtId="0" fontId="62" fillId="56" borderId="96" xfId="4064" applyFont="1" applyFill="1" applyBorder="1" applyAlignment="1">
      <alignment vertical="center" wrapText="1"/>
    </xf>
    <xf numFmtId="0" fontId="62" fillId="0" borderId="25" xfId="4064" applyFont="1" applyBorder="1" applyAlignment="1">
      <alignment horizontal="left" vertical="center"/>
    </xf>
    <xf numFmtId="189" fontId="62" fillId="0" borderId="32" xfId="1" applyNumberFormat="1" applyFont="1" applyFill="1" applyBorder="1" applyAlignment="1">
      <alignment horizontal="left" vertical="center" wrapText="1"/>
    </xf>
    <xf numFmtId="189" fontId="62" fillId="0" borderId="32" xfId="346" applyNumberFormat="1" applyFont="1" applyFill="1" applyBorder="1" applyAlignment="1">
      <alignment vertical="center" wrapText="1"/>
    </xf>
    <xf numFmtId="189" fontId="62" fillId="0" borderId="0" xfId="1" applyNumberFormat="1" applyFont="1" applyFill="1" applyBorder="1" applyAlignment="1">
      <alignment horizontal="left" vertical="center" wrapText="1"/>
    </xf>
    <xf numFmtId="189" fontId="62" fillId="0" borderId="33" xfId="1" applyNumberFormat="1" applyFont="1" applyFill="1" applyBorder="1" applyAlignment="1">
      <alignment horizontal="left" vertical="center" wrapText="1"/>
    </xf>
    <xf numFmtId="0" fontId="58" fillId="56" borderId="103" xfId="4064" applyFont="1" applyFill="1" applyBorder="1" applyAlignment="1">
      <alignment horizontal="left" vertical="center"/>
    </xf>
    <xf numFmtId="189" fontId="58" fillId="56" borderId="96" xfId="1" applyNumberFormat="1" applyFont="1" applyFill="1" applyBorder="1" applyAlignment="1">
      <alignment vertical="center" wrapText="1"/>
    </xf>
    <xf numFmtId="189" fontId="58" fillId="56" borderId="76" xfId="1" applyNumberFormat="1" applyFont="1" applyFill="1" applyBorder="1" applyAlignment="1">
      <alignment vertical="center" wrapText="1"/>
    </xf>
    <xf numFmtId="189" fontId="58" fillId="56" borderId="100" xfId="1" applyNumberFormat="1" applyFont="1" applyFill="1" applyBorder="1" applyAlignment="1">
      <alignment vertical="center" wrapText="1"/>
    </xf>
    <xf numFmtId="189" fontId="58" fillId="56" borderId="77" xfId="1" applyNumberFormat="1" applyFont="1" applyFill="1" applyBorder="1" applyAlignment="1">
      <alignment vertical="center" wrapText="1"/>
    </xf>
    <xf numFmtId="189" fontId="62" fillId="0" borderId="25" xfId="4064" applyNumberFormat="1" applyFont="1" applyBorder="1" applyAlignment="1">
      <alignment horizontal="left" vertical="center"/>
    </xf>
    <xf numFmtId="189" fontId="58" fillId="56" borderId="103" xfId="4064" applyNumberFormat="1" applyFont="1" applyFill="1" applyBorder="1" applyAlignment="1">
      <alignment horizontal="left" vertical="center"/>
    </xf>
    <xf numFmtId="166" fontId="0" fillId="0" borderId="0" xfId="347" applyFont="1" applyFill="1" applyBorder="1" applyAlignment="1">
      <alignment vertical="center"/>
    </xf>
    <xf numFmtId="166" fontId="59" fillId="0" borderId="0" xfId="347" applyFont="1" applyFill="1" applyBorder="1" applyAlignment="1">
      <alignment vertical="center"/>
    </xf>
    <xf numFmtId="0" fontId="59" fillId="0" borderId="0" xfId="0" applyFont="1" applyAlignment="1">
      <alignment vertical="center" wrapText="1"/>
    </xf>
    <xf numFmtId="43" fontId="59" fillId="0" borderId="0" xfId="1" applyFont="1" applyBorder="1" applyAlignment="1">
      <alignment horizontal="center" vertical="center"/>
    </xf>
    <xf numFmtId="43" fontId="59" fillId="0" borderId="0" xfId="1" applyFont="1" applyBorder="1" applyAlignment="1">
      <alignment vertical="center"/>
    </xf>
    <xf numFmtId="184" fontId="0" fillId="0" borderId="10" xfId="1" applyNumberFormat="1" applyFont="1" applyFill="1" applyBorder="1"/>
    <xf numFmtId="0" fontId="91" fillId="60" borderId="0" xfId="0" applyFont="1" applyFill="1" applyAlignment="1">
      <alignment vertical="center"/>
    </xf>
    <xf numFmtId="43" fontId="0" fillId="0" borderId="0" xfId="1" applyFont="1" applyAlignment="1">
      <alignment wrapText="1"/>
    </xf>
    <xf numFmtId="175" fontId="0" fillId="0" borderId="0" xfId="0" applyNumberFormat="1" applyAlignment="1">
      <alignment wrapText="1"/>
    </xf>
    <xf numFmtId="183" fontId="0" fillId="0" borderId="32" xfId="1" applyNumberFormat="1" applyFont="1" applyBorder="1" applyAlignment="1">
      <alignment horizontal="center" vertical="top" wrapText="1"/>
    </xf>
    <xf numFmtId="9" fontId="0" fillId="0" borderId="32" xfId="347" applyNumberFormat="1" applyFont="1" applyFill="1" applyBorder="1" applyAlignment="1">
      <alignment horizontal="center" vertical="top"/>
    </xf>
    <xf numFmtId="43" fontId="0" fillId="0" borderId="96" xfId="1" applyFont="1" applyBorder="1" applyAlignment="1">
      <alignment vertical="center" wrapText="1"/>
    </xf>
    <xf numFmtId="9" fontId="0" fillId="0" borderId="96" xfId="347" applyNumberFormat="1" applyFont="1" applyFill="1" applyBorder="1" applyAlignment="1">
      <alignment horizontal="center" vertical="top"/>
    </xf>
    <xf numFmtId="189" fontId="58" fillId="0" borderId="105" xfId="4063" applyNumberFormat="1" applyFont="1" applyFill="1" applyBorder="1" applyAlignment="1" applyProtection="1">
      <alignment horizontal="center" vertical="center" wrapText="1"/>
    </xf>
    <xf numFmtId="189" fontId="0" fillId="0" borderId="108" xfId="1" applyNumberFormat="1" applyFont="1" applyFill="1" applyBorder="1"/>
    <xf numFmtId="189" fontId="59" fillId="56" borderId="76" xfId="1" applyNumberFormat="1" applyFont="1" applyFill="1" applyBorder="1"/>
    <xf numFmtId="189" fontId="58" fillId="0" borderId="0" xfId="4063" applyNumberFormat="1" applyFont="1" applyFill="1" applyBorder="1" applyAlignment="1" applyProtection="1">
      <alignment horizontal="center" vertical="center" wrapText="1"/>
    </xf>
    <xf numFmtId="189" fontId="58" fillId="0" borderId="27" xfId="4063" applyNumberFormat="1" applyFont="1" applyFill="1" applyBorder="1" applyAlignment="1" applyProtection="1">
      <alignment horizontal="center" vertical="center" wrapText="1"/>
    </xf>
    <xf numFmtId="0" fontId="59" fillId="0" borderId="94" xfId="0" applyFont="1" applyBorder="1" applyAlignment="1">
      <alignment horizontal="center" vertical="top" wrapText="1"/>
    </xf>
    <xf numFmtId="43" fontId="0" fillId="0" borderId="30" xfId="1" applyFont="1" applyBorder="1" applyAlignment="1">
      <alignment horizontal="center" vertical="top" wrapText="1"/>
    </xf>
    <xf numFmtId="9" fontId="0" fillId="0" borderId="30" xfId="347" applyNumberFormat="1" applyFont="1" applyFill="1" applyBorder="1" applyAlignment="1">
      <alignment horizontal="center" vertical="top"/>
    </xf>
    <xf numFmtId="0" fontId="59" fillId="0" borderId="105" xfId="0" applyFont="1" applyBorder="1" applyAlignment="1">
      <alignment horizontal="center" vertical="top" wrapText="1"/>
    </xf>
    <xf numFmtId="0" fontId="59" fillId="0" borderId="32" xfId="0" applyFont="1" applyBorder="1" applyAlignment="1">
      <alignment horizontal="center" vertical="top" wrapText="1"/>
    </xf>
    <xf numFmtId="183" fontId="0" fillId="0" borderId="32" xfId="1" applyNumberFormat="1" applyFont="1" applyFill="1" applyBorder="1" applyAlignment="1">
      <alignment horizontal="center" vertical="top" wrapText="1"/>
    </xf>
    <xf numFmtId="166" fontId="55" fillId="0" borderId="0" xfId="0" applyNumberFormat="1" applyFont="1"/>
    <xf numFmtId="184" fontId="55" fillId="0" borderId="0" xfId="1" applyNumberFormat="1" applyFont="1"/>
    <xf numFmtId="0" fontId="58" fillId="56" borderId="92" xfId="0" applyFont="1" applyFill="1" applyBorder="1" applyAlignment="1">
      <alignment horizontal="center" vertical="center"/>
    </xf>
    <xf numFmtId="0" fontId="58" fillId="56" borderId="70" xfId="0" applyFont="1" applyFill="1" applyBorder="1" applyAlignment="1">
      <alignment horizontal="center" vertical="center"/>
    </xf>
    <xf numFmtId="184" fontId="0" fillId="0" borderId="27" xfId="1" applyNumberFormat="1" applyFont="1" applyFill="1" applyBorder="1"/>
    <xf numFmtId="184" fontId="0" fillId="0" borderId="80" xfId="1" applyNumberFormat="1" applyFont="1" applyFill="1" applyBorder="1"/>
    <xf numFmtId="189" fontId="62" fillId="0" borderId="104" xfId="0" applyNumberFormat="1" applyFont="1" applyBorder="1" applyAlignment="1">
      <alignment horizontal="center" vertical="center" wrapText="1"/>
    </xf>
    <xf numFmtId="43" fontId="0" fillId="0" borderId="72" xfId="1" applyFont="1" applyBorder="1" applyAlignment="1">
      <alignment vertical="center" wrapText="1"/>
    </xf>
    <xf numFmtId="0" fontId="58" fillId="56" borderId="102" xfId="0" applyFont="1" applyFill="1" applyBorder="1" applyAlignment="1">
      <alignment horizontal="center" vertical="center"/>
    </xf>
    <xf numFmtId="189" fontId="62" fillId="0" borderId="27" xfId="1" applyNumberFormat="1" applyFont="1" applyFill="1" applyBorder="1"/>
    <xf numFmtId="0" fontId="58" fillId="0" borderId="0" xfId="0" applyFont="1"/>
    <xf numFmtId="0" fontId="58" fillId="0" borderId="25" xfId="0" applyFont="1" applyBorder="1" applyAlignment="1">
      <alignment horizontal="left" vertical="center" wrapText="1"/>
    </xf>
    <xf numFmtId="0" fontId="58" fillId="0" borderId="25" xfId="0" applyFont="1" applyBorder="1" applyAlignment="1">
      <alignment horizontal="left" vertical="center"/>
    </xf>
    <xf numFmtId="0" fontId="62" fillId="0" borderId="25" xfId="0" applyFont="1" applyBorder="1" applyAlignment="1">
      <alignment vertical="top"/>
    </xf>
    <xf numFmtId="0" fontId="62" fillId="0" borderId="25" xfId="0" applyFont="1" applyBorder="1" applyAlignment="1">
      <alignment vertical="center" wrapText="1"/>
    </xf>
    <xf numFmtId="0" fontId="0" fillId="59" borderId="98" xfId="0" applyFill="1" applyBorder="1"/>
    <xf numFmtId="0" fontId="0" fillId="59" borderId="94" xfId="0" applyFill="1" applyBorder="1"/>
    <xf numFmtId="0" fontId="0" fillId="59" borderId="30" xfId="0" applyFill="1" applyBorder="1"/>
    <xf numFmtId="0" fontId="0" fillId="56" borderId="30" xfId="0" applyFill="1" applyBorder="1"/>
    <xf numFmtId="184" fontId="0" fillId="59" borderId="32" xfId="1" applyNumberFormat="1" applyFont="1" applyFill="1" applyBorder="1"/>
    <xf numFmtId="184" fontId="0" fillId="59" borderId="27" xfId="1" applyNumberFormat="1" applyFont="1" applyFill="1" applyBorder="1"/>
    <xf numFmtId="184" fontId="58" fillId="56" borderId="96" xfId="1" applyNumberFormat="1" applyFont="1" applyFill="1" applyBorder="1" applyAlignment="1">
      <alignment horizontal="center" vertical="top" wrapText="1"/>
    </xf>
    <xf numFmtId="184" fontId="59" fillId="56" borderId="96" xfId="1" applyNumberFormat="1" applyFont="1" applyFill="1" applyBorder="1"/>
    <xf numFmtId="189" fontId="59" fillId="56" borderId="10" xfId="0" applyNumberFormat="1" applyFont="1" applyFill="1" applyBorder="1" applyAlignment="1">
      <alignment horizontal="center" vertical="center"/>
    </xf>
    <xf numFmtId="184" fontId="0" fillId="0" borderId="33" xfId="1" applyNumberFormat="1" applyFont="1" applyBorder="1"/>
    <xf numFmtId="184" fontId="59" fillId="56" borderId="77" xfId="1" applyNumberFormat="1" applyFont="1" applyFill="1" applyBorder="1"/>
    <xf numFmtId="9" fontId="0" fillId="0" borderId="96" xfId="4071" applyFont="1" applyBorder="1" applyAlignment="1">
      <alignment horizontal="center" vertical="top" wrapText="1"/>
    </xf>
    <xf numFmtId="0" fontId="62" fillId="0" borderId="0" xfId="0" applyFont="1" applyAlignment="1">
      <alignment horizontal="justify" wrapText="1"/>
    </xf>
    <xf numFmtId="166" fontId="58" fillId="56" borderId="78" xfId="359" applyNumberFormat="1" applyFont="1" applyFill="1" applyBorder="1" applyAlignment="1">
      <alignment horizontal="center" vertical="top"/>
    </xf>
    <xf numFmtId="166" fontId="58" fillId="56" borderId="79" xfId="359" applyNumberFormat="1" applyFont="1" applyFill="1" applyBorder="1" applyAlignment="1">
      <alignment horizontal="center" vertical="top"/>
    </xf>
    <xf numFmtId="0" fontId="58" fillId="56" borderId="100" xfId="0" applyFont="1" applyFill="1" applyBorder="1" applyAlignment="1">
      <alignment horizontal="center" vertical="center"/>
    </xf>
    <xf numFmtId="0" fontId="58" fillId="56" borderId="80" xfId="0" applyFont="1" applyFill="1" applyBorder="1" applyAlignment="1">
      <alignment horizontal="center" vertical="center" wrapText="1"/>
    </xf>
    <xf numFmtId="0" fontId="62" fillId="0" borderId="0" xfId="0" applyFont="1" applyAlignment="1">
      <alignment horizontal="justify" vertical="center"/>
    </xf>
    <xf numFmtId="0" fontId="62" fillId="0" borderId="25" xfId="0" applyFont="1" applyBorder="1" applyAlignment="1">
      <alignment horizontal="justify" vertical="top" wrapText="1"/>
    </xf>
    <xf numFmtId="0" fontId="62" fillId="0" borderId="27" xfId="0" applyFont="1" applyBorder="1" applyAlignment="1">
      <alignment horizontal="justify" vertical="top" wrapText="1"/>
    </xf>
    <xf numFmtId="166" fontId="58" fillId="0" borderId="25" xfId="4038" applyFont="1" applyFill="1" applyBorder="1" applyAlignment="1">
      <alignment vertical="center"/>
    </xf>
    <xf numFmtId="166" fontId="58" fillId="0" borderId="0" xfId="4038" applyFont="1" applyFill="1" applyBorder="1" applyAlignment="1">
      <alignment vertical="center"/>
    </xf>
    <xf numFmtId="166" fontId="58" fillId="0" borderId="0" xfId="359" applyNumberFormat="1" applyFont="1" applyFill="1" applyBorder="1" applyAlignment="1">
      <alignment horizontal="center" vertical="top"/>
    </xf>
    <xf numFmtId="166" fontId="58" fillId="0" borderId="27" xfId="359" applyNumberFormat="1" applyFont="1" applyFill="1" applyBorder="1" applyAlignment="1">
      <alignment horizontal="center" vertical="top"/>
    </xf>
    <xf numFmtId="0" fontId="62" fillId="0" borderId="78" xfId="0" applyFont="1" applyBorder="1"/>
    <xf numFmtId="0" fontId="62" fillId="0" borderId="79" xfId="0" applyFont="1" applyBorder="1"/>
    <xf numFmtId="2" fontId="58" fillId="0" borderId="70" xfId="0" applyNumberFormat="1" applyFont="1" applyBorder="1"/>
    <xf numFmtId="0" fontId="62" fillId="0" borderId="10" xfId="0" applyFont="1" applyBorder="1"/>
    <xf numFmtId="0" fontId="58" fillId="0" borderId="80" xfId="0" applyFont="1" applyBorder="1" applyAlignment="1">
      <alignment horizontal="right"/>
    </xf>
    <xf numFmtId="0" fontId="62" fillId="0" borderId="25" xfId="0" applyFont="1" applyBorder="1"/>
    <xf numFmtId="184" fontId="62" fillId="0" borderId="0" xfId="1" applyNumberFormat="1" applyFont="1" applyBorder="1"/>
    <xf numFmtId="189" fontId="62" fillId="0" borderId="27" xfId="1" applyNumberFormat="1" applyFont="1" applyBorder="1"/>
    <xf numFmtId="43" fontId="62" fillId="0" borderId="0" xfId="1" applyFont="1" applyBorder="1"/>
    <xf numFmtId="10" fontId="62" fillId="0" borderId="0" xfId="4071" applyNumberFormat="1" applyFont="1"/>
    <xf numFmtId="43" fontId="62" fillId="56" borderId="100" xfId="1" applyFont="1" applyFill="1" applyBorder="1"/>
    <xf numFmtId="184" fontId="58" fillId="56" borderId="100" xfId="1" applyNumberFormat="1" applyFont="1" applyFill="1" applyBorder="1"/>
    <xf numFmtId="189" fontId="58" fillId="56" borderId="104" xfId="1" applyNumberFormat="1" applyFont="1" applyFill="1" applyBorder="1"/>
    <xf numFmtId="189" fontId="58" fillId="0" borderId="27" xfId="1" applyNumberFormat="1" applyFont="1" applyFill="1" applyBorder="1"/>
    <xf numFmtId="189" fontId="58" fillId="0" borderId="27" xfId="1" applyNumberFormat="1" applyFont="1" applyBorder="1"/>
    <xf numFmtId="189" fontId="58" fillId="0" borderId="0" xfId="1" applyNumberFormat="1" applyFont="1" applyFill="1" applyBorder="1"/>
    <xf numFmtId="189" fontId="58" fillId="56" borderId="100" xfId="1" applyNumberFormat="1" applyFont="1" applyFill="1" applyBorder="1"/>
    <xf numFmtId="189" fontId="62" fillId="0" borderId="27" xfId="0" applyNumberFormat="1" applyFont="1" applyBorder="1"/>
    <xf numFmtId="0" fontId="62" fillId="0" borderId="25" xfId="0" quotePrefix="1" applyFont="1" applyBorder="1" applyAlignment="1">
      <alignment horizontal="left" indent="2"/>
    </xf>
    <xf numFmtId="0" fontId="62" fillId="0" borderId="25" xfId="0" quotePrefix="1" applyFont="1" applyBorder="1" applyAlignment="1">
      <alignment horizontal="left"/>
    </xf>
    <xf numFmtId="0" fontId="58" fillId="56" borderId="100" xfId="0" applyFont="1" applyFill="1" applyBorder="1"/>
    <xf numFmtId="184" fontId="58" fillId="0" borderId="0" xfId="0" applyNumberFormat="1" applyFont="1"/>
    <xf numFmtId="189" fontId="62" fillId="0" borderId="80" xfId="1" applyNumberFormat="1" applyFont="1" applyFill="1" applyBorder="1"/>
    <xf numFmtId="189" fontId="62" fillId="0" borderId="0" xfId="0" applyNumberFormat="1" applyFont="1"/>
    <xf numFmtId="189" fontId="58" fillId="0" borderId="100" xfId="1" applyNumberFormat="1" applyFont="1" applyFill="1" applyBorder="1"/>
    <xf numFmtId="189" fontId="58" fillId="0" borderId="104" xfId="1" applyNumberFormat="1" applyFont="1" applyFill="1" applyBorder="1"/>
    <xf numFmtId="189" fontId="58" fillId="0" borderId="104" xfId="1" applyNumberFormat="1" applyFont="1" applyBorder="1"/>
    <xf numFmtId="184" fontId="58" fillId="0" borderId="0" xfId="1" applyNumberFormat="1" applyFont="1"/>
    <xf numFmtId="43" fontId="58" fillId="0" borderId="0" xfId="0" applyNumberFormat="1" applyFont="1"/>
    <xf numFmtId="189" fontId="58" fillId="0" borderId="0" xfId="0" applyNumberFormat="1" applyFont="1"/>
    <xf numFmtId="166" fontId="58" fillId="0" borderId="0" xfId="0" applyNumberFormat="1" applyFont="1"/>
    <xf numFmtId="189" fontId="58" fillId="56" borderId="0" xfId="1" applyNumberFormat="1" applyFont="1" applyFill="1" applyBorder="1"/>
    <xf numFmtId="184" fontId="62" fillId="0" borderId="96" xfId="0" applyNumberFormat="1" applyFont="1" applyBorder="1"/>
    <xf numFmtId="184" fontId="58" fillId="0" borderId="100" xfId="1" applyNumberFormat="1" applyFont="1" applyFill="1" applyBorder="1"/>
    <xf numFmtId="189" fontId="62" fillId="0" borderId="96" xfId="0" applyNumberFormat="1" applyFont="1" applyBorder="1"/>
    <xf numFmtId="184" fontId="58" fillId="0" borderId="0" xfId="1" applyNumberFormat="1" applyFont="1" applyBorder="1"/>
    <xf numFmtId="0" fontId="58" fillId="0" borderId="96" xfId="0" applyFont="1" applyBorder="1"/>
    <xf numFmtId="184" fontId="58" fillId="0" borderId="96" xfId="0" applyNumberFormat="1" applyFont="1" applyBorder="1"/>
    <xf numFmtId="43" fontId="62" fillId="0" borderId="27" xfId="1" applyFont="1" applyFill="1" applyBorder="1"/>
    <xf numFmtId="43" fontId="62" fillId="0" borderId="27" xfId="1" applyFont="1" applyBorder="1"/>
    <xf numFmtId="189" fontId="62" fillId="0" borderId="0" xfId="1" applyNumberFormat="1" applyFont="1" applyBorder="1"/>
    <xf numFmtId="184" fontId="58" fillId="56" borderId="104" xfId="1" applyNumberFormat="1" applyFont="1" applyFill="1" applyBorder="1"/>
    <xf numFmtId="0" fontId="62" fillId="53" borderId="0" xfId="0" applyFont="1" applyFill="1"/>
    <xf numFmtId="0" fontId="62" fillId="0" borderId="103" xfId="0" applyFont="1" applyBorder="1"/>
    <xf numFmtId="0" fontId="62" fillId="0" borderId="100" xfId="0" applyFont="1" applyBorder="1"/>
    <xf numFmtId="189" fontId="62" fillId="0" borderId="100" xfId="1" applyNumberFormat="1" applyFont="1" applyFill="1" applyBorder="1"/>
    <xf numFmtId="189" fontId="62" fillId="0" borderId="104" xfId="1" applyNumberFormat="1" applyFont="1" applyFill="1" applyBorder="1"/>
    <xf numFmtId="0" fontId="62" fillId="0" borderId="98" xfId="0" applyFont="1" applyBorder="1"/>
    <xf numFmtId="189" fontId="62" fillId="0" borderId="98" xfId="1" applyNumberFormat="1" applyFont="1" applyBorder="1"/>
    <xf numFmtId="189" fontId="62" fillId="0" borderId="102" xfId="1" applyNumberFormat="1" applyFont="1" applyBorder="1"/>
    <xf numFmtId="15" fontId="62" fillId="0" borderId="0" xfId="0" applyNumberFormat="1" applyFont="1"/>
    <xf numFmtId="14" fontId="62" fillId="0" borderId="0" xfId="0" applyNumberFormat="1" applyFont="1"/>
    <xf numFmtId="0" fontId="62" fillId="56" borderId="100" xfId="0" applyFont="1" applyFill="1" applyBorder="1"/>
    <xf numFmtId="0" fontId="62" fillId="0" borderId="114" xfId="0" applyFont="1" applyBorder="1" applyAlignment="1">
      <alignment vertical="top" wrapText="1"/>
    </xf>
    <xf numFmtId="2" fontId="62" fillId="0" borderId="0" xfId="0" applyNumberFormat="1" applyFont="1"/>
    <xf numFmtId="2" fontId="58" fillId="0" borderId="10" xfId="0" applyNumberFormat="1" applyFont="1" applyBorder="1"/>
    <xf numFmtId="43" fontId="58" fillId="56" borderId="100" xfId="1" applyFont="1" applyFill="1" applyBorder="1"/>
    <xf numFmtId="184" fontId="62" fillId="0" borderId="0" xfId="1" applyNumberFormat="1" applyFont="1" applyBorder="1" applyAlignment="1">
      <alignment horizontal="left" wrapText="1"/>
    </xf>
    <xf numFmtId="189" fontId="58" fillId="56" borderId="100" xfId="359" applyNumberFormat="1" applyFont="1" applyFill="1" applyBorder="1"/>
    <xf numFmtId="189" fontId="58" fillId="56" borderId="104" xfId="359" applyNumberFormat="1" applyFont="1" applyFill="1" applyBorder="1"/>
    <xf numFmtId="0" fontId="58" fillId="0" borderId="103" xfId="0" applyFont="1" applyBorder="1"/>
    <xf numFmtId="0" fontId="58" fillId="0" borderId="100" xfId="0" applyFont="1" applyBorder="1"/>
    <xf numFmtId="43" fontId="58" fillId="0" borderId="100" xfId="0" applyNumberFormat="1" applyFont="1" applyBorder="1"/>
    <xf numFmtId="189" fontId="58" fillId="0" borderId="100" xfId="1" applyNumberFormat="1" applyFont="1" applyBorder="1"/>
    <xf numFmtId="0" fontId="62" fillId="0" borderId="102" xfId="0" applyFont="1" applyBorder="1" applyAlignment="1">
      <alignment vertical="top" wrapText="1"/>
    </xf>
    <xf numFmtId="166" fontId="58" fillId="0" borderId="27" xfId="1" applyNumberFormat="1" applyFont="1" applyBorder="1"/>
    <xf numFmtId="166" fontId="58" fillId="56" borderId="100" xfId="359" applyNumberFormat="1" applyFont="1" applyFill="1" applyBorder="1" applyAlignment="1">
      <alignment horizontal="center" vertical="center" wrapText="1"/>
    </xf>
    <xf numFmtId="0" fontId="58" fillId="0" borderId="25" xfId="359" applyNumberFormat="1" applyFont="1" applyFill="1" applyBorder="1" applyAlignment="1">
      <alignment vertical="top"/>
    </xf>
    <xf numFmtId="0" fontId="58" fillId="0" borderId="0" xfId="359" applyNumberFormat="1" applyFont="1" applyFill="1" applyBorder="1" applyAlignment="1">
      <alignment vertical="top"/>
    </xf>
    <xf numFmtId="189" fontId="58" fillId="0" borderId="0" xfId="359" applyNumberFormat="1" applyFont="1" applyFill="1" applyBorder="1" applyAlignment="1">
      <alignment vertical="top"/>
    </xf>
    <xf numFmtId="189" fontId="58" fillId="0" borderId="0" xfId="1" applyNumberFormat="1" applyFont="1" applyBorder="1"/>
    <xf numFmtId="0" fontId="62" fillId="0" borderId="25" xfId="359" applyNumberFormat="1" applyFont="1" applyFill="1" applyBorder="1" applyAlignment="1">
      <alignment horizontal="left" vertical="top" wrapText="1"/>
    </xf>
    <xf numFmtId="0" fontId="62" fillId="0" borderId="0" xfId="359" applyNumberFormat="1" applyFont="1" applyFill="1" applyBorder="1" applyAlignment="1">
      <alignment horizontal="left" vertical="top" wrapText="1"/>
    </xf>
    <xf numFmtId="0" fontId="58" fillId="56" borderId="103" xfId="359" applyNumberFormat="1" applyFont="1" applyFill="1" applyBorder="1" applyAlignment="1">
      <alignment horizontal="left" vertical="top"/>
    </xf>
    <xf numFmtId="0" fontId="58" fillId="56" borderId="100" xfId="359" applyNumberFormat="1" applyFont="1" applyFill="1" applyBorder="1" applyAlignment="1">
      <alignment horizontal="left" vertical="top"/>
    </xf>
    <xf numFmtId="189" fontId="58" fillId="56" borderId="100" xfId="0" applyNumberFormat="1" applyFont="1" applyFill="1" applyBorder="1"/>
    <xf numFmtId="189" fontId="58" fillId="56" borderId="104" xfId="0" applyNumberFormat="1" applyFont="1" applyFill="1" applyBorder="1"/>
    <xf numFmtId="189" fontId="62" fillId="0" borderId="0" xfId="359" applyNumberFormat="1" applyFont="1" applyFill="1" applyBorder="1" applyAlignment="1">
      <alignment horizontal="left" vertical="top" indent="2"/>
    </xf>
    <xf numFmtId="0" fontId="58" fillId="0" borderId="103" xfId="359" applyNumberFormat="1" applyFont="1" applyFill="1" applyBorder="1" applyAlignment="1">
      <alignment horizontal="left" vertical="top"/>
    </xf>
    <xf numFmtId="0" fontId="58" fillId="0" borderId="100" xfId="359" applyNumberFormat="1" applyFont="1" applyFill="1" applyBorder="1" applyAlignment="1">
      <alignment horizontal="left" vertical="top"/>
    </xf>
    <xf numFmtId="189" fontId="58" fillId="0" borderId="100" xfId="0" applyNumberFormat="1" applyFont="1" applyBorder="1"/>
    <xf numFmtId="189" fontId="58" fillId="0" borderId="100" xfId="359" applyNumberFormat="1" applyFont="1" applyFill="1" applyBorder="1"/>
    <xf numFmtId="189" fontId="58" fillId="0" borderId="104" xfId="0" applyNumberFormat="1" applyFont="1" applyBorder="1"/>
    <xf numFmtId="0" fontId="58" fillId="56" borderId="70" xfId="359" applyNumberFormat="1" applyFont="1" applyFill="1" applyBorder="1" applyAlignment="1">
      <alignment vertical="top"/>
    </xf>
    <xf numFmtId="0" fontId="58" fillId="56" borderId="10" xfId="359" applyNumberFormat="1" applyFont="1" applyFill="1" applyBorder="1" applyAlignment="1">
      <alignment vertical="top"/>
    </xf>
    <xf numFmtId="189" fontId="58" fillId="56" borderId="10" xfId="359" applyNumberFormat="1" applyFont="1" applyFill="1" applyBorder="1"/>
    <xf numFmtId="189" fontId="58" fillId="56" borderId="80" xfId="359" applyNumberFormat="1" applyFont="1" applyFill="1" applyBorder="1"/>
    <xf numFmtId="166" fontId="58" fillId="0" borderId="0" xfId="1" applyNumberFormat="1" applyFont="1" applyBorder="1"/>
    <xf numFmtId="189" fontId="62" fillId="0" borderId="0" xfId="359" applyNumberFormat="1" applyFont="1" applyFill="1" applyBorder="1" applyAlignment="1">
      <alignment horizontal="left" vertical="top" wrapText="1" indent="2"/>
    </xf>
    <xf numFmtId="0" fontId="58" fillId="56" borderId="103" xfId="0" applyFont="1" applyFill="1" applyBorder="1" applyAlignment="1">
      <alignment horizontal="left" vertical="center"/>
    </xf>
    <xf numFmtId="0" fontId="58" fillId="56" borderId="100" xfId="0" applyFont="1" applyFill="1" applyBorder="1" applyAlignment="1">
      <alignment vertical="top"/>
    </xf>
    <xf numFmtId="189" fontId="62" fillId="0" borderId="10" xfId="0" applyNumberFormat="1" applyFont="1" applyBorder="1"/>
    <xf numFmtId="189" fontId="62" fillId="0" borderId="80" xfId="0" applyNumberFormat="1" applyFont="1" applyBorder="1"/>
    <xf numFmtId="189" fontId="58" fillId="56" borderId="10" xfId="0" applyNumberFormat="1" applyFont="1" applyFill="1" applyBorder="1"/>
    <xf numFmtId="189" fontId="58" fillId="56" borderId="80" xfId="0" applyNumberFormat="1" applyFont="1" applyFill="1" applyBorder="1"/>
    <xf numFmtId="189" fontId="58" fillId="56" borderId="27" xfId="0" applyNumberFormat="1" applyFont="1" applyFill="1" applyBorder="1"/>
    <xf numFmtId="0" fontId="58" fillId="56" borderId="100" xfId="0" applyFont="1" applyFill="1" applyBorder="1" applyAlignment="1">
      <alignment horizontal="center"/>
    </xf>
    <xf numFmtId="0" fontId="58" fillId="56" borderId="104" xfId="0" applyFont="1" applyFill="1" applyBorder="1" applyAlignment="1">
      <alignment horizontal="center"/>
    </xf>
    <xf numFmtId="43" fontId="62" fillId="0" borderId="27" xfId="359" applyFont="1" applyFill="1" applyBorder="1"/>
    <xf numFmtId="0" fontId="58" fillId="56" borderId="112" xfId="0" applyFont="1" applyFill="1" applyBorder="1"/>
    <xf numFmtId="0" fontId="58" fillId="56" borderId="113" xfId="0" applyFont="1" applyFill="1" applyBorder="1"/>
    <xf numFmtId="189" fontId="58" fillId="56" borderId="114" xfId="1" applyNumberFormat="1" applyFont="1" applyFill="1" applyBorder="1"/>
    <xf numFmtId="43" fontId="58" fillId="0" borderId="0" xfId="1" applyFont="1"/>
    <xf numFmtId="43" fontId="62" fillId="0" borderId="0" xfId="1" applyFont="1" applyAlignment="1">
      <alignment horizontal="right"/>
    </xf>
    <xf numFmtId="43" fontId="58" fillId="0" borderId="0" xfId="1" applyFont="1" applyFill="1"/>
    <xf numFmtId="184" fontId="62" fillId="0" borderId="0" xfId="1" applyNumberFormat="1" applyFont="1" applyBorder="1" applyAlignment="1">
      <alignment vertical="top"/>
    </xf>
    <xf numFmtId="184" fontId="62" fillId="0" borderId="0" xfId="1" applyNumberFormat="1" applyFont="1" applyFill="1" applyBorder="1" applyAlignment="1">
      <alignment vertical="top"/>
    </xf>
    <xf numFmtId="0" fontId="62" fillId="0" borderId="25" xfId="0" quotePrefix="1" applyFont="1" applyBorder="1"/>
    <xf numFmtId="43" fontId="62" fillId="0" borderId="0" xfId="1" applyFont="1" applyFill="1"/>
    <xf numFmtId="184" fontId="58" fillId="56" borderId="113" xfId="1" applyNumberFormat="1" applyFont="1" applyFill="1" applyBorder="1"/>
    <xf numFmtId="184" fontId="58" fillId="56" borderId="114" xfId="1" applyNumberFormat="1" applyFont="1" applyFill="1" applyBorder="1"/>
    <xf numFmtId="189" fontId="62" fillId="0" borderId="27" xfId="1" applyNumberFormat="1" applyFont="1" applyFill="1" applyBorder="1" applyAlignment="1">
      <alignment vertical="top"/>
    </xf>
    <xf numFmtId="189" fontId="62" fillId="0" borderId="27" xfId="1" applyNumberFormat="1" applyFont="1" applyBorder="1" applyAlignment="1">
      <alignment vertical="top"/>
    </xf>
    <xf numFmtId="0" fontId="58" fillId="0" borderId="98" xfId="0" applyFont="1" applyBorder="1"/>
    <xf numFmtId="189" fontId="58" fillId="0" borderId="102" xfId="1" applyNumberFormat="1" applyFont="1" applyFill="1" applyBorder="1"/>
    <xf numFmtId="189" fontId="58" fillId="0" borderId="102" xfId="1" applyNumberFormat="1" applyFont="1" applyBorder="1"/>
    <xf numFmtId="0" fontId="58" fillId="0" borderId="81" xfId="0" applyFont="1" applyBorder="1"/>
    <xf numFmtId="0" fontId="62" fillId="0" borderId="81" xfId="0" applyFont="1" applyBorder="1"/>
    <xf numFmtId="189" fontId="58" fillId="0" borderId="28" xfId="1" applyNumberFormat="1" applyFont="1" applyFill="1" applyBorder="1"/>
    <xf numFmtId="189" fontId="58" fillId="0" borderId="28" xfId="1" applyNumberFormat="1" applyFont="1" applyBorder="1"/>
    <xf numFmtId="0" fontId="58" fillId="0" borderId="27" xfId="0" applyFont="1" applyBorder="1" applyAlignment="1">
      <alignment wrapText="1"/>
    </xf>
    <xf numFmtId="189" fontId="62" fillId="0" borderId="79" xfId="0" applyNumberFormat="1" applyFont="1" applyBorder="1"/>
    <xf numFmtId="0" fontId="62" fillId="56" borderId="103" xfId="0" applyFont="1" applyFill="1" applyBorder="1"/>
    <xf numFmtId="43" fontId="58" fillId="0" borderId="27" xfId="0" applyNumberFormat="1" applyFont="1" applyBorder="1"/>
    <xf numFmtId="189" fontId="58" fillId="0" borderId="27" xfId="0" applyNumberFormat="1" applyFont="1" applyBorder="1"/>
    <xf numFmtId="0" fontId="62" fillId="0" borderId="27" xfId="0" applyFont="1" applyBorder="1" applyAlignment="1">
      <alignment vertical="top" wrapText="1"/>
    </xf>
    <xf numFmtId="0" fontId="58" fillId="56" borderId="92" xfId="0" applyFont="1" applyFill="1" applyBorder="1"/>
    <xf numFmtId="0" fontId="58" fillId="56" borderId="98" xfId="0" applyFont="1" applyFill="1" applyBorder="1"/>
    <xf numFmtId="0" fontId="62" fillId="56" borderId="98" xfId="0" applyFont="1" applyFill="1" applyBorder="1"/>
    <xf numFmtId="0" fontId="58" fillId="56" borderId="98" xfId="0" applyFont="1" applyFill="1" applyBorder="1" applyAlignment="1">
      <alignment horizontal="center"/>
    </xf>
    <xf numFmtId="0" fontId="58" fillId="56" borderId="102" xfId="0" applyFont="1" applyFill="1" applyBorder="1" applyAlignment="1">
      <alignment horizontal="center"/>
    </xf>
    <xf numFmtId="0" fontId="58" fillId="56" borderId="10" xfId="0" applyFont="1" applyFill="1" applyBorder="1"/>
    <xf numFmtId="0" fontId="62" fillId="56" borderId="10" xfId="0" applyFont="1" applyFill="1" applyBorder="1"/>
    <xf numFmtId="0" fontId="58" fillId="0" borderId="92" xfId="0" applyFont="1" applyBorder="1"/>
    <xf numFmtId="184" fontId="62" fillId="0" borderId="0" xfId="1" applyNumberFormat="1" applyFont="1" applyBorder="1" applyAlignment="1">
      <alignment horizontal="justify" vertical="top" wrapText="1"/>
    </xf>
    <xf numFmtId="184" fontId="62" fillId="0" borderId="27" xfId="1" applyNumberFormat="1" applyFont="1" applyBorder="1" applyAlignment="1">
      <alignment horizontal="justify" vertical="top" wrapText="1"/>
    </xf>
    <xf numFmtId="0" fontId="62" fillId="0" borderId="103" xfId="0" applyFont="1" applyBorder="1" applyAlignment="1">
      <alignment horizontal="justify" vertical="top" wrapText="1"/>
    </xf>
    <xf numFmtId="0" fontId="62" fillId="0" borderId="100" xfId="0" applyFont="1" applyBorder="1" applyAlignment="1">
      <alignment horizontal="justify" vertical="top" wrapText="1"/>
    </xf>
    <xf numFmtId="189" fontId="58" fillId="0" borderId="100" xfId="1" applyNumberFormat="1" applyFont="1" applyBorder="1" applyAlignment="1">
      <alignment horizontal="justify" vertical="top" wrapText="1"/>
    </xf>
    <xf numFmtId="189" fontId="58" fillId="0" borderId="104" xfId="1" applyNumberFormat="1" applyFont="1" applyBorder="1" applyAlignment="1">
      <alignment horizontal="justify" vertical="top" wrapText="1"/>
    </xf>
    <xf numFmtId="184" fontId="62" fillId="0" borderId="27" xfId="1" applyNumberFormat="1" applyFont="1" applyBorder="1"/>
    <xf numFmtId="9" fontId="62" fillId="0" borderId="0" xfId="1" applyNumberFormat="1" applyFont="1" applyBorder="1"/>
    <xf numFmtId="9" fontId="62" fillId="0" borderId="27" xfId="1" applyNumberFormat="1" applyFont="1" applyBorder="1"/>
    <xf numFmtId="0" fontId="62" fillId="0" borderId="70" xfId="0" applyFont="1" applyBorder="1"/>
    <xf numFmtId="0" fontId="62" fillId="0" borderId="10" xfId="0" applyFont="1" applyBorder="1" applyAlignment="1">
      <alignment horizontal="right"/>
    </xf>
    <xf numFmtId="189" fontId="62" fillId="0" borderId="10" xfId="1" applyNumberFormat="1" applyFont="1" applyBorder="1"/>
    <xf numFmtId="189" fontId="62" fillId="0" borderId="80" xfId="1" applyNumberFormat="1" applyFont="1" applyBorder="1"/>
    <xf numFmtId="0" fontId="62" fillId="0" borderId="92" xfId="0" applyFont="1" applyBorder="1" applyAlignment="1">
      <alignment vertical="top"/>
    </xf>
    <xf numFmtId="0" fontId="66" fillId="0" borderId="25" xfId="0" applyFont="1" applyBorder="1"/>
    <xf numFmtId="166" fontId="62" fillId="0" borderId="0" xfId="0" applyNumberFormat="1" applyFont="1"/>
    <xf numFmtId="43" fontId="58" fillId="0" borderId="27" xfId="1" applyFont="1" applyBorder="1"/>
    <xf numFmtId="0" fontId="62" fillId="0" borderId="80" xfId="0" applyFont="1" applyBorder="1" applyAlignment="1">
      <alignment wrapText="1"/>
    </xf>
    <xf numFmtId="175" fontId="82" fillId="0" borderId="30" xfId="4033" applyNumberFormat="1" applyFont="1" applyFill="1" applyBorder="1" applyAlignment="1">
      <alignment horizontal="center"/>
    </xf>
    <xf numFmtId="175" fontId="81" fillId="0" borderId="30" xfId="4074" applyNumberFormat="1" applyFont="1" applyFill="1" applyBorder="1"/>
    <xf numFmtId="175" fontId="82" fillId="0" borderId="30" xfId="4033" applyNumberFormat="1" applyFont="1" applyFill="1" applyBorder="1"/>
    <xf numFmtId="175" fontId="81" fillId="0" borderId="33" xfId="4052" applyNumberFormat="1" applyFont="1" applyBorder="1"/>
    <xf numFmtId="164" fontId="82" fillId="0" borderId="33" xfId="4033" applyNumberFormat="1" applyFont="1" applyFill="1" applyBorder="1"/>
    <xf numFmtId="164" fontId="82" fillId="0" borderId="31" xfId="4033" applyNumberFormat="1" applyFont="1" applyFill="1" applyBorder="1"/>
    <xf numFmtId="175" fontId="81" fillId="0" borderId="94" xfId="4033" applyNumberFormat="1" applyFont="1" applyFill="1" applyBorder="1"/>
    <xf numFmtId="0" fontId="81" fillId="0" borderId="32" xfId="4052" applyFont="1" applyBorder="1"/>
    <xf numFmtId="43" fontId="81" fillId="0" borderId="0" xfId="1" applyFont="1" applyFill="1"/>
    <xf numFmtId="175" fontId="82" fillId="52" borderId="32" xfId="4033" applyNumberFormat="1" applyFont="1" applyFill="1" applyBorder="1"/>
    <xf numFmtId="175" fontId="82" fillId="52" borderId="33" xfId="4033" applyNumberFormat="1" applyFont="1" applyFill="1" applyBorder="1"/>
    <xf numFmtId="175" fontId="81" fillId="0" borderId="0" xfId="4052" applyNumberFormat="1" applyFont="1"/>
    <xf numFmtId="189" fontId="62" fillId="0" borderId="0" xfId="1" applyNumberFormat="1" applyFont="1" applyFill="1" applyBorder="1" applyAlignment="1">
      <alignment horizontal="right"/>
    </xf>
    <xf numFmtId="189" fontId="62" fillId="0" borderId="0" xfId="1" applyNumberFormat="1" applyFont="1" applyBorder="1" applyAlignment="1">
      <alignment horizontal="right"/>
    </xf>
    <xf numFmtId="4" fontId="58" fillId="56" borderId="102" xfId="1" applyNumberFormat="1" applyFont="1" applyFill="1" applyBorder="1" applyAlignment="1">
      <alignment horizontal="right" vertical="top" wrapText="1"/>
    </xf>
    <xf numFmtId="14" fontId="58" fillId="56" borderId="10" xfId="1" applyNumberFormat="1" applyFont="1" applyFill="1" applyBorder="1" applyAlignment="1">
      <alignment horizontal="right" vertical="top" wrapText="1"/>
    </xf>
    <xf numFmtId="14" fontId="58" fillId="56" borderId="80" xfId="1" applyNumberFormat="1" applyFont="1" applyFill="1" applyBorder="1" applyAlignment="1">
      <alignment horizontal="right" vertical="top" wrapText="1"/>
    </xf>
    <xf numFmtId="189" fontId="62" fillId="0" borderId="27" xfId="1" applyNumberFormat="1" applyFont="1" applyBorder="1" applyAlignment="1">
      <alignment horizontal="right"/>
    </xf>
    <xf numFmtId="0" fontId="58" fillId="0" borderId="25" xfId="0" applyFont="1" applyBorder="1" applyAlignment="1">
      <alignment horizontal="left" indent="2"/>
    </xf>
    <xf numFmtId="0" fontId="62" fillId="0" borderId="25" xfId="0" applyFont="1" applyBorder="1" applyAlignment="1">
      <alignment horizontal="left" indent="4"/>
    </xf>
    <xf numFmtId="0" fontId="58" fillId="0" borderId="25" xfId="0" applyFont="1" applyBorder="1" applyAlignment="1">
      <alignment horizontal="left"/>
    </xf>
    <xf numFmtId="189" fontId="58" fillId="0" borderId="100" xfId="1" applyNumberFormat="1" applyFont="1" applyFill="1" applyBorder="1" applyAlignment="1">
      <alignment horizontal="right"/>
    </xf>
    <xf numFmtId="0" fontId="66" fillId="0" borderId="25" xfId="0" applyFont="1" applyBorder="1" applyAlignment="1">
      <alignment horizontal="left"/>
    </xf>
    <xf numFmtId="189" fontId="58" fillId="0" borderId="100" xfId="1" applyNumberFormat="1" applyFont="1" applyBorder="1" applyAlignment="1">
      <alignment horizontal="right"/>
    </xf>
    <xf numFmtId="189" fontId="58" fillId="0" borderId="104" xfId="1" applyNumberFormat="1" applyFont="1" applyBorder="1" applyAlignment="1">
      <alignment horizontal="right"/>
    </xf>
    <xf numFmtId="0" fontId="62" fillId="0" borderId="32" xfId="0" applyFont="1" applyBorder="1"/>
    <xf numFmtId="184" fontId="62" fillId="0" borderId="32" xfId="1" applyNumberFormat="1" applyFont="1" applyBorder="1"/>
    <xf numFmtId="175" fontId="62" fillId="0" borderId="27" xfId="1" applyNumberFormat="1" applyFont="1" applyBorder="1"/>
    <xf numFmtId="43" fontId="62" fillId="0" borderId="32" xfId="1" applyFont="1" applyBorder="1"/>
    <xf numFmtId="189" fontId="58" fillId="0" borderId="32" xfId="1" applyNumberFormat="1" applyFont="1" applyBorder="1" applyAlignment="1">
      <alignment horizontal="right"/>
    </xf>
    <xf numFmtId="189" fontId="58" fillId="0" borderId="27" xfId="1" applyNumberFormat="1" applyFont="1" applyBorder="1" applyAlignment="1">
      <alignment horizontal="right"/>
    </xf>
    <xf numFmtId="175" fontId="62" fillId="0" borderId="32" xfId="1" applyNumberFormat="1" applyFont="1" applyBorder="1"/>
    <xf numFmtId="189" fontId="58" fillId="56" borderId="96" xfId="1" applyNumberFormat="1" applyFont="1" applyFill="1" applyBorder="1" applyAlignment="1">
      <alignment horizontal="right"/>
    </xf>
    <xf numFmtId="189" fontId="62" fillId="0" borderId="32" xfId="1" applyNumberFormat="1" applyFont="1" applyBorder="1" applyAlignment="1">
      <alignment horizontal="right"/>
    </xf>
    <xf numFmtId="0" fontId="62" fillId="0" borderId="27" xfId="0" applyFont="1" applyBorder="1" applyAlignment="1">
      <alignment horizontal="center"/>
    </xf>
    <xf numFmtId="0" fontId="58" fillId="0" borderId="25" xfId="0" applyFont="1" applyBorder="1" applyAlignment="1">
      <alignment horizontal="center" vertical="top"/>
    </xf>
    <xf numFmtId="0" fontId="62" fillId="0" borderId="27" xfId="0" applyFont="1" applyBorder="1" applyAlignment="1">
      <alignment horizontal="left" vertical="top"/>
    </xf>
    <xf numFmtId="0" fontId="58" fillId="0" borderId="26" xfId="0" applyFont="1" applyBorder="1" applyAlignment="1">
      <alignment horizontal="left" vertical="top"/>
    </xf>
    <xf numFmtId="0" fontId="58" fillId="0" borderId="81" xfId="0" applyFont="1" applyBorder="1" applyAlignment="1">
      <alignment horizontal="left"/>
    </xf>
    <xf numFmtId="0" fontId="58" fillId="0" borderId="81" xfId="0" applyFont="1" applyBorder="1" applyAlignment="1">
      <alignment horizontal="left" vertical="top"/>
    </xf>
    <xf numFmtId="0" fontId="58" fillId="0" borderId="28" xfId="0" applyFont="1" applyBorder="1" applyAlignment="1">
      <alignment horizontal="left" vertical="top"/>
    </xf>
    <xf numFmtId="43" fontId="62" fillId="0" borderId="10" xfId="1" applyFont="1" applyBorder="1"/>
    <xf numFmtId="0" fontId="91" fillId="0" borderId="0" xfId="0" applyFont="1" applyAlignment="1">
      <alignment vertical="center"/>
    </xf>
    <xf numFmtId="0" fontId="91" fillId="0" borderId="0" xfId="0" applyFont="1" applyAlignment="1">
      <alignment horizontal="center" vertical="center"/>
    </xf>
    <xf numFmtId="184" fontId="91" fillId="0" borderId="0" xfId="0" applyNumberFormat="1" applyFont="1" applyAlignment="1">
      <alignment vertical="center"/>
    </xf>
    <xf numFmtId="184" fontId="74" fillId="0" borderId="0" xfId="1" applyNumberFormat="1" applyFont="1" applyFill="1" applyBorder="1" applyAlignment="1">
      <alignment horizontal="center" vertical="center"/>
    </xf>
    <xf numFmtId="184" fontId="62" fillId="0" borderId="0" xfId="1" applyNumberFormat="1" applyFont="1" applyFill="1" applyAlignment="1">
      <alignment vertical="center"/>
    </xf>
    <xf numFmtId="0" fontId="90" fillId="62" borderId="96" xfId="2174" applyFont="1" applyFill="1" applyBorder="1" applyAlignment="1">
      <alignment horizontal="center" vertical="center"/>
    </xf>
    <xf numFmtId="49" fontId="90" fillId="62" borderId="96" xfId="0" applyNumberFormat="1" applyFont="1" applyFill="1" applyBorder="1" applyAlignment="1">
      <alignment vertical="center"/>
    </xf>
    <xf numFmtId="49" fontId="90" fillId="62" borderId="96" xfId="0" applyNumberFormat="1" applyFont="1" applyFill="1" applyBorder="1" applyAlignment="1">
      <alignment horizontal="center" vertical="center"/>
    </xf>
    <xf numFmtId="0" fontId="90" fillId="62" borderId="96" xfId="2174" applyFont="1" applyFill="1" applyBorder="1" applyAlignment="1">
      <alignment vertical="center"/>
    </xf>
    <xf numFmtId="0" fontId="90" fillId="62" borderId="96" xfId="0" applyFont="1" applyFill="1" applyBorder="1" applyAlignment="1">
      <alignment horizontal="center" vertical="center"/>
    </xf>
    <xf numFmtId="43" fontId="63" fillId="0" borderId="0" xfId="1" applyFont="1" applyBorder="1" applyAlignment="1">
      <alignment horizontal="center"/>
    </xf>
    <xf numFmtId="0" fontId="58" fillId="56" borderId="103" xfId="0" applyFont="1" applyFill="1" applyBorder="1" applyAlignment="1">
      <alignment vertical="top"/>
    </xf>
    <xf numFmtId="0" fontId="58" fillId="56" borderId="103" xfId="0" applyFont="1" applyFill="1" applyBorder="1" applyAlignment="1">
      <alignment vertical="center" wrapText="1"/>
    </xf>
    <xf numFmtId="184" fontId="58" fillId="56" borderId="99" xfId="1" applyNumberFormat="1" applyFont="1" applyFill="1" applyBorder="1" applyAlignment="1">
      <alignment horizontal="center" vertical="top" wrapText="1"/>
    </xf>
    <xf numFmtId="0" fontId="58" fillId="56" borderId="92" xfId="0" applyFont="1" applyFill="1" applyBorder="1" applyAlignment="1">
      <alignment vertical="top"/>
    </xf>
    <xf numFmtId="0" fontId="0" fillId="59" borderId="102" xfId="0" applyFill="1" applyBorder="1"/>
    <xf numFmtId="0" fontId="62" fillId="0" borderId="70" xfId="0" applyFont="1" applyBorder="1" applyAlignment="1">
      <alignment vertical="center" wrapText="1"/>
    </xf>
    <xf numFmtId="0" fontId="58" fillId="56" borderId="70" xfId="0" applyFont="1" applyFill="1" applyBorder="1" applyAlignment="1">
      <alignment vertical="center" wrapText="1"/>
    </xf>
    <xf numFmtId="0" fontId="0" fillId="56" borderId="80" xfId="0" applyFill="1" applyBorder="1"/>
    <xf numFmtId="0" fontId="58" fillId="0" borderId="25" xfId="0" applyFont="1" applyBorder="1" applyAlignment="1">
      <alignment vertical="center" wrapText="1"/>
    </xf>
    <xf numFmtId="184" fontId="59" fillId="56" borderId="99" xfId="1" applyNumberFormat="1" applyFont="1" applyFill="1" applyBorder="1"/>
    <xf numFmtId="189" fontId="70" fillId="0" borderId="25" xfId="0" applyNumberFormat="1" applyFont="1" applyBorder="1"/>
    <xf numFmtId="189" fontId="59" fillId="0" borderId="25" xfId="0" applyNumberFormat="1" applyFont="1" applyBorder="1"/>
    <xf numFmtId="189" fontId="59" fillId="56" borderId="103" xfId="0" applyNumberFormat="1" applyFont="1" applyFill="1" applyBorder="1"/>
    <xf numFmtId="0" fontId="62" fillId="0" borderId="24" xfId="0" applyFont="1" applyBorder="1" applyAlignment="1">
      <alignment horizontal="justify" wrapText="1"/>
    </xf>
    <xf numFmtId="0" fontId="62" fillId="0" borderId="78" xfId="0" applyFont="1" applyBorder="1" applyAlignment="1">
      <alignment horizontal="justify" wrapText="1"/>
    </xf>
    <xf numFmtId="0" fontId="62" fillId="0" borderId="79" xfId="0" applyFont="1" applyBorder="1" applyAlignment="1">
      <alignment horizontal="justify" wrapText="1"/>
    </xf>
    <xf numFmtId="0" fontId="62" fillId="0" borderId="24" xfId="0" applyFont="1" applyBorder="1"/>
    <xf numFmtId="0" fontId="62" fillId="0" borderId="26" xfId="0" applyFont="1" applyBorder="1" applyAlignment="1">
      <alignment horizontal="justify" vertical="center" wrapText="1"/>
    </xf>
    <xf numFmtId="0" fontId="62" fillId="0" borderId="81" xfId="0" applyFont="1" applyBorder="1" applyAlignment="1">
      <alignment horizontal="justify" vertical="center" wrapText="1"/>
    </xf>
    <xf numFmtId="0" fontId="62" fillId="0" borderId="28" xfId="0" applyFont="1" applyBorder="1" applyAlignment="1">
      <alignment horizontal="justify" vertical="center" wrapText="1"/>
    </xf>
    <xf numFmtId="0" fontId="62" fillId="0" borderId="78" xfId="0" applyFont="1" applyBorder="1" applyAlignment="1">
      <alignment horizontal="justify" vertical="center" wrapText="1"/>
    </xf>
    <xf numFmtId="0" fontId="62" fillId="0" borderId="79" xfId="0" applyFont="1" applyBorder="1" applyAlignment="1">
      <alignment horizontal="justify" vertical="center" wrapText="1"/>
    </xf>
    <xf numFmtId="0" fontId="92" fillId="60" borderId="0" xfId="0" applyFont="1" applyFill="1" applyAlignment="1">
      <alignment vertical="center"/>
    </xf>
    <xf numFmtId="184" fontId="0" fillId="0" borderId="0" xfId="1" applyNumberFormat="1" applyFont="1" applyAlignment="1">
      <alignment vertical="center"/>
    </xf>
    <xf numFmtId="0" fontId="0" fillId="0" borderId="24" xfId="0" applyBorder="1" applyAlignment="1">
      <alignment vertical="center"/>
    </xf>
    <xf numFmtId="184" fontId="0" fillId="0" borderId="78" xfId="1" applyNumberFormat="1" applyFont="1" applyBorder="1" applyAlignment="1">
      <alignment vertical="center"/>
    </xf>
    <xf numFmtId="184" fontId="0" fillId="0" borderId="0" xfId="1" applyNumberFormat="1" applyFont="1" applyBorder="1" applyAlignment="1">
      <alignment vertical="center"/>
    </xf>
    <xf numFmtId="184" fontId="0" fillId="0" borderId="10" xfId="1" applyNumberFormat="1" applyFont="1" applyBorder="1" applyAlignment="1">
      <alignment vertical="center"/>
    </xf>
    <xf numFmtId="184" fontId="59" fillId="0" borderId="0" xfId="0" applyNumberFormat="1" applyFont="1" applyAlignment="1">
      <alignment vertical="center"/>
    </xf>
    <xf numFmtId="0" fontId="0" fillId="0" borderId="26" xfId="0" applyBorder="1" applyAlignment="1">
      <alignment vertical="center"/>
    </xf>
    <xf numFmtId="184" fontId="0" fillId="0" borderId="81" xfId="1" applyNumberFormat="1" applyFont="1" applyBorder="1" applyAlignment="1">
      <alignment vertical="center"/>
    </xf>
    <xf numFmtId="0" fontId="0" fillId="0" borderId="81" xfId="0" applyBorder="1" applyAlignment="1">
      <alignment vertical="center"/>
    </xf>
    <xf numFmtId="0" fontId="0" fillId="0" borderId="28" xfId="0" applyBorder="1" applyAlignment="1">
      <alignment vertical="center"/>
    </xf>
    <xf numFmtId="184" fontId="0" fillId="0" borderId="0" xfId="0" applyNumberFormat="1" applyAlignment="1">
      <alignment vertical="center"/>
    </xf>
    <xf numFmtId="184" fontId="0" fillId="0" borderId="27" xfId="1" applyNumberFormat="1" applyFont="1" applyBorder="1" applyAlignment="1">
      <alignment vertical="center"/>
    </xf>
    <xf numFmtId="184" fontId="59" fillId="0" borderId="81" xfId="1" applyNumberFormat="1" applyFont="1" applyBorder="1" applyAlignment="1">
      <alignment vertical="center"/>
    </xf>
    <xf numFmtId="184" fontId="59" fillId="0" borderId="81" xfId="0" applyNumberFormat="1" applyFont="1" applyBorder="1" applyAlignment="1">
      <alignment vertical="center"/>
    </xf>
    <xf numFmtId="184" fontId="59" fillId="0" borderId="28" xfId="1" applyNumberFormat="1" applyFont="1" applyBorder="1" applyAlignment="1">
      <alignment vertical="center"/>
    </xf>
    <xf numFmtId="184" fontId="59" fillId="0" borderId="0" xfId="1" applyNumberFormat="1" applyFont="1" applyBorder="1" applyAlignment="1">
      <alignment vertical="center"/>
    </xf>
    <xf numFmtId="184" fontId="59" fillId="52" borderId="0" xfId="1" applyNumberFormat="1" applyFont="1" applyFill="1" applyBorder="1" applyAlignment="1">
      <alignment vertical="center"/>
    </xf>
    <xf numFmtId="0" fontId="59" fillId="52" borderId="27" xfId="0" applyFont="1" applyFill="1" applyBorder="1" applyAlignment="1">
      <alignment vertical="center"/>
    </xf>
    <xf numFmtId="14" fontId="0" fillId="0" borderId="25" xfId="0" applyNumberFormat="1" applyBorder="1" applyAlignment="1">
      <alignment vertical="center"/>
    </xf>
    <xf numFmtId="0" fontId="93" fillId="0" borderId="24" xfId="0" applyFont="1" applyBorder="1" applyAlignment="1">
      <alignment horizontal="center" vertical="center"/>
    </xf>
    <xf numFmtId="0" fontId="93" fillId="0" borderId="79" xfId="0" applyFont="1" applyBorder="1" applyAlignment="1">
      <alignment horizontal="center" vertical="center"/>
    </xf>
    <xf numFmtId="184" fontId="93" fillId="0" borderId="26" xfId="1" applyNumberFormat="1" applyFont="1" applyBorder="1" applyAlignment="1">
      <alignment vertical="center"/>
    </xf>
    <xf numFmtId="184" fontId="93" fillId="0" borderId="28" xfId="1" applyNumberFormat="1" applyFont="1" applyBorder="1" applyAlignment="1">
      <alignment vertical="center"/>
    </xf>
    <xf numFmtId="4" fontId="74" fillId="0" borderId="0" xfId="0" applyNumberFormat="1" applyFont="1" applyAlignment="1">
      <alignment vertical="center"/>
    </xf>
    <xf numFmtId="184" fontId="0" fillId="0" borderId="0" xfId="1" applyNumberFormat="1" applyFont="1" applyAlignment="1">
      <alignment wrapText="1"/>
    </xf>
    <xf numFmtId="0" fontId="59" fillId="0" borderId="24" xfId="0" applyFont="1" applyBorder="1" applyAlignment="1">
      <alignment horizontal="center" vertical="center"/>
    </xf>
    <xf numFmtId="184" fontId="59" fillId="0" borderId="78" xfId="1" applyNumberFormat="1" applyFont="1" applyBorder="1" applyAlignment="1">
      <alignment horizontal="center" vertical="center" wrapText="1"/>
    </xf>
    <xf numFmtId="0" fontId="59" fillId="0" borderId="78" xfId="0" applyFont="1" applyBorder="1" applyAlignment="1">
      <alignment horizontal="center" vertical="center" wrapText="1"/>
    </xf>
    <xf numFmtId="0" fontId="59" fillId="0" borderId="78" xfId="0" applyFont="1" applyBorder="1" applyAlignment="1">
      <alignment horizontal="center" vertical="center"/>
    </xf>
    <xf numFmtId="0" fontId="59" fillId="0" borderId="79" xfId="0" applyFont="1" applyBorder="1" applyAlignment="1">
      <alignment horizontal="center" vertical="center"/>
    </xf>
    <xf numFmtId="0" fontId="0" fillId="0" borderId="0" xfId="0" applyAlignment="1">
      <alignment horizontal="center" vertical="center"/>
    </xf>
    <xf numFmtId="193" fontId="81" fillId="0" borderId="0" xfId="1" applyNumberFormat="1" applyFont="1" applyFill="1"/>
    <xf numFmtId="184" fontId="59" fillId="0" borderId="0" xfId="1" applyNumberFormat="1" applyFont="1" applyAlignment="1">
      <alignment vertical="center"/>
    </xf>
    <xf numFmtId="184" fontId="94" fillId="63" borderId="28" xfId="1" applyNumberFormat="1" applyFont="1" applyFill="1" applyBorder="1" applyAlignment="1">
      <alignment vertical="center"/>
    </xf>
    <xf numFmtId="184" fontId="59" fillId="0" borderId="96" xfId="1" applyNumberFormat="1" applyFont="1" applyBorder="1" applyAlignment="1">
      <alignment horizontal="center" vertical="center" wrapText="1"/>
    </xf>
    <xf numFmtId="0" fontId="59" fillId="0" borderId="96" xfId="0" applyFont="1" applyBorder="1" applyAlignment="1">
      <alignment horizontal="center" vertical="center" wrapText="1"/>
    </xf>
    <xf numFmtId="184" fontId="0" fillId="0" borderId="96" xfId="0" applyNumberFormat="1" applyBorder="1" applyAlignment="1">
      <alignment vertical="center"/>
    </xf>
    <xf numFmtId="184" fontId="59" fillId="0" borderId="96" xfId="1" applyNumberFormat="1" applyFont="1" applyBorder="1" applyAlignment="1">
      <alignment vertical="center"/>
    </xf>
    <xf numFmtId="184" fontId="59" fillId="0" borderId="96" xfId="0" applyNumberFormat="1" applyFont="1" applyBorder="1" applyAlignment="1">
      <alignment vertical="center"/>
    </xf>
    <xf numFmtId="0" fontId="0" fillId="60" borderId="96" xfId="0" quotePrefix="1" applyFill="1" applyBorder="1" applyAlignment="1">
      <alignment horizontal="center" vertical="center"/>
    </xf>
    <xf numFmtId="184" fontId="0" fillId="60" borderId="96" xfId="1" applyNumberFormat="1" applyFont="1" applyFill="1" applyBorder="1" applyAlignment="1">
      <alignment vertical="center"/>
    </xf>
    <xf numFmtId="184" fontId="59" fillId="60" borderId="96" xfId="1" applyNumberFormat="1" applyFont="1" applyFill="1" applyBorder="1" applyAlignment="1">
      <alignment vertical="center"/>
    </xf>
    <xf numFmtId="0" fontId="58" fillId="56" borderId="119" xfId="0" applyFont="1" applyFill="1" applyBorder="1"/>
    <xf numFmtId="0" fontId="58" fillId="56" borderId="15" xfId="0" applyFont="1" applyFill="1" applyBorder="1"/>
    <xf numFmtId="0" fontId="62" fillId="0" borderId="25" xfId="0" applyFont="1" applyBorder="1" applyAlignment="1">
      <alignment horizontal="left" vertical="top" wrapText="1" indent="3"/>
    </xf>
    <xf numFmtId="166" fontId="58" fillId="0" borderId="32" xfId="1" applyNumberFormat="1" applyFont="1" applyBorder="1"/>
    <xf numFmtId="166" fontId="82" fillId="0" borderId="0" xfId="4052" applyNumberFormat="1" applyFont="1"/>
    <xf numFmtId="0" fontId="63" fillId="0" borderId="0" xfId="0" applyFont="1" applyAlignment="1">
      <alignment horizontal="left"/>
    </xf>
    <xf numFmtId="0" fontId="0" fillId="59" borderId="0" xfId="0" applyFill="1"/>
    <xf numFmtId="0" fontId="62" fillId="0" borderId="0" xfId="0" applyFont="1" applyAlignment="1">
      <alignment horizontal="justify" vertical="center" wrapText="1"/>
    </xf>
    <xf numFmtId="0" fontId="65" fillId="0" borderId="0" xfId="0" applyFont="1" applyAlignment="1">
      <alignment wrapText="1"/>
    </xf>
    <xf numFmtId="0" fontId="62" fillId="0" borderId="0" xfId="0" applyFont="1" applyAlignment="1">
      <alignment vertical="center"/>
    </xf>
    <xf numFmtId="189" fontId="62" fillId="0" borderId="0" xfId="0" applyNumberFormat="1" applyFont="1" applyAlignment="1">
      <alignment horizontal="right" vertical="center" wrapText="1"/>
    </xf>
    <xf numFmtId="0" fontId="59" fillId="0" borderId="0" xfId="0" applyFont="1" applyAlignment="1">
      <alignment horizontal="left" indent="1"/>
    </xf>
    <xf numFmtId="43" fontId="58" fillId="56" borderId="15" xfId="1" applyFont="1" applyFill="1" applyBorder="1"/>
    <xf numFmtId="184" fontId="58" fillId="56" borderId="15" xfId="1" applyNumberFormat="1" applyFont="1" applyFill="1" applyBorder="1"/>
    <xf numFmtId="184" fontId="58" fillId="56" borderId="120" xfId="1" applyNumberFormat="1" applyFont="1" applyFill="1" applyBorder="1"/>
    <xf numFmtId="184" fontId="63" fillId="0" borderId="0" xfId="1" applyNumberFormat="1" applyFont="1" applyAlignment="1">
      <alignment horizontal="center"/>
    </xf>
    <xf numFmtId="184" fontId="62" fillId="0" borderId="0" xfId="1" applyNumberFormat="1" applyFont="1" applyAlignment="1">
      <alignment horizontal="center"/>
    </xf>
    <xf numFmtId="184" fontId="89" fillId="0" borderId="0" xfId="1" applyNumberFormat="1" applyFont="1"/>
    <xf numFmtId="184" fontId="95" fillId="0" borderId="0" xfId="1" applyNumberFormat="1" applyFont="1"/>
    <xf numFmtId="184" fontId="63" fillId="0" borderId="10" xfId="1" applyNumberFormat="1" applyFont="1" applyBorder="1"/>
    <xf numFmtId="0" fontId="0" fillId="0" borderId="0" xfId="359" applyNumberFormat="1" applyFont="1" applyBorder="1"/>
    <xf numFmtId="0" fontId="0" fillId="0" borderId="27" xfId="359" applyNumberFormat="1" applyFont="1" applyBorder="1"/>
    <xf numFmtId="0" fontId="0" fillId="0" borderId="81" xfId="0" applyBorder="1" applyAlignment="1">
      <alignment horizontal="center"/>
    </xf>
    <xf numFmtId="0" fontId="0" fillId="0" borderId="90" xfId="0" applyBorder="1"/>
    <xf numFmtId="0" fontId="0" fillId="0" borderId="33" xfId="0" applyBorder="1"/>
    <xf numFmtId="0" fontId="0" fillId="0" borderId="81" xfId="0" applyBorder="1"/>
    <xf numFmtId="0" fontId="0" fillId="0" borderId="28" xfId="0" applyBorder="1"/>
    <xf numFmtId="189" fontId="62" fillId="0" borderId="0" xfId="1" applyNumberFormat="1" applyFont="1" applyFill="1" applyBorder="1" applyAlignment="1" applyProtection="1">
      <alignment vertical="top"/>
    </xf>
    <xf numFmtId="189" fontId="58" fillId="0" borderId="0" xfId="353" applyNumberFormat="1" applyFont="1" applyFill="1" applyBorder="1" applyAlignment="1">
      <alignment vertical="top"/>
    </xf>
    <xf numFmtId="189" fontId="58" fillId="0" borderId="0" xfId="1" applyNumberFormat="1" applyFont="1" applyFill="1" applyBorder="1" applyAlignment="1">
      <alignment vertical="top"/>
    </xf>
    <xf numFmtId="183" fontId="62" fillId="0" borderId="0" xfId="1" applyNumberFormat="1" applyFont="1" applyFill="1" applyBorder="1" applyAlignment="1" applyProtection="1">
      <alignment vertical="top"/>
    </xf>
    <xf numFmtId="183" fontId="62" fillId="0" borderId="0" xfId="1" applyNumberFormat="1" applyFont="1" applyFill="1" applyBorder="1" applyAlignment="1">
      <alignment vertical="top"/>
    </xf>
    <xf numFmtId="183" fontId="0" fillId="0" borderId="0" xfId="1" applyNumberFormat="1" applyFont="1" applyFill="1" applyBorder="1" applyAlignment="1">
      <alignment vertical="top"/>
    </xf>
    <xf numFmtId="0" fontId="0" fillId="0" borderId="10" xfId="0" applyBorder="1" applyAlignment="1">
      <alignment vertical="center"/>
    </xf>
    <xf numFmtId="0" fontId="0" fillId="56" borderId="101" xfId="0" applyFill="1" applyBorder="1" applyAlignment="1">
      <alignment vertical="center"/>
    </xf>
    <xf numFmtId="0" fontId="0" fillId="0" borderId="101" xfId="0" applyBorder="1" applyAlignment="1">
      <alignment horizontal="center" vertical="center"/>
    </xf>
    <xf numFmtId="0" fontId="0" fillId="0" borderId="96" xfId="0" applyBorder="1" applyAlignment="1">
      <alignment vertical="center" wrapText="1"/>
    </xf>
    <xf numFmtId="189" fontId="0" fillId="0" borderId="0" xfId="0" applyNumberFormat="1" applyAlignment="1">
      <alignment vertical="center"/>
    </xf>
    <xf numFmtId="0" fontId="0" fillId="0" borderId="96" xfId="0" applyBorder="1" applyAlignment="1">
      <alignment horizontal="left" vertical="center"/>
    </xf>
    <xf numFmtId="0" fontId="0" fillId="0" borderId="25" xfId="0" applyBorder="1" applyAlignment="1">
      <alignment horizontal="left" vertical="center"/>
    </xf>
    <xf numFmtId="0" fontId="0" fillId="0" borderId="25" xfId="0" applyBorder="1" applyAlignment="1">
      <alignment horizontal="center" vertical="center"/>
    </xf>
    <xf numFmtId="0" fontId="0" fillId="0" borderId="27" xfId="0" applyBorder="1" applyAlignment="1">
      <alignment horizontal="justify" vertical="center" wrapText="1"/>
    </xf>
    <xf numFmtId="0" fontId="0" fillId="0" borderId="0" xfId="0" applyAlignment="1">
      <alignment horizontal="left" vertical="center" wrapText="1"/>
    </xf>
    <xf numFmtId="0" fontId="0" fillId="56" borderId="70" xfId="0" applyFill="1" applyBorder="1"/>
    <xf numFmtId="43" fontId="0" fillId="0" borderId="0" xfId="0" applyNumberFormat="1" applyAlignment="1">
      <alignment vertical="center"/>
    </xf>
    <xf numFmtId="0" fontId="0" fillId="0" borderId="0" xfId="0" applyAlignment="1">
      <alignment vertical="center" wrapText="1"/>
    </xf>
    <xf numFmtId="0" fontId="0" fillId="0" borderId="90" xfId="0" applyBorder="1" applyAlignment="1">
      <alignment vertical="top"/>
    </xf>
    <xf numFmtId="0" fontId="0" fillId="0" borderId="32" xfId="0" applyBorder="1" applyAlignment="1">
      <alignment vertical="top"/>
    </xf>
    <xf numFmtId="0" fontId="0" fillId="0" borderId="32" xfId="0" applyBorder="1" applyAlignment="1">
      <alignment vertical="top" wrapText="1"/>
    </xf>
    <xf numFmtId="0" fontId="0" fillId="0" borderId="80" xfId="0" applyBorder="1" applyAlignment="1">
      <alignment vertical="top" wrapText="1"/>
    </xf>
    <xf numFmtId="0" fontId="0" fillId="0" borderId="108" xfId="0" applyBorder="1" applyAlignment="1">
      <alignment vertical="top" wrapText="1"/>
    </xf>
    <xf numFmtId="0" fontId="0" fillId="0" borderId="30" xfId="0" applyBorder="1" applyAlignment="1">
      <alignment horizontal="justify" vertical="top" wrapText="1"/>
    </xf>
    <xf numFmtId="0" fontId="0" fillId="0" borderId="30" xfId="0" applyBorder="1" applyAlignment="1">
      <alignment vertical="top" wrapText="1"/>
    </xf>
    <xf numFmtId="183" fontId="0" fillId="0" borderId="30" xfId="0" applyNumberFormat="1" applyBorder="1" applyAlignment="1">
      <alignment horizontal="center" vertical="top" wrapText="1"/>
    </xf>
    <xf numFmtId="0" fontId="0" fillId="0" borderId="99" xfId="0" applyBorder="1" applyAlignment="1">
      <alignment vertical="top" wrapText="1"/>
    </xf>
    <xf numFmtId="0" fontId="0" fillId="0" borderId="98" xfId="0" applyBorder="1"/>
    <xf numFmtId="0" fontId="0" fillId="0" borderId="96" xfId="0" applyBorder="1" applyAlignment="1">
      <alignment horizontal="center" vertical="top" wrapText="1"/>
    </xf>
    <xf numFmtId="0" fontId="0" fillId="0" borderId="32" xfId="0" applyBorder="1" applyAlignment="1">
      <alignment horizontal="justify" vertical="top" wrapText="1"/>
    </xf>
    <xf numFmtId="0" fontId="0" fillId="0" borderId="85" xfId="0" applyBorder="1" applyAlignment="1">
      <alignment horizontal="justify" vertical="top" wrapText="1"/>
    </xf>
    <xf numFmtId="0" fontId="0" fillId="0" borderId="74" xfId="0" applyBorder="1" applyAlignment="1">
      <alignment vertical="top"/>
    </xf>
    <xf numFmtId="0" fontId="0" fillId="0" borderId="99" xfId="0" applyBorder="1" applyAlignment="1">
      <alignment horizontal="center" vertical="top" wrapText="1"/>
    </xf>
    <xf numFmtId="0" fontId="0" fillId="0" borderId="110" xfId="0" applyBorder="1" applyAlignment="1">
      <alignment vertical="top"/>
    </xf>
    <xf numFmtId="0" fontId="0" fillId="0" borderId="111" xfId="0" applyBorder="1" applyAlignment="1">
      <alignment vertical="top"/>
    </xf>
    <xf numFmtId="0" fontId="0" fillId="0" borderId="111" xfId="0" applyBorder="1" applyAlignment="1">
      <alignment vertical="top" wrapText="1"/>
    </xf>
    <xf numFmtId="0" fontId="0" fillId="0" borderId="72" xfId="0" applyBorder="1" applyAlignment="1">
      <alignment vertical="center" wrapText="1"/>
    </xf>
    <xf numFmtId="0" fontId="0" fillId="52" borderId="0" xfId="0" applyFill="1" applyAlignment="1">
      <alignment vertical="top"/>
    </xf>
    <xf numFmtId="0" fontId="65" fillId="61" borderId="0" xfId="0" applyFont="1" applyFill="1" applyAlignment="1">
      <alignment vertical="top"/>
    </xf>
    <xf numFmtId="0" fontId="0" fillId="59" borderId="78" xfId="0" applyFill="1" applyBorder="1"/>
    <xf numFmtId="0" fontId="0" fillId="0" borderId="27" xfId="0" applyBorder="1" applyAlignment="1">
      <alignment vertical="justify" wrapText="1"/>
    </xf>
    <xf numFmtId="0" fontId="0" fillId="0" borderId="102" xfId="0" applyBorder="1"/>
    <xf numFmtId="189" fontId="0" fillId="0" borderId="102" xfId="0" applyNumberFormat="1" applyBorder="1"/>
    <xf numFmtId="189" fontId="0" fillId="0" borderId="98" xfId="0" applyNumberFormat="1" applyBorder="1"/>
    <xf numFmtId="189" fontId="0" fillId="0" borderId="27" xfId="0" applyNumberFormat="1" applyBorder="1"/>
    <xf numFmtId="0" fontId="0" fillId="0" borderId="27" xfId="0" applyBorder="1" applyAlignment="1">
      <alignment horizontal="center"/>
    </xf>
    <xf numFmtId="0" fontId="0" fillId="0" borderId="25" xfId="0" applyBorder="1" applyAlignment="1">
      <alignment vertical="top"/>
    </xf>
    <xf numFmtId="0" fontId="0" fillId="0" borderId="25" xfId="0" applyBorder="1" applyAlignment="1">
      <alignment horizontal="left" indent="1"/>
    </xf>
    <xf numFmtId="0" fontId="0" fillId="56" borderId="113" xfId="0" applyFill="1" applyBorder="1"/>
    <xf numFmtId="0" fontId="0" fillId="59" borderId="107" xfId="0" applyFill="1" applyBorder="1"/>
    <xf numFmtId="184" fontId="0" fillId="0" borderId="27" xfId="0" applyNumberFormat="1" applyBorder="1"/>
    <xf numFmtId="191" fontId="0" fillId="0" borderId="27" xfId="0" applyNumberFormat="1" applyBorder="1"/>
    <xf numFmtId="9" fontId="0" fillId="0" borderId="0" xfId="0" applyNumberFormat="1"/>
    <xf numFmtId="9" fontId="0" fillId="0" borderId="27" xfId="0" applyNumberFormat="1" applyBorder="1"/>
    <xf numFmtId="0" fontId="0" fillId="0" borderId="25" xfId="0" applyBorder="1" applyAlignment="1">
      <alignment horizontal="justify" vertical="justify" wrapText="1"/>
    </xf>
    <xf numFmtId="0" fontId="0" fillId="0" borderId="0" xfId="0" applyAlignment="1">
      <alignment horizontal="justify" vertical="justify" wrapText="1"/>
    </xf>
    <xf numFmtId="0" fontId="0" fillId="0" borderId="27" xfId="0" applyBorder="1" applyAlignment="1">
      <alignment horizontal="justify" vertical="justify" wrapText="1"/>
    </xf>
    <xf numFmtId="189" fontId="0" fillId="0" borderId="10" xfId="0" applyNumberFormat="1" applyBorder="1"/>
    <xf numFmtId="189" fontId="0" fillId="0" borderId="80" xfId="0" applyNumberFormat="1" applyBorder="1"/>
    <xf numFmtId="0" fontId="0" fillId="0" borderId="28" xfId="0" applyBorder="1" applyAlignment="1">
      <alignment vertical="justify" wrapText="1"/>
    </xf>
    <xf numFmtId="0" fontId="0" fillId="56" borderId="100" xfId="4064" applyFont="1" applyFill="1" applyBorder="1" applyAlignment="1">
      <alignment horizontal="center" vertical="top"/>
    </xf>
    <xf numFmtId="0" fontId="0" fillId="56" borderId="77" xfId="4064" applyFont="1" applyFill="1" applyBorder="1" applyAlignment="1">
      <alignment horizontal="center" vertical="top"/>
    </xf>
    <xf numFmtId="184" fontId="0" fillId="0" borderId="33" xfId="1" applyNumberFormat="1" applyFont="1" applyFill="1" applyBorder="1" applyAlignment="1">
      <alignment horizontal="center" vertical="top" wrapText="1"/>
    </xf>
    <xf numFmtId="184" fontId="0" fillId="0" borderId="33" xfId="1" applyNumberFormat="1" applyFont="1" applyFill="1" applyBorder="1" applyAlignment="1">
      <alignment horizontal="justify" vertical="top" wrapText="1"/>
    </xf>
    <xf numFmtId="184" fontId="0" fillId="0" borderId="94" xfId="1" applyNumberFormat="1" applyFont="1" applyFill="1" applyBorder="1" applyAlignment="1">
      <alignment horizontal="justify" vertical="top" wrapText="1"/>
    </xf>
    <xf numFmtId="0" fontId="0" fillId="56" borderId="100" xfId="4064" applyFont="1" applyFill="1" applyBorder="1" applyAlignment="1">
      <alignment horizontal="left" vertical="top"/>
    </xf>
    <xf numFmtId="0" fontId="0" fillId="56" borderId="77" xfId="4064" applyFont="1" applyFill="1" applyBorder="1" applyAlignment="1">
      <alignment horizontal="left" vertical="top"/>
    </xf>
    <xf numFmtId="189" fontId="0" fillId="0" borderId="96" xfId="0" applyNumberFormat="1" applyBorder="1" applyAlignment="1">
      <alignment vertical="center"/>
    </xf>
    <xf numFmtId="0" fontId="61" fillId="56" borderId="10" xfId="0" quotePrefix="1" applyFont="1" applyFill="1" applyBorder="1" applyAlignment="1">
      <alignment horizontal="center" vertical="center"/>
    </xf>
    <xf numFmtId="43" fontId="65" fillId="0" borderId="0" xfId="1" applyFont="1" applyBorder="1"/>
    <xf numFmtId="0" fontId="59" fillId="56" borderId="96" xfId="0" quotePrefix="1" applyFont="1" applyFill="1" applyBorder="1" applyAlignment="1">
      <alignment horizontal="center" vertical="center"/>
    </xf>
    <xf numFmtId="0" fontId="59" fillId="56" borderId="10" xfId="0" quotePrefix="1" applyFont="1" applyFill="1" applyBorder="1" applyAlignment="1">
      <alignment horizontal="center"/>
    </xf>
    <xf numFmtId="0" fontId="59" fillId="56" borderId="80" xfId="0" quotePrefix="1" applyFont="1" applyFill="1" applyBorder="1" applyAlignment="1">
      <alignment horizontal="center"/>
    </xf>
    <xf numFmtId="14" fontId="58" fillId="56" borderId="80" xfId="0" applyNumberFormat="1" applyFont="1" applyFill="1" applyBorder="1" applyAlignment="1">
      <alignment horizontal="center" vertical="center"/>
    </xf>
    <xf numFmtId="43" fontId="0" fillId="0" borderId="80" xfId="1" applyFont="1" applyBorder="1"/>
    <xf numFmtId="189" fontId="65" fillId="0" borderId="32" xfId="1" applyNumberFormat="1" applyFont="1" applyBorder="1" applyAlignment="1">
      <alignment horizontal="right"/>
    </xf>
    <xf numFmtId="189" fontId="65" fillId="0" borderId="121" xfId="0" applyNumberFormat="1" applyFont="1" applyBorder="1"/>
    <xf numFmtId="0" fontId="90" fillId="62" borderId="0" xfId="2174" applyFont="1" applyFill="1" applyAlignment="1">
      <alignment horizontal="center" vertical="center"/>
    </xf>
    <xf numFmtId="49" fontId="90" fillId="62" borderId="0" xfId="0" applyNumberFormat="1" applyFont="1" applyFill="1" applyAlignment="1">
      <alignment vertical="center"/>
    </xf>
    <xf numFmtId="0" fontId="90" fillId="62" borderId="0" xfId="2174" applyFont="1" applyFill="1" applyAlignment="1">
      <alignment vertical="center"/>
    </xf>
    <xf numFmtId="0" fontId="91" fillId="0" borderId="0" xfId="0" applyFont="1" applyAlignment="1">
      <alignment horizontal="left" vertical="center"/>
    </xf>
    <xf numFmtId="0" fontId="91" fillId="0" borderId="0" xfId="1" applyNumberFormat="1" applyFont="1" applyFill="1" applyBorder="1" applyAlignment="1">
      <alignment horizontal="left" vertical="center"/>
    </xf>
    <xf numFmtId="184" fontId="91" fillId="0" borderId="0" xfId="1" applyNumberFormat="1" applyFont="1" applyFill="1" applyBorder="1" applyAlignment="1">
      <alignment horizontal="right" vertical="center"/>
    </xf>
    <xf numFmtId="184" fontId="62" fillId="0" borderId="0" xfId="1" applyNumberFormat="1" applyFont="1" applyFill="1" applyBorder="1" applyAlignment="1">
      <alignment vertical="center"/>
    </xf>
    <xf numFmtId="0" fontId="74" fillId="0" borderId="0" xfId="0" applyFont="1" applyAlignment="1">
      <alignment horizontal="left" vertical="center"/>
    </xf>
    <xf numFmtId="184" fontId="91" fillId="52" borderId="0" xfId="1" applyNumberFormat="1" applyFont="1" applyFill="1" applyBorder="1" applyAlignment="1">
      <alignment vertical="center"/>
    </xf>
    <xf numFmtId="184" fontId="90" fillId="0" borderId="0" xfId="1" applyNumberFormat="1" applyFont="1" applyFill="1" applyBorder="1" applyAlignment="1">
      <alignment vertical="center"/>
    </xf>
    <xf numFmtId="0" fontId="91" fillId="0" borderId="0" xfId="0" quotePrefix="1" applyFont="1" applyAlignment="1">
      <alignment horizontal="left" vertical="center"/>
    </xf>
    <xf numFmtId="0" fontId="0" fillId="0" borderId="98" xfId="0" applyBorder="1" applyAlignment="1">
      <alignment vertical="center" wrapText="1"/>
    </xf>
    <xf numFmtId="189" fontId="0" fillId="0" borderId="0" xfId="1" applyNumberFormat="1" applyFont="1" applyFill="1" applyBorder="1" applyAlignment="1">
      <alignment vertical="center"/>
    </xf>
    <xf numFmtId="189" fontId="0" fillId="0" borderId="27" xfId="1" applyNumberFormat="1" applyFont="1" applyFill="1" applyBorder="1" applyAlignment="1">
      <alignment vertical="center"/>
    </xf>
    <xf numFmtId="0" fontId="0" fillId="0" borderId="10" xfId="0" applyBorder="1" applyAlignment="1">
      <alignment vertical="center" wrapText="1"/>
    </xf>
    <xf numFmtId="189" fontId="59" fillId="56" borderId="100" xfId="0" applyNumberFormat="1" applyFont="1" applyFill="1" applyBorder="1"/>
    <xf numFmtId="189" fontId="59" fillId="56" borderId="104" xfId="0" applyNumberFormat="1" applyFont="1" applyFill="1" applyBorder="1"/>
    <xf numFmtId="189" fontId="62" fillId="0" borderId="32" xfId="1" applyNumberFormat="1" applyFont="1" applyFill="1" applyBorder="1"/>
    <xf numFmtId="0" fontId="96" fillId="0" borderId="0" xfId="0" applyFont="1" applyAlignment="1">
      <alignment horizontal="left" vertical="center"/>
    </xf>
    <xf numFmtId="0" fontId="0" fillId="0" borderId="0" xfId="0" pivotButton="1"/>
    <xf numFmtId="184" fontId="0" fillId="53" borderId="0" xfId="0" applyNumberFormat="1" applyFill="1"/>
    <xf numFmtId="189" fontId="62" fillId="0" borderId="102" xfId="1" applyNumberFormat="1" applyFont="1" applyFill="1" applyBorder="1"/>
    <xf numFmtId="0" fontId="97" fillId="0" borderId="0" xfId="0" applyFont="1" applyAlignment="1">
      <alignment horizontal="center"/>
    </xf>
    <xf numFmtId="15" fontId="97" fillId="0" borderId="0" xfId="0" applyNumberFormat="1" applyFont="1" applyAlignment="1">
      <alignment horizontal="center"/>
    </xf>
    <xf numFmtId="0" fontId="98" fillId="0" borderId="0" xfId="0" applyFont="1" applyAlignment="1">
      <alignment horizontal="center"/>
    </xf>
    <xf numFmtId="0" fontId="98" fillId="0" borderId="0" xfId="0" applyFont="1"/>
    <xf numFmtId="184" fontId="98" fillId="0" borderId="0" xfId="1" applyNumberFormat="1" applyFont="1"/>
    <xf numFmtId="184" fontId="98" fillId="0" borderId="0" xfId="0" applyNumberFormat="1" applyFont="1"/>
    <xf numFmtId="15" fontId="98" fillId="0" borderId="0" xfId="0" applyNumberFormat="1" applyFont="1" applyAlignment="1">
      <alignment horizontal="center"/>
    </xf>
    <xf numFmtId="184" fontId="97" fillId="0" borderId="0" xfId="0" applyNumberFormat="1" applyFont="1"/>
    <xf numFmtId="15" fontId="98" fillId="52" borderId="0" xfId="0" applyNumberFormat="1" applyFont="1" applyFill="1" applyAlignment="1">
      <alignment horizontal="center"/>
    </xf>
    <xf numFmtId="15" fontId="59" fillId="0" borderId="0" xfId="0" applyNumberFormat="1" applyFont="1"/>
    <xf numFmtId="0" fontId="59" fillId="0" borderId="96" xfId="0" quotePrefix="1" applyFont="1" applyBorder="1" applyAlignment="1">
      <alignment horizontal="center" vertical="center"/>
    </xf>
    <xf numFmtId="184" fontId="65" fillId="0" borderId="121" xfId="1" applyNumberFormat="1" applyFont="1" applyBorder="1"/>
    <xf numFmtId="184" fontId="62" fillId="0" borderId="121" xfId="1" applyNumberFormat="1" applyFont="1" applyBorder="1"/>
    <xf numFmtId="175" fontId="63" fillId="0" borderId="0" xfId="0" applyNumberFormat="1" applyFont="1"/>
    <xf numFmtId="189" fontId="2" fillId="0" borderId="32" xfId="1" applyNumberFormat="1" applyFont="1" applyFill="1" applyBorder="1"/>
    <xf numFmtId="0" fontId="0" fillId="0" borderId="25" xfId="0" applyBorder="1" applyAlignment="1">
      <alignment horizontal="left"/>
    </xf>
    <xf numFmtId="9" fontId="62" fillId="0" borderId="0" xfId="4071" applyFont="1"/>
    <xf numFmtId="194" fontId="62" fillId="0" borderId="0" xfId="4071" applyNumberFormat="1" applyFont="1"/>
    <xf numFmtId="184" fontId="90" fillId="52" borderId="0" xfId="1" applyNumberFormat="1" applyFont="1" applyFill="1" applyBorder="1" applyAlignment="1">
      <alignment vertical="center"/>
    </xf>
    <xf numFmtId="189" fontId="0" fillId="0" borderId="90" xfId="0" applyNumberFormat="1" applyBorder="1"/>
    <xf numFmtId="166" fontId="61" fillId="0" borderId="0" xfId="0" applyNumberFormat="1" applyFont="1"/>
    <xf numFmtId="189" fontId="62" fillId="0" borderId="10" xfId="1" applyNumberFormat="1" applyFont="1" applyFill="1" applyBorder="1"/>
    <xf numFmtId="184" fontId="0" fillId="0" borderId="0" xfId="1" applyNumberFormat="1" applyFont="1" applyFill="1" applyBorder="1"/>
    <xf numFmtId="184" fontId="0" fillId="0" borderId="98" xfId="1" applyNumberFormat="1" applyFont="1" applyFill="1" applyBorder="1"/>
    <xf numFmtId="3" fontId="62" fillId="0" borderId="0" xfId="0" applyNumberFormat="1" applyFont="1"/>
    <xf numFmtId="9" fontId="63" fillId="0" borderId="0" xfId="4071" applyFont="1"/>
    <xf numFmtId="184" fontId="58" fillId="0" borderId="100" xfId="0" applyNumberFormat="1" applyFont="1" applyBorder="1" applyAlignment="1">
      <alignment horizontal="justify" vertical="center" wrapText="1"/>
    </xf>
    <xf numFmtId="184" fontId="62" fillId="0" borderId="27" xfId="1" applyNumberFormat="1" applyFont="1" applyBorder="1" applyAlignment="1">
      <alignment horizontal="justify" vertical="center" wrapText="1"/>
    </xf>
    <xf numFmtId="184" fontId="58" fillId="0" borderId="104" xfId="0" applyNumberFormat="1" applyFont="1" applyBorder="1" applyAlignment="1">
      <alignment horizontal="justify" vertical="center" wrapText="1"/>
    </xf>
    <xf numFmtId="4" fontId="58" fillId="56" borderId="98" xfId="1" applyNumberFormat="1" applyFont="1" applyFill="1" applyBorder="1" applyAlignment="1">
      <alignment horizontal="right" vertical="top" wrapText="1"/>
    </xf>
    <xf numFmtId="175" fontId="0" fillId="0" borderId="0" xfId="0" applyNumberFormat="1"/>
    <xf numFmtId="189" fontId="62" fillId="0" borderId="96" xfId="1" applyNumberFormat="1" applyFont="1" applyFill="1" applyBorder="1" applyAlignment="1">
      <alignment vertical="center"/>
    </xf>
    <xf numFmtId="189" fontId="62" fillId="0" borderId="99" xfId="1" applyNumberFormat="1" applyFont="1" applyFill="1" applyBorder="1" applyAlignment="1">
      <alignment vertical="center"/>
    </xf>
    <xf numFmtId="189" fontId="62" fillId="0" borderId="96" xfId="1" applyNumberFormat="1" applyFont="1" applyBorder="1" applyAlignment="1">
      <alignment vertical="center"/>
    </xf>
    <xf numFmtId="189" fontId="62" fillId="0" borderId="99" xfId="1" applyNumberFormat="1" applyFont="1" applyBorder="1" applyAlignment="1">
      <alignment vertical="center"/>
    </xf>
    <xf numFmtId="0" fontId="58" fillId="56" borderId="103" xfId="0" applyFont="1" applyFill="1" applyBorder="1" applyAlignment="1">
      <alignment horizontal="left"/>
    </xf>
    <xf numFmtId="9" fontId="0" fillId="0" borderId="72" xfId="347" applyNumberFormat="1" applyFont="1" applyFill="1" applyBorder="1" applyAlignment="1">
      <alignment horizontal="center" vertical="top"/>
    </xf>
    <xf numFmtId="0" fontId="85" fillId="0" borderId="0" xfId="0" applyFont="1" applyAlignment="1">
      <alignment horizontal="center"/>
    </xf>
    <xf numFmtId="0" fontId="86" fillId="0" borderId="0" xfId="0" applyFont="1" applyAlignment="1">
      <alignment horizontal="center"/>
    </xf>
    <xf numFmtId="0" fontId="86" fillId="0" borderId="0" xfId="0" applyFont="1"/>
    <xf numFmtId="0" fontId="86" fillId="0" borderId="0" xfId="0" applyFont="1" applyAlignment="1">
      <alignment horizontal="left"/>
    </xf>
    <xf numFmtId="43" fontId="85" fillId="0" borderId="0" xfId="1" applyFont="1"/>
    <xf numFmtId="189" fontId="87" fillId="56" borderId="0" xfId="1" applyNumberFormat="1" applyFont="1" applyFill="1" applyBorder="1" applyAlignment="1">
      <alignment vertical="top"/>
    </xf>
    <xf numFmtId="0" fontId="85" fillId="0" borderId="0" xfId="0" applyFont="1"/>
    <xf numFmtId="166" fontId="85" fillId="0" borderId="0" xfId="0" applyNumberFormat="1" applyFont="1"/>
    <xf numFmtId="189" fontId="59" fillId="0" borderId="27" xfId="0" applyNumberFormat="1" applyFont="1" applyBorder="1"/>
    <xf numFmtId="0" fontId="85" fillId="0" borderId="0" xfId="0" applyFont="1" applyAlignment="1">
      <alignment horizontal="left"/>
    </xf>
    <xf numFmtId="184" fontId="91" fillId="53" borderId="0" xfId="1" applyNumberFormat="1" applyFont="1" applyFill="1" applyBorder="1" applyAlignment="1">
      <alignment vertical="center"/>
    </xf>
    <xf numFmtId="0" fontId="62" fillId="0" borderId="102" xfId="0" applyFont="1" applyBorder="1"/>
    <xf numFmtId="0" fontId="89" fillId="0" borderId="27" xfId="0" applyFont="1" applyBorder="1" applyAlignment="1">
      <alignment horizontal="justify" wrapText="1"/>
    </xf>
    <xf numFmtId="189" fontId="58" fillId="0" borderId="94" xfId="359" applyNumberFormat="1" applyFont="1" applyFill="1" applyBorder="1" applyAlignment="1">
      <alignment horizontal="right" vertical="top"/>
    </xf>
    <xf numFmtId="189" fontId="58" fillId="0" borderId="95" xfId="359" applyNumberFormat="1" applyFont="1" applyFill="1" applyBorder="1" applyAlignment="1">
      <alignment horizontal="right" vertical="top"/>
    </xf>
    <xf numFmtId="189" fontId="58" fillId="0" borderId="32" xfId="359" applyNumberFormat="1" applyFont="1" applyFill="1" applyBorder="1" applyAlignment="1">
      <alignment horizontal="right" vertical="top"/>
    </xf>
    <xf numFmtId="189" fontId="58" fillId="0" borderId="85" xfId="359" applyNumberFormat="1" applyFont="1" applyFill="1" applyBorder="1" applyAlignment="1">
      <alignment horizontal="right" vertical="top"/>
    </xf>
    <xf numFmtId="189" fontId="62" fillId="0" borderId="32" xfId="359" applyNumberFormat="1" applyFont="1" applyFill="1" applyBorder="1" applyAlignment="1">
      <alignment horizontal="right" vertical="top"/>
    </xf>
    <xf numFmtId="189" fontId="62" fillId="0" borderId="85" xfId="359" applyNumberFormat="1" applyFont="1" applyFill="1" applyBorder="1" applyAlignment="1">
      <alignment horizontal="right" vertical="top"/>
    </xf>
    <xf numFmtId="0" fontId="58" fillId="59" borderId="90" xfId="0" applyFont="1" applyFill="1" applyBorder="1"/>
    <xf numFmtId="175" fontId="81" fillId="0" borderId="84" xfId="4033" applyNumberFormat="1" applyFont="1" applyFill="1" applyBorder="1"/>
    <xf numFmtId="175" fontId="81" fillId="64" borderId="32" xfId="4074" applyNumberFormat="1" applyFont="1" applyFill="1" applyBorder="1"/>
    <xf numFmtId="175" fontId="82" fillId="0" borderId="31" xfId="4033" applyNumberFormat="1" applyFont="1" applyFill="1" applyBorder="1"/>
    <xf numFmtId="43" fontId="81" fillId="0" borderId="32" xfId="1" applyFont="1" applyFill="1" applyBorder="1"/>
    <xf numFmtId="0" fontId="1" fillId="0" borderId="0" xfId="4080"/>
    <xf numFmtId="0" fontId="88" fillId="0" borderId="0" xfId="4080" applyFont="1" applyAlignment="1">
      <alignment horizontal="center"/>
    </xf>
    <xf numFmtId="0" fontId="84" fillId="0" borderId="76" xfId="4080" applyFont="1" applyBorder="1" applyAlignment="1">
      <alignment horizontal="center"/>
    </xf>
    <xf numFmtId="0" fontId="84" fillId="0" borderId="96" xfId="4080" applyFont="1" applyBorder="1" applyAlignment="1">
      <alignment horizontal="center"/>
    </xf>
    <xf numFmtId="0" fontId="84" fillId="0" borderId="77" xfId="4080" applyFont="1" applyBorder="1" applyAlignment="1">
      <alignment horizontal="center"/>
    </xf>
    <xf numFmtId="0" fontId="85" fillId="0" borderId="108" xfId="4080" applyFont="1" applyBorder="1"/>
    <xf numFmtId="184" fontId="86" fillId="0" borderId="32" xfId="4081" applyNumberFormat="1" applyFont="1" applyFill="1" applyBorder="1"/>
    <xf numFmtId="184" fontId="0" fillId="0" borderId="96" xfId="1" applyNumberFormat="1" applyFont="1" applyFill="1" applyBorder="1" applyAlignment="1">
      <alignment vertical="center"/>
    </xf>
    <xf numFmtId="0" fontId="59" fillId="0" borderId="78" xfId="0" applyFont="1" applyBorder="1" applyAlignment="1">
      <alignment vertical="center"/>
    </xf>
    <xf numFmtId="14" fontId="0" fillId="0" borderId="0" xfId="0" applyNumberFormat="1" applyAlignment="1">
      <alignment vertical="center"/>
    </xf>
    <xf numFmtId="0" fontId="99" fillId="0" borderId="105" xfId="4052" applyFont="1" applyBorder="1"/>
    <xf numFmtId="0" fontId="99" fillId="0" borderId="98" xfId="4052" applyFont="1" applyBorder="1"/>
    <xf numFmtId="0" fontId="100" fillId="0" borderId="84" xfId="4052" applyFont="1" applyBorder="1" applyAlignment="1">
      <alignment horizontal="right"/>
    </xf>
    <xf numFmtId="0" fontId="101" fillId="0" borderId="0" xfId="0" applyFont="1"/>
    <xf numFmtId="0" fontId="101" fillId="0" borderId="108" xfId="4052" applyFont="1" applyBorder="1" applyAlignment="1">
      <alignment horizontal="center"/>
    </xf>
    <xf numFmtId="0" fontId="101" fillId="0" borderId="0" xfId="4052" applyFont="1" applyAlignment="1">
      <alignment horizontal="center"/>
    </xf>
    <xf numFmtId="0" fontId="99" fillId="0" borderId="0" xfId="4052" applyFont="1" applyAlignment="1">
      <alignment horizontal="right"/>
    </xf>
    <xf numFmtId="0" fontId="101" fillId="0" borderId="0" xfId="4082" applyFont="1"/>
    <xf numFmtId="0" fontId="101" fillId="0" borderId="0" xfId="4052" applyFont="1" applyAlignment="1">
      <alignment horizontal="right"/>
    </xf>
    <xf numFmtId="0" fontId="100" fillId="0" borderId="33" xfId="4052" applyFont="1" applyBorder="1" applyAlignment="1">
      <alignment horizontal="right"/>
    </xf>
    <xf numFmtId="0" fontId="101" fillId="0" borderId="108" xfId="4052" applyFont="1" applyBorder="1"/>
    <xf numFmtId="0" fontId="101" fillId="0" borderId="0" xfId="4052" applyFont="1"/>
    <xf numFmtId="0" fontId="103" fillId="0" borderId="33" xfId="4052" applyFont="1" applyBorder="1" applyAlignment="1">
      <alignment horizontal="right"/>
    </xf>
    <xf numFmtId="0" fontId="101" fillId="0" borderId="108" xfId="0" applyFont="1" applyBorder="1"/>
    <xf numFmtId="0" fontId="101" fillId="0" borderId="33" xfId="0" applyFont="1" applyBorder="1"/>
    <xf numFmtId="0" fontId="99" fillId="0" borderId="108" xfId="4083" quotePrefix="1" applyFont="1" applyFill="1" applyBorder="1" applyAlignment="1">
      <alignment horizontal="left" vertical="top"/>
    </xf>
    <xf numFmtId="0" fontId="101" fillId="0" borderId="0" xfId="4083" applyFont="1" applyFill="1" applyBorder="1" applyAlignment="1">
      <alignment vertical="top"/>
    </xf>
    <xf numFmtId="175" fontId="101" fillId="0" borderId="0" xfId="4083" applyNumberFormat="1" applyFont="1" applyFill="1" applyBorder="1" applyAlignment="1">
      <alignment vertical="top"/>
    </xf>
    <xf numFmtId="0" fontId="101" fillId="0" borderId="33" xfId="4083" applyFont="1" applyFill="1" applyBorder="1" applyAlignment="1">
      <alignment vertical="top"/>
    </xf>
    <xf numFmtId="0" fontId="101" fillId="0" borderId="0" xfId="4083" applyFont="1" applyFill="1" applyAlignment="1">
      <alignment vertical="top"/>
    </xf>
    <xf numFmtId="0" fontId="99" fillId="0" borderId="109" xfId="4083" applyFont="1" applyFill="1" applyBorder="1" applyAlignment="1">
      <alignment vertical="top"/>
    </xf>
    <xf numFmtId="0" fontId="99" fillId="0" borderId="10" xfId="4083" applyFont="1" applyFill="1" applyBorder="1" applyAlignment="1">
      <alignment vertical="top"/>
    </xf>
    <xf numFmtId="175" fontId="99" fillId="0" borderId="10" xfId="4083" applyNumberFormat="1" applyFont="1" applyFill="1" applyBorder="1" applyAlignment="1">
      <alignment vertical="top"/>
    </xf>
    <xf numFmtId="0" fontId="104" fillId="0" borderId="31" xfId="4083" applyFont="1" applyFill="1" applyBorder="1" applyAlignment="1">
      <alignment horizontal="right" vertical="top"/>
    </xf>
    <xf numFmtId="0" fontId="101" fillId="0" borderId="0" xfId="4083" applyFont="1" applyFill="1" applyAlignment="1">
      <alignment horizontal="justify" vertical="center" wrapText="1"/>
    </xf>
    <xf numFmtId="0" fontId="101" fillId="0" borderId="96" xfId="4083" applyFont="1" applyFill="1" applyBorder="1" applyAlignment="1">
      <alignment horizontal="center"/>
    </xf>
    <xf numFmtId="0" fontId="99" fillId="0" borderId="96" xfId="4083" applyFont="1" applyFill="1" applyBorder="1" applyAlignment="1">
      <alignment horizontal="center" vertical="center"/>
    </xf>
    <xf numFmtId="0" fontId="101" fillId="0" borderId="94" xfId="4083" applyFont="1" applyFill="1" applyBorder="1" applyAlignment="1">
      <alignment horizontal="center"/>
    </xf>
    <xf numFmtId="0" fontId="99" fillId="0" borderId="94" xfId="4083" applyFont="1" applyFill="1" applyBorder="1" applyAlignment="1">
      <alignment horizontal="center"/>
    </xf>
    <xf numFmtId="0" fontId="101" fillId="0" borderId="32" xfId="4083" applyFont="1" applyFill="1" applyBorder="1" applyAlignment="1">
      <alignment horizontal="center"/>
    </xf>
    <xf numFmtId="0" fontId="101" fillId="0" borderId="32" xfId="4083" applyFont="1" applyFill="1" applyBorder="1" applyAlignment="1">
      <alignment horizontal="left"/>
    </xf>
    <xf numFmtId="175" fontId="101" fillId="0" borderId="32" xfId="4068" applyNumberFormat="1" applyFont="1" applyFill="1" applyBorder="1" applyAlignment="1"/>
    <xf numFmtId="175" fontId="101" fillId="54" borderId="32" xfId="4068" applyNumberFormat="1" applyFont="1" applyFill="1" applyBorder="1" applyAlignment="1"/>
    <xf numFmtId="175" fontId="101" fillId="0" borderId="0" xfId="4083" applyNumberFormat="1" applyFont="1" applyFill="1" applyAlignment="1">
      <alignment vertical="top"/>
    </xf>
    <xf numFmtId="43" fontId="101" fillId="0" borderId="32" xfId="4068" applyFont="1" applyFill="1" applyBorder="1" applyAlignment="1">
      <alignment vertical="center"/>
    </xf>
    <xf numFmtId="0" fontId="101" fillId="0" borderId="32" xfId="4083" applyFont="1" applyFill="1" applyBorder="1" applyAlignment="1"/>
    <xf numFmtId="0" fontId="101" fillId="0" borderId="96" xfId="4083" applyFont="1" applyFill="1" applyBorder="1" applyAlignment="1"/>
    <xf numFmtId="0" fontId="99" fillId="0" borderId="96" xfId="4083" applyFont="1" applyFill="1" applyBorder="1" applyAlignment="1"/>
    <xf numFmtId="175" fontId="99" fillId="0" borderId="96" xfId="4068" applyNumberFormat="1" applyFont="1" applyFill="1" applyBorder="1" applyAlignment="1"/>
    <xf numFmtId="175" fontId="99" fillId="53" borderId="96" xfId="4068" applyNumberFormat="1" applyFont="1" applyFill="1" applyBorder="1" applyAlignment="1"/>
    <xf numFmtId="0" fontId="105" fillId="0" borderId="108" xfId="4083" applyFont="1" applyFill="1" applyBorder="1" applyAlignment="1"/>
    <xf numFmtId="0" fontId="106" fillId="0" borderId="0" xfId="4083" applyFont="1" applyFill="1" applyBorder="1" applyAlignment="1"/>
    <xf numFmtId="175" fontId="106" fillId="0" borderId="0" xfId="4085" applyNumberFormat="1" applyFont="1" applyFill="1" applyBorder="1" applyAlignment="1"/>
    <xf numFmtId="43" fontId="106" fillId="0" borderId="0" xfId="4068" applyFont="1" applyFill="1" applyBorder="1" applyAlignment="1"/>
    <xf numFmtId="175" fontId="99" fillId="0" borderId="0" xfId="4085" applyNumberFormat="1" applyFont="1" applyFill="1" applyBorder="1" applyAlignment="1"/>
    <xf numFmtId="175" fontId="99" fillId="0" borderId="33" xfId="4085" applyNumberFormat="1" applyFont="1" applyFill="1" applyBorder="1" applyAlignment="1"/>
    <xf numFmtId="0" fontId="105" fillId="0" borderId="108" xfId="4083" applyFont="1" applyFill="1" applyBorder="1" applyAlignment="1">
      <alignment vertical="top"/>
    </xf>
    <xf numFmtId="0" fontId="105" fillId="0" borderId="0" xfId="4083" applyFont="1" applyFill="1" applyBorder="1" applyAlignment="1">
      <alignment vertical="top"/>
    </xf>
    <xf numFmtId="175" fontId="105" fillId="0" borderId="0" xfId="4083" applyNumberFormat="1" applyFont="1" applyFill="1" applyBorder="1" applyAlignment="1">
      <alignment vertical="top"/>
    </xf>
    <xf numFmtId="175" fontId="107" fillId="0" borderId="0" xfId="4083" applyNumberFormat="1" applyFont="1" applyFill="1" applyBorder="1" applyAlignment="1">
      <alignment vertical="top"/>
    </xf>
    <xf numFmtId="175" fontId="101" fillId="0" borderId="33" xfId="4083" applyNumberFormat="1" applyFont="1" applyFill="1" applyBorder="1" applyAlignment="1">
      <alignment vertical="top"/>
    </xf>
    <xf numFmtId="0" fontId="108" fillId="0" borderId="108" xfId="4086" applyFont="1" applyBorder="1" applyAlignment="1">
      <alignment vertical="top"/>
    </xf>
    <xf numFmtId="0" fontId="105" fillId="0" borderId="0" xfId="4087" applyFont="1" applyFill="1" applyBorder="1" applyAlignment="1">
      <alignment vertical="top"/>
    </xf>
    <xf numFmtId="195" fontId="105" fillId="0" borderId="0" xfId="4085" applyNumberFormat="1" applyFont="1" applyFill="1" applyBorder="1" applyAlignment="1">
      <alignment vertical="top"/>
    </xf>
    <xf numFmtId="0" fontId="101" fillId="0" borderId="108" xfId="4086" applyFont="1" applyBorder="1" applyAlignment="1">
      <alignment horizontal="right" vertical="top"/>
    </xf>
    <xf numFmtId="0" fontId="101" fillId="0" borderId="109" xfId="4086" applyFont="1" applyBorder="1" applyAlignment="1">
      <alignment horizontal="right" vertical="top"/>
    </xf>
    <xf numFmtId="0" fontId="101" fillId="0" borderId="0" xfId="4086" applyFont="1" applyAlignment="1">
      <alignment vertical="top"/>
    </xf>
    <xf numFmtId="0" fontId="101" fillId="0" borderId="0" xfId="4087" applyFont="1" applyFill="1" applyAlignment="1">
      <alignment vertical="top"/>
    </xf>
    <xf numFmtId="43" fontId="101" fillId="0" borderId="0" xfId="4068" applyFont="1" applyFill="1" applyAlignment="1">
      <alignment vertical="top"/>
    </xf>
    <xf numFmtId="166" fontId="101" fillId="0" borderId="0" xfId="4083" applyNumberFormat="1" applyFont="1" applyFill="1" applyAlignment="1">
      <alignment vertical="top"/>
    </xf>
    <xf numFmtId="166" fontId="101" fillId="0" borderId="0" xfId="0" applyNumberFormat="1" applyFont="1"/>
    <xf numFmtId="175" fontId="101" fillId="0" borderId="0" xfId="4068" applyNumberFormat="1" applyFont="1"/>
    <xf numFmtId="43" fontId="101" fillId="0" borderId="0" xfId="4068" applyFont="1" applyFill="1"/>
    <xf numFmtId="2" fontId="101" fillId="0" borderId="0" xfId="0" applyNumberFormat="1" applyFont="1"/>
    <xf numFmtId="175" fontId="101" fillId="0" borderId="0" xfId="0" applyNumberFormat="1" applyFont="1"/>
    <xf numFmtId="166" fontId="110" fillId="0" borderId="0" xfId="4089" applyNumberFormat="1" applyFont="1"/>
    <xf numFmtId="0" fontId="111" fillId="65" borderId="96" xfId="0" applyFont="1" applyFill="1" applyBorder="1"/>
    <xf numFmtId="175" fontId="112" fillId="65" borderId="96" xfId="347" applyNumberFormat="1" applyFont="1" applyFill="1" applyBorder="1" applyAlignment="1">
      <alignment horizontal="center" vertical="top"/>
    </xf>
    <xf numFmtId="0" fontId="43" fillId="0" borderId="96" xfId="0" applyFont="1" applyBorder="1"/>
    <xf numFmtId="175" fontId="43" fillId="0" borderId="96" xfId="347" applyNumberFormat="1" applyFont="1" applyBorder="1"/>
    <xf numFmtId="175" fontId="43" fillId="0" borderId="96" xfId="0" applyNumberFormat="1" applyFont="1" applyBorder="1"/>
    <xf numFmtId="0" fontId="43" fillId="0" borderId="96" xfId="0" applyFont="1" applyBorder="1" applyAlignment="1">
      <alignment horizontal="left"/>
    </xf>
    <xf numFmtId="175" fontId="43" fillId="53" borderId="96" xfId="0" applyNumberFormat="1" applyFont="1" applyFill="1" applyBorder="1"/>
    <xf numFmtId="175" fontId="59" fillId="52" borderId="0" xfId="0" applyNumberFormat="1" applyFont="1" applyFill="1"/>
    <xf numFmtId="175" fontId="59" fillId="0" borderId="0" xfId="0" applyNumberFormat="1" applyFont="1"/>
    <xf numFmtId="0" fontId="101" fillId="0" borderId="0" xfId="4083" applyFont="1" applyFill="1" applyBorder="1" applyAlignment="1">
      <alignment horizontal="left"/>
    </xf>
    <xf numFmtId="175" fontId="82" fillId="0" borderId="94" xfId="4033" applyNumberFormat="1" applyFont="1" applyFill="1" applyBorder="1" applyAlignment="1">
      <alignment horizontal="center"/>
    </xf>
    <xf numFmtId="0" fontId="99" fillId="0" borderId="94" xfId="4083" applyFont="1" applyFill="1" applyBorder="1" applyAlignment="1">
      <alignment horizontal="center" vertical="center" wrapText="1"/>
    </xf>
    <xf numFmtId="0" fontId="112" fillId="65" borderId="96" xfId="0" applyFont="1" applyFill="1" applyBorder="1" applyAlignment="1">
      <alignment horizontal="center" vertical="top"/>
    </xf>
    <xf numFmtId="0" fontId="59" fillId="66" borderId="67" xfId="0" applyFont="1" applyFill="1" applyBorder="1" applyAlignment="1">
      <alignment vertical="center"/>
    </xf>
    <xf numFmtId="0" fontId="59" fillId="66" borderId="69" xfId="0" applyFont="1" applyFill="1" applyBorder="1" applyAlignment="1">
      <alignment horizontal="center"/>
    </xf>
    <xf numFmtId="0" fontId="0" fillId="0" borderId="101" xfId="0" applyBorder="1" applyAlignment="1">
      <alignment vertical="center"/>
    </xf>
    <xf numFmtId="0" fontId="0" fillId="0" borderId="71" xfId="0" applyBorder="1" applyAlignment="1">
      <alignment vertical="center"/>
    </xf>
    <xf numFmtId="184" fontId="0" fillId="0" borderId="73" xfId="1" applyNumberFormat="1" applyFont="1" applyBorder="1" applyAlignment="1">
      <alignment vertical="center"/>
    </xf>
    <xf numFmtId="175" fontId="43" fillId="0" borderId="96" xfId="347" applyNumberFormat="1" applyFont="1" applyFill="1" applyBorder="1"/>
    <xf numFmtId="175" fontId="112" fillId="0" borderId="96" xfId="347" applyNumberFormat="1" applyFont="1" applyFill="1" applyBorder="1" applyAlignment="1">
      <alignment horizontal="center" vertical="top"/>
    </xf>
    <xf numFmtId="0" fontId="58" fillId="56" borderId="103" xfId="359" applyNumberFormat="1" applyFont="1" applyFill="1" applyBorder="1" applyAlignment="1">
      <alignment vertical="top"/>
    </xf>
    <xf numFmtId="0" fontId="58" fillId="56" borderId="100" xfId="359" applyNumberFormat="1" applyFont="1" applyFill="1" applyBorder="1" applyAlignment="1">
      <alignment vertical="top"/>
    </xf>
    <xf numFmtId="43" fontId="91" fillId="0" borderId="0" xfId="1" applyFont="1" applyAlignment="1">
      <alignment vertical="center"/>
    </xf>
    <xf numFmtId="0" fontId="90" fillId="0" borderId="0" xfId="1" applyNumberFormat="1" applyFont="1" applyFill="1" applyBorder="1" applyAlignment="1">
      <alignment horizontal="left" vertical="center"/>
    </xf>
    <xf numFmtId="0" fontId="91" fillId="67" borderId="0" xfId="0" applyFont="1" applyFill="1" applyAlignment="1">
      <alignment horizontal="left" vertical="center"/>
    </xf>
    <xf numFmtId="0" fontId="91" fillId="67" borderId="0" xfId="1" applyNumberFormat="1" applyFont="1" applyFill="1" applyBorder="1" applyAlignment="1">
      <alignment horizontal="left" vertical="center"/>
    </xf>
    <xf numFmtId="184" fontId="91" fillId="67" borderId="0" xfId="1" applyNumberFormat="1" applyFont="1" applyFill="1" applyBorder="1" applyAlignment="1">
      <alignment vertical="center"/>
    </xf>
    <xf numFmtId="184" fontId="90" fillId="67" borderId="0" xfId="1" applyNumberFormat="1" applyFont="1" applyFill="1" applyBorder="1" applyAlignment="1">
      <alignment vertical="center"/>
    </xf>
    <xf numFmtId="184" fontId="74" fillId="67" borderId="0" xfId="1" applyNumberFormat="1" applyFont="1" applyFill="1" applyBorder="1" applyAlignment="1">
      <alignment vertical="center"/>
    </xf>
    <xf numFmtId="43" fontId="91" fillId="67" borderId="0" xfId="1" applyFont="1" applyFill="1" applyAlignment="1">
      <alignment vertical="center"/>
    </xf>
    <xf numFmtId="0" fontId="74" fillId="67" borderId="0" xfId="0" applyFont="1" applyFill="1" applyAlignment="1">
      <alignment horizontal="center" vertical="center"/>
    </xf>
    <xf numFmtId="0" fontId="74" fillId="67" borderId="0" xfId="0" applyFont="1" applyFill="1" applyAlignment="1">
      <alignment vertical="center"/>
    </xf>
    <xf numFmtId="0" fontId="91" fillId="67" borderId="0" xfId="0" applyFont="1" applyFill="1" applyAlignment="1">
      <alignment horizontal="center" vertical="center"/>
    </xf>
    <xf numFmtId="184" fontId="91" fillId="67" borderId="0" xfId="0" applyNumberFormat="1" applyFont="1" applyFill="1" applyAlignment="1">
      <alignment vertical="center"/>
    </xf>
    <xf numFmtId="0" fontId="91" fillId="67" borderId="0" xfId="0" applyFont="1" applyFill="1" applyAlignment="1">
      <alignment vertical="center"/>
    </xf>
    <xf numFmtId="43" fontId="91" fillId="67" borderId="0" xfId="1" applyFont="1" applyFill="1" applyBorder="1" applyAlignment="1">
      <alignment vertical="center"/>
    </xf>
    <xf numFmtId="184" fontId="91" fillId="67" borderId="0" xfId="1" applyNumberFormat="1" applyFont="1" applyFill="1" applyBorder="1" applyAlignment="1">
      <alignment horizontal="right" vertical="center"/>
    </xf>
    <xf numFmtId="184" fontId="74" fillId="67" borderId="0" xfId="1" applyNumberFormat="1" applyFont="1" applyFill="1" applyBorder="1" applyAlignment="1">
      <alignment horizontal="center" vertical="center"/>
    </xf>
    <xf numFmtId="43" fontId="63" fillId="0" borderId="0" xfId="0" applyNumberFormat="1" applyFont="1" applyAlignment="1">
      <alignment horizontal="center"/>
    </xf>
    <xf numFmtId="184" fontId="90" fillId="68" borderId="0" xfId="1" applyNumberFormat="1" applyFont="1" applyFill="1" applyBorder="1" applyAlignment="1">
      <alignment vertical="center"/>
    </xf>
    <xf numFmtId="43" fontId="91" fillId="0" borderId="0" xfId="1" applyFont="1" applyFill="1" applyAlignment="1">
      <alignment vertical="center"/>
    </xf>
    <xf numFmtId="43" fontId="63" fillId="0" borderId="0" xfId="1" applyFont="1"/>
    <xf numFmtId="184" fontId="91" fillId="69" borderId="0" xfId="1" applyNumberFormat="1" applyFont="1" applyFill="1" applyBorder="1" applyAlignment="1">
      <alignment vertical="center"/>
    </xf>
    <xf numFmtId="43" fontId="91" fillId="69" borderId="0" xfId="1" applyFont="1" applyFill="1" applyAlignment="1">
      <alignment vertical="center"/>
    </xf>
    <xf numFmtId="0" fontId="74" fillId="69" borderId="0" xfId="0" applyFont="1" applyFill="1" applyAlignment="1">
      <alignment vertical="center"/>
    </xf>
    <xf numFmtId="184" fontId="91" fillId="0" borderId="0" xfId="1" applyNumberFormat="1" applyFont="1" applyAlignment="1">
      <alignment horizontal="center" vertical="center"/>
    </xf>
    <xf numFmtId="184" fontId="91" fillId="0" borderId="0" xfId="1" applyNumberFormat="1" applyFont="1" applyAlignment="1">
      <alignment vertical="center"/>
    </xf>
    <xf numFmtId="184" fontId="91" fillId="62" borderId="0" xfId="1" applyNumberFormat="1" applyFont="1" applyFill="1" applyBorder="1" applyAlignment="1">
      <alignment vertical="center"/>
    </xf>
    <xf numFmtId="43" fontId="91" fillId="0" borderId="0" xfId="0" applyNumberFormat="1" applyFont="1" applyAlignment="1">
      <alignment vertical="center"/>
    </xf>
    <xf numFmtId="184" fontId="62" fillId="67" borderId="0" xfId="1" applyNumberFormat="1" applyFont="1" applyFill="1" applyAlignment="1">
      <alignment vertical="center"/>
    </xf>
    <xf numFmtId="0" fontId="85" fillId="67" borderId="0" xfId="0" applyFont="1" applyFill="1" applyAlignment="1">
      <alignment horizontal="left"/>
    </xf>
    <xf numFmtId="0" fontId="85" fillId="67" borderId="0" xfId="0" applyFont="1" applyFill="1" applyAlignment="1">
      <alignment horizontal="center"/>
    </xf>
    <xf numFmtId="0" fontId="85" fillId="67" borderId="0" xfId="0" applyFont="1" applyFill="1"/>
    <xf numFmtId="166" fontId="85" fillId="67" borderId="0" xfId="0" applyNumberFormat="1" applyFont="1" applyFill="1"/>
    <xf numFmtId="189" fontId="87" fillId="67" borderId="0" xfId="1" applyNumberFormat="1" applyFont="1" applyFill="1" applyBorder="1" applyAlignment="1">
      <alignment vertical="top"/>
    </xf>
    <xf numFmtId="0" fontId="90" fillId="0" borderId="0" xfId="0" applyFont="1" applyAlignment="1">
      <alignment horizontal="left" vertical="center"/>
    </xf>
    <xf numFmtId="0" fontId="90" fillId="0" borderId="0" xfId="0" applyFont="1" applyAlignment="1">
      <alignment vertical="center"/>
    </xf>
    <xf numFmtId="4" fontId="91" fillId="0" borderId="0" xfId="0" applyNumberFormat="1" applyFont="1" applyAlignment="1">
      <alignment horizontal="center" vertical="center"/>
    </xf>
    <xf numFmtId="4" fontId="91" fillId="0" borderId="0" xfId="0" applyNumberFormat="1" applyFont="1" applyAlignment="1">
      <alignment vertical="center"/>
    </xf>
    <xf numFmtId="3" fontId="91" fillId="0" borderId="0" xfId="0" applyNumberFormat="1" applyFont="1" applyAlignment="1">
      <alignment vertical="center"/>
    </xf>
    <xf numFmtId="3" fontId="74" fillId="0" borderId="0" xfId="0" applyNumberFormat="1" applyFont="1" applyAlignment="1">
      <alignment vertical="center"/>
    </xf>
    <xf numFmtId="184" fontId="71" fillId="0" borderId="0" xfId="1" applyNumberFormat="1" applyFont="1" applyFill="1" applyBorder="1" applyAlignment="1">
      <alignment vertical="center"/>
    </xf>
    <xf numFmtId="0" fontId="113" fillId="0" borderId="0" xfId="1" applyNumberFormat="1" applyFont="1" applyFill="1" applyBorder="1" applyAlignment="1">
      <alignment horizontal="left" vertical="center"/>
    </xf>
    <xf numFmtId="0" fontId="113" fillId="0" borderId="0" xfId="0" applyFont="1" applyAlignment="1">
      <alignment horizontal="left" vertical="center"/>
    </xf>
    <xf numFmtId="184" fontId="74" fillId="67" borderId="0" xfId="1" applyNumberFormat="1" applyFont="1" applyFill="1" applyAlignment="1">
      <alignment vertical="center"/>
    </xf>
    <xf numFmtId="184" fontId="92" fillId="0" borderId="0" xfId="1" applyNumberFormat="1" applyFont="1" applyFill="1" applyBorder="1" applyAlignment="1">
      <alignment vertical="center"/>
    </xf>
    <xf numFmtId="184" fontId="91" fillId="52" borderId="0" xfId="0" applyNumberFormat="1" applyFont="1" applyFill="1" applyAlignment="1">
      <alignment vertical="center"/>
    </xf>
    <xf numFmtId="184" fontId="62" fillId="0" borderId="98" xfId="1" applyNumberFormat="1" applyFont="1" applyBorder="1"/>
    <xf numFmtId="0" fontId="71" fillId="62" borderId="0" xfId="2174" applyFont="1" applyFill="1" applyAlignment="1">
      <alignment horizontal="center" vertical="center"/>
    </xf>
    <xf numFmtId="0" fontId="71" fillId="62" borderId="96" xfId="2174" applyFont="1" applyFill="1" applyBorder="1" applyAlignment="1">
      <alignment horizontal="center" vertical="center"/>
    </xf>
    <xf numFmtId="0" fontId="74" fillId="67" borderId="0" xfId="0" applyFont="1" applyFill="1" applyAlignment="1">
      <alignment horizontal="left" vertical="center"/>
    </xf>
    <xf numFmtId="0" fontId="71" fillId="0" borderId="0" xfId="0" applyFont="1" applyAlignment="1">
      <alignment horizontal="left" vertical="center"/>
    </xf>
    <xf numFmtId="184" fontId="90" fillId="58" borderId="0" xfId="1" applyNumberFormat="1" applyFont="1" applyFill="1" applyBorder="1" applyAlignment="1">
      <alignment vertical="center"/>
    </xf>
    <xf numFmtId="184" fontId="91" fillId="0" borderId="98" xfId="1" applyNumberFormat="1" applyFont="1" applyFill="1" applyBorder="1" applyAlignment="1">
      <alignment vertical="center"/>
    </xf>
    <xf numFmtId="0" fontId="74" fillId="0" borderId="98" xfId="0" applyFont="1" applyBorder="1" applyAlignment="1">
      <alignment vertical="center"/>
    </xf>
    <xf numFmtId="184" fontId="74" fillId="0" borderId="98" xfId="1" applyNumberFormat="1" applyFont="1" applyBorder="1" applyAlignment="1">
      <alignment horizontal="center" vertical="center"/>
    </xf>
    <xf numFmtId="0" fontId="74" fillId="0" borderId="98" xfId="0" applyFont="1" applyBorder="1" applyAlignment="1">
      <alignment horizontal="center" vertical="center"/>
    </xf>
    <xf numFmtId="0" fontId="92" fillId="0" borderId="0" xfId="0" applyFont="1" applyAlignment="1">
      <alignment vertical="center"/>
    </xf>
    <xf numFmtId="0" fontId="74" fillId="0" borderId="10" xfId="0" applyFont="1" applyBorder="1" applyAlignment="1">
      <alignment vertical="center"/>
    </xf>
    <xf numFmtId="184" fontId="91" fillId="0" borderId="10" xfId="1" applyNumberFormat="1" applyFont="1" applyFill="1" applyBorder="1" applyAlignment="1">
      <alignment vertical="center"/>
    </xf>
    <xf numFmtId="184" fontId="74" fillId="0" borderId="10" xfId="1" applyNumberFormat="1" applyFont="1" applyBorder="1" applyAlignment="1">
      <alignment horizontal="center" vertical="center"/>
    </xf>
    <xf numFmtId="0" fontId="74" fillId="0" borderId="10" xfId="0" applyFont="1" applyBorder="1" applyAlignment="1">
      <alignment horizontal="center" vertical="center"/>
    </xf>
    <xf numFmtId="0" fontId="62" fillId="56" borderId="90" xfId="4063" applyFont="1" applyFill="1" applyBorder="1"/>
    <xf numFmtId="0" fontId="74" fillId="52" borderId="0" xfId="0" applyFont="1" applyFill="1" applyAlignment="1">
      <alignment horizontal="center" vertical="center"/>
    </xf>
    <xf numFmtId="0" fontId="74" fillId="52" borderId="0" xfId="0" applyFont="1" applyFill="1" applyAlignment="1">
      <alignment vertical="center"/>
    </xf>
    <xf numFmtId="4" fontId="74" fillId="52" borderId="0" xfId="0" applyNumberFormat="1" applyFont="1" applyFill="1" applyAlignment="1">
      <alignment vertical="center"/>
    </xf>
    <xf numFmtId="184" fontId="114" fillId="0" borderId="0" xfId="1" applyNumberFormat="1" applyFont="1"/>
    <xf numFmtId="184" fontId="115" fillId="0" borderId="0" xfId="1" applyNumberFormat="1" applyFont="1"/>
    <xf numFmtId="43" fontId="0" fillId="0" borderId="0" xfId="1" applyFont="1" applyFill="1"/>
    <xf numFmtId="175" fontId="0" fillId="0" borderId="0" xfId="4085" applyNumberFormat="1" applyFont="1" applyAlignment="1">
      <alignment vertical="top"/>
    </xf>
    <xf numFmtId="0" fontId="0" fillId="0" borderId="0" xfId="0" applyAlignment="1">
      <alignment horizontal="left" vertical="top"/>
    </xf>
    <xf numFmtId="175" fontId="0" fillId="0" borderId="0" xfId="0" applyNumberFormat="1" applyAlignment="1">
      <alignment vertical="top"/>
    </xf>
    <xf numFmtId="9" fontId="0" fillId="0" borderId="0" xfId="4071" applyFont="1" applyAlignment="1">
      <alignment vertical="top"/>
    </xf>
    <xf numFmtId="189" fontId="58" fillId="56" borderId="102" xfId="0" applyNumberFormat="1" applyFont="1" applyFill="1" applyBorder="1"/>
    <xf numFmtId="43" fontId="0" fillId="0" borderId="98" xfId="1" applyFont="1" applyBorder="1"/>
    <xf numFmtId="189" fontId="59" fillId="0" borderId="98" xfId="1" applyNumberFormat="1" applyFont="1" applyFill="1" applyBorder="1"/>
    <xf numFmtId="189" fontId="59" fillId="0" borderId="102" xfId="1" applyNumberFormat="1" applyFont="1" applyBorder="1"/>
    <xf numFmtId="43" fontId="59" fillId="56" borderId="100" xfId="1" applyFont="1" applyFill="1" applyBorder="1"/>
    <xf numFmtId="43" fontId="0" fillId="0" borderId="98" xfId="1" applyFont="1" applyFill="1" applyBorder="1"/>
    <xf numFmtId="43" fontId="0" fillId="0" borderId="10" xfId="1" applyFont="1" applyFill="1" applyBorder="1"/>
    <xf numFmtId="166" fontId="59" fillId="56" borderId="10" xfId="0" applyNumberFormat="1" applyFont="1" applyFill="1" applyBorder="1" applyAlignment="1">
      <alignment horizontal="center"/>
    </xf>
    <xf numFmtId="0" fontId="59" fillId="56" borderId="100" xfId="0" applyFont="1" applyFill="1" applyBorder="1" applyAlignment="1">
      <alignment horizontal="center"/>
    </xf>
    <xf numFmtId="189" fontId="59" fillId="56" borderId="100" xfId="0" applyNumberFormat="1" applyFont="1" applyFill="1" applyBorder="1" applyAlignment="1">
      <alignment horizontal="center"/>
    </xf>
    <xf numFmtId="189" fontId="59" fillId="56" borderId="104" xfId="0" applyNumberFormat="1" applyFont="1" applyFill="1" applyBorder="1" applyAlignment="1">
      <alignment horizontal="center"/>
    </xf>
    <xf numFmtId="43" fontId="59" fillId="56" borderId="100" xfId="1" applyFont="1" applyFill="1" applyBorder="1" applyAlignment="1">
      <alignment horizontal="center"/>
    </xf>
    <xf numFmtId="0" fontId="0" fillId="0" borderId="112" xfId="0" applyBorder="1"/>
    <xf numFmtId="0" fontId="0" fillId="0" borderId="113" xfId="0" applyBorder="1"/>
    <xf numFmtId="43" fontId="0" fillId="0" borderId="113" xfId="1" applyFont="1" applyFill="1" applyBorder="1"/>
    <xf numFmtId="189" fontId="0" fillId="0" borderId="114" xfId="1" applyNumberFormat="1" applyFont="1" applyFill="1" applyBorder="1"/>
    <xf numFmtId="184" fontId="0" fillId="0" borderId="113" xfId="1" applyNumberFormat="1" applyFont="1" applyFill="1" applyBorder="1"/>
    <xf numFmtId="43" fontId="59" fillId="56" borderId="98" xfId="1" applyFont="1" applyFill="1" applyBorder="1" applyAlignment="1">
      <alignment horizontal="center"/>
    </xf>
    <xf numFmtId="43" fontId="59" fillId="56" borderId="10" xfId="1" applyFont="1" applyFill="1" applyBorder="1" applyAlignment="1">
      <alignment horizontal="center"/>
    </xf>
    <xf numFmtId="43" fontId="0" fillId="56" borderId="100" xfId="1" applyFont="1" applyFill="1" applyBorder="1"/>
    <xf numFmtId="0" fontId="62" fillId="0" borderId="27" xfId="0" applyFont="1" applyBorder="1" applyAlignment="1">
      <alignment vertical="center" wrapText="1"/>
    </xf>
    <xf numFmtId="0" fontId="62" fillId="0" borderId="92" xfId="0" applyFont="1" applyBorder="1" applyAlignment="1">
      <alignment vertical="center"/>
    </xf>
    <xf numFmtId="0" fontId="62" fillId="0" borderId="98" xfId="0" applyFont="1" applyBorder="1" applyAlignment="1">
      <alignment horizontal="justify" vertical="center" wrapText="1"/>
    </xf>
    <xf numFmtId="189" fontId="62" fillId="0" borderId="98" xfId="0" applyNumberFormat="1" applyFont="1" applyBorder="1" applyAlignment="1">
      <alignment horizontal="right" vertical="center" wrapText="1"/>
    </xf>
    <xf numFmtId="184" fontId="62" fillId="0" borderId="98" xfId="1" applyNumberFormat="1" applyFont="1" applyBorder="1" applyAlignment="1">
      <alignment horizontal="right" vertical="center" wrapText="1"/>
    </xf>
    <xf numFmtId="189" fontId="62" fillId="0" borderId="27" xfId="1" applyNumberFormat="1" applyFont="1" applyFill="1" applyBorder="1" applyAlignment="1">
      <alignment horizontal="right"/>
    </xf>
    <xf numFmtId="183" fontId="0" fillId="0" borderId="96" xfId="1" applyNumberFormat="1" applyFont="1" applyBorder="1" applyAlignment="1">
      <alignment horizontal="center" vertical="top" wrapText="1"/>
    </xf>
    <xf numFmtId="196" fontId="0" fillId="0" borderId="0" xfId="0" applyNumberFormat="1"/>
    <xf numFmtId="196" fontId="0" fillId="0" borderId="27" xfId="0" applyNumberFormat="1" applyBorder="1"/>
    <xf numFmtId="189" fontId="62" fillId="0" borderId="32" xfId="1" applyNumberFormat="1" applyFont="1" applyFill="1" applyBorder="1" applyAlignment="1">
      <alignment horizontal="right"/>
    </xf>
    <xf numFmtId="189" fontId="2" fillId="0" borderId="32" xfId="1" applyNumberFormat="1" applyFont="1" applyFill="1" applyBorder="1" applyAlignment="1">
      <alignment horizontal="right"/>
    </xf>
    <xf numFmtId="189" fontId="2" fillId="0" borderId="32" xfId="1" applyNumberFormat="1" applyFont="1" applyBorder="1" applyAlignment="1">
      <alignment horizontal="right"/>
    </xf>
    <xf numFmtId="189" fontId="59" fillId="0" borderId="32" xfId="1" applyNumberFormat="1" applyFont="1" applyBorder="1" applyAlignment="1">
      <alignment horizontal="right"/>
    </xf>
    <xf numFmtId="184" fontId="74" fillId="0" borderId="0" xfId="1" applyNumberFormat="1" applyFont="1" applyFill="1" applyAlignment="1">
      <alignment vertical="center"/>
    </xf>
    <xf numFmtId="0" fontId="116" fillId="0" borderId="105" xfId="0" applyFont="1" applyBorder="1" applyAlignment="1">
      <alignment vertical="center"/>
    </xf>
    <xf numFmtId="0" fontId="116" fillId="0" borderId="0" xfId="0" applyFont="1" applyAlignment="1">
      <alignment horizontal="center" vertical="center"/>
    </xf>
    <xf numFmtId="0" fontId="116" fillId="0" borderId="0" xfId="0" applyFont="1" applyAlignment="1">
      <alignment horizontal="left" vertical="center"/>
    </xf>
    <xf numFmtId="0" fontId="116" fillId="0" borderId="0" xfId="0" applyFont="1" applyAlignment="1">
      <alignment vertical="center"/>
    </xf>
    <xf numFmtId="184" fontId="116" fillId="0" borderId="0" xfId="1" applyNumberFormat="1" applyFont="1" applyBorder="1" applyAlignment="1">
      <alignment vertical="center"/>
    </xf>
    <xf numFmtId="184" fontId="117" fillId="0" borderId="0" xfId="1" applyNumberFormat="1" applyFont="1" applyFill="1" applyBorder="1" applyAlignment="1">
      <alignment vertical="center"/>
    </xf>
    <xf numFmtId="0" fontId="116" fillId="0" borderId="109" xfId="0" applyFont="1" applyBorder="1" applyAlignment="1">
      <alignment vertical="center"/>
    </xf>
    <xf numFmtId="0" fontId="116" fillId="0" borderId="10" xfId="0" applyFont="1" applyBorder="1" applyAlignment="1">
      <alignment horizontal="center" vertical="center"/>
    </xf>
    <xf numFmtId="0" fontId="116" fillId="0" borderId="10" xfId="0" applyFont="1" applyBorder="1" applyAlignment="1">
      <alignment vertical="center"/>
    </xf>
    <xf numFmtId="184" fontId="116" fillId="0" borderId="10" xfId="1" applyNumberFormat="1" applyFont="1" applyBorder="1" applyAlignment="1">
      <alignment vertical="center"/>
    </xf>
    <xf numFmtId="184" fontId="117" fillId="0" borderId="10" xfId="1" applyNumberFormat="1" applyFont="1" applyFill="1" applyBorder="1" applyAlignment="1">
      <alignment vertical="center"/>
    </xf>
    <xf numFmtId="0" fontId="116" fillId="0" borderId="98" xfId="0" applyFont="1" applyBorder="1" applyAlignment="1">
      <alignment horizontal="center" vertical="center"/>
    </xf>
    <xf numFmtId="0" fontId="116" fillId="0" borderId="98" xfId="0" applyFont="1" applyBorder="1" applyAlignment="1">
      <alignment vertical="center"/>
    </xf>
    <xf numFmtId="184" fontId="116" fillId="0" borderId="98" xfId="1" applyNumberFormat="1" applyFont="1" applyBorder="1" applyAlignment="1">
      <alignment vertical="center"/>
    </xf>
    <xf numFmtId="184" fontId="117" fillId="0" borderId="98" xfId="1" applyNumberFormat="1" applyFont="1" applyFill="1" applyBorder="1" applyAlignment="1">
      <alignment vertical="center"/>
    </xf>
    <xf numFmtId="184" fontId="116" fillId="0" borderId="0" xfId="0" applyNumberFormat="1" applyFont="1" applyAlignment="1">
      <alignment vertical="center"/>
    </xf>
    <xf numFmtId="0" fontId="116" fillId="0" borderId="98" xfId="0" applyFont="1" applyBorder="1" applyAlignment="1">
      <alignment horizontal="left" vertical="center"/>
    </xf>
    <xf numFmtId="4" fontId="116" fillId="0" borderId="98" xfId="0" applyNumberFormat="1" applyFont="1" applyBorder="1" applyAlignment="1">
      <alignment vertical="center"/>
    </xf>
    <xf numFmtId="4" fontId="116" fillId="0" borderId="10" xfId="0" applyNumberFormat="1" applyFont="1" applyBorder="1" applyAlignment="1">
      <alignment vertical="center"/>
    </xf>
    <xf numFmtId="184" fontId="117" fillId="0" borderId="98" xfId="1" applyNumberFormat="1" applyFont="1" applyBorder="1" applyAlignment="1">
      <alignment vertical="center"/>
    </xf>
    <xf numFmtId="0" fontId="116" fillId="0" borderId="108" xfId="0" applyFont="1" applyBorder="1" applyAlignment="1">
      <alignment vertical="center"/>
    </xf>
    <xf numFmtId="184" fontId="117" fillId="0" borderId="0" xfId="1" applyNumberFormat="1" applyFont="1" applyBorder="1" applyAlignment="1">
      <alignment vertical="center"/>
    </xf>
    <xf numFmtId="184" fontId="117" fillId="58" borderId="0" xfId="1" applyNumberFormat="1" applyFont="1" applyFill="1" applyBorder="1" applyAlignment="1">
      <alignment vertical="center"/>
    </xf>
    <xf numFmtId="0" fontId="0" fillId="0" borderId="0" xfId="0" applyAlignment="1">
      <alignment horizontal="justify" vertical="center" wrapText="1"/>
    </xf>
    <xf numFmtId="184" fontId="62" fillId="0" borderId="0" xfId="1" applyNumberFormat="1" applyFont="1" applyBorder="1" applyAlignment="1">
      <alignment horizontal="justify" vertical="center" wrapText="1"/>
    </xf>
    <xf numFmtId="0" fontId="65" fillId="0" borderId="26" xfId="0" applyFont="1" applyBorder="1" applyAlignment="1">
      <alignment wrapText="1"/>
    </xf>
    <xf numFmtId="0" fontId="65" fillId="0" borderId="81" xfId="0" applyFont="1" applyBorder="1" applyAlignment="1">
      <alignment wrapText="1"/>
    </xf>
    <xf numFmtId="0" fontId="65" fillId="0" borderId="28" xfId="0" applyFont="1" applyBorder="1" applyAlignment="1">
      <alignment wrapText="1"/>
    </xf>
    <xf numFmtId="184" fontId="58" fillId="0" borderId="0" xfId="1" applyNumberFormat="1" applyFont="1" applyFill="1" applyBorder="1"/>
    <xf numFmtId="184" fontId="59" fillId="0" borderId="99" xfId="1" applyNumberFormat="1" applyFont="1" applyBorder="1" applyAlignment="1">
      <alignment vertical="center"/>
    </xf>
    <xf numFmtId="184" fontId="0" fillId="53" borderId="99" xfId="1" applyNumberFormat="1" applyFont="1" applyFill="1" applyBorder="1" applyAlignment="1">
      <alignment vertical="center"/>
    </xf>
    <xf numFmtId="184" fontId="0" fillId="53" borderId="73" xfId="1" applyNumberFormat="1" applyFont="1" applyFill="1" applyBorder="1" applyAlignment="1">
      <alignment vertical="center"/>
    </xf>
    <xf numFmtId="0" fontId="101" fillId="0" borderId="96" xfId="4083" applyFont="1" applyFill="1" applyBorder="1" applyAlignment="1">
      <alignment horizontal="left"/>
    </xf>
    <xf numFmtId="184" fontId="59" fillId="53" borderId="96" xfId="1" applyNumberFormat="1" applyFont="1" applyFill="1" applyBorder="1" applyAlignment="1">
      <alignment vertical="center"/>
    </xf>
    <xf numFmtId="184" fontId="62" fillId="52" borderId="0" xfId="0" applyNumberFormat="1" applyFont="1" applyFill="1" applyAlignment="1">
      <alignment vertical="center"/>
    </xf>
    <xf numFmtId="0" fontId="59" fillId="0" borderId="113" xfId="0" applyFont="1" applyBorder="1" applyAlignment="1">
      <alignment vertical="center"/>
    </xf>
    <xf numFmtId="184" fontId="59" fillId="0" borderId="113" xfId="0" applyNumberFormat="1" applyFont="1" applyBorder="1" applyAlignment="1">
      <alignment vertical="center"/>
    </xf>
    <xf numFmtId="0" fontId="118" fillId="0" borderId="0" xfId="4080" applyFont="1" applyAlignment="1">
      <alignment vertical="top" readingOrder="1"/>
    </xf>
    <xf numFmtId="0" fontId="119" fillId="0" borderId="0" xfId="4080" applyFont="1" applyAlignment="1">
      <alignment vertical="top" readingOrder="1"/>
    </xf>
    <xf numFmtId="0" fontId="120" fillId="0" borderId="122" xfId="4080" applyFont="1" applyBorder="1" applyAlignment="1">
      <alignment horizontal="left" vertical="top" readingOrder="1"/>
    </xf>
    <xf numFmtId="0" fontId="120" fillId="0" borderId="122" xfId="4080" applyFont="1" applyBorder="1" applyAlignment="1">
      <alignment horizontal="center" vertical="top" readingOrder="1"/>
    </xf>
    <xf numFmtId="0" fontId="121" fillId="0" borderId="122" xfId="4080" applyFont="1" applyBorder="1" applyAlignment="1">
      <alignment horizontal="right" vertical="top" readingOrder="1"/>
    </xf>
    <xf numFmtId="197" fontId="119" fillId="0" borderId="123" xfId="4080" applyNumberFormat="1" applyFont="1" applyBorder="1" applyAlignment="1">
      <alignment horizontal="left" vertical="top" readingOrder="1"/>
    </xf>
    <xf numFmtId="0" fontId="122" fillId="0" borderId="123" xfId="4080" applyFont="1" applyBorder="1" applyAlignment="1">
      <alignment horizontal="center" vertical="top" readingOrder="1"/>
    </xf>
    <xf numFmtId="184" fontId="119" fillId="0" borderId="123" xfId="4081" applyNumberFormat="1" applyFont="1" applyFill="1" applyBorder="1" applyAlignment="1">
      <alignment horizontal="right" vertical="top" readingOrder="1"/>
    </xf>
    <xf numFmtId="197" fontId="119" fillId="0" borderId="0" xfId="4080" applyNumberFormat="1" applyFont="1" applyAlignment="1">
      <alignment horizontal="left" vertical="top" readingOrder="1"/>
    </xf>
    <xf numFmtId="0" fontId="122" fillId="0" borderId="0" xfId="4080" applyFont="1" applyAlignment="1">
      <alignment horizontal="center" vertical="top" readingOrder="1"/>
    </xf>
    <xf numFmtId="184" fontId="119" fillId="0" borderId="0" xfId="4081" applyNumberFormat="1" applyFont="1" applyFill="1" applyBorder="1" applyAlignment="1">
      <alignment horizontal="right" vertical="top" readingOrder="1"/>
    </xf>
    <xf numFmtId="0" fontId="119" fillId="0" borderId="124" xfId="4080" applyFont="1" applyBorder="1" applyAlignment="1">
      <alignment horizontal="left" vertical="top" readingOrder="1"/>
    </xf>
    <xf numFmtId="0" fontId="122" fillId="0" borderId="124" xfId="4080" applyFont="1" applyBorder="1" applyAlignment="1">
      <alignment horizontal="center" vertical="top" readingOrder="1"/>
    </xf>
    <xf numFmtId="184" fontId="120" fillId="0" borderId="124" xfId="4081" applyNumberFormat="1" applyFont="1" applyFill="1" applyBorder="1" applyAlignment="1">
      <alignment horizontal="right" vertical="top" readingOrder="1"/>
    </xf>
    <xf numFmtId="0" fontId="120" fillId="0" borderId="122" xfId="0" applyFont="1" applyBorder="1" applyAlignment="1">
      <alignment horizontal="left" vertical="top" wrapText="1" readingOrder="1"/>
    </xf>
    <xf numFmtId="0" fontId="121" fillId="0" borderId="122" xfId="0" applyFont="1" applyBorder="1" applyAlignment="1">
      <alignment horizontal="left" vertical="top" wrapText="1" readingOrder="1"/>
    </xf>
    <xf numFmtId="197" fontId="119" fillId="0" borderId="123" xfId="0" applyNumberFormat="1" applyFont="1" applyBorder="1" applyAlignment="1">
      <alignment horizontal="left" vertical="top" wrapText="1" readingOrder="1"/>
    </xf>
    <xf numFmtId="0" fontId="123" fillId="0" borderId="123" xfId="0" applyFont="1" applyBorder="1" applyAlignment="1">
      <alignment horizontal="left" vertical="top" wrapText="1" readingOrder="1"/>
    </xf>
    <xf numFmtId="184" fontId="120" fillId="0" borderId="123" xfId="1" applyNumberFormat="1" applyFont="1" applyBorder="1" applyAlignment="1">
      <alignment horizontal="left" vertical="top" wrapText="1" readingOrder="1"/>
    </xf>
    <xf numFmtId="197" fontId="119" fillId="0" borderId="0" xfId="0" applyNumberFormat="1" applyFont="1" applyAlignment="1">
      <alignment horizontal="left" vertical="top" wrapText="1" readingOrder="1"/>
    </xf>
    <xf numFmtId="0" fontId="123" fillId="0" borderId="0" xfId="0" applyFont="1" applyAlignment="1">
      <alignment horizontal="left" vertical="top" wrapText="1" readingOrder="1"/>
    </xf>
    <xf numFmtId="184" fontId="120" fillId="0" borderId="0" xfId="1" applyNumberFormat="1" applyFont="1" applyBorder="1" applyAlignment="1">
      <alignment horizontal="left" vertical="top" wrapText="1" readingOrder="1"/>
    </xf>
    <xf numFmtId="0" fontId="59" fillId="0" borderId="11" xfId="0" applyFont="1" applyBorder="1" applyAlignment="1">
      <alignment vertical="center"/>
    </xf>
    <xf numFmtId="184" fontId="59" fillId="0" borderId="11" xfId="1" applyNumberFormat="1" applyFont="1" applyBorder="1" applyAlignment="1">
      <alignment vertical="center"/>
    </xf>
    <xf numFmtId="184" fontId="81" fillId="0" borderId="0" xfId="1" applyNumberFormat="1" applyFont="1" applyFill="1"/>
    <xf numFmtId="0" fontId="81" fillId="52" borderId="0" xfId="4052" applyFont="1" applyFill="1"/>
    <xf numFmtId="184" fontId="82" fillId="0" borderId="0" xfId="1" applyNumberFormat="1" applyFont="1" applyFill="1"/>
    <xf numFmtId="175" fontId="82" fillId="0" borderId="0" xfId="4052" applyNumberFormat="1" applyFont="1"/>
    <xf numFmtId="175" fontId="87" fillId="0" borderId="96" xfId="4033" applyNumberFormat="1" applyFont="1" applyFill="1" applyBorder="1"/>
    <xf numFmtId="175" fontId="87" fillId="0" borderId="77" xfId="4033" applyNumberFormat="1" applyFont="1" applyFill="1" applyBorder="1"/>
    <xf numFmtId="167" fontId="62" fillId="0" borderId="0" xfId="1" applyNumberFormat="1" applyFont="1" applyBorder="1"/>
    <xf numFmtId="4" fontId="116" fillId="0" borderId="0" xfId="0" applyNumberFormat="1" applyFont="1" applyAlignment="1">
      <alignment vertical="center"/>
    </xf>
    <xf numFmtId="0" fontId="116" fillId="0" borderId="10" xfId="0" applyFont="1" applyBorder="1" applyAlignment="1">
      <alignment horizontal="left" vertical="center"/>
    </xf>
    <xf numFmtId="0" fontId="62" fillId="0" borderId="25" xfId="0" applyFont="1" applyBorder="1" applyAlignment="1">
      <alignment horizontal="left" vertical="center"/>
    </xf>
    <xf numFmtId="0" fontId="58" fillId="56" borderId="10" xfId="0" applyFont="1" applyFill="1" applyBorder="1" applyAlignment="1">
      <alignment vertical="top" wrapText="1"/>
    </xf>
    <xf numFmtId="0" fontId="58" fillId="56" borderId="100" xfId="0" applyFont="1" applyFill="1" applyBorder="1" applyAlignment="1">
      <alignment vertical="center" wrapText="1"/>
    </xf>
    <xf numFmtId="43" fontId="58" fillId="0" borderId="0" xfId="1" applyFont="1" applyFill="1" applyBorder="1" applyAlignment="1">
      <alignment horizontal="center" vertical="center" wrapText="1"/>
    </xf>
    <xf numFmtId="184" fontId="62" fillId="0" borderId="0" xfId="1" applyNumberFormat="1" applyFont="1" applyFill="1" applyBorder="1" applyAlignment="1">
      <alignment horizontal="center" vertical="center" wrapText="1"/>
    </xf>
    <xf numFmtId="184" fontId="58" fillId="0" borderId="27" xfId="0" applyNumberFormat="1" applyFont="1" applyBorder="1" applyAlignment="1">
      <alignment horizontal="center" vertical="center" wrapText="1"/>
    </xf>
    <xf numFmtId="43" fontId="58" fillId="0" borderId="27" xfId="1" applyFont="1" applyFill="1" applyBorder="1" applyAlignment="1">
      <alignment horizontal="center" vertical="center" wrapText="1"/>
    </xf>
    <xf numFmtId="184" fontId="58" fillId="0" borderId="104" xfId="1" applyNumberFormat="1" applyFont="1" applyFill="1" applyBorder="1"/>
    <xf numFmtId="184" fontId="58" fillId="0" borderId="0" xfId="0" applyNumberFormat="1" applyFont="1" applyAlignment="1">
      <alignment horizontal="justify" vertical="center" wrapText="1"/>
    </xf>
    <xf numFmtId="184" fontId="58" fillId="0" borderId="27" xfId="0" applyNumberFormat="1" applyFont="1" applyBorder="1" applyAlignment="1">
      <alignment horizontal="justify" vertical="center" wrapText="1"/>
    </xf>
    <xf numFmtId="189" fontId="58" fillId="56" borderId="99" xfId="1" applyNumberFormat="1" applyFont="1" applyFill="1" applyBorder="1" applyAlignment="1">
      <alignment horizontal="right"/>
    </xf>
    <xf numFmtId="184" fontId="62" fillId="0" borderId="27" xfId="0" applyNumberFormat="1" applyFont="1" applyBorder="1"/>
    <xf numFmtId="0" fontId="62" fillId="0" borderId="25" xfId="0" applyFont="1" applyBorder="1" applyAlignment="1">
      <alignment horizontal="left" wrapText="1" indent="2"/>
    </xf>
    <xf numFmtId="43" fontId="62" fillId="0" borderId="96" xfId="1" applyFont="1" applyBorder="1" applyAlignment="1">
      <alignment vertical="center"/>
    </xf>
    <xf numFmtId="0" fontId="124" fillId="0" borderId="0" xfId="0" applyFont="1" applyAlignment="1">
      <alignment vertical="center"/>
    </xf>
    <xf numFmtId="0" fontId="124" fillId="0" borderId="0" xfId="0" applyFont="1" applyAlignment="1">
      <alignment horizontal="center" vertical="center"/>
    </xf>
    <xf numFmtId="184" fontId="125" fillId="0" borderId="84" xfId="1" applyNumberFormat="1" applyFont="1" applyBorder="1" applyAlignment="1">
      <alignment vertical="center"/>
    </xf>
    <xf numFmtId="184" fontId="124" fillId="0" borderId="0" xfId="1" applyNumberFormat="1" applyFont="1" applyBorder="1" applyAlignment="1">
      <alignment horizontal="center" vertical="center"/>
    </xf>
    <xf numFmtId="0" fontId="63" fillId="0" borderId="27" xfId="0" applyFont="1" applyBorder="1" applyAlignment="1">
      <alignment horizontal="left"/>
    </xf>
    <xf numFmtId="0" fontId="63" fillId="0" borderId="0" xfId="0" applyFont="1" applyAlignment="1">
      <alignment horizontal="center" vertical="top"/>
    </xf>
    <xf numFmtId="0" fontId="61" fillId="0" borderId="0" xfId="0" applyFont="1" applyAlignment="1">
      <alignment wrapText="1"/>
    </xf>
    <xf numFmtId="0" fontId="62" fillId="0" borderId="0" xfId="0" applyFont="1" applyAlignment="1">
      <alignment horizontal="center" vertical="top"/>
    </xf>
    <xf numFmtId="4" fontId="61" fillId="0" borderId="0" xfId="1" applyNumberFormat="1" applyFont="1" applyFill="1" applyBorder="1" applyAlignment="1">
      <alignment horizontal="left"/>
    </xf>
    <xf numFmtId="4" fontId="63" fillId="0" borderId="0" xfId="1" applyNumberFormat="1" applyFont="1" applyFill="1" applyBorder="1" applyAlignment="1">
      <alignment horizontal="left"/>
    </xf>
    <xf numFmtId="0" fontId="61" fillId="0" borderId="0" xfId="0" applyFont="1" applyAlignment="1">
      <alignment horizontal="center" vertical="center"/>
    </xf>
    <xf numFmtId="0" fontId="61" fillId="0" borderId="0" xfId="0" applyFont="1" applyAlignment="1">
      <alignment horizontal="center" vertical="center" wrapText="1"/>
    </xf>
    <xf numFmtId="0" fontId="61" fillId="0" borderId="0" xfId="0" quotePrefix="1" applyFont="1"/>
    <xf numFmtId="0" fontId="62" fillId="0" borderId="0" xfId="0" applyFont="1" applyAlignment="1">
      <alignment horizontal="left" vertical="top"/>
    </xf>
    <xf numFmtId="4" fontId="58" fillId="0" borderId="0" xfId="0" applyNumberFormat="1" applyFont="1" applyAlignment="1">
      <alignment horizontal="left" vertical="top"/>
    </xf>
    <xf numFmtId="4" fontId="62" fillId="0" borderId="0" xfId="0" applyNumberFormat="1" applyFont="1" applyAlignment="1">
      <alignment horizontal="left" vertical="top"/>
    </xf>
    <xf numFmtId="0" fontId="58" fillId="0" borderId="0" xfId="0" applyFont="1" applyAlignment="1">
      <alignment horizontal="left"/>
    </xf>
    <xf numFmtId="4" fontId="63" fillId="0" borderId="27" xfId="1" applyNumberFormat="1" applyFont="1" applyFill="1" applyBorder="1" applyAlignment="1">
      <alignment horizontal="left"/>
    </xf>
    <xf numFmtId="4" fontId="61" fillId="0" borderId="27" xfId="1" applyNumberFormat="1" applyFont="1" applyFill="1" applyBorder="1" applyAlignment="1">
      <alignment horizontal="left"/>
    </xf>
    <xf numFmtId="0" fontId="124" fillId="0" borderId="0" xfId="0" applyFont="1" applyAlignment="1">
      <alignment horizontal="left" vertical="center"/>
    </xf>
    <xf numFmtId="184" fontId="124" fillId="0" borderId="0" xfId="1" applyNumberFormat="1" applyFont="1" applyAlignment="1">
      <alignment vertical="center"/>
    </xf>
    <xf numFmtId="184" fontId="125" fillId="0" borderId="0" xfId="1" applyNumberFormat="1" applyFont="1" applyFill="1" applyBorder="1" applyAlignment="1">
      <alignment vertical="center"/>
    </xf>
    <xf numFmtId="0" fontId="124" fillId="0" borderId="10" xfId="0" applyFont="1" applyBorder="1" applyAlignment="1">
      <alignment vertical="center"/>
    </xf>
    <xf numFmtId="0" fontId="124" fillId="0" borderId="10" xfId="0" applyFont="1" applyBorder="1" applyAlignment="1">
      <alignment horizontal="center" vertical="center"/>
    </xf>
    <xf numFmtId="184" fontId="124" fillId="0" borderId="10" xfId="1" applyNumberFormat="1" applyFont="1" applyBorder="1" applyAlignment="1">
      <alignment vertical="center"/>
    </xf>
    <xf numFmtId="184" fontId="124" fillId="0" borderId="10" xfId="1" applyNumberFormat="1" applyFont="1" applyBorder="1" applyAlignment="1">
      <alignment horizontal="center" vertical="center"/>
    </xf>
    <xf numFmtId="4" fontId="124" fillId="0" borderId="0" xfId="0" applyNumberFormat="1" applyFont="1" applyAlignment="1">
      <alignment vertical="center"/>
    </xf>
    <xf numFmtId="0" fontId="124" fillId="0" borderId="105" xfId="0" applyFont="1" applyBorder="1" applyAlignment="1">
      <alignment vertical="center"/>
    </xf>
    <xf numFmtId="0" fontId="124" fillId="0" borderId="98" xfId="0" applyFont="1" applyBorder="1" applyAlignment="1">
      <alignment horizontal="center" vertical="center"/>
    </xf>
    <xf numFmtId="0" fontId="124" fillId="0" borderId="98" xfId="0" applyFont="1" applyBorder="1" applyAlignment="1">
      <alignment vertical="center"/>
    </xf>
    <xf numFmtId="184" fontId="124" fillId="0" borderId="98" xfId="1" applyNumberFormat="1" applyFont="1" applyBorder="1" applyAlignment="1">
      <alignment vertical="center"/>
    </xf>
    <xf numFmtId="0" fontId="124" fillId="0" borderId="109" xfId="0" applyFont="1" applyBorder="1" applyAlignment="1">
      <alignment vertical="center"/>
    </xf>
    <xf numFmtId="184" fontId="125" fillId="0" borderId="31" xfId="1" applyNumberFormat="1" applyFont="1" applyFill="1" applyBorder="1" applyAlignment="1">
      <alignment vertical="center"/>
    </xf>
    <xf numFmtId="184" fontId="74" fillId="0" borderId="0" xfId="1" applyNumberFormat="1" applyFont="1" applyAlignment="1">
      <alignment vertical="center"/>
    </xf>
    <xf numFmtId="184" fontId="0" fillId="0" borderId="32" xfId="1" applyNumberFormat="1" applyFont="1" applyFill="1" applyBorder="1"/>
    <xf numFmtId="184" fontId="2" fillId="0" borderId="32" xfId="1" applyNumberFormat="1" applyFont="1" applyFill="1" applyBorder="1"/>
    <xf numFmtId="184" fontId="2" fillId="0" borderId="85" xfId="1" applyNumberFormat="1" applyFont="1" applyFill="1" applyBorder="1"/>
    <xf numFmtId="189" fontId="59" fillId="0" borderId="103" xfId="0" applyNumberFormat="1" applyFont="1" applyBorder="1"/>
    <xf numFmtId="189" fontId="59" fillId="0" borderId="104" xfId="1" applyNumberFormat="1" applyFont="1" applyFill="1" applyBorder="1"/>
    <xf numFmtId="166" fontId="58" fillId="56" borderId="0" xfId="4038" applyFont="1" applyFill="1" applyBorder="1" applyAlignment="1">
      <alignment vertical="center"/>
    </xf>
    <xf numFmtId="166" fontId="58" fillId="56" borderId="0" xfId="359" applyNumberFormat="1" applyFont="1" applyFill="1" applyBorder="1" applyAlignment="1">
      <alignment horizontal="center" vertical="top"/>
    </xf>
    <xf numFmtId="166" fontId="58" fillId="56" borderId="27" xfId="359" applyNumberFormat="1" applyFont="1" applyFill="1" applyBorder="1" applyAlignment="1">
      <alignment horizontal="center" vertical="top"/>
    </xf>
    <xf numFmtId="184" fontId="0" fillId="0" borderId="32" xfId="1" applyNumberFormat="1" applyFont="1" applyBorder="1" applyAlignment="1">
      <alignment vertical="center"/>
    </xf>
    <xf numFmtId="184" fontId="0" fillId="0" borderId="85" xfId="1" applyNumberFormat="1" applyFont="1" applyBorder="1" applyAlignment="1">
      <alignment vertical="center"/>
    </xf>
    <xf numFmtId="184" fontId="59" fillId="56" borderId="96" xfId="1" applyNumberFormat="1" applyFont="1" applyFill="1" applyBorder="1" applyAlignment="1">
      <alignment vertical="center"/>
    </xf>
    <xf numFmtId="184" fontId="59" fillId="56" borderId="99" xfId="1" applyNumberFormat="1" applyFont="1" applyFill="1" applyBorder="1" applyAlignment="1">
      <alignment vertical="center"/>
    </xf>
    <xf numFmtId="0" fontId="0" fillId="0" borderId="75" xfId="0" applyBorder="1" applyAlignment="1">
      <alignment vertical="top" wrapText="1"/>
    </xf>
    <xf numFmtId="43" fontId="59" fillId="56" borderId="92" xfId="1" applyFont="1" applyFill="1" applyBorder="1" applyAlignment="1">
      <alignment horizontal="center"/>
    </xf>
    <xf numFmtId="43" fontId="2" fillId="56" borderId="70" xfId="1" applyFont="1" applyFill="1" applyBorder="1"/>
    <xf numFmtId="43" fontId="59" fillId="0" borderId="25" xfId="1" applyFont="1" applyBorder="1"/>
    <xf numFmtId="43" fontId="2" fillId="0" borderId="25" xfId="1" applyFont="1" applyBorder="1"/>
    <xf numFmtId="43" fontId="59" fillId="0" borderId="103" xfId="1" applyFont="1" applyBorder="1"/>
    <xf numFmtId="43" fontId="59" fillId="56" borderId="80" xfId="1" applyFont="1" applyFill="1" applyBorder="1" applyAlignment="1">
      <alignment horizontal="center"/>
    </xf>
    <xf numFmtId="43" fontId="2" fillId="56" borderId="10" xfId="1" applyFont="1" applyFill="1" applyBorder="1"/>
    <xf numFmtId="184" fontId="0" fillId="0" borderId="27" xfId="1" applyNumberFormat="1" applyFont="1" applyBorder="1"/>
    <xf numFmtId="0" fontId="0" fillId="0" borderId="100" xfId="0" applyBorder="1"/>
    <xf numFmtId="184" fontId="59" fillId="0" borderId="100" xfId="1" applyNumberFormat="1" applyFont="1" applyBorder="1"/>
    <xf numFmtId="184" fontId="59" fillId="0" borderId="104" xfId="1" applyNumberFormat="1" applyFont="1" applyBorder="1"/>
    <xf numFmtId="43" fontId="59" fillId="56" borderId="92" xfId="1" applyFont="1" applyFill="1" applyBorder="1" applyAlignment="1">
      <alignment vertical="center"/>
    </xf>
    <xf numFmtId="43" fontId="59" fillId="56" borderId="98" xfId="1" applyFont="1" applyFill="1" applyBorder="1" applyAlignment="1">
      <alignment vertical="center"/>
    </xf>
    <xf numFmtId="43" fontId="59" fillId="56" borderId="70" xfId="1" applyFont="1" applyFill="1" applyBorder="1" applyAlignment="1">
      <alignment vertical="center"/>
    </xf>
    <xf numFmtId="43" fontId="59" fillId="56" borderId="10" xfId="1" applyFont="1" applyFill="1" applyBorder="1" applyAlignment="1">
      <alignment vertical="center"/>
    </xf>
    <xf numFmtId="43" fontId="59" fillId="56" borderId="10" xfId="1" applyFont="1" applyFill="1" applyBorder="1" applyAlignment="1">
      <alignment horizontal="right"/>
    </xf>
    <xf numFmtId="43" fontId="59" fillId="56" borderId="80" xfId="1" applyFont="1" applyFill="1" applyBorder="1" applyAlignment="1">
      <alignment horizontal="right" indent="1"/>
    </xf>
    <xf numFmtId="43" fontId="59" fillId="0" borderId="0" xfId="1" applyFont="1" applyFill="1" applyBorder="1" applyAlignment="1">
      <alignment vertical="center"/>
    </xf>
    <xf numFmtId="9" fontId="0" fillId="0" borderId="25" xfId="1" quotePrefix="1" applyNumberFormat="1" applyFont="1" applyFill="1" applyBorder="1" applyAlignment="1">
      <alignment wrapText="1"/>
    </xf>
    <xf numFmtId="9" fontId="0" fillId="0" borderId="70" xfId="1" quotePrefix="1" applyNumberFormat="1" applyFont="1" applyFill="1" applyBorder="1" applyAlignment="1">
      <alignment wrapText="1"/>
    </xf>
    <xf numFmtId="184" fontId="2" fillId="0" borderId="0" xfId="1" applyNumberFormat="1" applyFont="1" applyFill="1" applyBorder="1" applyAlignment="1">
      <alignment horizontal="right"/>
    </xf>
    <xf numFmtId="184" fontId="2" fillId="0" borderId="27" xfId="1" applyNumberFormat="1" applyFont="1" applyFill="1" applyBorder="1" applyAlignment="1">
      <alignment horizontal="right" indent="1"/>
    </xf>
    <xf numFmtId="175" fontId="2" fillId="0" borderId="0" xfId="1" applyNumberFormat="1" applyFont="1" applyFill="1" applyBorder="1" applyAlignment="1">
      <alignment horizontal="right"/>
    </xf>
    <xf numFmtId="184" fontId="2" fillId="0" borderId="10" xfId="1" applyNumberFormat="1" applyFont="1" applyBorder="1"/>
    <xf numFmtId="175" fontId="2" fillId="0" borderId="10" xfId="1" applyNumberFormat="1" applyFont="1" applyBorder="1"/>
    <xf numFmtId="184" fontId="2" fillId="0" borderId="10" xfId="1" applyNumberFormat="1" applyFont="1" applyFill="1" applyBorder="1" applyAlignment="1">
      <alignment horizontal="right"/>
    </xf>
    <xf numFmtId="175" fontId="2" fillId="0" borderId="80" xfId="1" applyNumberFormat="1" applyFont="1" applyFill="1" applyBorder="1" applyAlignment="1">
      <alignment horizontal="right" indent="1"/>
    </xf>
    <xf numFmtId="175" fontId="0" fillId="0" borderId="0" xfId="4085" applyNumberFormat="1" applyFont="1" applyFill="1" applyAlignment="1">
      <alignment vertical="top"/>
    </xf>
    <xf numFmtId="9" fontId="0" fillId="0" borderId="0" xfId="4071" applyFont="1" applyFill="1" applyAlignment="1">
      <alignment vertical="top"/>
    </xf>
    <xf numFmtId="43" fontId="0" fillId="0" borderId="0" xfId="0" applyNumberFormat="1" applyAlignment="1">
      <alignment vertical="top"/>
    </xf>
    <xf numFmtId="43" fontId="0" fillId="52" borderId="0" xfId="0" applyNumberFormat="1" applyFill="1" applyAlignment="1">
      <alignment vertical="top"/>
    </xf>
    <xf numFmtId="189" fontId="62" fillId="0" borderId="0" xfId="1" applyNumberFormat="1" applyFont="1" applyBorder="1" applyAlignment="1">
      <alignment vertical="top"/>
    </xf>
    <xf numFmtId="184" fontId="65" fillId="0" borderId="0" xfId="1" applyNumberFormat="1" applyFont="1" applyAlignment="1">
      <alignment horizontal="center"/>
    </xf>
    <xf numFmtId="184" fontId="65" fillId="0" borderId="0" xfId="1" applyNumberFormat="1" applyFont="1" applyBorder="1" applyAlignment="1">
      <alignment horizontal="right" vertical="top"/>
    </xf>
    <xf numFmtId="184" fontId="55" fillId="0" borderId="0" xfId="1" applyNumberFormat="1" applyFont="1" applyBorder="1" applyAlignment="1">
      <alignment horizontal="right" vertical="top"/>
    </xf>
    <xf numFmtId="184" fontId="55" fillId="52" borderId="0" xfId="1" applyNumberFormat="1" applyFont="1" applyFill="1" applyBorder="1" applyAlignment="1">
      <alignment horizontal="right" vertical="top"/>
    </xf>
    <xf numFmtId="0" fontId="62" fillId="0" borderId="0" xfId="0" applyFont="1" applyAlignment="1">
      <alignment horizontal="justify" vertical="top" wrapText="1"/>
    </xf>
    <xf numFmtId="189" fontId="0" fillId="0" borderId="25" xfId="0" applyNumberFormat="1" applyBorder="1"/>
    <xf numFmtId="198" fontId="0" fillId="0" borderId="0" xfId="1" applyNumberFormat="1" applyFont="1" applyBorder="1"/>
    <xf numFmtId="184" fontId="0" fillId="0" borderId="33" xfId="0" applyNumberFormat="1" applyBorder="1"/>
    <xf numFmtId="0" fontId="58" fillId="0" borderId="0" xfId="0" applyFont="1" applyAlignment="1">
      <alignment vertical="top"/>
    </xf>
    <xf numFmtId="0" fontId="58" fillId="0" borderId="0" xfId="0" applyFont="1" applyAlignment="1">
      <alignment horizontal="center" vertical="center" wrapText="1"/>
    </xf>
    <xf numFmtId="189" fontId="58" fillId="56" borderId="113" xfId="347" applyNumberFormat="1" applyFont="1" applyFill="1" applyBorder="1"/>
    <xf numFmtId="189" fontId="58" fillId="56" borderId="114" xfId="347" applyNumberFormat="1" applyFont="1" applyFill="1" applyBorder="1"/>
    <xf numFmtId="189" fontId="59" fillId="0" borderId="0" xfId="0" applyNumberFormat="1" applyFont="1"/>
    <xf numFmtId="0" fontId="62" fillId="0" borderId="0" xfId="0" applyFont="1" applyAlignment="1">
      <alignment horizontal="right"/>
    </xf>
    <xf numFmtId="184" fontId="62" fillId="0" borderId="0" xfId="0" applyNumberFormat="1" applyFont="1" applyAlignment="1">
      <alignment horizontal="right"/>
    </xf>
    <xf numFmtId="0" fontId="62" fillId="56" borderId="113" xfId="0" applyFont="1" applyFill="1" applyBorder="1"/>
    <xf numFmtId="189" fontId="58" fillId="0" borderId="79" xfId="1" applyNumberFormat="1" applyFont="1" applyBorder="1"/>
    <xf numFmtId="0" fontId="66" fillId="0" borderId="0" xfId="0" applyFont="1"/>
    <xf numFmtId="0" fontId="62" fillId="0" borderId="0" xfId="0" applyFont="1" applyAlignment="1">
      <alignment horizontal="left" wrapText="1"/>
    </xf>
    <xf numFmtId="0" fontId="58" fillId="56" borderId="112" xfId="359" applyNumberFormat="1" applyFont="1" applyFill="1" applyBorder="1" applyAlignment="1">
      <alignment vertical="top"/>
    </xf>
    <xf numFmtId="0" fontId="58" fillId="56" borderId="113" xfId="359" applyNumberFormat="1" applyFont="1" applyFill="1" applyBorder="1" applyAlignment="1">
      <alignment vertical="top"/>
    </xf>
    <xf numFmtId="189" fontId="58" fillId="56" borderId="113" xfId="359" applyNumberFormat="1" applyFont="1" applyFill="1" applyBorder="1"/>
    <xf numFmtId="189" fontId="58" fillId="56" borderId="114" xfId="359" applyNumberFormat="1" applyFont="1" applyFill="1" applyBorder="1"/>
    <xf numFmtId="43" fontId="58" fillId="0" borderId="78" xfId="0" applyNumberFormat="1" applyFont="1" applyBorder="1"/>
    <xf numFmtId="0" fontId="62" fillId="0" borderId="113" xfId="0" applyFont="1" applyBorder="1" applyAlignment="1">
      <alignment horizontal="justify" wrapText="1"/>
    </xf>
    <xf numFmtId="0" fontId="62" fillId="0" borderId="114" xfId="0" applyFont="1" applyBorder="1" applyAlignment="1">
      <alignment horizontal="justify" wrapText="1"/>
    </xf>
    <xf numFmtId="9" fontId="62" fillId="0" borderId="10" xfId="1" applyNumberFormat="1" applyFont="1" applyBorder="1"/>
    <xf numFmtId="9" fontId="62" fillId="0" borderId="80" xfId="1" applyNumberFormat="1" applyFont="1" applyBorder="1"/>
    <xf numFmtId="0" fontId="89" fillId="0" borderId="0" xfId="0" applyFont="1" applyAlignment="1">
      <alignment horizontal="justify" wrapText="1"/>
    </xf>
    <xf numFmtId="189" fontId="58" fillId="56" borderId="113" xfId="1" applyNumberFormat="1" applyFont="1" applyFill="1" applyBorder="1"/>
    <xf numFmtId="189" fontId="58" fillId="0" borderId="78" xfId="1" applyNumberFormat="1" applyFont="1" applyFill="1" applyBorder="1"/>
    <xf numFmtId="189" fontId="58" fillId="0" borderId="79" xfId="1" applyNumberFormat="1" applyFont="1" applyFill="1" applyBorder="1"/>
    <xf numFmtId="189" fontId="62" fillId="0" borderId="0" xfId="0" applyNumberFormat="1" applyFont="1" applyAlignment="1">
      <alignment vertical="top"/>
    </xf>
    <xf numFmtId="0" fontId="62" fillId="0" borderId="0" xfId="0" applyFont="1" applyAlignment="1">
      <alignment horizontal="left" indent="2"/>
    </xf>
    <xf numFmtId="43" fontId="59" fillId="56" borderId="98" xfId="1" applyFont="1" applyFill="1" applyBorder="1" applyAlignment="1"/>
    <xf numFmtId="9" fontId="0" fillId="0" borderId="10" xfId="0" applyNumberFormat="1" applyBorder="1"/>
    <xf numFmtId="184" fontId="59" fillId="0" borderId="98" xfId="1" applyNumberFormat="1" applyFont="1" applyBorder="1"/>
    <xf numFmtId="9" fontId="0" fillId="0" borderId="98" xfId="0" applyNumberFormat="1" applyBorder="1"/>
    <xf numFmtId="43" fontId="59" fillId="56" borderId="100" xfId="1" applyFont="1" applyFill="1" applyBorder="1" applyAlignment="1">
      <alignment vertical="center"/>
    </xf>
    <xf numFmtId="43" fontId="59" fillId="56" borderId="104" xfId="1" applyFont="1" applyFill="1" applyBorder="1" applyAlignment="1">
      <alignment vertical="center"/>
    </xf>
    <xf numFmtId="3" fontId="0" fillId="0" borderId="0" xfId="0" applyNumberFormat="1"/>
    <xf numFmtId="0" fontId="59" fillId="0" borderId="0" xfId="0" applyFont="1" applyAlignment="1">
      <alignment vertical="top" wrapText="1"/>
    </xf>
    <xf numFmtId="0" fontId="61" fillId="59" borderId="0" xfId="0" applyFont="1" applyFill="1"/>
    <xf numFmtId="0" fontId="58" fillId="59" borderId="0" xfId="0" applyFont="1" applyFill="1" applyAlignment="1">
      <alignment horizontal="justify" vertical="top" wrapText="1"/>
    </xf>
    <xf numFmtId="189" fontId="0" fillId="59" borderId="0" xfId="0" applyNumberFormat="1" applyFill="1"/>
    <xf numFmtId="0" fontId="59" fillId="59" borderId="0" xfId="0" applyFont="1" applyFill="1"/>
    <xf numFmtId="0" fontId="63" fillId="59" borderId="0" xfId="0" applyFont="1" applyFill="1"/>
    <xf numFmtId="0" fontId="61" fillId="59" borderId="0" xfId="0" applyFont="1" applyFill="1" applyAlignment="1">
      <alignment horizontal="center" vertical="top"/>
    </xf>
    <xf numFmtId="0" fontId="62" fillId="59" borderId="0" xfId="0" applyFont="1" applyFill="1" applyAlignment="1">
      <alignment horizontal="left" vertical="top"/>
    </xf>
    <xf numFmtId="0" fontId="58" fillId="59" borderId="0" xfId="0" applyFont="1" applyFill="1" applyAlignment="1">
      <alignment horizontal="left" vertical="top"/>
    </xf>
    <xf numFmtId="0" fontId="59" fillId="59" borderId="0" xfId="0" applyFont="1" applyFill="1" applyAlignment="1">
      <alignment vertical="center"/>
    </xf>
    <xf numFmtId="0" fontId="0" fillId="59" borderId="0" xfId="0" applyFill="1" applyAlignment="1">
      <alignment vertical="center"/>
    </xf>
    <xf numFmtId="189" fontId="59" fillId="0" borderId="78" xfId="1" applyNumberFormat="1" applyFont="1" applyFill="1" applyBorder="1"/>
    <xf numFmtId="189" fontId="59" fillId="0" borderId="78" xfId="1" applyNumberFormat="1" applyFont="1" applyBorder="1"/>
    <xf numFmtId="189" fontId="59" fillId="0" borderId="79" xfId="1" applyNumberFormat="1" applyFont="1" applyBorder="1"/>
    <xf numFmtId="0" fontId="61" fillId="0" borderId="0" xfId="0" applyFont="1" applyAlignment="1">
      <alignment horizontal="right"/>
    </xf>
    <xf numFmtId="189" fontId="59" fillId="56" borderId="71" xfId="0" applyNumberFormat="1" applyFont="1" applyFill="1" applyBorder="1"/>
    <xf numFmtId="189" fontId="59" fillId="56" borderId="72" xfId="1" applyNumberFormat="1" applyFont="1" applyFill="1" applyBorder="1"/>
    <xf numFmtId="189" fontId="59" fillId="56" borderId="73" xfId="1" applyNumberFormat="1" applyFont="1" applyFill="1" applyBorder="1"/>
    <xf numFmtId="0" fontId="0" fillId="56" borderId="100" xfId="0" applyFill="1" applyBorder="1" applyAlignment="1">
      <alignment vertical="center"/>
    </xf>
    <xf numFmtId="0" fontId="0" fillId="56" borderId="77" xfId="0" applyFill="1" applyBorder="1" applyAlignment="1">
      <alignment vertical="center"/>
    </xf>
    <xf numFmtId="0" fontId="58" fillId="56" borderId="104" xfId="4064" applyFont="1" applyFill="1" applyBorder="1" applyAlignment="1">
      <alignment horizontal="center" vertical="center" wrapText="1"/>
    </xf>
    <xf numFmtId="189" fontId="62" fillId="0" borderId="27" xfId="1" applyNumberFormat="1" applyFont="1" applyFill="1" applyBorder="1" applyAlignment="1">
      <alignment horizontal="left" vertical="center" wrapText="1"/>
    </xf>
    <xf numFmtId="189" fontId="58" fillId="56" borderId="104" xfId="1" applyNumberFormat="1" applyFont="1" applyFill="1" applyBorder="1" applyAlignment="1">
      <alignment vertical="center" wrapText="1"/>
    </xf>
    <xf numFmtId="189" fontId="0" fillId="59" borderId="10" xfId="1" applyNumberFormat="1" applyFont="1" applyFill="1" applyBorder="1"/>
    <xf numFmtId="189" fontId="0" fillId="59" borderId="80" xfId="1" applyNumberFormat="1" applyFont="1" applyFill="1" applyBorder="1"/>
    <xf numFmtId="0" fontId="59" fillId="0" borderId="0" xfId="0" applyFont="1" applyAlignment="1">
      <alignment horizontal="center" vertical="top"/>
    </xf>
    <xf numFmtId="15" fontId="59" fillId="0" borderId="27" xfId="0" applyNumberFormat="1" applyFont="1" applyBorder="1" applyAlignment="1">
      <alignment horizontal="center" vertical="top"/>
    </xf>
    <xf numFmtId="184" fontId="62" fillId="0" borderId="0" xfId="1" applyNumberFormat="1" applyFont="1" applyFill="1" applyBorder="1" applyAlignment="1">
      <alignment horizontal="center" vertical="center"/>
    </xf>
    <xf numFmtId="43" fontId="62" fillId="0" borderId="27" xfId="1" applyFont="1" applyFill="1" applyBorder="1" applyAlignment="1">
      <alignment horizontal="center" vertical="center"/>
    </xf>
    <xf numFmtId="184" fontId="126" fillId="52" borderId="0" xfId="1" applyNumberFormat="1" applyFont="1" applyFill="1" applyBorder="1" applyAlignment="1">
      <alignment horizontal="right" vertical="top"/>
    </xf>
    <xf numFmtId="184" fontId="126" fillId="0" borderId="0" xfId="1" applyNumberFormat="1" applyFont="1" applyBorder="1" applyAlignment="1">
      <alignment horizontal="right" vertical="top"/>
    </xf>
    <xf numFmtId="184" fontId="127" fillId="0" borderId="0" xfId="1" applyNumberFormat="1" applyFont="1" applyBorder="1" applyAlignment="1">
      <alignment horizontal="right" vertical="top"/>
    </xf>
    <xf numFmtId="184" fontId="127" fillId="0" borderId="0" xfId="1" applyNumberFormat="1" applyFont="1"/>
    <xf numFmtId="166" fontId="58" fillId="56" borderId="92" xfId="4038" applyFont="1" applyFill="1" applyBorder="1" applyAlignment="1">
      <alignment horizontal="left" vertical="center"/>
    </xf>
    <xf numFmtId="166" fontId="58" fillId="56" borderId="98" xfId="4038" applyFont="1" applyFill="1" applyBorder="1" applyAlignment="1">
      <alignment horizontal="left" vertical="center"/>
    </xf>
    <xf numFmtId="166" fontId="58" fillId="56" borderId="70" xfId="4038" applyFont="1" applyFill="1" applyBorder="1" applyAlignment="1">
      <alignment horizontal="left" vertical="center"/>
    </xf>
    <xf numFmtId="166" fontId="58" fillId="56" borderId="10" xfId="4038" applyFont="1" applyFill="1" applyBorder="1" applyAlignment="1">
      <alignment horizontal="left" vertical="center"/>
    </xf>
    <xf numFmtId="0" fontId="0" fillId="0" borderId="92" xfId="0" applyBorder="1" applyAlignment="1">
      <alignment wrapText="1"/>
    </xf>
    <xf numFmtId="0" fontId="0" fillId="0" borderId="98" xfId="0" applyBorder="1" applyAlignment="1">
      <alignment wrapText="1"/>
    </xf>
    <xf numFmtId="0" fontId="0" fillId="0" borderId="102" xfId="0" applyBorder="1" applyAlignment="1">
      <alignment wrapText="1"/>
    </xf>
    <xf numFmtId="0" fontId="62" fillId="0" borderId="24" xfId="0" applyFont="1" applyBorder="1" applyAlignment="1">
      <alignment horizontal="justify" wrapText="1"/>
    </xf>
    <xf numFmtId="0" fontId="62" fillId="0" borderId="78" xfId="0" applyFont="1" applyBorder="1" applyAlignment="1">
      <alignment horizontal="justify"/>
    </xf>
    <xf numFmtId="0" fontId="62" fillId="0" borderId="79" xfId="0" applyFont="1" applyBorder="1" applyAlignment="1">
      <alignment horizontal="justify"/>
    </xf>
    <xf numFmtId="0" fontId="58" fillId="0" borderId="70" xfId="0" applyFont="1" applyBorder="1" applyAlignment="1">
      <alignment horizontal="left" vertical="top" wrapText="1"/>
    </xf>
    <xf numFmtId="0" fontId="58" fillId="0" borderId="10" xfId="0" applyFont="1" applyBorder="1" applyAlignment="1">
      <alignment horizontal="left" vertical="top" wrapText="1"/>
    </xf>
    <xf numFmtId="0" fontId="58" fillId="0" borderId="80" xfId="0" applyFont="1" applyBorder="1" applyAlignment="1">
      <alignment horizontal="left" vertical="top" wrapText="1"/>
    </xf>
    <xf numFmtId="0" fontId="58" fillId="0" borderId="70" xfId="0" applyFont="1" applyBorder="1" applyAlignment="1">
      <alignment horizontal="left" wrapText="1"/>
    </xf>
    <xf numFmtId="0" fontId="58" fillId="0" borderId="10" xfId="0" applyFont="1" applyBorder="1" applyAlignment="1">
      <alignment horizontal="left" wrapText="1"/>
    </xf>
    <xf numFmtId="0" fontId="58" fillId="0" borderId="80" xfId="0" applyFont="1" applyBorder="1" applyAlignment="1">
      <alignment horizontal="left" wrapText="1"/>
    </xf>
    <xf numFmtId="0" fontId="62" fillId="0" borderId="25" xfId="0" applyFont="1" applyBorder="1" applyAlignment="1">
      <alignment horizontal="justify" vertical="top" wrapText="1"/>
    </xf>
    <xf numFmtId="0" fontId="62" fillId="0" borderId="0" xfId="0" applyFont="1" applyAlignment="1">
      <alignment horizontal="justify" vertical="top" wrapText="1"/>
    </xf>
    <xf numFmtId="0" fontId="62" fillId="0" borderId="27" xfId="0" applyFont="1" applyBorder="1" applyAlignment="1">
      <alignment horizontal="justify" vertical="top" wrapText="1"/>
    </xf>
    <xf numFmtId="0" fontId="62" fillId="0" borderId="70" xfId="0" applyFont="1" applyBorder="1" applyAlignment="1">
      <alignment horizontal="justify" vertical="center" wrapText="1"/>
    </xf>
    <xf numFmtId="0" fontId="62" fillId="0" borderId="10" xfId="0" applyFont="1" applyBorder="1" applyAlignment="1">
      <alignment horizontal="justify" vertical="center" wrapText="1"/>
    </xf>
    <xf numFmtId="0" fontId="62" fillId="0" borderId="80" xfId="0" applyFont="1" applyBorder="1" applyAlignment="1">
      <alignment horizontal="justify" vertical="center" wrapText="1"/>
    </xf>
    <xf numFmtId="0" fontId="58" fillId="56" borderId="92" xfId="0" quotePrefix="1" applyFont="1" applyFill="1" applyBorder="1" applyAlignment="1">
      <alignment horizontal="center" vertical="center" wrapText="1"/>
    </xf>
    <xf numFmtId="0" fontId="58" fillId="56" borderId="70" xfId="0" applyFont="1" applyFill="1" applyBorder="1" applyAlignment="1">
      <alignment horizontal="center" vertical="center" wrapText="1"/>
    </xf>
    <xf numFmtId="0" fontId="58" fillId="56" borderId="100" xfId="0" applyFont="1" applyFill="1" applyBorder="1" applyAlignment="1">
      <alignment vertical="center" wrapText="1"/>
    </xf>
    <xf numFmtId="0" fontId="58" fillId="56" borderId="102" xfId="0" applyFont="1" applyFill="1" applyBorder="1" applyAlignment="1">
      <alignment horizontal="center" vertical="center" wrapText="1"/>
    </xf>
    <xf numFmtId="0" fontId="58" fillId="56" borderId="80" xfId="0" applyFont="1" applyFill="1" applyBorder="1" applyAlignment="1">
      <alignment horizontal="center" vertical="center" wrapText="1"/>
    </xf>
    <xf numFmtId="15" fontId="58" fillId="56" borderId="92" xfId="0" applyNumberFormat="1" applyFont="1" applyFill="1" applyBorder="1" applyAlignment="1">
      <alignment horizontal="center" vertical="center"/>
    </xf>
    <xf numFmtId="0" fontId="58" fillId="56" borderId="70" xfId="0" applyFont="1" applyFill="1" applyBorder="1" applyAlignment="1">
      <alignment horizontal="center" vertical="center"/>
    </xf>
    <xf numFmtId="0" fontId="62" fillId="0" borderId="92" xfId="0" applyFont="1" applyBorder="1" applyAlignment="1">
      <alignment horizontal="left" wrapText="1"/>
    </xf>
    <xf numFmtId="0" fontId="62" fillId="0" borderId="98" xfId="0" applyFont="1" applyBorder="1" applyAlignment="1">
      <alignment horizontal="left" wrapText="1"/>
    </xf>
    <xf numFmtId="0" fontId="62" fillId="0" borderId="102" xfId="0" applyFont="1" applyBorder="1" applyAlignment="1">
      <alignment horizontal="left" wrapText="1"/>
    </xf>
    <xf numFmtId="0" fontId="58" fillId="56" borderId="100" xfId="0" applyFont="1" applyFill="1" applyBorder="1" applyAlignment="1">
      <alignment horizontal="center" vertical="center" wrapText="1"/>
    </xf>
    <xf numFmtId="0" fontId="62" fillId="0" borderId="26" xfId="0" applyFont="1" applyBorder="1" applyAlignment="1">
      <alignment horizontal="justify" wrapText="1"/>
    </xf>
    <xf numFmtId="0" fontId="62" fillId="0" borderId="81" xfId="0" applyFont="1" applyBorder="1" applyAlignment="1">
      <alignment horizontal="justify" wrapText="1"/>
    </xf>
    <xf numFmtId="0" fontId="62" fillId="0" borderId="28" xfId="0" applyFont="1" applyBorder="1" applyAlignment="1">
      <alignment horizontal="justify" wrapText="1"/>
    </xf>
    <xf numFmtId="0" fontId="62" fillId="0" borderId="25" xfId="0" applyFont="1" applyBorder="1" applyAlignment="1">
      <alignment horizontal="justify" wrapText="1"/>
    </xf>
    <xf numFmtId="0" fontId="62" fillId="0" borderId="0" xfId="0" applyFont="1" applyAlignment="1">
      <alignment horizontal="justify" wrapText="1"/>
    </xf>
    <xf numFmtId="0" fontId="62" fillId="0" borderId="27" xfId="0" applyFont="1" applyBorder="1" applyAlignment="1">
      <alignment horizontal="justify" wrapText="1"/>
    </xf>
    <xf numFmtId="0" fontId="62" fillId="0" borderId="25" xfId="0" applyFont="1" applyBorder="1" applyAlignment="1">
      <alignment horizontal="left" wrapText="1"/>
    </xf>
    <xf numFmtId="0" fontId="62" fillId="0" borderId="0" xfId="0" applyFont="1" applyAlignment="1">
      <alignment horizontal="left" wrapText="1"/>
    </xf>
    <xf numFmtId="0" fontId="58" fillId="0" borderId="25" xfId="0" applyFont="1" applyBorder="1" applyAlignment="1">
      <alignment vertical="top" wrapText="1"/>
    </xf>
    <xf numFmtId="0" fontId="58" fillId="0" borderId="0" xfId="0" applyFont="1" applyAlignment="1">
      <alignment vertical="top" wrapText="1"/>
    </xf>
    <xf numFmtId="0" fontId="62" fillId="0" borderId="25" xfId="0" applyFont="1" applyBorder="1" applyAlignment="1">
      <alignment vertical="top" wrapText="1"/>
    </xf>
    <xf numFmtId="0" fontId="62" fillId="0" borderId="0" xfId="0" applyFont="1" applyAlignment="1">
      <alignment vertical="top" wrapText="1"/>
    </xf>
    <xf numFmtId="0" fontId="62" fillId="0" borderId="25" xfId="0" quotePrefix="1" applyFont="1" applyBorder="1"/>
    <xf numFmtId="0" fontId="62" fillId="0" borderId="0" xfId="0" applyFont="1"/>
    <xf numFmtId="0" fontId="58" fillId="0" borderId="25" xfId="0" applyFont="1" applyBorder="1" applyAlignment="1">
      <alignment horizontal="justify" vertical="top" wrapText="1"/>
    </xf>
    <xf numFmtId="0" fontId="58" fillId="0" borderId="0" xfId="0" applyFont="1" applyAlignment="1">
      <alignment horizontal="justify" vertical="top" wrapText="1"/>
    </xf>
    <xf numFmtId="0" fontId="62" fillId="0" borderId="92" xfId="0" applyFont="1" applyBorder="1" applyAlignment="1">
      <alignment horizontal="left" vertical="top" wrapText="1"/>
    </xf>
    <xf numFmtId="0" fontId="62" fillId="0" borderId="98" xfId="0" applyFont="1" applyBorder="1" applyAlignment="1">
      <alignment horizontal="left" vertical="top" wrapText="1"/>
    </xf>
    <xf numFmtId="0" fontId="62" fillId="0" borderId="102" xfId="0" applyFont="1" applyBorder="1" applyAlignment="1">
      <alignment horizontal="left" vertical="top" wrapText="1"/>
    </xf>
    <xf numFmtId="166" fontId="58" fillId="56" borderId="92" xfId="4038" applyFont="1" applyFill="1" applyBorder="1" applyAlignment="1">
      <alignment vertical="center"/>
    </xf>
    <xf numFmtId="166" fontId="58" fillId="56" borderId="70" xfId="4038" applyFont="1" applyFill="1" applyBorder="1" applyAlignment="1">
      <alignment vertical="center"/>
    </xf>
    <xf numFmtId="0" fontId="62" fillId="0" borderId="112" xfId="0" applyFont="1" applyBorder="1" applyAlignment="1">
      <alignment horizontal="justify" wrapText="1"/>
    </xf>
    <xf numFmtId="0" fontId="62" fillId="0" borderId="113" xfId="0" applyFont="1" applyBorder="1" applyAlignment="1">
      <alignment horizontal="justify" wrapText="1"/>
    </xf>
    <xf numFmtId="166" fontId="58" fillId="56" borderId="24" xfId="4038" applyFont="1" applyFill="1" applyBorder="1" applyAlignment="1">
      <alignment horizontal="left" vertical="center"/>
    </xf>
    <xf numFmtId="166" fontId="58" fillId="56" borderId="78" xfId="4038" applyFont="1" applyFill="1" applyBorder="1" applyAlignment="1">
      <alignment horizontal="left" vertical="center"/>
    </xf>
    <xf numFmtId="0" fontId="58" fillId="0" borderId="25" xfId="0" applyFont="1" applyBorder="1" applyAlignment="1">
      <alignment horizontal="left" wrapText="1"/>
    </xf>
    <xf numFmtId="0" fontId="58" fillId="0" borderId="0" xfId="0" applyFont="1" applyAlignment="1">
      <alignment horizontal="left" wrapText="1"/>
    </xf>
    <xf numFmtId="0" fontId="58" fillId="0" borderId="70" xfId="0" applyFont="1" applyBorder="1" applyAlignment="1">
      <alignment horizontal="justify" vertical="top" wrapText="1"/>
    </xf>
    <xf numFmtId="0" fontId="58" fillId="0" borderId="10" xfId="0" applyFont="1" applyBorder="1" applyAlignment="1">
      <alignment horizontal="justify" vertical="top" wrapText="1"/>
    </xf>
    <xf numFmtId="0" fontId="62" fillId="0" borderId="25" xfId="0" applyFont="1" applyBorder="1" applyAlignment="1">
      <alignment wrapText="1"/>
    </xf>
    <xf numFmtId="0" fontId="62" fillId="0" borderId="0" xfId="0" applyFont="1" applyAlignment="1">
      <alignment wrapText="1"/>
    </xf>
    <xf numFmtId="15" fontId="58" fillId="56" borderId="92" xfId="0" quotePrefix="1" applyNumberFormat="1" applyFont="1" applyFill="1" applyBorder="1" applyAlignment="1">
      <alignment horizontal="center" vertical="center"/>
    </xf>
    <xf numFmtId="166" fontId="58" fillId="56" borderId="25" xfId="4038" applyFont="1" applyFill="1" applyBorder="1" applyAlignment="1">
      <alignment vertical="center"/>
    </xf>
    <xf numFmtId="0" fontId="62" fillId="0" borderId="25" xfId="0" applyFont="1" applyBorder="1" applyAlignment="1">
      <alignment horizontal="justify" vertical="center" wrapText="1"/>
    </xf>
    <xf numFmtId="0" fontId="62" fillId="0" borderId="0" xfId="0" applyFont="1" applyAlignment="1">
      <alignment horizontal="justify" vertical="center" wrapText="1"/>
    </xf>
    <xf numFmtId="0" fontId="62" fillId="0" borderId="27" xfId="0" applyFont="1" applyBorder="1" applyAlignment="1">
      <alignment horizontal="justify" vertical="center" wrapText="1"/>
    </xf>
    <xf numFmtId="0" fontId="62" fillId="0" borderId="70" xfId="0" applyFont="1" applyBorder="1" applyAlignment="1">
      <alignment horizontal="justify" wrapText="1"/>
    </xf>
    <xf numFmtId="0" fontId="62" fillId="0" borderId="10" xfId="0" applyFont="1" applyBorder="1" applyAlignment="1">
      <alignment horizontal="justify" wrapText="1"/>
    </xf>
    <xf numFmtId="0" fontId="62" fillId="0" borderId="80" xfId="0" applyFont="1" applyBorder="1" applyAlignment="1">
      <alignment horizontal="justify" wrapText="1"/>
    </xf>
    <xf numFmtId="0" fontId="62" fillId="0" borderId="70" xfId="0" applyFont="1" applyBorder="1" applyAlignment="1">
      <alignment wrapText="1"/>
    </xf>
    <xf numFmtId="0" fontId="62" fillId="0" borderId="10" xfId="0" applyFont="1" applyBorder="1" applyAlignment="1">
      <alignment wrapText="1"/>
    </xf>
    <xf numFmtId="0" fontId="0" fillId="0" borderId="25" xfId="0" applyBorder="1" applyAlignment="1">
      <alignment vertical="top" wrapText="1"/>
    </xf>
    <xf numFmtId="0" fontId="0" fillId="0" borderId="0" xfId="0" applyAlignment="1">
      <alignment vertical="top" wrapText="1"/>
    </xf>
    <xf numFmtId="0" fontId="0" fillId="0" borderId="27" xfId="0" applyBorder="1" applyAlignment="1">
      <alignment vertical="top" wrapText="1"/>
    </xf>
    <xf numFmtId="0" fontId="62" fillId="0" borderId="70" xfId="359" applyNumberFormat="1" applyFont="1" applyFill="1" applyBorder="1" applyAlignment="1">
      <alignment horizontal="left" vertical="top" wrapText="1"/>
    </xf>
    <xf numFmtId="0" fontId="62" fillId="0" borderId="10" xfId="359" applyNumberFormat="1" applyFont="1" applyFill="1" applyBorder="1" applyAlignment="1">
      <alignment horizontal="left" vertical="top" wrapText="1"/>
    </xf>
    <xf numFmtId="49" fontId="90" fillId="62" borderId="96" xfId="0" applyNumberFormat="1" applyFont="1" applyFill="1" applyBorder="1" applyAlignment="1">
      <alignment horizontal="center" vertical="center"/>
    </xf>
    <xf numFmtId="0" fontId="116" fillId="0" borderId="105" xfId="0" applyFont="1" applyBorder="1" applyAlignment="1">
      <alignment vertical="center"/>
    </xf>
    <xf numFmtId="0" fontId="116" fillId="0" borderId="109" xfId="0" applyFont="1" applyBorder="1" applyAlignment="1">
      <alignment vertical="center"/>
    </xf>
    <xf numFmtId="0" fontId="117" fillId="0" borderId="105" xfId="0" applyFont="1" applyBorder="1" applyAlignment="1">
      <alignment horizontal="left" vertical="center"/>
    </xf>
    <xf numFmtId="0" fontId="117" fillId="0" borderId="108" xfId="0" applyFont="1" applyBorder="1" applyAlignment="1">
      <alignment horizontal="left" vertical="center"/>
    </xf>
    <xf numFmtId="0" fontId="117" fillId="0" borderId="109" xfId="0" applyFont="1" applyBorder="1" applyAlignment="1">
      <alignment horizontal="left" vertical="center"/>
    </xf>
    <xf numFmtId="0" fontId="61" fillId="56" borderId="92" xfId="0" applyFont="1" applyFill="1" applyBorder="1" applyAlignment="1">
      <alignment horizontal="center" vertical="center"/>
    </xf>
    <xf numFmtId="0" fontId="61" fillId="56" borderId="98" xfId="0" applyFont="1" applyFill="1" applyBorder="1" applyAlignment="1">
      <alignment horizontal="center" vertical="center"/>
    </xf>
    <xf numFmtId="0" fontId="61" fillId="56" borderId="70" xfId="0" applyFont="1" applyFill="1" applyBorder="1" applyAlignment="1">
      <alignment horizontal="center" vertical="center"/>
    </xf>
    <xf numFmtId="0" fontId="61" fillId="56" borderId="10" xfId="0" applyFont="1" applyFill="1" applyBorder="1" applyAlignment="1">
      <alignment horizontal="center" vertical="center"/>
    </xf>
    <xf numFmtId="0" fontId="63" fillId="0" borderId="0" xfId="0" applyFont="1" applyAlignment="1">
      <alignment horizontal="center" vertical="center"/>
    </xf>
    <xf numFmtId="0" fontId="61" fillId="56" borderId="98" xfId="0" applyFont="1" applyFill="1" applyBorder="1" applyAlignment="1">
      <alignment horizontal="center" vertical="center" wrapText="1"/>
    </xf>
    <xf numFmtId="0" fontId="61" fillId="56" borderId="10" xfId="0" applyFont="1" applyFill="1" applyBorder="1" applyAlignment="1">
      <alignment horizontal="center" vertical="center" wrapText="1"/>
    </xf>
    <xf numFmtId="175" fontId="82" fillId="0" borderId="96" xfId="4033" applyNumberFormat="1" applyFont="1" applyFill="1" applyBorder="1" applyAlignment="1">
      <alignment horizontal="center"/>
    </xf>
    <xf numFmtId="175" fontId="82" fillId="0" borderId="115" xfId="4033" applyNumberFormat="1" applyFont="1" applyFill="1" applyBorder="1" applyAlignment="1">
      <alignment horizontal="center"/>
    </xf>
    <xf numFmtId="0" fontId="58" fillId="56" borderId="92" xfId="0" applyFont="1" applyFill="1" applyBorder="1" applyAlignment="1">
      <alignment horizontal="left" vertical="center"/>
    </xf>
    <xf numFmtId="0" fontId="58" fillId="56" borderId="98" xfId="0" applyFont="1" applyFill="1" applyBorder="1" applyAlignment="1">
      <alignment horizontal="left" vertical="center"/>
    </xf>
    <xf numFmtId="0" fontId="58" fillId="56" borderId="70" xfId="0" applyFont="1" applyFill="1" applyBorder="1" applyAlignment="1">
      <alignment horizontal="left" vertical="center"/>
    </xf>
    <xf numFmtId="0" fontId="58" fillId="56" borderId="10" xfId="0" applyFont="1" applyFill="1" applyBorder="1" applyAlignment="1">
      <alignment horizontal="left" vertical="center"/>
    </xf>
    <xf numFmtId="0" fontId="58" fillId="56" borderId="32" xfId="0" applyFont="1" applyFill="1" applyBorder="1" applyAlignment="1">
      <alignment horizontal="center" vertical="center" wrapText="1"/>
    </xf>
    <xf numFmtId="0" fontId="58" fillId="56" borderId="30" xfId="0" applyFont="1" applyFill="1" applyBorder="1" applyAlignment="1">
      <alignment horizontal="center" vertical="center" wrapText="1"/>
    </xf>
    <xf numFmtId="0" fontId="58" fillId="56" borderId="93" xfId="0" applyFont="1" applyFill="1" applyBorder="1" applyAlignment="1">
      <alignment horizontal="left" vertical="center"/>
    </xf>
    <xf numFmtId="0" fontId="58" fillId="56" borderId="90" xfId="0" applyFont="1" applyFill="1" applyBorder="1" applyAlignment="1">
      <alignment horizontal="left" vertical="center"/>
    </xf>
    <xf numFmtId="0" fontId="58" fillId="56" borderId="74" xfId="0" applyFont="1" applyFill="1" applyBorder="1" applyAlignment="1">
      <alignment horizontal="left" vertical="center"/>
    </xf>
    <xf numFmtId="43" fontId="58" fillId="56" borderId="95" xfId="359" applyFont="1" applyFill="1" applyBorder="1" applyAlignment="1">
      <alignment horizontal="center" vertical="center" wrapText="1"/>
    </xf>
    <xf numFmtId="43" fontId="58" fillId="56" borderId="85" xfId="359" applyFont="1" applyFill="1" applyBorder="1" applyAlignment="1">
      <alignment horizontal="center" vertical="center" wrapText="1"/>
    </xf>
    <xf numFmtId="43" fontId="58" fillId="56" borderId="75" xfId="359" applyFont="1" applyFill="1" applyBorder="1" applyAlignment="1">
      <alignment horizontal="center" vertical="center" wrapText="1"/>
    </xf>
    <xf numFmtId="0" fontId="58" fillId="56" borderId="76" xfId="0" applyFont="1" applyFill="1" applyBorder="1" applyAlignment="1">
      <alignment horizontal="center" vertical="center"/>
    </xf>
    <xf numFmtId="0" fontId="58" fillId="56" borderId="100" xfId="0" applyFont="1" applyFill="1" applyBorder="1" applyAlignment="1">
      <alignment horizontal="center" vertical="center"/>
    </xf>
    <xf numFmtId="0" fontId="58" fillId="56" borderId="77" xfId="0" applyFont="1" applyFill="1" applyBorder="1" applyAlignment="1">
      <alignment horizontal="center" vertical="center"/>
    </xf>
    <xf numFmtId="0" fontId="58" fillId="56" borderId="108" xfId="0" applyFont="1" applyFill="1" applyBorder="1" applyAlignment="1">
      <alignment horizontal="center" vertical="center"/>
    </xf>
    <xf numFmtId="0" fontId="58" fillId="56" borderId="33" xfId="0" applyFont="1" applyFill="1" applyBorder="1" applyAlignment="1">
      <alignment horizontal="center" vertical="center"/>
    </xf>
    <xf numFmtId="0" fontId="59" fillId="56" borderId="92" xfId="0" applyFont="1" applyFill="1" applyBorder="1" applyAlignment="1">
      <alignment horizontal="center" vertical="center"/>
    </xf>
    <xf numFmtId="0" fontId="59" fillId="56" borderId="70" xfId="0" applyFont="1" applyFill="1" applyBorder="1" applyAlignment="1">
      <alignment horizontal="center" vertical="center"/>
    </xf>
    <xf numFmtId="0" fontId="59" fillId="56" borderId="100" xfId="0" applyFont="1" applyFill="1" applyBorder="1" applyAlignment="1">
      <alignment horizontal="center" vertical="center"/>
    </xf>
    <xf numFmtId="0" fontId="59" fillId="56" borderId="84" xfId="0" applyFont="1" applyFill="1" applyBorder="1" applyAlignment="1">
      <alignment horizontal="center" vertical="center"/>
    </xf>
    <xf numFmtId="0" fontId="59" fillId="56" borderId="31" xfId="0" applyFont="1" applyFill="1" applyBorder="1" applyAlignment="1">
      <alignment horizontal="center" vertical="center"/>
    </xf>
    <xf numFmtId="0" fontId="58" fillId="56" borderId="100" xfId="4063" applyFont="1" applyFill="1" applyBorder="1" applyAlignment="1">
      <alignment horizontal="center"/>
    </xf>
    <xf numFmtId="0" fontId="58" fillId="56" borderId="98" xfId="4063" applyFont="1" applyFill="1" applyBorder="1" applyAlignment="1">
      <alignment horizontal="center"/>
    </xf>
    <xf numFmtId="0" fontId="58" fillId="56" borderId="76" xfId="4063" applyFont="1" applyFill="1" applyBorder="1" applyAlignment="1">
      <alignment horizontal="center"/>
    </xf>
    <xf numFmtId="0" fontId="58" fillId="56" borderId="77" xfId="4063" applyFont="1" applyFill="1" applyBorder="1" applyAlignment="1">
      <alignment horizontal="center"/>
    </xf>
    <xf numFmtId="189" fontId="59" fillId="56" borderId="92" xfId="0" applyNumberFormat="1" applyFont="1" applyFill="1" applyBorder="1" applyAlignment="1">
      <alignment horizontal="center" vertical="center"/>
    </xf>
    <xf numFmtId="189" fontId="59" fillId="56" borderId="70" xfId="0" applyNumberFormat="1" applyFont="1" applyFill="1" applyBorder="1" applyAlignment="1">
      <alignment horizontal="center" vertical="center"/>
    </xf>
    <xf numFmtId="189" fontId="59" fillId="56" borderId="100" xfId="0" applyNumberFormat="1" applyFont="1" applyFill="1" applyBorder="1" applyAlignment="1">
      <alignment horizontal="center" vertical="center"/>
    </xf>
    <xf numFmtId="189" fontId="59" fillId="56" borderId="84" xfId="0" applyNumberFormat="1" applyFont="1" applyFill="1" applyBorder="1" applyAlignment="1">
      <alignment horizontal="center" vertical="center"/>
    </xf>
    <xf numFmtId="189" fontId="59" fillId="56" borderId="31" xfId="0" applyNumberFormat="1" applyFont="1" applyFill="1" applyBorder="1" applyAlignment="1">
      <alignment horizontal="center" vertical="center"/>
    </xf>
    <xf numFmtId="0" fontId="58" fillId="56" borderId="10" xfId="4063" applyFont="1" applyFill="1" applyBorder="1" applyAlignment="1">
      <alignment horizontal="center"/>
    </xf>
    <xf numFmtId="0" fontId="58" fillId="56" borderId="0" xfId="4063" applyFont="1" applyFill="1" applyBorder="1" applyAlignment="1">
      <alignment horizontal="center"/>
    </xf>
    <xf numFmtId="0" fontId="58" fillId="56" borderId="109" xfId="4063" applyFont="1" applyFill="1" applyBorder="1" applyAlignment="1">
      <alignment horizontal="center"/>
    </xf>
    <xf numFmtId="0" fontId="58" fillId="56" borderId="31" xfId="4063" applyFont="1" applyFill="1" applyBorder="1" applyAlignment="1">
      <alignment horizontal="center"/>
    </xf>
    <xf numFmtId="0" fontId="58" fillId="56" borderId="104" xfId="4063" applyFont="1" applyFill="1" applyBorder="1" applyAlignment="1">
      <alignment horizontal="center"/>
    </xf>
    <xf numFmtId="2" fontId="58" fillId="56" borderId="84" xfId="4063" applyNumberFormat="1" applyFont="1" applyFill="1" applyBorder="1" applyAlignment="1" applyProtection="1">
      <alignment horizontal="center" vertical="center" wrapText="1"/>
    </xf>
    <xf numFmtId="2" fontId="58" fillId="56" borderId="33" xfId="4063" applyNumberFormat="1" applyFont="1" applyFill="1" applyBorder="1" applyAlignment="1" applyProtection="1">
      <alignment horizontal="center" vertical="center" wrapText="1"/>
    </xf>
    <xf numFmtId="2" fontId="58" fillId="56" borderId="31" xfId="4063" applyNumberFormat="1" applyFont="1" applyFill="1" applyBorder="1" applyAlignment="1" applyProtection="1">
      <alignment horizontal="center" vertical="center" wrapText="1"/>
    </xf>
    <xf numFmtId="0" fontId="58" fillId="56" borderId="94" xfId="4063" applyFont="1" applyFill="1" applyBorder="1" applyAlignment="1">
      <alignment horizontal="center" vertical="center" wrapText="1"/>
    </xf>
    <xf numFmtId="0" fontId="58" fillId="56" borderId="32" xfId="4063" applyFont="1" applyFill="1" applyBorder="1" applyAlignment="1">
      <alignment horizontal="center" vertical="center" wrapText="1"/>
    </xf>
    <xf numFmtId="0" fontId="58" fillId="56" borderId="30" xfId="4063" applyFont="1" applyFill="1" applyBorder="1" applyAlignment="1">
      <alignment horizontal="center" vertical="center" wrapText="1"/>
    </xf>
    <xf numFmtId="2" fontId="58" fillId="56" borderId="94" xfId="4063" applyNumberFormat="1" applyFont="1" applyFill="1" applyBorder="1" applyAlignment="1" applyProtection="1">
      <alignment horizontal="center" vertical="center" wrapText="1"/>
    </xf>
    <xf numFmtId="2" fontId="58" fillId="56" borderId="32" xfId="4063" applyNumberFormat="1" applyFont="1" applyFill="1" applyBorder="1" applyAlignment="1" applyProtection="1">
      <alignment horizontal="center" vertical="center" wrapText="1"/>
    </xf>
    <xf numFmtId="2" fontId="58" fillId="56" borderId="30" xfId="4063" applyNumberFormat="1" applyFont="1" applyFill="1" applyBorder="1" applyAlignment="1" applyProtection="1">
      <alignment horizontal="center" vertical="center" wrapText="1"/>
    </xf>
    <xf numFmtId="2" fontId="58" fillId="56" borderId="95" xfId="4063" applyNumberFormat="1" applyFont="1" applyFill="1" applyBorder="1" applyAlignment="1" applyProtection="1">
      <alignment horizontal="center" vertical="center" wrapText="1"/>
    </xf>
    <xf numFmtId="2" fontId="58" fillId="56" borderId="85" xfId="4063" applyNumberFormat="1" applyFont="1" applyFill="1" applyBorder="1" applyAlignment="1" applyProtection="1">
      <alignment horizontal="center" vertical="center" wrapText="1"/>
    </xf>
    <xf numFmtId="2" fontId="58" fillId="56" borderId="75" xfId="4063" applyNumberFormat="1" applyFont="1" applyFill="1" applyBorder="1" applyAlignment="1" applyProtection="1">
      <alignment horizontal="center" vertical="center" wrapText="1"/>
    </xf>
    <xf numFmtId="0" fontId="58" fillId="56" borderId="80" xfId="4063" applyFont="1" applyFill="1" applyBorder="1" applyAlignment="1">
      <alignment horizontal="center"/>
    </xf>
    <xf numFmtId="0" fontId="58" fillId="56" borderId="27" xfId="4063" applyFont="1" applyFill="1" applyBorder="1" applyAlignment="1">
      <alignment horizontal="center"/>
    </xf>
    <xf numFmtId="2" fontId="58" fillId="56" borderId="105" xfId="4063" applyNumberFormat="1" applyFont="1" applyFill="1" applyBorder="1" applyAlignment="1" applyProtection="1">
      <alignment horizontal="center" vertical="center" wrapText="1"/>
    </xf>
    <xf numFmtId="2" fontId="58" fillId="56" borderId="108" xfId="4063" applyNumberFormat="1" applyFont="1" applyFill="1" applyBorder="1" applyAlignment="1" applyProtection="1">
      <alignment horizontal="center" vertical="center" wrapText="1"/>
    </xf>
    <xf numFmtId="2" fontId="58" fillId="56" borderId="109" xfId="4063" applyNumberFormat="1" applyFont="1" applyFill="1" applyBorder="1" applyAlignment="1" applyProtection="1">
      <alignment horizontal="center" vertical="center" wrapText="1"/>
    </xf>
    <xf numFmtId="2" fontId="58" fillId="56" borderId="0" xfId="4063" applyNumberFormat="1" applyFont="1" applyFill="1" applyBorder="1" applyAlignment="1" applyProtection="1">
      <alignment horizontal="center" vertical="center" wrapText="1"/>
    </xf>
    <xf numFmtId="2" fontId="58" fillId="56" borderId="27" xfId="4063" applyNumberFormat="1" applyFont="1" applyFill="1" applyBorder="1" applyAlignment="1" applyProtection="1">
      <alignment horizontal="center" vertical="center" wrapText="1"/>
    </xf>
    <xf numFmtId="175" fontId="82" fillId="0" borderId="94" xfId="4033" applyNumberFormat="1" applyFont="1" applyFill="1" applyBorder="1" applyAlignment="1">
      <alignment horizontal="center"/>
    </xf>
    <xf numFmtId="0" fontId="62" fillId="0" borderId="112" xfId="0" applyFont="1" applyBorder="1" applyAlignment="1">
      <alignment horizontal="justify" vertical="top" wrapText="1"/>
    </xf>
    <xf numFmtId="0" fontId="62" fillId="0" borderId="113" xfId="0" applyFont="1" applyBorder="1" applyAlignment="1">
      <alignment horizontal="justify" vertical="top" wrapText="1"/>
    </xf>
    <xf numFmtId="0" fontId="62" fillId="0" borderId="114" xfId="0" applyFont="1" applyBorder="1" applyAlignment="1">
      <alignment horizontal="justify" vertical="top" wrapText="1"/>
    </xf>
    <xf numFmtId="0" fontId="62" fillId="0" borderId="78" xfId="0" applyFont="1" applyBorder="1" applyAlignment="1">
      <alignment horizontal="justify" wrapText="1"/>
    </xf>
    <xf numFmtId="0" fontId="59" fillId="0" borderId="96" xfId="0" applyFont="1" applyBorder="1" applyAlignment="1">
      <alignment horizontal="center" vertical="center"/>
    </xf>
    <xf numFmtId="0" fontId="59" fillId="0" borderId="99" xfId="0" applyFont="1" applyBorder="1" applyAlignment="1">
      <alignment horizontal="center" vertical="center"/>
    </xf>
    <xf numFmtId="0" fontId="59" fillId="0" borderId="96" xfId="0" applyFont="1" applyBorder="1" applyAlignment="1">
      <alignment vertical="center"/>
    </xf>
    <xf numFmtId="0" fontId="59" fillId="56" borderId="96" xfId="0" applyFont="1" applyFill="1" applyBorder="1" applyAlignment="1">
      <alignment horizontal="center" vertical="center"/>
    </xf>
    <xf numFmtId="0" fontId="0" fillId="0" borderId="96" xfId="0" applyBorder="1" applyAlignment="1">
      <alignment vertical="center"/>
    </xf>
    <xf numFmtId="0" fontId="62" fillId="59" borderId="25" xfId="0" applyFont="1" applyFill="1" applyBorder="1" applyAlignment="1">
      <alignment horizontal="justify" vertical="center"/>
    </xf>
    <xf numFmtId="0" fontId="62" fillId="59" borderId="0" xfId="0" applyFont="1" applyFill="1" applyAlignment="1">
      <alignment horizontal="justify" vertical="center"/>
    </xf>
    <xf numFmtId="0" fontId="62" fillId="59" borderId="27" xfId="0" applyFont="1" applyFill="1" applyBorder="1" applyAlignment="1">
      <alignment horizontal="justify" vertical="center"/>
    </xf>
    <xf numFmtId="0" fontId="59" fillId="56" borderId="96" xfId="0" applyFont="1" applyFill="1" applyBorder="1" applyAlignment="1">
      <alignment vertical="center"/>
    </xf>
    <xf numFmtId="0" fontId="62" fillId="0" borderId="70" xfId="0" applyFont="1" applyBorder="1" applyAlignment="1">
      <alignment vertical="center" wrapText="1"/>
    </xf>
    <xf numFmtId="0" fontId="62" fillId="0" borderId="10" xfId="0" applyFont="1" applyBorder="1" applyAlignment="1">
      <alignment vertical="center" wrapText="1"/>
    </xf>
    <xf numFmtId="0" fontId="62" fillId="0" borderId="80" xfId="0" applyFont="1" applyBorder="1" applyAlignment="1">
      <alignment vertical="center" wrapText="1"/>
    </xf>
    <xf numFmtId="0" fontId="58" fillId="0" borderId="25" xfId="0" applyFont="1" applyBorder="1" applyAlignment="1">
      <alignment horizontal="justify" vertical="center" wrapText="1"/>
    </xf>
    <xf numFmtId="0" fontId="58" fillId="0" borderId="0" xfId="0" applyFont="1" applyAlignment="1">
      <alignment horizontal="justify" vertical="center" wrapText="1"/>
    </xf>
    <xf numFmtId="0" fontId="58" fillId="0" borderId="27" xfId="0" applyFont="1" applyBorder="1" applyAlignment="1">
      <alignment horizontal="justify" vertical="center" wrapText="1"/>
    </xf>
    <xf numFmtId="0" fontId="0" fillId="0" borderId="76" xfId="0" applyBorder="1" applyAlignment="1">
      <alignment vertical="center"/>
    </xf>
    <xf numFmtId="0" fontId="0" fillId="0" borderId="100" xfId="0" applyBorder="1" applyAlignment="1">
      <alignment vertical="center"/>
    </xf>
    <xf numFmtId="0" fontId="0" fillId="0" borderId="77" xfId="0" applyBorder="1" applyAlignment="1">
      <alignment vertical="center"/>
    </xf>
    <xf numFmtId="0" fontId="59" fillId="56" borderId="98" xfId="0" applyFont="1" applyFill="1" applyBorder="1" applyAlignment="1">
      <alignment horizontal="center" vertical="center"/>
    </xf>
    <xf numFmtId="0" fontId="59" fillId="56" borderId="10" xfId="0" applyFont="1" applyFill="1" applyBorder="1" applyAlignment="1">
      <alignment horizontal="center" vertical="center"/>
    </xf>
    <xf numFmtId="0" fontId="59" fillId="56" borderId="99" xfId="0" applyFont="1" applyFill="1" applyBorder="1" applyAlignment="1">
      <alignment horizontal="center"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59" fillId="56" borderId="98" xfId="0" applyFont="1" applyFill="1" applyBorder="1" applyAlignment="1">
      <alignment horizontal="center"/>
    </xf>
    <xf numFmtId="0" fontId="59" fillId="56" borderId="102" xfId="0" applyFont="1" applyFill="1" applyBorder="1" applyAlignment="1">
      <alignment horizontal="center"/>
    </xf>
    <xf numFmtId="0" fontId="0" fillId="0" borderId="0" xfId="0" applyAlignment="1">
      <alignment horizontal="left" vertical="center" wrapText="1"/>
    </xf>
    <xf numFmtId="0" fontId="0" fillId="0" borderId="27" xfId="0" applyBorder="1" applyAlignment="1">
      <alignment horizontal="left" vertical="center" wrapText="1"/>
    </xf>
    <xf numFmtId="0" fontId="59" fillId="56" borderId="92" xfId="0" applyFont="1" applyFill="1" applyBorder="1" applyAlignment="1">
      <alignment horizontal="center"/>
    </xf>
    <xf numFmtId="0" fontId="62" fillId="0" borderId="26" xfId="0" applyFont="1" applyBorder="1" applyAlignment="1">
      <alignment horizontal="justify" vertical="center"/>
    </xf>
    <xf numFmtId="0" fontId="62" fillId="0" borderId="81" xfId="0" applyFont="1" applyBorder="1" applyAlignment="1">
      <alignment horizontal="justify" vertical="center"/>
    </xf>
    <xf numFmtId="0" fontId="62" fillId="0" borderId="28" xfId="0" applyFont="1" applyBorder="1" applyAlignment="1">
      <alignment horizontal="justify" vertical="center"/>
    </xf>
    <xf numFmtId="0" fontId="62" fillId="0" borderId="25" xfId="0" applyFont="1" applyBorder="1" applyAlignment="1">
      <alignment horizontal="justify" vertical="center"/>
    </xf>
    <xf numFmtId="0" fontId="62" fillId="0" borderId="0" xfId="0" applyFont="1" applyAlignment="1">
      <alignment horizontal="justify" vertical="center"/>
    </xf>
    <xf numFmtId="0" fontId="62" fillId="0" borderId="27" xfId="0" applyFont="1" applyBorder="1" applyAlignment="1">
      <alignment horizontal="justify" vertical="center"/>
    </xf>
    <xf numFmtId="166" fontId="58" fillId="56" borderId="103" xfId="4038" applyFont="1" applyFill="1" applyBorder="1" applyAlignment="1">
      <alignment horizontal="center" vertical="center"/>
    </xf>
    <xf numFmtId="166" fontId="58" fillId="56" borderId="100" xfId="4038" applyFont="1" applyFill="1" applyBorder="1" applyAlignment="1">
      <alignment horizontal="center" vertical="center"/>
    </xf>
    <xf numFmtId="0" fontId="58" fillId="0" borderId="25" xfId="0" applyFont="1" applyBorder="1" applyAlignment="1">
      <alignment horizontal="justify" vertical="center"/>
    </xf>
    <xf numFmtId="0" fontId="58" fillId="0" borderId="0" xfId="0" applyFont="1" applyAlignment="1">
      <alignment horizontal="justify" vertical="center"/>
    </xf>
    <xf numFmtId="0" fontId="62" fillId="0" borderId="25" xfId="0" applyFont="1" applyBorder="1" applyAlignment="1">
      <alignment horizontal="left" vertical="center" wrapText="1"/>
    </xf>
    <xf numFmtId="0" fontId="62" fillId="0" borderId="0" xfId="0" applyFont="1" applyAlignment="1">
      <alignment horizontal="left" vertical="center" wrapText="1"/>
    </xf>
    <xf numFmtId="0" fontId="62" fillId="0" borderId="27" xfId="0" applyFont="1" applyBorder="1" applyAlignment="1">
      <alignment horizontal="left" vertical="center" wrapText="1"/>
    </xf>
    <xf numFmtId="166" fontId="58" fillId="56" borderId="92" xfId="4038" applyFont="1" applyFill="1" applyBorder="1" applyAlignment="1">
      <alignment horizontal="center" vertical="center"/>
    </xf>
    <xf numFmtId="166" fontId="58" fillId="56" borderId="98" xfId="4038" applyFont="1" applyFill="1" applyBorder="1" applyAlignment="1">
      <alignment horizontal="center" vertical="center"/>
    </xf>
    <xf numFmtId="0" fontId="59" fillId="56" borderId="103" xfId="0" applyFont="1" applyFill="1" applyBorder="1"/>
    <xf numFmtId="0" fontId="59" fillId="56" borderId="100" xfId="0" applyFont="1" applyFill="1" applyBorder="1"/>
    <xf numFmtId="0" fontId="62" fillId="0" borderId="92" xfId="0" applyFont="1" applyBorder="1" applyAlignment="1">
      <alignment vertical="center" wrapText="1"/>
    </xf>
    <xf numFmtId="0" fontId="62" fillId="0" borderId="98" xfId="0" applyFont="1" applyBorder="1" applyAlignment="1">
      <alignment vertical="center" wrapText="1"/>
    </xf>
    <xf numFmtId="0" fontId="62" fillId="0" borderId="25" xfId="0" applyFont="1" applyBorder="1" applyAlignment="1">
      <alignment vertical="center" wrapText="1"/>
    </xf>
    <xf numFmtId="0" fontId="62" fillId="0" borderId="0" xfId="0" applyFont="1" applyAlignment="1">
      <alignment vertical="center" wrapText="1"/>
    </xf>
    <xf numFmtId="0" fontId="58" fillId="56" borderId="76" xfId="4064" applyFont="1" applyFill="1" applyBorder="1" applyAlignment="1">
      <alignment horizontal="center" vertical="center" wrapText="1"/>
    </xf>
    <xf numFmtId="0" fontId="58" fillId="56" borderId="100" xfId="4064" applyFont="1" applyFill="1" applyBorder="1" applyAlignment="1">
      <alignment horizontal="center" vertical="center" wrapText="1"/>
    </xf>
    <xf numFmtId="0" fontId="58" fillId="56" borderId="104" xfId="4064" applyFont="1" applyFill="1" applyBorder="1" applyAlignment="1">
      <alignment horizontal="center" vertical="center" wrapText="1"/>
    </xf>
    <xf numFmtId="0" fontId="59" fillId="56" borderId="101" xfId="0" quotePrefix="1" applyFont="1" applyFill="1" applyBorder="1" applyAlignment="1">
      <alignment horizontal="center" vertical="center"/>
    </xf>
    <xf numFmtId="0" fontId="59" fillId="56" borderId="103" xfId="0" applyFont="1" applyFill="1" applyBorder="1" applyAlignment="1">
      <alignment horizontal="center" vertical="center"/>
    </xf>
    <xf numFmtId="0" fontId="59" fillId="56" borderId="92" xfId="0" quotePrefix="1" applyFont="1" applyFill="1" applyBorder="1" applyAlignment="1">
      <alignment horizontal="center" vertical="center"/>
    </xf>
    <xf numFmtId="0" fontId="0" fillId="0" borderId="25" xfId="0" applyBorder="1" applyAlignment="1">
      <alignment horizontal="justify" vertical="center"/>
    </xf>
    <xf numFmtId="0" fontId="0" fillId="0" borderId="0" xfId="0" applyAlignment="1">
      <alignment horizontal="justify" vertical="center"/>
    </xf>
    <xf numFmtId="0" fontId="0" fillId="0" borderId="27" xfId="0" applyBorder="1" applyAlignment="1">
      <alignment horizontal="justify" vertical="center"/>
    </xf>
    <xf numFmtId="0" fontId="59" fillId="56" borderId="101" xfId="0" applyFont="1" applyFill="1" applyBorder="1" applyAlignment="1">
      <alignment horizontal="center" vertical="center"/>
    </xf>
    <xf numFmtId="0" fontId="59" fillId="56" borderId="98" xfId="0" quotePrefix="1" applyFont="1" applyFill="1" applyBorder="1" applyAlignment="1">
      <alignment horizontal="center" vertical="center"/>
    </xf>
    <xf numFmtId="189" fontId="59" fillId="56" borderId="96" xfId="0" applyNumberFormat="1" applyFont="1" applyFill="1" applyBorder="1" applyAlignment="1">
      <alignment horizontal="center" vertical="center"/>
    </xf>
    <xf numFmtId="0" fontId="59" fillId="0" borderId="92" xfId="0" applyFont="1" applyBorder="1" applyAlignment="1">
      <alignment horizontal="justify" vertical="center" wrapText="1"/>
    </xf>
    <xf numFmtId="0" fontId="59" fillId="0" borderId="98" xfId="0" applyFont="1" applyBorder="1" applyAlignment="1">
      <alignment horizontal="justify" vertical="center" wrapText="1"/>
    </xf>
    <xf numFmtId="0" fontId="59" fillId="0" borderId="102" xfId="0" applyFont="1" applyBorder="1" applyAlignment="1">
      <alignment horizontal="justify" vertical="center" wrapText="1"/>
    </xf>
    <xf numFmtId="43" fontId="59" fillId="0" borderId="0" xfId="1" applyFont="1" applyBorder="1" applyAlignment="1">
      <alignment horizontal="center" vertical="center"/>
    </xf>
    <xf numFmtId="0" fontId="0" fillId="0" borderId="26" xfId="0" applyBorder="1" applyAlignment="1">
      <alignment horizontal="justify" vertical="center" wrapText="1"/>
    </xf>
    <xf numFmtId="0" fontId="0" fillId="0" borderId="81" xfId="0" applyBorder="1" applyAlignment="1">
      <alignment horizontal="justify" vertical="center" wrapText="1"/>
    </xf>
    <xf numFmtId="0" fontId="0" fillId="0" borderId="28" xfId="0" applyBorder="1" applyAlignment="1">
      <alignment horizontal="justify" vertical="center" wrapText="1"/>
    </xf>
    <xf numFmtId="0" fontId="0" fillId="0" borderId="25" xfId="0" applyBorder="1" applyAlignment="1">
      <alignment horizontal="justify" vertical="center" wrapText="1"/>
    </xf>
    <xf numFmtId="0" fontId="58" fillId="56" borderId="77" xfId="4064" applyFont="1" applyFill="1" applyBorder="1" applyAlignment="1">
      <alignment horizontal="center" vertical="center" wrapText="1"/>
    </xf>
    <xf numFmtId="0" fontId="0" fillId="0" borderId="25" xfId="0" applyBorder="1" applyAlignment="1">
      <alignment horizontal="justify" vertical="justify" wrapText="1"/>
    </xf>
    <xf numFmtId="0" fontId="0" fillId="0" borderId="0" xfId="0" applyAlignment="1">
      <alignment horizontal="justify" vertical="justify" wrapText="1"/>
    </xf>
    <xf numFmtId="0" fontId="0" fillId="0" borderId="27" xfId="0" applyBorder="1" applyAlignment="1">
      <alignment horizontal="justify" vertical="justify" wrapText="1"/>
    </xf>
    <xf numFmtId="43" fontId="59" fillId="56" borderId="98" xfId="1" applyFont="1" applyFill="1" applyBorder="1" applyAlignment="1">
      <alignment horizontal="center"/>
    </xf>
    <xf numFmtId="43" fontId="59" fillId="56" borderId="102" xfId="1" applyFont="1" applyFill="1" applyBorder="1" applyAlignment="1">
      <alignment horizontal="center"/>
    </xf>
    <xf numFmtId="0" fontId="0" fillId="0" borderId="76" xfId="0" applyBorder="1" applyAlignment="1">
      <alignment horizontal="center"/>
    </xf>
    <xf numFmtId="0" fontId="0" fillId="0" borderId="100" xfId="0" applyBorder="1" applyAlignment="1">
      <alignment horizontal="center"/>
    </xf>
    <xf numFmtId="0" fontId="0" fillId="0" borderId="104" xfId="0" applyBorder="1" applyAlignment="1">
      <alignment horizontal="center"/>
    </xf>
    <xf numFmtId="0" fontId="0" fillId="0" borderId="95" xfId="0" applyBorder="1" applyAlignment="1">
      <alignment horizontal="justify" vertical="center" wrapText="1"/>
    </xf>
    <xf numFmtId="0" fontId="0" fillId="0" borderId="85" xfId="0" applyBorder="1" applyAlignment="1">
      <alignment horizontal="justify" vertical="center" wrapText="1"/>
    </xf>
    <xf numFmtId="0" fontId="0" fillId="0" borderId="118" xfId="0" applyBorder="1" applyAlignment="1">
      <alignment horizontal="justify" vertical="center" wrapText="1"/>
    </xf>
    <xf numFmtId="0" fontId="0" fillId="0" borderId="76" xfId="0" applyBorder="1" applyAlignment="1">
      <alignment horizontal="center" vertical="top" wrapText="1"/>
    </xf>
    <xf numFmtId="0" fontId="0" fillId="0" borderId="100" xfId="0" applyBorder="1" applyAlignment="1">
      <alignment horizontal="center" vertical="top" wrapText="1"/>
    </xf>
    <xf numFmtId="0" fontId="0" fillId="0" borderId="77" xfId="0" applyBorder="1" applyAlignment="1">
      <alignment horizontal="center" vertical="top" wrapText="1"/>
    </xf>
    <xf numFmtId="0" fontId="0" fillId="59" borderId="70" xfId="0" applyFill="1" applyBorder="1" applyAlignment="1">
      <alignment wrapText="1"/>
    </xf>
    <xf numFmtId="0" fontId="0" fillId="59" borderId="10" xfId="0" applyFill="1" applyBorder="1" applyAlignment="1">
      <alignment wrapText="1"/>
    </xf>
    <xf numFmtId="0" fontId="0" fillId="52" borderId="26" xfId="0" applyFill="1" applyBorder="1" applyAlignment="1">
      <alignment horizontal="justify" vertical="top"/>
    </xf>
    <xf numFmtId="0" fontId="0" fillId="52" borderId="81" xfId="0" applyFill="1" applyBorder="1" applyAlignment="1">
      <alignment horizontal="justify" vertical="top"/>
    </xf>
    <xf numFmtId="0" fontId="0" fillId="52" borderId="28" xfId="0" applyFill="1" applyBorder="1" applyAlignment="1">
      <alignment horizontal="justify" vertical="top"/>
    </xf>
    <xf numFmtId="0" fontId="62" fillId="0" borderId="92" xfId="0" applyFont="1" applyBorder="1" applyAlignment="1">
      <alignment horizontal="left" vertical="center"/>
    </xf>
    <xf numFmtId="0" fontId="62" fillId="0" borderId="98" xfId="0" applyFont="1" applyBorder="1" applyAlignment="1">
      <alignment horizontal="left" vertical="center"/>
    </xf>
    <xf numFmtId="0" fontId="0" fillId="0" borderId="25" xfId="0" applyBorder="1" applyAlignment="1">
      <alignment horizontal="justify" vertical="top" wrapText="1"/>
    </xf>
    <xf numFmtId="0" fontId="0" fillId="0" borderId="0" xfId="0" applyAlignment="1">
      <alignment horizontal="justify" vertical="top" wrapText="1"/>
    </xf>
    <xf numFmtId="0" fontId="0" fillId="0" borderId="27" xfId="0" applyBorder="1" applyAlignment="1">
      <alignment horizontal="justify" vertical="top" wrapText="1"/>
    </xf>
    <xf numFmtId="0" fontId="0" fillId="0" borderId="26" xfId="0" applyBorder="1" applyAlignment="1">
      <alignment horizontal="justify" vertical="justify" wrapText="1"/>
    </xf>
    <xf numFmtId="0" fontId="0" fillId="0" borderId="81" xfId="0" applyBorder="1" applyAlignment="1">
      <alignment horizontal="justify" vertical="justify" wrapText="1"/>
    </xf>
    <xf numFmtId="0" fontId="0" fillId="0" borderId="28" xfId="0" applyBorder="1" applyAlignment="1">
      <alignment horizontal="justify" vertical="justify" wrapText="1"/>
    </xf>
    <xf numFmtId="0" fontId="59" fillId="56" borderId="0" xfId="0" applyFont="1" applyFill="1" applyAlignment="1">
      <alignment horizontal="center"/>
    </xf>
    <xf numFmtId="0" fontId="59" fillId="56" borderId="27" xfId="0" applyFont="1" applyFill="1" applyBorder="1" applyAlignment="1">
      <alignment horizontal="center"/>
    </xf>
    <xf numFmtId="0" fontId="0" fillId="0" borderId="70" xfId="0" applyBorder="1" applyAlignment="1">
      <alignment horizontal="left" wrapText="1"/>
    </xf>
    <xf numFmtId="0" fontId="0" fillId="0" borderId="10" xfId="0" applyBorder="1" applyAlignment="1">
      <alignment horizontal="left" wrapText="1"/>
    </xf>
    <xf numFmtId="0" fontId="0" fillId="0" borderId="70" xfId="0" applyBorder="1" applyAlignment="1">
      <alignment horizontal="left" vertical="justify"/>
    </xf>
    <xf numFmtId="0" fontId="0" fillId="0" borderId="10" xfId="0" applyBorder="1" applyAlignment="1">
      <alignment horizontal="left" vertical="justify"/>
    </xf>
    <xf numFmtId="0" fontId="0" fillId="0" borderId="80" xfId="0" applyBorder="1" applyAlignment="1">
      <alignment horizontal="left" vertical="justify"/>
    </xf>
    <xf numFmtId="10" fontId="0" fillId="0" borderId="0" xfId="0" applyNumberFormat="1" applyAlignment="1">
      <alignment horizontal="center"/>
    </xf>
    <xf numFmtId="10" fontId="0" fillId="0" borderId="27" xfId="0" applyNumberFormat="1" applyBorder="1" applyAlignment="1">
      <alignment horizontal="center"/>
    </xf>
    <xf numFmtId="0" fontId="0" fillId="0" borderId="0" xfId="0" applyAlignment="1">
      <alignment horizontal="center"/>
    </xf>
    <xf numFmtId="0" fontId="0" fillId="0" borderId="27" xfId="0" applyBorder="1" applyAlignment="1">
      <alignment horizontal="center"/>
    </xf>
    <xf numFmtId="10" fontId="0" fillId="0" borderId="0" xfId="0" applyNumberFormat="1" applyAlignment="1">
      <alignment horizontal="left" vertical="top" wrapText="1"/>
    </xf>
    <xf numFmtId="0" fontId="0" fillId="0" borderId="0" xfId="0" applyAlignment="1">
      <alignment horizontal="left" vertical="top" wrapText="1"/>
    </xf>
    <xf numFmtId="0" fontId="0" fillId="0" borderId="27" xfId="0" applyBorder="1" applyAlignment="1">
      <alignment horizontal="left" vertical="top" wrapText="1"/>
    </xf>
    <xf numFmtId="0" fontId="0" fillId="0" borderId="0" xfId="0" applyAlignment="1">
      <alignment horizontal="center" vertical="top" wrapText="1"/>
    </xf>
    <xf numFmtId="0" fontId="0" fillId="0" borderId="27" xfId="0" applyBorder="1" applyAlignment="1">
      <alignment horizontal="center" vertical="top" wrapText="1"/>
    </xf>
    <xf numFmtId="0" fontId="0" fillId="0" borderId="0" xfId="0" applyAlignment="1">
      <alignment horizontal="center" wrapText="1"/>
    </xf>
    <xf numFmtId="0" fontId="0" fillId="0" borderId="27" xfId="0" applyBorder="1" applyAlignment="1">
      <alignment horizontal="center" wrapText="1"/>
    </xf>
    <xf numFmtId="0" fontId="59" fillId="56" borderId="25" xfId="0" applyFont="1" applyFill="1" applyBorder="1" applyAlignment="1">
      <alignment horizontal="center" vertical="center"/>
    </xf>
    <xf numFmtId="0" fontId="59" fillId="56" borderId="0" xfId="0" applyFont="1" applyFill="1" applyAlignment="1">
      <alignment horizontal="center" vertical="center"/>
    </xf>
    <xf numFmtId="0" fontId="0" fillId="0" borderId="105" xfId="4064" applyFont="1" applyBorder="1" applyAlignment="1">
      <alignment horizontal="left" vertical="top"/>
    </xf>
    <xf numFmtId="0" fontId="0" fillId="0" borderId="98" xfId="4064" applyFont="1" applyBorder="1" applyAlignment="1">
      <alignment horizontal="left" vertical="top"/>
    </xf>
    <xf numFmtId="0" fontId="0" fillId="0" borderId="84" xfId="4064" applyFont="1" applyBorder="1" applyAlignment="1">
      <alignment horizontal="left" vertical="top"/>
    </xf>
    <xf numFmtId="0" fontId="0" fillId="0" borderId="108" xfId="4064" applyFont="1" applyBorder="1" applyAlignment="1">
      <alignment vertical="top"/>
    </xf>
    <xf numFmtId="0" fontId="0" fillId="0" borderId="0" xfId="4064" applyFont="1" applyAlignment="1">
      <alignment vertical="top"/>
    </xf>
    <xf numFmtId="0" fontId="0" fillId="0" borderId="33" xfId="4064" applyFont="1" applyBorder="1" applyAlignment="1">
      <alignment vertical="top"/>
    </xf>
    <xf numFmtId="0" fontId="59" fillId="0" borderId="108" xfId="4064" applyFont="1" applyBorder="1" applyAlignment="1">
      <alignment vertical="top" wrapText="1"/>
    </xf>
    <xf numFmtId="0" fontId="59" fillId="0" borderId="0" xfId="4064" applyFont="1" applyAlignment="1">
      <alignment vertical="top" wrapText="1"/>
    </xf>
    <xf numFmtId="0" fontId="59" fillId="0" borderId="33" xfId="4064" applyFont="1" applyBorder="1" applyAlignment="1">
      <alignment vertical="top" wrapText="1"/>
    </xf>
    <xf numFmtId="0" fontId="0" fillId="0" borderId="109" xfId="4064" applyFont="1" applyBorder="1" applyAlignment="1">
      <alignment vertical="top" wrapText="1"/>
    </xf>
    <xf numFmtId="0" fontId="0" fillId="0" borderId="10" xfId="4064" applyFont="1" applyBorder="1" applyAlignment="1">
      <alignment vertical="top" wrapText="1"/>
    </xf>
    <xf numFmtId="0" fontId="0" fillId="0" borderId="31" xfId="4064" applyFont="1" applyBorder="1" applyAlignment="1">
      <alignment vertical="top" wrapText="1"/>
    </xf>
    <xf numFmtId="184" fontId="59" fillId="0" borderId="109" xfId="1" applyNumberFormat="1" applyFont="1" applyBorder="1" applyAlignment="1">
      <alignment horizontal="center" vertical="center" wrapText="1"/>
    </xf>
    <xf numFmtId="184" fontId="59" fillId="0" borderId="31" xfId="1" applyNumberFormat="1" applyFont="1" applyBorder="1" applyAlignment="1">
      <alignment horizontal="center" vertical="center" wrapText="1"/>
    </xf>
    <xf numFmtId="0" fontId="101" fillId="0" borderId="0" xfId="4088" applyFont="1" applyAlignment="1">
      <alignment horizontal="justify" vertical="top" wrapText="1"/>
    </xf>
    <xf numFmtId="0" fontId="0" fillId="0" borderId="33" xfId="0" applyBorder="1" applyAlignment="1">
      <alignment horizontal="justify" vertical="top" wrapText="1"/>
    </xf>
    <xf numFmtId="0" fontId="101" fillId="0" borderId="0" xfId="4086" applyFont="1" applyAlignment="1">
      <alignment horizontal="justify" vertical="top" wrapText="1"/>
    </xf>
    <xf numFmtId="0" fontId="101" fillId="0" borderId="0" xfId="4086" applyFont="1" applyAlignment="1">
      <alignment horizontal="justify" vertical="top"/>
    </xf>
    <xf numFmtId="0" fontId="101" fillId="0" borderId="33" xfId="4086" applyFont="1" applyBorder="1" applyAlignment="1">
      <alignment horizontal="justify" vertical="top"/>
    </xf>
    <xf numFmtId="0" fontId="101" fillId="0" borderId="10" xfId="4086" applyFont="1" applyBorder="1" applyAlignment="1">
      <alignment horizontal="justify" vertical="top"/>
    </xf>
    <xf numFmtId="0" fontId="101" fillId="0" borderId="31" xfId="4086" applyFont="1" applyBorder="1" applyAlignment="1">
      <alignment horizontal="justify" vertical="top"/>
    </xf>
    <xf numFmtId="0" fontId="99" fillId="0" borderId="94" xfId="4083" applyFont="1" applyFill="1" applyBorder="1" applyAlignment="1">
      <alignment horizontal="center" vertical="center" wrapText="1"/>
    </xf>
    <xf numFmtId="0" fontId="99" fillId="0" borderId="30" xfId="4083" applyFont="1" applyFill="1" applyBorder="1" applyAlignment="1">
      <alignment horizontal="center" vertical="center" wrapText="1"/>
    </xf>
    <xf numFmtId="0" fontId="99" fillId="0" borderId="105" xfId="4083" applyFont="1" applyFill="1" applyBorder="1" applyAlignment="1">
      <alignment horizontal="center" vertical="center" wrapText="1"/>
    </xf>
    <xf numFmtId="0" fontId="101" fillId="0" borderId="84" xfId="0" applyFont="1" applyBorder="1" applyAlignment="1">
      <alignment horizontal="center" vertical="center"/>
    </xf>
    <xf numFmtId="0" fontId="101" fillId="0" borderId="109" xfId="0" applyFont="1" applyBorder="1" applyAlignment="1">
      <alignment horizontal="center" vertical="center"/>
    </xf>
    <xf numFmtId="0" fontId="101" fillId="0" borderId="31" xfId="0" applyFont="1" applyBorder="1" applyAlignment="1">
      <alignment horizontal="center" vertical="center"/>
    </xf>
    <xf numFmtId="175" fontId="99" fillId="0" borderId="96" xfId="4084" applyNumberFormat="1" applyFont="1" applyFill="1" applyBorder="1" applyAlignment="1">
      <alignment horizontal="center" vertical="center" wrapText="1"/>
    </xf>
    <xf numFmtId="0" fontId="99" fillId="0" borderId="76" xfId="4083" applyFont="1" applyFill="1" applyBorder="1" applyAlignment="1">
      <alignment horizontal="center" vertical="center" wrapText="1"/>
    </xf>
    <xf numFmtId="0" fontId="99" fillId="0" borderId="100" xfId="4083" applyFont="1" applyFill="1" applyBorder="1" applyAlignment="1">
      <alignment horizontal="center" vertical="center" wrapText="1"/>
    </xf>
    <xf numFmtId="0" fontId="99" fillId="0" borderId="77" xfId="4083" applyFont="1" applyFill="1" applyBorder="1" applyAlignment="1">
      <alignment horizontal="center" vertical="center" wrapText="1"/>
    </xf>
    <xf numFmtId="0" fontId="101" fillId="0" borderId="100" xfId="0" applyFont="1" applyBorder="1" applyAlignment="1">
      <alignment horizontal="center" vertical="center"/>
    </xf>
    <xf numFmtId="0" fontId="101" fillId="0" borderId="77" xfId="0" applyFont="1" applyBorder="1" applyAlignment="1">
      <alignment horizontal="center" vertical="center"/>
    </xf>
    <xf numFmtId="0" fontId="112" fillId="65" borderId="96" xfId="0" applyFont="1" applyFill="1" applyBorder="1" applyAlignment="1">
      <alignment horizontal="center" vertical="top"/>
    </xf>
    <xf numFmtId="0" fontId="59" fillId="0" borderId="0" xfId="0" applyFont="1" applyAlignment="1">
      <alignment horizontal="justify" vertical="top" wrapText="1"/>
    </xf>
    <xf numFmtId="0" fontId="59" fillId="0" borderId="27" xfId="0" applyFont="1" applyBorder="1" applyAlignment="1">
      <alignment horizontal="justify" vertical="top" wrapText="1"/>
    </xf>
    <xf numFmtId="0" fontId="0" fillId="0" borderId="0" xfId="0" applyAlignment="1">
      <alignment horizontal="justify" wrapText="1"/>
    </xf>
    <xf numFmtId="0" fontId="0" fillId="0" borderId="27" xfId="0" applyBorder="1" applyAlignment="1">
      <alignment horizontal="justify" wrapText="1"/>
    </xf>
    <xf numFmtId="0" fontId="59" fillId="56" borderId="112" xfId="0" applyFont="1" applyFill="1" applyBorder="1" applyAlignment="1">
      <alignment horizontal="justify" vertical="top" wrapText="1"/>
    </xf>
    <xf numFmtId="0" fontId="59" fillId="56" borderId="113" xfId="0" applyFont="1" applyFill="1" applyBorder="1" applyAlignment="1">
      <alignment horizontal="justify" vertical="top" wrapText="1"/>
    </xf>
    <xf numFmtId="0" fontId="2" fillId="0" borderId="109" xfId="4064" applyFont="1" applyBorder="1" applyAlignment="1">
      <alignment vertical="top" wrapText="1"/>
    </xf>
    <xf numFmtId="0" fontId="2" fillId="0" borderId="10" xfId="4064" applyFont="1" applyBorder="1" applyAlignment="1">
      <alignment vertical="top" wrapText="1"/>
    </xf>
    <xf numFmtId="0" fontId="2" fillId="0" borderId="31" xfId="4064" applyFont="1" applyBorder="1" applyAlignment="1">
      <alignment vertical="top" wrapText="1"/>
    </xf>
    <xf numFmtId="0" fontId="59" fillId="0" borderId="25" xfId="0" applyFont="1" applyBorder="1" applyAlignment="1">
      <alignment horizontal="justify" vertical="top" wrapText="1"/>
    </xf>
    <xf numFmtId="0" fontId="0" fillId="0" borderId="25" xfId="0" applyBorder="1" applyAlignment="1">
      <alignment horizontal="justify" wrapText="1"/>
    </xf>
    <xf numFmtId="0" fontId="2" fillId="0" borderId="105" xfId="4064" applyFont="1" applyBorder="1" applyAlignment="1">
      <alignment horizontal="left" vertical="top"/>
    </xf>
    <xf numFmtId="0" fontId="2" fillId="0" borderId="98" xfId="4064" applyFont="1" applyBorder="1" applyAlignment="1">
      <alignment horizontal="left" vertical="top"/>
    </xf>
    <xf numFmtId="0" fontId="2" fillId="0" borderId="84" xfId="4064" applyFont="1" applyBorder="1" applyAlignment="1">
      <alignment horizontal="left" vertical="top"/>
    </xf>
    <xf numFmtId="0" fontId="2" fillId="0" borderId="108" xfId="4064" applyFont="1" applyBorder="1" applyAlignment="1">
      <alignment vertical="top"/>
    </xf>
    <xf numFmtId="0" fontId="2" fillId="0" borderId="0" xfId="4064" applyFont="1" applyAlignment="1">
      <alignment vertical="top"/>
    </xf>
    <xf numFmtId="0" fontId="2" fillId="0" borderId="33" xfId="4064" applyFont="1" applyBorder="1" applyAlignment="1">
      <alignment vertical="top"/>
    </xf>
    <xf numFmtId="0" fontId="58" fillId="54" borderId="106" xfId="2174" applyFont="1" applyFill="1" applyBorder="1" applyAlignment="1">
      <alignment horizontal="center"/>
    </xf>
    <xf numFmtId="0" fontId="58" fillId="54" borderId="107" xfId="2174" applyFont="1" applyFill="1" applyBorder="1" applyAlignment="1">
      <alignment horizontal="center"/>
    </xf>
    <xf numFmtId="0" fontId="58" fillId="54" borderId="82" xfId="2174" applyFont="1" applyFill="1" applyBorder="1" applyAlignment="1">
      <alignment horizontal="center"/>
    </xf>
    <xf numFmtId="43" fontId="58" fillId="54" borderId="67" xfId="359" applyFont="1" applyFill="1" applyBorder="1" applyAlignment="1">
      <alignment horizontal="center"/>
    </xf>
    <xf numFmtId="43" fontId="58" fillId="54" borderId="68" xfId="359" applyFont="1" applyFill="1" applyBorder="1" applyAlignment="1">
      <alignment horizontal="center"/>
    </xf>
    <xf numFmtId="43" fontId="58" fillId="54" borderId="69" xfId="359" applyFont="1" applyFill="1" applyBorder="1" applyAlignment="1">
      <alignment horizontal="center"/>
    </xf>
    <xf numFmtId="49" fontId="58" fillId="54" borderId="67" xfId="0" applyNumberFormat="1" applyFont="1" applyFill="1" applyBorder="1" applyAlignment="1">
      <alignment horizontal="center" vertical="top"/>
    </xf>
    <xf numFmtId="49" fontId="58" fillId="54" borderId="68" xfId="0" applyNumberFormat="1" applyFont="1" applyFill="1" applyBorder="1" applyAlignment="1">
      <alignment horizontal="center" vertical="top"/>
    </xf>
    <xf numFmtId="49" fontId="58" fillId="54" borderId="69" xfId="0" applyNumberFormat="1" applyFont="1" applyFill="1" applyBorder="1" applyAlignment="1">
      <alignment horizontal="center" vertical="top"/>
    </xf>
    <xf numFmtId="0" fontId="58" fillId="54" borderId="67" xfId="2174" applyFont="1" applyFill="1" applyBorder="1" applyAlignment="1">
      <alignment horizontal="center"/>
    </xf>
    <xf numFmtId="0" fontId="58" fillId="54" borderId="68" xfId="2174" applyFont="1" applyFill="1" applyBorder="1" applyAlignment="1">
      <alignment horizontal="center"/>
    </xf>
    <xf numFmtId="0" fontId="58" fillId="54" borderId="69" xfId="2174" applyFont="1" applyFill="1" applyBorder="1" applyAlignment="1">
      <alignment horizontal="center"/>
    </xf>
  </cellXfs>
  <cellStyles count="4090">
    <cellStyle name="=C:\WINNT\SYSTEM32\COMMAND.COM" xfId="4027" xr:uid="{00000000-0005-0000-0000-000000000000}"/>
    <cellStyle name="=C:\WINNT\SYSTEM32\COMMAND.COM 2" xfId="4028" xr:uid="{00000000-0005-0000-0000-000001000000}"/>
    <cellStyle name="20% - Accent1 2" xfId="2" xr:uid="{00000000-0005-0000-0000-000002000000}"/>
    <cellStyle name="20% - Accent1 2 2" xfId="3" xr:uid="{00000000-0005-0000-0000-000003000000}"/>
    <cellStyle name="20% - Accent1 2 3" xfId="4" xr:uid="{00000000-0005-0000-0000-000004000000}"/>
    <cellStyle name="20% - Accent2 2" xfId="5" xr:uid="{00000000-0005-0000-0000-000005000000}"/>
    <cellStyle name="20% - Accent2 2 2" xfId="6" xr:uid="{00000000-0005-0000-0000-000006000000}"/>
    <cellStyle name="20% - Accent2 2 3" xfId="7" xr:uid="{00000000-0005-0000-0000-000007000000}"/>
    <cellStyle name="20% - Accent3 2" xfId="8" xr:uid="{00000000-0005-0000-0000-000008000000}"/>
    <cellStyle name="20% - Accent3 2 2" xfId="9" xr:uid="{00000000-0005-0000-0000-000009000000}"/>
    <cellStyle name="20% - Accent3 2 3" xfId="10" xr:uid="{00000000-0005-0000-0000-00000A000000}"/>
    <cellStyle name="20% - Accent4 2" xfId="11" xr:uid="{00000000-0005-0000-0000-00000B000000}"/>
    <cellStyle name="20% - Accent4 2 2" xfId="12" xr:uid="{00000000-0005-0000-0000-00000C000000}"/>
    <cellStyle name="20% - Accent4 2 3" xfId="13" xr:uid="{00000000-0005-0000-0000-00000D000000}"/>
    <cellStyle name="20% - Accent5 2" xfId="14" xr:uid="{00000000-0005-0000-0000-00000E000000}"/>
    <cellStyle name="20% - Accent5 2 2" xfId="15" xr:uid="{00000000-0005-0000-0000-00000F000000}"/>
    <cellStyle name="20% - Accent5 2 3" xfId="16" xr:uid="{00000000-0005-0000-0000-000010000000}"/>
    <cellStyle name="20% - Accent6 2" xfId="17" xr:uid="{00000000-0005-0000-0000-000011000000}"/>
    <cellStyle name="20% - Accent6 2 2" xfId="18" xr:uid="{00000000-0005-0000-0000-000012000000}"/>
    <cellStyle name="20% - Accent6 2 3" xfId="19" xr:uid="{00000000-0005-0000-0000-000013000000}"/>
    <cellStyle name="40% - Accent1 2" xfId="20" xr:uid="{00000000-0005-0000-0000-000014000000}"/>
    <cellStyle name="40% - Accent1 2 2" xfId="21" xr:uid="{00000000-0005-0000-0000-000015000000}"/>
    <cellStyle name="40% - Accent1 2 3" xfId="22" xr:uid="{00000000-0005-0000-0000-000016000000}"/>
    <cellStyle name="40% - Accent2 2" xfId="23" xr:uid="{00000000-0005-0000-0000-000017000000}"/>
    <cellStyle name="40% - Accent2 2 2" xfId="24" xr:uid="{00000000-0005-0000-0000-000018000000}"/>
    <cellStyle name="40% - Accent2 2 3" xfId="25" xr:uid="{00000000-0005-0000-0000-000019000000}"/>
    <cellStyle name="40% - Accent3 2" xfId="26" xr:uid="{00000000-0005-0000-0000-00001A000000}"/>
    <cellStyle name="40% - Accent3 2 2" xfId="27" xr:uid="{00000000-0005-0000-0000-00001B000000}"/>
    <cellStyle name="40% - Accent3 2 3" xfId="28" xr:uid="{00000000-0005-0000-0000-00001C000000}"/>
    <cellStyle name="40% - Accent4 2" xfId="29" xr:uid="{00000000-0005-0000-0000-00001D000000}"/>
    <cellStyle name="40% - Accent4 2 2" xfId="30" xr:uid="{00000000-0005-0000-0000-00001E000000}"/>
    <cellStyle name="40% - Accent4 2 3" xfId="31" xr:uid="{00000000-0005-0000-0000-00001F000000}"/>
    <cellStyle name="40% - Accent5 2" xfId="32" xr:uid="{00000000-0005-0000-0000-000020000000}"/>
    <cellStyle name="40% - Accent5 2 2" xfId="33" xr:uid="{00000000-0005-0000-0000-000021000000}"/>
    <cellStyle name="40% - Accent5 2 3" xfId="34" xr:uid="{00000000-0005-0000-0000-000022000000}"/>
    <cellStyle name="40% - Accent6 2" xfId="35" xr:uid="{00000000-0005-0000-0000-000023000000}"/>
    <cellStyle name="40% - Accent6 2 2" xfId="36" xr:uid="{00000000-0005-0000-0000-000024000000}"/>
    <cellStyle name="40% - Accent6 2 3" xfId="37" xr:uid="{00000000-0005-0000-0000-000025000000}"/>
    <cellStyle name="60% - Accent1 2" xfId="38" xr:uid="{00000000-0005-0000-0000-000026000000}"/>
    <cellStyle name="60% - Accent1 2 2" xfId="39" xr:uid="{00000000-0005-0000-0000-000027000000}"/>
    <cellStyle name="60% - Accent1 2 3" xfId="40" xr:uid="{00000000-0005-0000-0000-000028000000}"/>
    <cellStyle name="60% - Accent2 2" xfId="41" xr:uid="{00000000-0005-0000-0000-000029000000}"/>
    <cellStyle name="60% - Accent2 2 2" xfId="42" xr:uid="{00000000-0005-0000-0000-00002A000000}"/>
    <cellStyle name="60% - Accent2 2 3" xfId="43" xr:uid="{00000000-0005-0000-0000-00002B000000}"/>
    <cellStyle name="60% - Accent3 2" xfId="44" xr:uid="{00000000-0005-0000-0000-00002C000000}"/>
    <cellStyle name="60% - Accent3 2 2" xfId="45" xr:uid="{00000000-0005-0000-0000-00002D000000}"/>
    <cellStyle name="60% - Accent3 2 3" xfId="46" xr:uid="{00000000-0005-0000-0000-00002E000000}"/>
    <cellStyle name="60% - Accent4 2" xfId="47" xr:uid="{00000000-0005-0000-0000-00002F000000}"/>
    <cellStyle name="60% - Accent4 2 2" xfId="48" xr:uid="{00000000-0005-0000-0000-000030000000}"/>
    <cellStyle name="60% - Accent4 2 3" xfId="49" xr:uid="{00000000-0005-0000-0000-000031000000}"/>
    <cellStyle name="60% - Accent5 2" xfId="50" xr:uid="{00000000-0005-0000-0000-000032000000}"/>
    <cellStyle name="60% - Accent5 2 2" xfId="51" xr:uid="{00000000-0005-0000-0000-000033000000}"/>
    <cellStyle name="60% - Accent5 2 3" xfId="52" xr:uid="{00000000-0005-0000-0000-000034000000}"/>
    <cellStyle name="60% - Accent6 2" xfId="53" xr:uid="{00000000-0005-0000-0000-000035000000}"/>
    <cellStyle name="60% - Accent6 2 2" xfId="54" xr:uid="{00000000-0005-0000-0000-000036000000}"/>
    <cellStyle name="60% - Accent6 2 3" xfId="55" xr:uid="{00000000-0005-0000-0000-000037000000}"/>
    <cellStyle name="Accent1 2" xfId="56" xr:uid="{00000000-0005-0000-0000-000038000000}"/>
    <cellStyle name="Accent1 2 2" xfId="57" xr:uid="{00000000-0005-0000-0000-000039000000}"/>
    <cellStyle name="Accent1 2 3" xfId="58" xr:uid="{00000000-0005-0000-0000-00003A000000}"/>
    <cellStyle name="Accent2 2" xfId="59" xr:uid="{00000000-0005-0000-0000-00003B000000}"/>
    <cellStyle name="Accent2 2 2" xfId="60" xr:uid="{00000000-0005-0000-0000-00003C000000}"/>
    <cellStyle name="Accent2 2 3" xfId="61" xr:uid="{00000000-0005-0000-0000-00003D000000}"/>
    <cellStyle name="Accent3 2" xfId="62" xr:uid="{00000000-0005-0000-0000-00003E000000}"/>
    <cellStyle name="Accent3 2 2" xfId="63" xr:uid="{00000000-0005-0000-0000-00003F000000}"/>
    <cellStyle name="Accent3 2 3" xfId="64" xr:uid="{00000000-0005-0000-0000-000040000000}"/>
    <cellStyle name="Accent4 2" xfId="65" xr:uid="{00000000-0005-0000-0000-000041000000}"/>
    <cellStyle name="Accent4 2 2" xfId="66" xr:uid="{00000000-0005-0000-0000-000042000000}"/>
    <cellStyle name="Accent4 2 3" xfId="67" xr:uid="{00000000-0005-0000-0000-000043000000}"/>
    <cellStyle name="Accent5 2" xfId="68" xr:uid="{00000000-0005-0000-0000-000044000000}"/>
    <cellStyle name="Accent5 2 2" xfId="69" xr:uid="{00000000-0005-0000-0000-000045000000}"/>
    <cellStyle name="Accent5 2 3" xfId="70" xr:uid="{00000000-0005-0000-0000-000046000000}"/>
    <cellStyle name="Accent6 2" xfId="71" xr:uid="{00000000-0005-0000-0000-000047000000}"/>
    <cellStyle name="Accent6 2 2" xfId="72" xr:uid="{00000000-0005-0000-0000-000048000000}"/>
    <cellStyle name="Accent6 2 3" xfId="73" xr:uid="{00000000-0005-0000-0000-000049000000}"/>
    <cellStyle name="Bad 2" xfId="74" xr:uid="{00000000-0005-0000-0000-00004A000000}"/>
    <cellStyle name="Bad 2 2" xfId="75" xr:uid="{00000000-0005-0000-0000-00004B000000}"/>
    <cellStyle name="Bad 2 3" xfId="76" xr:uid="{00000000-0005-0000-0000-00004C000000}"/>
    <cellStyle name="Calc Currency (0)" xfId="77" xr:uid="{00000000-0005-0000-0000-00004D000000}"/>
    <cellStyle name="Calc Currency (2)" xfId="78" xr:uid="{00000000-0005-0000-0000-00004E000000}"/>
    <cellStyle name="Calc Percent (0)" xfId="79" xr:uid="{00000000-0005-0000-0000-00004F000000}"/>
    <cellStyle name="Calc Percent (1)" xfId="80" xr:uid="{00000000-0005-0000-0000-000050000000}"/>
    <cellStyle name="Calc Percent (2)" xfId="81" xr:uid="{00000000-0005-0000-0000-000051000000}"/>
    <cellStyle name="Calc Units (0)" xfId="82" xr:uid="{00000000-0005-0000-0000-000052000000}"/>
    <cellStyle name="Calc Units (1)" xfId="83" xr:uid="{00000000-0005-0000-0000-000053000000}"/>
    <cellStyle name="Calc Units (2)" xfId="84" xr:uid="{00000000-0005-0000-0000-000054000000}"/>
    <cellStyle name="Calculation 2" xfId="85" xr:uid="{00000000-0005-0000-0000-000055000000}"/>
    <cellStyle name="Calculation 2 10" xfId="86" xr:uid="{00000000-0005-0000-0000-000056000000}"/>
    <cellStyle name="Calculation 2 11" xfId="87" xr:uid="{00000000-0005-0000-0000-000057000000}"/>
    <cellStyle name="Calculation 2 12" xfId="88" xr:uid="{00000000-0005-0000-0000-000058000000}"/>
    <cellStyle name="Calculation 2 12 2" xfId="3916" xr:uid="{00000000-0005-0000-0000-000059000000}"/>
    <cellStyle name="Calculation 2 2" xfId="89" xr:uid="{00000000-0005-0000-0000-00005A000000}"/>
    <cellStyle name="Calculation 2 2 10" xfId="90" xr:uid="{00000000-0005-0000-0000-00005B000000}"/>
    <cellStyle name="Calculation 2 2 10 2" xfId="3929" xr:uid="{00000000-0005-0000-0000-00005C000000}"/>
    <cellStyle name="Calculation 2 2 2" xfId="91" xr:uid="{00000000-0005-0000-0000-00005D000000}"/>
    <cellStyle name="Calculation 2 2 2 2" xfId="92" xr:uid="{00000000-0005-0000-0000-00005E000000}"/>
    <cellStyle name="Calculation 2 2 2 2 2" xfId="93" xr:uid="{00000000-0005-0000-0000-00005F000000}"/>
    <cellStyle name="Calculation 2 2 2 2 3" xfId="94" xr:uid="{00000000-0005-0000-0000-000060000000}"/>
    <cellStyle name="Calculation 2 2 2 2 4" xfId="3376" xr:uid="{00000000-0005-0000-0000-000061000000}"/>
    <cellStyle name="Calculation 2 2 2 3" xfId="95" xr:uid="{00000000-0005-0000-0000-000062000000}"/>
    <cellStyle name="Calculation 2 2 2 4" xfId="96" xr:uid="{00000000-0005-0000-0000-000063000000}"/>
    <cellStyle name="Calculation 2 2 2 5" xfId="97" xr:uid="{00000000-0005-0000-0000-000064000000}"/>
    <cellStyle name="Calculation 2 2 2 6" xfId="98" xr:uid="{00000000-0005-0000-0000-000065000000}"/>
    <cellStyle name="Calculation 2 2 2 7" xfId="3138" xr:uid="{00000000-0005-0000-0000-000066000000}"/>
    <cellStyle name="Calculation 2 2 3" xfId="99" xr:uid="{00000000-0005-0000-0000-000067000000}"/>
    <cellStyle name="Calculation 2 2 3 2" xfId="100" xr:uid="{00000000-0005-0000-0000-000068000000}"/>
    <cellStyle name="Calculation 2 2 3 2 2" xfId="101" xr:uid="{00000000-0005-0000-0000-000069000000}"/>
    <cellStyle name="Calculation 2 2 3 2 3" xfId="102" xr:uid="{00000000-0005-0000-0000-00006A000000}"/>
    <cellStyle name="Calculation 2 2 3 2 4" xfId="3402" xr:uid="{00000000-0005-0000-0000-00006B000000}"/>
    <cellStyle name="Calculation 2 2 3 3" xfId="103" xr:uid="{00000000-0005-0000-0000-00006C000000}"/>
    <cellStyle name="Calculation 2 2 3 4" xfId="104" xr:uid="{00000000-0005-0000-0000-00006D000000}"/>
    <cellStyle name="Calculation 2 2 3 5" xfId="105" xr:uid="{00000000-0005-0000-0000-00006E000000}"/>
    <cellStyle name="Calculation 2 2 3 6" xfId="106" xr:uid="{00000000-0005-0000-0000-00006F000000}"/>
    <cellStyle name="Calculation 2 2 3 7" xfId="3164" xr:uid="{00000000-0005-0000-0000-000070000000}"/>
    <cellStyle name="Calculation 2 2 4" xfId="107" xr:uid="{00000000-0005-0000-0000-000071000000}"/>
    <cellStyle name="Calculation 2 2 4 2" xfId="108" xr:uid="{00000000-0005-0000-0000-000072000000}"/>
    <cellStyle name="Calculation 2 2 4 2 2" xfId="109" xr:uid="{00000000-0005-0000-0000-000073000000}"/>
    <cellStyle name="Calculation 2 2 4 2 3" xfId="110" xr:uid="{00000000-0005-0000-0000-000074000000}"/>
    <cellStyle name="Calculation 2 2 4 2 4" xfId="3431" xr:uid="{00000000-0005-0000-0000-000075000000}"/>
    <cellStyle name="Calculation 2 2 4 3" xfId="111" xr:uid="{00000000-0005-0000-0000-000076000000}"/>
    <cellStyle name="Calculation 2 2 4 3 2" xfId="3632" xr:uid="{00000000-0005-0000-0000-000077000000}"/>
    <cellStyle name="Calculation 2 2 4 4" xfId="112" xr:uid="{00000000-0005-0000-0000-000078000000}"/>
    <cellStyle name="Calculation 2 2 4 5" xfId="113" xr:uid="{00000000-0005-0000-0000-000079000000}"/>
    <cellStyle name="Calculation 2 2 4 6" xfId="3193" xr:uid="{00000000-0005-0000-0000-00007A000000}"/>
    <cellStyle name="Calculation 2 2 5" xfId="114" xr:uid="{00000000-0005-0000-0000-00007B000000}"/>
    <cellStyle name="Calculation 2 2 5 2" xfId="115" xr:uid="{00000000-0005-0000-0000-00007C000000}"/>
    <cellStyle name="Calculation 2 2 5 3" xfId="116" xr:uid="{00000000-0005-0000-0000-00007D000000}"/>
    <cellStyle name="Calculation 2 2 5 4" xfId="3096" xr:uid="{00000000-0005-0000-0000-00007E000000}"/>
    <cellStyle name="Calculation 2 2 6" xfId="117" xr:uid="{00000000-0005-0000-0000-00007F000000}"/>
    <cellStyle name="Calculation 2 2 6 2" xfId="118" xr:uid="{00000000-0005-0000-0000-000080000000}"/>
    <cellStyle name="Calculation 2 2 6 3" xfId="119" xr:uid="{00000000-0005-0000-0000-000081000000}"/>
    <cellStyle name="Calculation 2 2 6 4" xfId="3334" xr:uid="{00000000-0005-0000-0000-000082000000}"/>
    <cellStyle name="Calculation 2 2 7" xfId="120" xr:uid="{00000000-0005-0000-0000-000083000000}"/>
    <cellStyle name="Calculation 2 2 7 2" xfId="3575" xr:uid="{00000000-0005-0000-0000-000084000000}"/>
    <cellStyle name="Calculation 2 2 8" xfId="121" xr:uid="{00000000-0005-0000-0000-000085000000}"/>
    <cellStyle name="Calculation 2 2 9" xfId="122" xr:uid="{00000000-0005-0000-0000-000086000000}"/>
    <cellStyle name="Calculation 2 3" xfId="123" xr:uid="{00000000-0005-0000-0000-000087000000}"/>
    <cellStyle name="Calculation 2 3 2" xfId="124" xr:uid="{00000000-0005-0000-0000-000088000000}"/>
    <cellStyle name="Calculation 2 3 2 2" xfId="125" xr:uid="{00000000-0005-0000-0000-000089000000}"/>
    <cellStyle name="Calculation 2 3 2 2 2" xfId="126" xr:uid="{00000000-0005-0000-0000-00008A000000}"/>
    <cellStyle name="Calculation 2 3 2 2 3" xfId="127" xr:uid="{00000000-0005-0000-0000-00008B000000}"/>
    <cellStyle name="Calculation 2 3 2 2 4" xfId="3487" xr:uid="{00000000-0005-0000-0000-00008C000000}"/>
    <cellStyle name="Calculation 2 3 2 3" xfId="128" xr:uid="{00000000-0005-0000-0000-00008D000000}"/>
    <cellStyle name="Calculation 2 3 2 3 2" xfId="3688" xr:uid="{00000000-0005-0000-0000-00008E000000}"/>
    <cellStyle name="Calculation 2 3 2 4" xfId="129" xr:uid="{00000000-0005-0000-0000-00008F000000}"/>
    <cellStyle name="Calculation 2 3 2 5" xfId="130" xr:uid="{00000000-0005-0000-0000-000090000000}"/>
    <cellStyle name="Calculation 2 3 2 6" xfId="3249" xr:uid="{00000000-0005-0000-0000-000091000000}"/>
    <cellStyle name="Calculation 2 3 3" xfId="131" xr:uid="{00000000-0005-0000-0000-000092000000}"/>
    <cellStyle name="Calculation 2 3 3 2" xfId="132" xr:uid="{00000000-0005-0000-0000-000093000000}"/>
    <cellStyle name="Calculation 2 3 3 3" xfId="133" xr:uid="{00000000-0005-0000-0000-000094000000}"/>
    <cellStyle name="Calculation 2 3 3 4" xfId="3125" xr:uid="{00000000-0005-0000-0000-000095000000}"/>
    <cellStyle name="Calculation 2 3 4" xfId="134" xr:uid="{00000000-0005-0000-0000-000096000000}"/>
    <cellStyle name="Calculation 2 3 4 2" xfId="135" xr:uid="{00000000-0005-0000-0000-000097000000}"/>
    <cellStyle name="Calculation 2 3 4 3" xfId="136" xr:uid="{00000000-0005-0000-0000-000098000000}"/>
    <cellStyle name="Calculation 2 3 4 4" xfId="3363" xr:uid="{00000000-0005-0000-0000-000099000000}"/>
    <cellStyle name="Calculation 2 3 5" xfId="137" xr:uid="{00000000-0005-0000-0000-00009A000000}"/>
    <cellStyle name="Calculation 2 3 6" xfId="138" xr:uid="{00000000-0005-0000-0000-00009B000000}"/>
    <cellStyle name="Calculation 2 3 7" xfId="139" xr:uid="{00000000-0005-0000-0000-00009C000000}"/>
    <cellStyle name="Calculation 2 3 8" xfId="140" xr:uid="{00000000-0005-0000-0000-00009D000000}"/>
    <cellStyle name="Calculation 2 4" xfId="141" xr:uid="{00000000-0005-0000-0000-00009E000000}"/>
    <cellStyle name="Calculation 2 4 2" xfId="142" xr:uid="{00000000-0005-0000-0000-00009F000000}"/>
    <cellStyle name="Calculation 2 4 2 2" xfId="143" xr:uid="{00000000-0005-0000-0000-0000A0000000}"/>
    <cellStyle name="Calculation 2 4 2 2 2" xfId="144" xr:uid="{00000000-0005-0000-0000-0000A1000000}"/>
    <cellStyle name="Calculation 2 4 2 2 3" xfId="145" xr:uid="{00000000-0005-0000-0000-0000A2000000}"/>
    <cellStyle name="Calculation 2 4 2 2 4" xfId="3447" xr:uid="{00000000-0005-0000-0000-0000A3000000}"/>
    <cellStyle name="Calculation 2 4 2 3" xfId="146" xr:uid="{00000000-0005-0000-0000-0000A4000000}"/>
    <cellStyle name="Calculation 2 4 2 3 2" xfId="3648" xr:uid="{00000000-0005-0000-0000-0000A5000000}"/>
    <cellStyle name="Calculation 2 4 2 4" xfId="147" xr:uid="{00000000-0005-0000-0000-0000A6000000}"/>
    <cellStyle name="Calculation 2 4 2 5" xfId="148" xr:uid="{00000000-0005-0000-0000-0000A7000000}"/>
    <cellStyle name="Calculation 2 4 2 6" xfId="3209" xr:uid="{00000000-0005-0000-0000-0000A8000000}"/>
    <cellStyle name="Calculation 2 4 3" xfId="149" xr:uid="{00000000-0005-0000-0000-0000A9000000}"/>
    <cellStyle name="Calculation 2 4 3 2" xfId="150" xr:uid="{00000000-0005-0000-0000-0000AA000000}"/>
    <cellStyle name="Calculation 2 4 3 3" xfId="151" xr:uid="{00000000-0005-0000-0000-0000AB000000}"/>
    <cellStyle name="Calculation 2 4 3 4" xfId="3122" xr:uid="{00000000-0005-0000-0000-0000AC000000}"/>
    <cellStyle name="Calculation 2 4 4" xfId="152" xr:uid="{00000000-0005-0000-0000-0000AD000000}"/>
    <cellStyle name="Calculation 2 4 4 2" xfId="153" xr:uid="{00000000-0005-0000-0000-0000AE000000}"/>
    <cellStyle name="Calculation 2 4 4 3" xfId="154" xr:uid="{00000000-0005-0000-0000-0000AF000000}"/>
    <cellStyle name="Calculation 2 4 4 4" xfId="3360" xr:uid="{00000000-0005-0000-0000-0000B0000000}"/>
    <cellStyle name="Calculation 2 4 5" xfId="155" xr:uid="{00000000-0005-0000-0000-0000B1000000}"/>
    <cellStyle name="Calculation 2 4 6" xfId="156" xr:uid="{00000000-0005-0000-0000-0000B2000000}"/>
    <cellStyle name="Calculation 2 4 7" xfId="157" xr:uid="{00000000-0005-0000-0000-0000B3000000}"/>
    <cellStyle name="Calculation 2 4 8" xfId="158" xr:uid="{00000000-0005-0000-0000-0000B4000000}"/>
    <cellStyle name="Calculation 2 4 8 2" xfId="3942" xr:uid="{00000000-0005-0000-0000-0000B5000000}"/>
    <cellStyle name="Calculation 2 4 9" xfId="2987" xr:uid="{00000000-0005-0000-0000-0000B6000000}"/>
    <cellStyle name="Calculation 2 5" xfId="159" xr:uid="{00000000-0005-0000-0000-0000B7000000}"/>
    <cellStyle name="Calculation 2 5 2" xfId="160" xr:uid="{00000000-0005-0000-0000-0000B8000000}"/>
    <cellStyle name="Calculation 2 5 2 2" xfId="161" xr:uid="{00000000-0005-0000-0000-0000B9000000}"/>
    <cellStyle name="Calculation 2 5 2 3" xfId="162" xr:uid="{00000000-0005-0000-0000-0000BA000000}"/>
    <cellStyle name="Calculation 2 5 2 4" xfId="3232" xr:uid="{00000000-0005-0000-0000-0000BB000000}"/>
    <cellStyle name="Calculation 2 5 3" xfId="163" xr:uid="{00000000-0005-0000-0000-0000BC000000}"/>
    <cellStyle name="Calculation 2 5 3 2" xfId="164" xr:uid="{00000000-0005-0000-0000-0000BD000000}"/>
    <cellStyle name="Calculation 2 5 3 3" xfId="165" xr:uid="{00000000-0005-0000-0000-0000BE000000}"/>
    <cellStyle name="Calculation 2 5 3 4" xfId="3470" xr:uid="{00000000-0005-0000-0000-0000BF000000}"/>
    <cellStyle name="Calculation 2 5 4" xfId="166" xr:uid="{00000000-0005-0000-0000-0000C0000000}"/>
    <cellStyle name="Calculation 2 5 4 2" xfId="3671" xr:uid="{00000000-0005-0000-0000-0000C1000000}"/>
    <cellStyle name="Calculation 2 5 5" xfId="167" xr:uid="{00000000-0005-0000-0000-0000C2000000}"/>
    <cellStyle name="Calculation 2 5 6" xfId="168" xr:uid="{00000000-0005-0000-0000-0000C3000000}"/>
    <cellStyle name="Calculation 2 5 7" xfId="169" xr:uid="{00000000-0005-0000-0000-0000C4000000}"/>
    <cellStyle name="Calculation 2 5 8" xfId="3004" xr:uid="{00000000-0005-0000-0000-0000C5000000}"/>
    <cellStyle name="Calculation 2 6" xfId="170" xr:uid="{00000000-0005-0000-0000-0000C6000000}"/>
    <cellStyle name="Calculation 2 6 2" xfId="171" xr:uid="{00000000-0005-0000-0000-0000C7000000}"/>
    <cellStyle name="Calculation 2 6 2 2" xfId="172" xr:uid="{00000000-0005-0000-0000-0000C8000000}"/>
    <cellStyle name="Calculation 2 6 2 3" xfId="173" xr:uid="{00000000-0005-0000-0000-0000C9000000}"/>
    <cellStyle name="Calculation 2 6 2 4" xfId="3239" xr:uid="{00000000-0005-0000-0000-0000CA000000}"/>
    <cellStyle name="Calculation 2 6 3" xfId="174" xr:uid="{00000000-0005-0000-0000-0000CB000000}"/>
    <cellStyle name="Calculation 2 6 3 2" xfId="175" xr:uid="{00000000-0005-0000-0000-0000CC000000}"/>
    <cellStyle name="Calculation 2 6 3 3" xfId="176" xr:uid="{00000000-0005-0000-0000-0000CD000000}"/>
    <cellStyle name="Calculation 2 6 3 4" xfId="3477" xr:uid="{00000000-0005-0000-0000-0000CE000000}"/>
    <cellStyle name="Calculation 2 6 4" xfId="177" xr:uid="{00000000-0005-0000-0000-0000CF000000}"/>
    <cellStyle name="Calculation 2 6 4 2" xfId="3678" xr:uid="{00000000-0005-0000-0000-0000D0000000}"/>
    <cellStyle name="Calculation 2 6 5" xfId="178" xr:uid="{00000000-0005-0000-0000-0000D1000000}"/>
    <cellStyle name="Calculation 2 6 6" xfId="179" xr:uid="{00000000-0005-0000-0000-0000D2000000}"/>
    <cellStyle name="Calculation 2 6 7" xfId="180" xr:uid="{00000000-0005-0000-0000-0000D3000000}"/>
    <cellStyle name="Calculation 2 6 7 2" xfId="3963" xr:uid="{00000000-0005-0000-0000-0000D4000000}"/>
    <cellStyle name="Calculation 2 6 8" xfId="3011" xr:uid="{00000000-0005-0000-0000-0000D5000000}"/>
    <cellStyle name="Calculation 2 7" xfId="181" xr:uid="{00000000-0005-0000-0000-0000D6000000}"/>
    <cellStyle name="Calculation 2 7 2" xfId="182" xr:uid="{00000000-0005-0000-0000-0000D7000000}"/>
    <cellStyle name="Calculation 2 7 2 2" xfId="183" xr:uid="{00000000-0005-0000-0000-0000D8000000}"/>
    <cellStyle name="Calculation 2 7 2 3" xfId="184" xr:uid="{00000000-0005-0000-0000-0000D9000000}"/>
    <cellStyle name="Calculation 2 7 2 4" xfId="3281" xr:uid="{00000000-0005-0000-0000-0000DA000000}"/>
    <cellStyle name="Calculation 2 7 3" xfId="185" xr:uid="{00000000-0005-0000-0000-0000DB000000}"/>
    <cellStyle name="Calculation 2 7 3 2" xfId="186" xr:uid="{00000000-0005-0000-0000-0000DC000000}"/>
    <cellStyle name="Calculation 2 7 3 3" xfId="187" xr:uid="{00000000-0005-0000-0000-0000DD000000}"/>
    <cellStyle name="Calculation 2 7 3 4" xfId="3519" xr:uid="{00000000-0005-0000-0000-0000DE000000}"/>
    <cellStyle name="Calculation 2 7 4" xfId="188" xr:uid="{00000000-0005-0000-0000-0000DF000000}"/>
    <cellStyle name="Calculation 2 7 4 2" xfId="3720" xr:uid="{00000000-0005-0000-0000-0000E0000000}"/>
    <cellStyle name="Calculation 2 7 5" xfId="189" xr:uid="{00000000-0005-0000-0000-0000E1000000}"/>
    <cellStyle name="Calculation 2 7 6" xfId="190" xr:uid="{00000000-0005-0000-0000-0000E2000000}"/>
    <cellStyle name="Calculation 2 7 7" xfId="191" xr:uid="{00000000-0005-0000-0000-0000E3000000}"/>
    <cellStyle name="Calculation 2 7 7 2" xfId="3980" xr:uid="{00000000-0005-0000-0000-0000E4000000}"/>
    <cellStyle name="Calculation 2 7 8" xfId="3041" xr:uid="{00000000-0005-0000-0000-0000E5000000}"/>
    <cellStyle name="Calculation 2 8" xfId="192" xr:uid="{00000000-0005-0000-0000-0000E6000000}"/>
    <cellStyle name="Calculation 2 8 2" xfId="193" xr:uid="{00000000-0005-0000-0000-0000E7000000}"/>
    <cellStyle name="Calculation 2 8 2 2" xfId="194" xr:uid="{00000000-0005-0000-0000-0000E8000000}"/>
    <cellStyle name="Calculation 2 8 2 3" xfId="195" xr:uid="{00000000-0005-0000-0000-0000E9000000}"/>
    <cellStyle name="Calculation 2 8 2 4" xfId="3282" xr:uid="{00000000-0005-0000-0000-0000EA000000}"/>
    <cellStyle name="Calculation 2 8 3" xfId="196" xr:uid="{00000000-0005-0000-0000-0000EB000000}"/>
    <cellStyle name="Calculation 2 8 3 2" xfId="197" xr:uid="{00000000-0005-0000-0000-0000EC000000}"/>
    <cellStyle name="Calculation 2 8 3 3" xfId="198" xr:uid="{00000000-0005-0000-0000-0000ED000000}"/>
    <cellStyle name="Calculation 2 8 3 4" xfId="3520" xr:uid="{00000000-0005-0000-0000-0000EE000000}"/>
    <cellStyle name="Calculation 2 8 4" xfId="199" xr:uid="{00000000-0005-0000-0000-0000EF000000}"/>
    <cellStyle name="Calculation 2 8 4 2" xfId="3721" xr:uid="{00000000-0005-0000-0000-0000F0000000}"/>
    <cellStyle name="Calculation 2 8 5" xfId="200" xr:uid="{00000000-0005-0000-0000-0000F1000000}"/>
    <cellStyle name="Calculation 2 8 6" xfId="201" xr:uid="{00000000-0005-0000-0000-0000F2000000}"/>
    <cellStyle name="Calculation 2 8 7" xfId="202" xr:uid="{00000000-0005-0000-0000-0000F3000000}"/>
    <cellStyle name="Calculation 2 8 7 2" xfId="3981" xr:uid="{00000000-0005-0000-0000-0000F4000000}"/>
    <cellStyle name="Calculation 2 8 8" xfId="3042" xr:uid="{00000000-0005-0000-0000-0000F5000000}"/>
    <cellStyle name="Calculation 2 9" xfId="203" xr:uid="{00000000-0005-0000-0000-0000F6000000}"/>
    <cellStyle name="Calculation 2 9 2" xfId="204" xr:uid="{00000000-0005-0000-0000-0000F7000000}"/>
    <cellStyle name="Calculation 2 9 2 2" xfId="205" xr:uid="{00000000-0005-0000-0000-0000F8000000}"/>
    <cellStyle name="Calculation 2 9 2 3" xfId="206" xr:uid="{00000000-0005-0000-0000-0000F9000000}"/>
    <cellStyle name="Calculation 2 9 2 4" xfId="3416" xr:uid="{00000000-0005-0000-0000-0000FA000000}"/>
    <cellStyle name="Calculation 2 9 3" xfId="207" xr:uid="{00000000-0005-0000-0000-0000FB000000}"/>
    <cellStyle name="Calculation 2 9 3 2" xfId="3617" xr:uid="{00000000-0005-0000-0000-0000FC000000}"/>
    <cellStyle name="Calculation 2 9 4" xfId="208" xr:uid="{00000000-0005-0000-0000-0000FD000000}"/>
    <cellStyle name="Calculation 2 9 5" xfId="209" xr:uid="{00000000-0005-0000-0000-0000FE000000}"/>
    <cellStyle name="Calculation 2 9 6" xfId="3178" xr:uid="{00000000-0005-0000-0000-0000FF000000}"/>
    <cellStyle name="Calculation 3" xfId="210" xr:uid="{00000000-0005-0000-0000-000000010000}"/>
    <cellStyle name="Calculation 3 10" xfId="211" xr:uid="{00000000-0005-0000-0000-000001010000}"/>
    <cellStyle name="Calculation 3 10 2" xfId="212" xr:uid="{00000000-0005-0000-0000-000002010000}"/>
    <cellStyle name="Calculation 3 10 3" xfId="213" xr:uid="{00000000-0005-0000-0000-000003010000}"/>
    <cellStyle name="Calculation 3 10 4" xfId="3097" xr:uid="{00000000-0005-0000-0000-000004010000}"/>
    <cellStyle name="Calculation 3 11" xfId="214" xr:uid="{00000000-0005-0000-0000-000005010000}"/>
    <cellStyle name="Calculation 3 11 2" xfId="215" xr:uid="{00000000-0005-0000-0000-000006010000}"/>
    <cellStyle name="Calculation 3 11 3" xfId="216" xr:uid="{00000000-0005-0000-0000-000007010000}"/>
    <cellStyle name="Calculation 3 11 4" xfId="3335" xr:uid="{00000000-0005-0000-0000-000008010000}"/>
    <cellStyle name="Calculation 3 12" xfId="217" xr:uid="{00000000-0005-0000-0000-000009010000}"/>
    <cellStyle name="Calculation 3 12 2" xfId="3576" xr:uid="{00000000-0005-0000-0000-00000A010000}"/>
    <cellStyle name="Calculation 3 13" xfId="218" xr:uid="{00000000-0005-0000-0000-00000B010000}"/>
    <cellStyle name="Calculation 3 14" xfId="219" xr:uid="{00000000-0005-0000-0000-00000C010000}"/>
    <cellStyle name="Calculation 3 15" xfId="220" xr:uid="{00000000-0005-0000-0000-00000D010000}"/>
    <cellStyle name="Calculation 3 15 2" xfId="3917" xr:uid="{00000000-0005-0000-0000-00000E010000}"/>
    <cellStyle name="Calculation 3 2" xfId="221" xr:uid="{00000000-0005-0000-0000-00000F010000}"/>
    <cellStyle name="Calculation 3 2 10" xfId="222" xr:uid="{00000000-0005-0000-0000-000010010000}"/>
    <cellStyle name="Calculation 3 2 10 2" xfId="3930" xr:uid="{00000000-0005-0000-0000-000011010000}"/>
    <cellStyle name="Calculation 3 2 2" xfId="223" xr:uid="{00000000-0005-0000-0000-000012010000}"/>
    <cellStyle name="Calculation 3 2 2 2" xfId="224" xr:uid="{00000000-0005-0000-0000-000013010000}"/>
    <cellStyle name="Calculation 3 2 2 2 2" xfId="225" xr:uid="{00000000-0005-0000-0000-000014010000}"/>
    <cellStyle name="Calculation 3 2 2 2 3" xfId="226" xr:uid="{00000000-0005-0000-0000-000015010000}"/>
    <cellStyle name="Calculation 3 2 2 2 4" xfId="3377" xr:uid="{00000000-0005-0000-0000-000016010000}"/>
    <cellStyle name="Calculation 3 2 2 3" xfId="227" xr:uid="{00000000-0005-0000-0000-000017010000}"/>
    <cellStyle name="Calculation 3 2 2 4" xfId="228" xr:uid="{00000000-0005-0000-0000-000018010000}"/>
    <cellStyle name="Calculation 3 2 2 5" xfId="229" xr:uid="{00000000-0005-0000-0000-000019010000}"/>
    <cellStyle name="Calculation 3 2 2 6" xfId="230" xr:uid="{00000000-0005-0000-0000-00001A010000}"/>
    <cellStyle name="Calculation 3 2 2 7" xfId="3139" xr:uid="{00000000-0005-0000-0000-00001B010000}"/>
    <cellStyle name="Calculation 3 2 3" xfId="231" xr:uid="{00000000-0005-0000-0000-00001C010000}"/>
    <cellStyle name="Calculation 3 2 3 2" xfId="232" xr:uid="{00000000-0005-0000-0000-00001D010000}"/>
    <cellStyle name="Calculation 3 2 3 2 2" xfId="233" xr:uid="{00000000-0005-0000-0000-00001E010000}"/>
    <cellStyle name="Calculation 3 2 3 2 3" xfId="234" xr:uid="{00000000-0005-0000-0000-00001F010000}"/>
    <cellStyle name="Calculation 3 2 3 2 4" xfId="3403" xr:uid="{00000000-0005-0000-0000-000020010000}"/>
    <cellStyle name="Calculation 3 2 3 3" xfId="235" xr:uid="{00000000-0005-0000-0000-000021010000}"/>
    <cellStyle name="Calculation 3 2 3 4" xfId="236" xr:uid="{00000000-0005-0000-0000-000022010000}"/>
    <cellStyle name="Calculation 3 2 3 5" xfId="237" xr:uid="{00000000-0005-0000-0000-000023010000}"/>
    <cellStyle name="Calculation 3 2 3 6" xfId="238" xr:uid="{00000000-0005-0000-0000-000024010000}"/>
    <cellStyle name="Calculation 3 2 3 7" xfId="3165" xr:uid="{00000000-0005-0000-0000-000025010000}"/>
    <cellStyle name="Calculation 3 2 4" xfId="239" xr:uid="{00000000-0005-0000-0000-000026010000}"/>
    <cellStyle name="Calculation 3 2 4 2" xfId="240" xr:uid="{00000000-0005-0000-0000-000027010000}"/>
    <cellStyle name="Calculation 3 2 4 2 2" xfId="241" xr:uid="{00000000-0005-0000-0000-000028010000}"/>
    <cellStyle name="Calculation 3 2 4 2 3" xfId="242" xr:uid="{00000000-0005-0000-0000-000029010000}"/>
    <cellStyle name="Calculation 3 2 4 2 4" xfId="3432" xr:uid="{00000000-0005-0000-0000-00002A010000}"/>
    <cellStyle name="Calculation 3 2 4 3" xfId="243" xr:uid="{00000000-0005-0000-0000-00002B010000}"/>
    <cellStyle name="Calculation 3 2 4 3 2" xfId="3633" xr:uid="{00000000-0005-0000-0000-00002C010000}"/>
    <cellStyle name="Calculation 3 2 4 4" xfId="244" xr:uid="{00000000-0005-0000-0000-00002D010000}"/>
    <cellStyle name="Calculation 3 2 4 5" xfId="245" xr:uid="{00000000-0005-0000-0000-00002E010000}"/>
    <cellStyle name="Calculation 3 2 4 6" xfId="3194" xr:uid="{00000000-0005-0000-0000-00002F010000}"/>
    <cellStyle name="Calculation 3 2 5" xfId="246" xr:uid="{00000000-0005-0000-0000-000030010000}"/>
    <cellStyle name="Calculation 3 2 5 2" xfId="247" xr:uid="{00000000-0005-0000-0000-000031010000}"/>
    <cellStyle name="Calculation 3 2 5 3" xfId="248" xr:uid="{00000000-0005-0000-0000-000032010000}"/>
    <cellStyle name="Calculation 3 2 5 4" xfId="3098" xr:uid="{00000000-0005-0000-0000-000033010000}"/>
    <cellStyle name="Calculation 3 2 6" xfId="249" xr:uid="{00000000-0005-0000-0000-000034010000}"/>
    <cellStyle name="Calculation 3 2 6 2" xfId="250" xr:uid="{00000000-0005-0000-0000-000035010000}"/>
    <cellStyle name="Calculation 3 2 6 3" xfId="251" xr:uid="{00000000-0005-0000-0000-000036010000}"/>
    <cellStyle name="Calculation 3 2 6 4" xfId="3336" xr:uid="{00000000-0005-0000-0000-000037010000}"/>
    <cellStyle name="Calculation 3 2 7" xfId="252" xr:uid="{00000000-0005-0000-0000-000038010000}"/>
    <cellStyle name="Calculation 3 2 7 2" xfId="3577" xr:uid="{00000000-0005-0000-0000-000039010000}"/>
    <cellStyle name="Calculation 3 2 8" xfId="253" xr:uid="{00000000-0005-0000-0000-00003A010000}"/>
    <cellStyle name="Calculation 3 2 9" xfId="254" xr:uid="{00000000-0005-0000-0000-00003B010000}"/>
    <cellStyle name="Calculation 3 3" xfId="255" xr:uid="{00000000-0005-0000-0000-00003C010000}"/>
    <cellStyle name="Calculation 3 3 2" xfId="256" xr:uid="{00000000-0005-0000-0000-00003D010000}"/>
    <cellStyle name="Calculation 3 3 2 2" xfId="257" xr:uid="{00000000-0005-0000-0000-00003E010000}"/>
    <cellStyle name="Calculation 3 3 2 2 2" xfId="258" xr:uid="{00000000-0005-0000-0000-00003F010000}"/>
    <cellStyle name="Calculation 3 3 2 2 3" xfId="259" xr:uid="{00000000-0005-0000-0000-000040010000}"/>
    <cellStyle name="Calculation 3 3 2 2 4" xfId="3488" xr:uid="{00000000-0005-0000-0000-000041010000}"/>
    <cellStyle name="Calculation 3 3 2 3" xfId="260" xr:uid="{00000000-0005-0000-0000-000042010000}"/>
    <cellStyle name="Calculation 3 3 2 3 2" xfId="3689" xr:uid="{00000000-0005-0000-0000-000043010000}"/>
    <cellStyle name="Calculation 3 3 2 4" xfId="261" xr:uid="{00000000-0005-0000-0000-000044010000}"/>
    <cellStyle name="Calculation 3 3 2 5" xfId="262" xr:uid="{00000000-0005-0000-0000-000045010000}"/>
    <cellStyle name="Calculation 3 3 2 6" xfId="3250" xr:uid="{00000000-0005-0000-0000-000046010000}"/>
    <cellStyle name="Calculation 3 3 3" xfId="263" xr:uid="{00000000-0005-0000-0000-000047010000}"/>
    <cellStyle name="Calculation 3 3 3 2" xfId="264" xr:uid="{00000000-0005-0000-0000-000048010000}"/>
    <cellStyle name="Calculation 3 3 3 3" xfId="265" xr:uid="{00000000-0005-0000-0000-000049010000}"/>
    <cellStyle name="Calculation 3 3 3 4" xfId="3126" xr:uid="{00000000-0005-0000-0000-00004A010000}"/>
    <cellStyle name="Calculation 3 3 4" xfId="266" xr:uid="{00000000-0005-0000-0000-00004B010000}"/>
    <cellStyle name="Calculation 3 3 4 2" xfId="267" xr:uid="{00000000-0005-0000-0000-00004C010000}"/>
    <cellStyle name="Calculation 3 3 4 3" xfId="268" xr:uid="{00000000-0005-0000-0000-00004D010000}"/>
    <cellStyle name="Calculation 3 3 4 4" xfId="3364" xr:uid="{00000000-0005-0000-0000-00004E010000}"/>
    <cellStyle name="Calculation 3 3 5" xfId="269" xr:uid="{00000000-0005-0000-0000-00004F010000}"/>
    <cellStyle name="Calculation 3 3 6" xfId="270" xr:uid="{00000000-0005-0000-0000-000050010000}"/>
    <cellStyle name="Calculation 3 3 7" xfId="271" xr:uid="{00000000-0005-0000-0000-000051010000}"/>
    <cellStyle name="Calculation 3 3 8" xfId="272" xr:uid="{00000000-0005-0000-0000-000052010000}"/>
    <cellStyle name="Calculation 3 4" xfId="273" xr:uid="{00000000-0005-0000-0000-000053010000}"/>
    <cellStyle name="Calculation 3 4 2" xfId="274" xr:uid="{00000000-0005-0000-0000-000054010000}"/>
    <cellStyle name="Calculation 3 4 2 2" xfId="275" xr:uid="{00000000-0005-0000-0000-000055010000}"/>
    <cellStyle name="Calculation 3 4 2 2 2" xfId="276" xr:uid="{00000000-0005-0000-0000-000056010000}"/>
    <cellStyle name="Calculation 3 4 2 2 3" xfId="277" xr:uid="{00000000-0005-0000-0000-000057010000}"/>
    <cellStyle name="Calculation 3 4 2 2 4" xfId="3446" xr:uid="{00000000-0005-0000-0000-000058010000}"/>
    <cellStyle name="Calculation 3 4 2 3" xfId="278" xr:uid="{00000000-0005-0000-0000-000059010000}"/>
    <cellStyle name="Calculation 3 4 2 3 2" xfId="3647" xr:uid="{00000000-0005-0000-0000-00005A010000}"/>
    <cellStyle name="Calculation 3 4 2 4" xfId="279" xr:uid="{00000000-0005-0000-0000-00005B010000}"/>
    <cellStyle name="Calculation 3 4 2 5" xfId="280" xr:uid="{00000000-0005-0000-0000-00005C010000}"/>
    <cellStyle name="Calculation 3 4 2 6" xfId="3208" xr:uid="{00000000-0005-0000-0000-00005D010000}"/>
    <cellStyle name="Calculation 3 4 3" xfId="281" xr:uid="{00000000-0005-0000-0000-00005E010000}"/>
    <cellStyle name="Calculation 3 4 3 2" xfId="282" xr:uid="{00000000-0005-0000-0000-00005F010000}"/>
    <cellStyle name="Calculation 3 4 3 3" xfId="283" xr:uid="{00000000-0005-0000-0000-000060010000}"/>
    <cellStyle name="Calculation 3 4 3 4" xfId="3121" xr:uid="{00000000-0005-0000-0000-000061010000}"/>
    <cellStyle name="Calculation 3 4 4" xfId="284" xr:uid="{00000000-0005-0000-0000-000062010000}"/>
    <cellStyle name="Calculation 3 4 4 2" xfId="285" xr:uid="{00000000-0005-0000-0000-000063010000}"/>
    <cellStyle name="Calculation 3 4 4 3" xfId="286" xr:uid="{00000000-0005-0000-0000-000064010000}"/>
    <cellStyle name="Calculation 3 4 4 4" xfId="3359" xr:uid="{00000000-0005-0000-0000-000065010000}"/>
    <cellStyle name="Calculation 3 4 5" xfId="287" xr:uid="{00000000-0005-0000-0000-000066010000}"/>
    <cellStyle name="Calculation 3 4 6" xfId="288" xr:uid="{00000000-0005-0000-0000-000067010000}"/>
    <cellStyle name="Calculation 3 4 7" xfId="289" xr:uid="{00000000-0005-0000-0000-000068010000}"/>
    <cellStyle name="Calculation 3 4 8" xfId="290" xr:uid="{00000000-0005-0000-0000-000069010000}"/>
    <cellStyle name="Calculation 3 4 8 2" xfId="3941" xr:uid="{00000000-0005-0000-0000-00006A010000}"/>
    <cellStyle name="Calculation 3 4 9" xfId="2986" xr:uid="{00000000-0005-0000-0000-00006B010000}"/>
    <cellStyle name="Calculation 3 5" xfId="291" xr:uid="{00000000-0005-0000-0000-00006C010000}"/>
    <cellStyle name="Calculation 3 5 2" xfId="292" xr:uid="{00000000-0005-0000-0000-00006D010000}"/>
    <cellStyle name="Calculation 3 5 2 2" xfId="293" xr:uid="{00000000-0005-0000-0000-00006E010000}"/>
    <cellStyle name="Calculation 3 5 2 3" xfId="294" xr:uid="{00000000-0005-0000-0000-00006F010000}"/>
    <cellStyle name="Calculation 3 5 2 4" xfId="3226" xr:uid="{00000000-0005-0000-0000-000070010000}"/>
    <cellStyle name="Calculation 3 5 3" xfId="295" xr:uid="{00000000-0005-0000-0000-000071010000}"/>
    <cellStyle name="Calculation 3 5 3 2" xfId="296" xr:uid="{00000000-0005-0000-0000-000072010000}"/>
    <cellStyle name="Calculation 3 5 3 3" xfId="297" xr:uid="{00000000-0005-0000-0000-000073010000}"/>
    <cellStyle name="Calculation 3 5 3 4" xfId="3464" xr:uid="{00000000-0005-0000-0000-000074010000}"/>
    <cellStyle name="Calculation 3 5 4" xfId="298" xr:uid="{00000000-0005-0000-0000-000075010000}"/>
    <cellStyle name="Calculation 3 5 4 2" xfId="3665" xr:uid="{00000000-0005-0000-0000-000076010000}"/>
    <cellStyle name="Calculation 3 5 5" xfId="299" xr:uid="{00000000-0005-0000-0000-000077010000}"/>
    <cellStyle name="Calculation 3 5 6" xfId="300" xr:uid="{00000000-0005-0000-0000-000078010000}"/>
    <cellStyle name="Calculation 3 5 7" xfId="301" xr:uid="{00000000-0005-0000-0000-000079010000}"/>
    <cellStyle name="Calculation 3 5 8" xfId="3002" xr:uid="{00000000-0005-0000-0000-00007A010000}"/>
    <cellStyle name="Calculation 3 6" xfId="302" xr:uid="{00000000-0005-0000-0000-00007B010000}"/>
    <cellStyle name="Calculation 3 6 2" xfId="303" xr:uid="{00000000-0005-0000-0000-00007C010000}"/>
    <cellStyle name="Calculation 3 6 2 2" xfId="304" xr:uid="{00000000-0005-0000-0000-00007D010000}"/>
    <cellStyle name="Calculation 3 6 2 3" xfId="305" xr:uid="{00000000-0005-0000-0000-00007E010000}"/>
    <cellStyle name="Calculation 3 6 2 4" xfId="3296" xr:uid="{00000000-0005-0000-0000-00007F010000}"/>
    <cellStyle name="Calculation 3 6 3" xfId="306" xr:uid="{00000000-0005-0000-0000-000080010000}"/>
    <cellStyle name="Calculation 3 6 3 2" xfId="307" xr:uid="{00000000-0005-0000-0000-000081010000}"/>
    <cellStyle name="Calculation 3 6 3 3" xfId="308" xr:uid="{00000000-0005-0000-0000-000082010000}"/>
    <cellStyle name="Calculation 3 6 3 4" xfId="3534" xr:uid="{00000000-0005-0000-0000-000083010000}"/>
    <cellStyle name="Calculation 3 6 4" xfId="309" xr:uid="{00000000-0005-0000-0000-000084010000}"/>
    <cellStyle name="Calculation 3 6 4 2" xfId="3735" xr:uid="{00000000-0005-0000-0000-000085010000}"/>
    <cellStyle name="Calculation 3 6 5" xfId="310" xr:uid="{00000000-0005-0000-0000-000086010000}"/>
    <cellStyle name="Calculation 3 6 6" xfId="311" xr:uid="{00000000-0005-0000-0000-000087010000}"/>
    <cellStyle name="Calculation 3 6 7" xfId="312" xr:uid="{00000000-0005-0000-0000-000088010000}"/>
    <cellStyle name="Calculation 3 6 7 2" xfId="3988" xr:uid="{00000000-0005-0000-0000-000089010000}"/>
    <cellStyle name="Calculation 3 6 8" xfId="3056" xr:uid="{00000000-0005-0000-0000-00008A010000}"/>
    <cellStyle name="Calculation 3 7" xfId="313" xr:uid="{00000000-0005-0000-0000-00008B010000}"/>
    <cellStyle name="Calculation 3 7 2" xfId="314" xr:uid="{00000000-0005-0000-0000-00008C010000}"/>
    <cellStyle name="Calculation 3 7 2 2" xfId="315" xr:uid="{00000000-0005-0000-0000-00008D010000}"/>
    <cellStyle name="Calculation 3 7 2 3" xfId="316" xr:uid="{00000000-0005-0000-0000-00008E010000}"/>
    <cellStyle name="Calculation 3 7 2 4" xfId="3245" xr:uid="{00000000-0005-0000-0000-00008F010000}"/>
    <cellStyle name="Calculation 3 7 3" xfId="317" xr:uid="{00000000-0005-0000-0000-000090010000}"/>
    <cellStyle name="Calculation 3 7 3 2" xfId="318" xr:uid="{00000000-0005-0000-0000-000091010000}"/>
    <cellStyle name="Calculation 3 7 3 3" xfId="319" xr:uid="{00000000-0005-0000-0000-000092010000}"/>
    <cellStyle name="Calculation 3 7 3 4" xfId="3483" xr:uid="{00000000-0005-0000-0000-000093010000}"/>
    <cellStyle name="Calculation 3 7 4" xfId="320" xr:uid="{00000000-0005-0000-0000-000094010000}"/>
    <cellStyle name="Calculation 3 7 4 2" xfId="3684" xr:uid="{00000000-0005-0000-0000-000095010000}"/>
    <cellStyle name="Calculation 3 7 5" xfId="321" xr:uid="{00000000-0005-0000-0000-000096010000}"/>
    <cellStyle name="Calculation 3 7 6" xfId="322" xr:uid="{00000000-0005-0000-0000-000097010000}"/>
    <cellStyle name="Calculation 3 7 7" xfId="323" xr:uid="{00000000-0005-0000-0000-000098010000}"/>
    <cellStyle name="Calculation 3 7 7 2" xfId="3965" xr:uid="{00000000-0005-0000-0000-000099010000}"/>
    <cellStyle name="Calculation 3 7 8" xfId="3017" xr:uid="{00000000-0005-0000-0000-00009A010000}"/>
    <cellStyle name="Calculation 3 8" xfId="324" xr:uid="{00000000-0005-0000-0000-00009B010000}"/>
    <cellStyle name="Calculation 3 8 2" xfId="325" xr:uid="{00000000-0005-0000-0000-00009C010000}"/>
    <cellStyle name="Calculation 3 8 2 2" xfId="326" xr:uid="{00000000-0005-0000-0000-00009D010000}"/>
    <cellStyle name="Calculation 3 8 2 3" xfId="327" xr:uid="{00000000-0005-0000-0000-00009E010000}"/>
    <cellStyle name="Calculation 3 8 2 4" xfId="3273" xr:uid="{00000000-0005-0000-0000-00009F010000}"/>
    <cellStyle name="Calculation 3 8 3" xfId="328" xr:uid="{00000000-0005-0000-0000-0000A0010000}"/>
    <cellStyle name="Calculation 3 8 3 2" xfId="329" xr:uid="{00000000-0005-0000-0000-0000A1010000}"/>
    <cellStyle name="Calculation 3 8 3 3" xfId="330" xr:uid="{00000000-0005-0000-0000-0000A2010000}"/>
    <cellStyle name="Calculation 3 8 3 4" xfId="3511" xr:uid="{00000000-0005-0000-0000-0000A3010000}"/>
    <cellStyle name="Calculation 3 8 4" xfId="331" xr:uid="{00000000-0005-0000-0000-0000A4010000}"/>
    <cellStyle name="Calculation 3 8 4 2" xfId="3712" xr:uid="{00000000-0005-0000-0000-0000A5010000}"/>
    <cellStyle name="Calculation 3 8 5" xfId="332" xr:uid="{00000000-0005-0000-0000-0000A6010000}"/>
    <cellStyle name="Calculation 3 8 6" xfId="333" xr:uid="{00000000-0005-0000-0000-0000A7010000}"/>
    <cellStyle name="Calculation 3 8 7" xfId="334" xr:uid="{00000000-0005-0000-0000-0000A8010000}"/>
    <cellStyle name="Calculation 3 8 7 2" xfId="3974" xr:uid="{00000000-0005-0000-0000-0000A9010000}"/>
    <cellStyle name="Calculation 3 8 8" xfId="3035" xr:uid="{00000000-0005-0000-0000-0000AA010000}"/>
    <cellStyle name="Calculation 3 9" xfId="335" xr:uid="{00000000-0005-0000-0000-0000AB010000}"/>
    <cellStyle name="Calculation 3 9 2" xfId="336" xr:uid="{00000000-0005-0000-0000-0000AC010000}"/>
    <cellStyle name="Calculation 3 9 2 2" xfId="337" xr:uid="{00000000-0005-0000-0000-0000AD010000}"/>
    <cellStyle name="Calculation 3 9 2 3" xfId="338" xr:uid="{00000000-0005-0000-0000-0000AE010000}"/>
    <cellStyle name="Calculation 3 9 2 4" xfId="3417" xr:uid="{00000000-0005-0000-0000-0000AF010000}"/>
    <cellStyle name="Calculation 3 9 3" xfId="339" xr:uid="{00000000-0005-0000-0000-0000B0010000}"/>
    <cellStyle name="Calculation 3 9 3 2" xfId="3618" xr:uid="{00000000-0005-0000-0000-0000B1010000}"/>
    <cellStyle name="Calculation 3 9 4" xfId="340" xr:uid="{00000000-0005-0000-0000-0000B2010000}"/>
    <cellStyle name="Calculation 3 9 5" xfId="341" xr:uid="{00000000-0005-0000-0000-0000B3010000}"/>
    <cellStyle name="Calculation 3 9 6" xfId="3179" xr:uid="{00000000-0005-0000-0000-0000B4010000}"/>
    <cellStyle name="Check Cell 2" xfId="342" xr:uid="{00000000-0005-0000-0000-0000B5010000}"/>
    <cellStyle name="Check Cell 2 2" xfId="343" xr:uid="{00000000-0005-0000-0000-0000B6010000}"/>
    <cellStyle name="Check Cell 2 3" xfId="344" xr:uid="{00000000-0005-0000-0000-0000B7010000}"/>
    <cellStyle name="Comma" xfId="1" builtinId="3"/>
    <cellStyle name="Comma [00]" xfId="345" xr:uid="{00000000-0005-0000-0000-0000B9010000}"/>
    <cellStyle name="Comma 10" xfId="346" xr:uid="{00000000-0005-0000-0000-0000BA010000}"/>
    <cellStyle name="Comma 10 2" xfId="4029" xr:uid="{00000000-0005-0000-0000-0000BB010000}"/>
    <cellStyle name="Comma 10 2 2" xfId="4085" xr:uid="{071357C4-233A-43E1-9935-B91418ABFD5E}"/>
    <cellStyle name="Comma 10 3" xfId="4030" xr:uid="{00000000-0005-0000-0000-0000BC010000}"/>
    <cellStyle name="Comma 11" xfId="347" xr:uid="{00000000-0005-0000-0000-0000BD010000}"/>
    <cellStyle name="Comma 12" xfId="348" xr:uid="{00000000-0005-0000-0000-0000BE010000}"/>
    <cellStyle name="Comma 12 3" xfId="4074" xr:uid="{0E06ED60-2451-4BE0-8AE6-8614F017AEEA}"/>
    <cellStyle name="Comma 13" xfId="349" xr:uid="{00000000-0005-0000-0000-0000BF010000}"/>
    <cellStyle name="Comma 14" xfId="350" xr:uid="{00000000-0005-0000-0000-0000C0010000}"/>
    <cellStyle name="Comma 15" xfId="351" xr:uid="{00000000-0005-0000-0000-0000C1010000}"/>
    <cellStyle name="Comma 16" xfId="352" xr:uid="{00000000-0005-0000-0000-0000C2010000}"/>
    <cellStyle name="Comma 16 2 2" xfId="4075" xr:uid="{48DF10CB-4D8F-464F-BC05-8B4575E24758}"/>
    <cellStyle name="Comma 17" xfId="4059" xr:uid="{00000000-0005-0000-0000-0000C3010000}"/>
    <cellStyle name="Comma 18" xfId="4077" xr:uid="{00000000-0005-0000-0000-00001A100000}"/>
    <cellStyle name="Comma 18 2" xfId="4081" xr:uid="{A66EC7BC-8B01-4204-9F69-C6E1F6143BD6}"/>
    <cellStyle name="Comma 19" xfId="4079" xr:uid="{54750B60-1B11-4C9C-8416-A196019FA793}"/>
    <cellStyle name="Comma 2" xfId="353" xr:uid="{00000000-0005-0000-0000-0000C4010000}"/>
    <cellStyle name="Comma 2 11 2 2" xfId="4068" xr:uid="{00000000-0005-0000-0000-0000C5010000}"/>
    <cellStyle name="Comma 2 2" xfId="354" xr:uid="{00000000-0005-0000-0000-0000C6010000}"/>
    <cellStyle name="Comma 2 2 2" xfId="4031" xr:uid="{00000000-0005-0000-0000-0000C7010000}"/>
    <cellStyle name="Comma 2 2 2 2" xfId="4032" xr:uid="{00000000-0005-0000-0000-0000C8010000}"/>
    <cellStyle name="Comma 2 2 3" xfId="4033" xr:uid="{00000000-0005-0000-0000-0000C9010000}"/>
    <cellStyle name="Comma 2 3" xfId="355" xr:uid="{00000000-0005-0000-0000-0000CA010000}"/>
    <cellStyle name="Comma 2 3 2" xfId="4034" xr:uid="{00000000-0005-0000-0000-0000CB010000}"/>
    <cellStyle name="Comma 2 4" xfId="4035" xr:uid="{00000000-0005-0000-0000-0000CC010000}"/>
    <cellStyle name="Comma 2 5" xfId="4036" xr:uid="{00000000-0005-0000-0000-0000CD010000}"/>
    <cellStyle name="Comma 2 6" xfId="356" xr:uid="{00000000-0005-0000-0000-0000CE010000}"/>
    <cellStyle name="Comma 2 7" xfId="4067" xr:uid="{00000000-0005-0000-0000-0000CF010000}"/>
    <cellStyle name="Comma 3" xfId="357" xr:uid="{00000000-0005-0000-0000-0000D0010000}"/>
    <cellStyle name="Comma 3 11" xfId="4073" xr:uid="{25197DC4-98BE-44B9-B54C-46D8209A63A8}"/>
    <cellStyle name="Comma 3 2" xfId="358" xr:uid="{00000000-0005-0000-0000-0000D1010000}"/>
    <cellStyle name="Comma 3 2 2" xfId="4037" xr:uid="{00000000-0005-0000-0000-0000D2010000}"/>
    <cellStyle name="Comma 3 3" xfId="359" xr:uid="{00000000-0005-0000-0000-0000D3010000}"/>
    <cellStyle name="Comma 3 3 2" xfId="4038" xr:uid="{00000000-0005-0000-0000-0000D4010000}"/>
    <cellStyle name="Comma 3 3 2 2" xfId="4039" xr:uid="{00000000-0005-0000-0000-0000D5010000}"/>
    <cellStyle name="Comma 3 3 3" xfId="4040" xr:uid="{00000000-0005-0000-0000-0000D6010000}"/>
    <cellStyle name="Comma 3 4" xfId="4041" xr:uid="{00000000-0005-0000-0000-0000D7010000}"/>
    <cellStyle name="Comma 4" xfId="360" xr:uid="{00000000-0005-0000-0000-0000D8010000}"/>
    <cellStyle name="Comma 4 2" xfId="361" xr:uid="{00000000-0005-0000-0000-0000D9010000}"/>
    <cellStyle name="Comma 5" xfId="362" xr:uid="{00000000-0005-0000-0000-0000DA010000}"/>
    <cellStyle name="Comma 5 2" xfId="363" xr:uid="{00000000-0005-0000-0000-0000DB010000}"/>
    <cellStyle name="Comma 5 2 2" xfId="4042" xr:uid="{00000000-0005-0000-0000-0000DC010000}"/>
    <cellStyle name="Comma 5 3" xfId="4021" xr:uid="{00000000-0005-0000-0000-0000DD010000}"/>
    <cellStyle name="Comma 6" xfId="364" xr:uid="{00000000-0005-0000-0000-0000DE010000}"/>
    <cellStyle name="Comma 6 2" xfId="365" xr:uid="{00000000-0005-0000-0000-0000DF010000}"/>
    <cellStyle name="Comma 6 2 2" xfId="4043" xr:uid="{00000000-0005-0000-0000-0000E0010000}"/>
    <cellStyle name="Comma 6 3" xfId="4044" xr:uid="{00000000-0005-0000-0000-0000E1010000}"/>
    <cellStyle name="Comma 7" xfId="366" xr:uid="{00000000-0005-0000-0000-0000E2010000}"/>
    <cellStyle name="Comma 7 2" xfId="367" xr:uid="{00000000-0005-0000-0000-0000E3010000}"/>
    <cellStyle name="Comma 7 2 2" xfId="4045" xr:uid="{00000000-0005-0000-0000-0000E4010000}"/>
    <cellStyle name="Comma 7 2 3" xfId="4046" xr:uid="{00000000-0005-0000-0000-0000E5010000}"/>
    <cellStyle name="Comma 7 3" xfId="368" xr:uid="{00000000-0005-0000-0000-0000E6010000}"/>
    <cellStyle name="Comma 7 4" xfId="4047" xr:uid="{00000000-0005-0000-0000-0000E7010000}"/>
    <cellStyle name="Comma 8" xfId="369" xr:uid="{00000000-0005-0000-0000-0000E8010000}"/>
    <cellStyle name="Comma 8 2" xfId="4025" xr:uid="{00000000-0005-0000-0000-0000E9010000}"/>
    <cellStyle name="Comma 8 3" xfId="4048" xr:uid="{00000000-0005-0000-0000-0000EA010000}"/>
    <cellStyle name="Comma 9" xfId="370" xr:uid="{00000000-0005-0000-0000-0000EB010000}"/>
    <cellStyle name="Comma 9 2" xfId="4049" xr:uid="{00000000-0005-0000-0000-0000EC010000}"/>
    <cellStyle name="Comma 9 3" xfId="4050" xr:uid="{00000000-0005-0000-0000-0000ED010000}"/>
    <cellStyle name="Comma_Computation final-10 09 2006 2 2" xfId="4084" xr:uid="{1FC5A412-0872-4F50-9008-93C5C1FADAD6}"/>
    <cellStyle name="Currency [00]" xfId="371" xr:uid="{00000000-0005-0000-0000-0000EE010000}"/>
    <cellStyle name="Currency 2" xfId="2983" xr:uid="{00000000-0005-0000-0000-0000EF010000}"/>
    <cellStyle name="Currency 3" xfId="2985" xr:uid="{00000000-0005-0000-0000-0000F0010000}"/>
    <cellStyle name="Custom - Style8" xfId="372" xr:uid="{00000000-0005-0000-0000-0000F1010000}"/>
    <cellStyle name="Date Short" xfId="373" xr:uid="{00000000-0005-0000-0000-0000F2010000}"/>
    <cellStyle name="Enter Currency (0)" xfId="374" xr:uid="{00000000-0005-0000-0000-0000F3010000}"/>
    <cellStyle name="Enter Currency (2)" xfId="375" xr:uid="{00000000-0005-0000-0000-0000F4010000}"/>
    <cellStyle name="Enter Units (0)" xfId="376" xr:uid="{00000000-0005-0000-0000-0000F5010000}"/>
    <cellStyle name="Enter Units (1)" xfId="377" xr:uid="{00000000-0005-0000-0000-0000F6010000}"/>
    <cellStyle name="Enter Units (2)" xfId="378" xr:uid="{00000000-0005-0000-0000-0000F7010000}"/>
    <cellStyle name="Euro" xfId="379" xr:uid="{00000000-0005-0000-0000-0000F8010000}"/>
    <cellStyle name="Excel Built-in Normal" xfId="380" xr:uid="{00000000-0005-0000-0000-0000F9010000}"/>
    <cellStyle name="Excel Built-in Normal 2" xfId="381" xr:uid="{00000000-0005-0000-0000-0000FA010000}"/>
    <cellStyle name="Excel Built-in Normal 3" xfId="382" xr:uid="{00000000-0005-0000-0000-0000FB010000}"/>
    <cellStyle name="Explanatory Text 2" xfId="383" xr:uid="{00000000-0005-0000-0000-0000FC010000}"/>
    <cellStyle name="Explanatory Text 2 2" xfId="384" xr:uid="{00000000-0005-0000-0000-0000FD010000}"/>
    <cellStyle name="Explanatory Text 2 3" xfId="385" xr:uid="{00000000-0005-0000-0000-0000FE010000}"/>
    <cellStyle name="Good 2" xfId="386" xr:uid="{00000000-0005-0000-0000-0000FF010000}"/>
    <cellStyle name="Good 2 2" xfId="387" xr:uid="{00000000-0005-0000-0000-000000020000}"/>
    <cellStyle name="Good 2 3" xfId="388" xr:uid="{00000000-0005-0000-0000-000001020000}"/>
    <cellStyle name="Grey" xfId="389" xr:uid="{00000000-0005-0000-0000-000002020000}"/>
    <cellStyle name="Header1" xfId="390" xr:uid="{00000000-0005-0000-0000-000003020000}"/>
    <cellStyle name="Header2" xfId="391" xr:uid="{00000000-0005-0000-0000-000004020000}"/>
    <cellStyle name="Header2 10" xfId="392" xr:uid="{00000000-0005-0000-0000-000005020000}"/>
    <cellStyle name="Header2 10 2" xfId="393" xr:uid="{00000000-0005-0000-0000-000006020000}"/>
    <cellStyle name="Header2 10 3" xfId="394" xr:uid="{00000000-0005-0000-0000-000007020000}"/>
    <cellStyle name="Header2 10 4" xfId="395" xr:uid="{00000000-0005-0000-0000-000008020000}"/>
    <cellStyle name="Header2 10 5" xfId="3094" xr:uid="{00000000-0005-0000-0000-000009020000}"/>
    <cellStyle name="Header2 11" xfId="396" xr:uid="{00000000-0005-0000-0000-00000A020000}"/>
    <cellStyle name="Header2 11 2" xfId="397" xr:uid="{00000000-0005-0000-0000-00000B020000}"/>
    <cellStyle name="Header2 11 3" xfId="3572" xr:uid="{00000000-0005-0000-0000-00000C020000}"/>
    <cellStyle name="Header2 12" xfId="398" xr:uid="{00000000-0005-0000-0000-00000D020000}"/>
    <cellStyle name="Header2 13" xfId="399" xr:uid="{00000000-0005-0000-0000-00000E020000}"/>
    <cellStyle name="Header2 14" xfId="400" xr:uid="{00000000-0005-0000-0000-00000F020000}"/>
    <cellStyle name="Header2 2" xfId="401" xr:uid="{00000000-0005-0000-0000-000010020000}"/>
    <cellStyle name="Header2 2 10" xfId="402" xr:uid="{00000000-0005-0000-0000-000011020000}"/>
    <cellStyle name="Header2 2 10 2" xfId="403" xr:uid="{00000000-0005-0000-0000-000012020000}"/>
    <cellStyle name="Header2 2 10 2 2" xfId="404" xr:uid="{00000000-0005-0000-0000-000013020000}"/>
    <cellStyle name="Header2 2 10 2 3" xfId="405" xr:uid="{00000000-0005-0000-0000-000014020000}"/>
    <cellStyle name="Header2 2 10 2 4" xfId="406" xr:uid="{00000000-0005-0000-0000-000015020000}"/>
    <cellStyle name="Header2 2 10 2 5" xfId="3418" xr:uid="{00000000-0005-0000-0000-000016020000}"/>
    <cellStyle name="Header2 2 10 3" xfId="407" xr:uid="{00000000-0005-0000-0000-000017020000}"/>
    <cellStyle name="Header2 2 10 3 2" xfId="3619" xr:uid="{00000000-0005-0000-0000-000018020000}"/>
    <cellStyle name="Header2 2 10 4" xfId="408" xr:uid="{00000000-0005-0000-0000-000019020000}"/>
    <cellStyle name="Header2 2 10 5" xfId="409" xr:uid="{00000000-0005-0000-0000-00001A020000}"/>
    <cellStyle name="Header2 2 10 6" xfId="410" xr:uid="{00000000-0005-0000-0000-00001B020000}"/>
    <cellStyle name="Header2 2 10 7" xfId="411" xr:uid="{00000000-0005-0000-0000-00001C020000}"/>
    <cellStyle name="Header2 2 10 8" xfId="3180" xr:uid="{00000000-0005-0000-0000-00001D020000}"/>
    <cellStyle name="Header2 2 11" xfId="412" xr:uid="{00000000-0005-0000-0000-00001E020000}"/>
    <cellStyle name="Header2 2 11 2" xfId="413" xr:uid="{00000000-0005-0000-0000-00001F020000}"/>
    <cellStyle name="Header2 2 11 3" xfId="414" xr:uid="{00000000-0005-0000-0000-000020020000}"/>
    <cellStyle name="Header2 2 11 4" xfId="415" xr:uid="{00000000-0005-0000-0000-000021020000}"/>
    <cellStyle name="Header2 2 11 5" xfId="3099" xr:uid="{00000000-0005-0000-0000-000022020000}"/>
    <cellStyle name="Header2 2 12" xfId="416" xr:uid="{00000000-0005-0000-0000-000023020000}"/>
    <cellStyle name="Header2 2 12 2" xfId="417" xr:uid="{00000000-0005-0000-0000-000024020000}"/>
    <cellStyle name="Header2 2 12 3" xfId="418" xr:uid="{00000000-0005-0000-0000-000025020000}"/>
    <cellStyle name="Header2 2 12 4" xfId="419" xr:uid="{00000000-0005-0000-0000-000026020000}"/>
    <cellStyle name="Header2 2 12 5" xfId="3337" xr:uid="{00000000-0005-0000-0000-000027020000}"/>
    <cellStyle name="Header2 2 13" xfId="420" xr:uid="{00000000-0005-0000-0000-000028020000}"/>
    <cellStyle name="Header2 2 13 2" xfId="421" xr:uid="{00000000-0005-0000-0000-000029020000}"/>
    <cellStyle name="Header2 2 13 3" xfId="3578" xr:uid="{00000000-0005-0000-0000-00002A020000}"/>
    <cellStyle name="Header2 2 14" xfId="422" xr:uid="{00000000-0005-0000-0000-00002B020000}"/>
    <cellStyle name="Header2 2 15" xfId="423" xr:uid="{00000000-0005-0000-0000-00002C020000}"/>
    <cellStyle name="Header2 2 16" xfId="424" xr:uid="{00000000-0005-0000-0000-00002D020000}"/>
    <cellStyle name="Header2 2 17" xfId="425" xr:uid="{00000000-0005-0000-0000-00002E020000}"/>
    <cellStyle name="Header2 2 18" xfId="426" xr:uid="{00000000-0005-0000-0000-00002F020000}"/>
    <cellStyle name="Header2 2 18 2" xfId="3918" xr:uid="{00000000-0005-0000-0000-000030020000}"/>
    <cellStyle name="Header2 2 2" xfId="427" xr:uid="{00000000-0005-0000-0000-000031020000}"/>
    <cellStyle name="Header2 2 2 10" xfId="428" xr:uid="{00000000-0005-0000-0000-000032020000}"/>
    <cellStyle name="Header2 2 2 11" xfId="429" xr:uid="{00000000-0005-0000-0000-000033020000}"/>
    <cellStyle name="Header2 2 2 2" xfId="430" xr:uid="{00000000-0005-0000-0000-000034020000}"/>
    <cellStyle name="Header2 2 2 2 2" xfId="431" xr:uid="{00000000-0005-0000-0000-000035020000}"/>
    <cellStyle name="Header2 2 2 2 2 2" xfId="432" xr:uid="{00000000-0005-0000-0000-000036020000}"/>
    <cellStyle name="Header2 2 2 2 2 3" xfId="433" xr:uid="{00000000-0005-0000-0000-000037020000}"/>
    <cellStyle name="Header2 2 2 2 2 4" xfId="434" xr:uid="{00000000-0005-0000-0000-000038020000}"/>
    <cellStyle name="Header2 2 2 2 2 5" xfId="3379" xr:uid="{00000000-0005-0000-0000-000039020000}"/>
    <cellStyle name="Header2 2 2 2 3" xfId="435" xr:uid="{00000000-0005-0000-0000-00003A020000}"/>
    <cellStyle name="Header2 2 2 2 3 2" xfId="3605" xr:uid="{00000000-0005-0000-0000-00003B020000}"/>
    <cellStyle name="Header2 2 2 2 4" xfId="436" xr:uid="{00000000-0005-0000-0000-00003C020000}"/>
    <cellStyle name="Header2 2 2 2 5" xfId="437" xr:uid="{00000000-0005-0000-0000-00003D020000}"/>
    <cellStyle name="Header2 2 2 2 6" xfId="438" xr:uid="{00000000-0005-0000-0000-00003E020000}"/>
    <cellStyle name="Header2 2 2 2 7" xfId="439" xr:uid="{00000000-0005-0000-0000-00003F020000}"/>
    <cellStyle name="Header2 2 2 2 8" xfId="3141" xr:uid="{00000000-0005-0000-0000-000040020000}"/>
    <cellStyle name="Header2 2 2 3" xfId="440" xr:uid="{00000000-0005-0000-0000-000041020000}"/>
    <cellStyle name="Header2 2 2 3 2" xfId="441" xr:uid="{00000000-0005-0000-0000-000042020000}"/>
    <cellStyle name="Header2 2 2 3 2 2" xfId="442" xr:uid="{00000000-0005-0000-0000-000043020000}"/>
    <cellStyle name="Header2 2 2 3 2 3" xfId="443" xr:uid="{00000000-0005-0000-0000-000044020000}"/>
    <cellStyle name="Header2 2 2 3 2 4" xfId="444" xr:uid="{00000000-0005-0000-0000-000045020000}"/>
    <cellStyle name="Header2 2 2 3 2 5" xfId="3405" xr:uid="{00000000-0005-0000-0000-000046020000}"/>
    <cellStyle name="Header2 2 2 3 3" xfId="445" xr:uid="{00000000-0005-0000-0000-000047020000}"/>
    <cellStyle name="Header2 2 2 3 3 2" xfId="3613" xr:uid="{00000000-0005-0000-0000-000048020000}"/>
    <cellStyle name="Header2 2 2 3 4" xfId="446" xr:uid="{00000000-0005-0000-0000-000049020000}"/>
    <cellStyle name="Header2 2 2 3 5" xfId="447" xr:uid="{00000000-0005-0000-0000-00004A020000}"/>
    <cellStyle name="Header2 2 2 3 6" xfId="448" xr:uid="{00000000-0005-0000-0000-00004B020000}"/>
    <cellStyle name="Header2 2 2 3 7" xfId="449" xr:uid="{00000000-0005-0000-0000-00004C020000}"/>
    <cellStyle name="Header2 2 2 3 8" xfId="3167" xr:uid="{00000000-0005-0000-0000-00004D020000}"/>
    <cellStyle name="Header2 2 2 4" xfId="450" xr:uid="{00000000-0005-0000-0000-00004E020000}"/>
    <cellStyle name="Header2 2 2 4 2" xfId="451" xr:uid="{00000000-0005-0000-0000-00004F020000}"/>
    <cellStyle name="Header2 2 2 4 2 2" xfId="452" xr:uid="{00000000-0005-0000-0000-000050020000}"/>
    <cellStyle name="Header2 2 2 4 2 3" xfId="453" xr:uid="{00000000-0005-0000-0000-000051020000}"/>
    <cellStyle name="Header2 2 2 4 2 4" xfId="454" xr:uid="{00000000-0005-0000-0000-000052020000}"/>
    <cellStyle name="Header2 2 2 4 2 5" xfId="3434" xr:uid="{00000000-0005-0000-0000-000053020000}"/>
    <cellStyle name="Header2 2 2 4 3" xfId="455" xr:uid="{00000000-0005-0000-0000-000054020000}"/>
    <cellStyle name="Header2 2 2 4 3 2" xfId="3635" xr:uid="{00000000-0005-0000-0000-000055020000}"/>
    <cellStyle name="Header2 2 2 4 4" xfId="456" xr:uid="{00000000-0005-0000-0000-000056020000}"/>
    <cellStyle name="Header2 2 2 4 5" xfId="457" xr:uid="{00000000-0005-0000-0000-000057020000}"/>
    <cellStyle name="Header2 2 2 4 6" xfId="458" xr:uid="{00000000-0005-0000-0000-000058020000}"/>
    <cellStyle name="Header2 2 2 4 7" xfId="459" xr:uid="{00000000-0005-0000-0000-000059020000}"/>
    <cellStyle name="Header2 2 2 4 8" xfId="3196" xr:uid="{00000000-0005-0000-0000-00005A020000}"/>
    <cellStyle name="Header2 2 2 5" xfId="460" xr:uid="{00000000-0005-0000-0000-00005B020000}"/>
    <cellStyle name="Header2 2 2 5 2" xfId="461" xr:uid="{00000000-0005-0000-0000-00005C020000}"/>
    <cellStyle name="Header2 2 2 5 3" xfId="462" xr:uid="{00000000-0005-0000-0000-00005D020000}"/>
    <cellStyle name="Header2 2 2 5 4" xfId="463" xr:uid="{00000000-0005-0000-0000-00005E020000}"/>
    <cellStyle name="Header2 2 2 5 5" xfId="3100" xr:uid="{00000000-0005-0000-0000-00005F020000}"/>
    <cellStyle name="Header2 2 2 6" xfId="464" xr:uid="{00000000-0005-0000-0000-000060020000}"/>
    <cellStyle name="Header2 2 2 6 2" xfId="465" xr:uid="{00000000-0005-0000-0000-000061020000}"/>
    <cellStyle name="Header2 2 2 6 3" xfId="466" xr:uid="{00000000-0005-0000-0000-000062020000}"/>
    <cellStyle name="Header2 2 2 6 4" xfId="467" xr:uid="{00000000-0005-0000-0000-000063020000}"/>
    <cellStyle name="Header2 2 2 6 5" xfId="3338" xr:uid="{00000000-0005-0000-0000-000064020000}"/>
    <cellStyle name="Header2 2 2 7" xfId="468" xr:uid="{00000000-0005-0000-0000-000065020000}"/>
    <cellStyle name="Header2 2 2 7 2" xfId="469" xr:uid="{00000000-0005-0000-0000-000066020000}"/>
    <cellStyle name="Header2 2 2 7 3" xfId="3579" xr:uid="{00000000-0005-0000-0000-000067020000}"/>
    <cellStyle name="Header2 2 2 8" xfId="470" xr:uid="{00000000-0005-0000-0000-000068020000}"/>
    <cellStyle name="Header2 2 2 9" xfId="471" xr:uid="{00000000-0005-0000-0000-000069020000}"/>
    <cellStyle name="Header2 2 3" xfId="472" xr:uid="{00000000-0005-0000-0000-00006A020000}"/>
    <cellStyle name="Header2 2 3 2" xfId="473" xr:uid="{00000000-0005-0000-0000-00006B020000}"/>
    <cellStyle name="Header2 2 3 2 2" xfId="474" xr:uid="{00000000-0005-0000-0000-00006C020000}"/>
    <cellStyle name="Header2 2 3 2 2 2" xfId="475" xr:uid="{00000000-0005-0000-0000-00006D020000}"/>
    <cellStyle name="Header2 2 3 2 2 3" xfId="476" xr:uid="{00000000-0005-0000-0000-00006E020000}"/>
    <cellStyle name="Header2 2 3 2 2 4" xfId="477" xr:uid="{00000000-0005-0000-0000-00006F020000}"/>
    <cellStyle name="Header2 2 3 2 2 5" xfId="3467" xr:uid="{00000000-0005-0000-0000-000070020000}"/>
    <cellStyle name="Header2 2 3 2 3" xfId="478" xr:uid="{00000000-0005-0000-0000-000071020000}"/>
    <cellStyle name="Header2 2 3 2 3 2" xfId="3668" xr:uid="{00000000-0005-0000-0000-000072020000}"/>
    <cellStyle name="Header2 2 3 2 4" xfId="479" xr:uid="{00000000-0005-0000-0000-000073020000}"/>
    <cellStyle name="Header2 2 3 2 5" xfId="480" xr:uid="{00000000-0005-0000-0000-000074020000}"/>
    <cellStyle name="Header2 2 3 2 6" xfId="481" xr:uid="{00000000-0005-0000-0000-000075020000}"/>
    <cellStyle name="Header2 2 3 2 7" xfId="482" xr:uid="{00000000-0005-0000-0000-000076020000}"/>
    <cellStyle name="Header2 2 3 2 8" xfId="3229" xr:uid="{00000000-0005-0000-0000-000077020000}"/>
    <cellStyle name="Header2 2 3 3" xfId="483" xr:uid="{00000000-0005-0000-0000-000078020000}"/>
    <cellStyle name="Header2 2 3 3 2" xfId="484" xr:uid="{00000000-0005-0000-0000-000079020000}"/>
    <cellStyle name="Header2 2 3 3 3" xfId="485" xr:uid="{00000000-0005-0000-0000-00007A020000}"/>
    <cellStyle name="Header2 2 3 3 4" xfId="486" xr:uid="{00000000-0005-0000-0000-00007B020000}"/>
    <cellStyle name="Header2 2 3 3 5" xfId="3127" xr:uid="{00000000-0005-0000-0000-00007C020000}"/>
    <cellStyle name="Header2 2 3 4" xfId="487" xr:uid="{00000000-0005-0000-0000-00007D020000}"/>
    <cellStyle name="Header2 2 3 4 2" xfId="488" xr:uid="{00000000-0005-0000-0000-00007E020000}"/>
    <cellStyle name="Header2 2 3 4 3" xfId="489" xr:uid="{00000000-0005-0000-0000-00007F020000}"/>
    <cellStyle name="Header2 2 3 4 4" xfId="490" xr:uid="{00000000-0005-0000-0000-000080020000}"/>
    <cellStyle name="Header2 2 3 4 5" xfId="3365" xr:uid="{00000000-0005-0000-0000-000081020000}"/>
    <cellStyle name="Header2 2 3 5" xfId="491" xr:uid="{00000000-0005-0000-0000-000082020000}"/>
    <cellStyle name="Header2 2 3 5 2" xfId="492" xr:uid="{00000000-0005-0000-0000-000083020000}"/>
    <cellStyle name="Header2 2 3 5 3" xfId="3602" xr:uid="{00000000-0005-0000-0000-000084020000}"/>
    <cellStyle name="Header2 2 3 6" xfId="493" xr:uid="{00000000-0005-0000-0000-000085020000}"/>
    <cellStyle name="Header2 2 3 7" xfId="494" xr:uid="{00000000-0005-0000-0000-000086020000}"/>
    <cellStyle name="Header2 2 3 8" xfId="495" xr:uid="{00000000-0005-0000-0000-000087020000}"/>
    <cellStyle name="Header2 2 3 9" xfId="496" xr:uid="{00000000-0005-0000-0000-000088020000}"/>
    <cellStyle name="Header2 2 4" xfId="497" xr:uid="{00000000-0005-0000-0000-000089020000}"/>
    <cellStyle name="Header2 2 4 10" xfId="3005" xr:uid="{00000000-0005-0000-0000-00008A020000}"/>
    <cellStyle name="Header2 2 4 2" xfId="498" xr:uid="{00000000-0005-0000-0000-00008B020000}"/>
    <cellStyle name="Header2 2 4 2 2" xfId="499" xr:uid="{00000000-0005-0000-0000-00008C020000}"/>
    <cellStyle name="Header2 2 4 2 2 2" xfId="500" xr:uid="{00000000-0005-0000-0000-00008D020000}"/>
    <cellStyle name="Header2 2 4 2 2 3" xfId="501" xr:uid="{00000000-0005-0000-0000-00008E020000}"/>
    <cellStyle name="Header2 2 4 2 2 4" xfId="502" xr:uid="{00000000-0005-0000-0000-00008F020000}"/>
    <cellStyle name="Header2 2 4 2 2 5" xfId="3471" xr:uid="{00000000-0005-0000-0000-000090020000}"/>
    <cellStyle name="Header2 2 4 2 3" xfId="503" xr:uid="{00000000-0005-0000-0000-000091020000}"/>
    <cellStyle name="Header2 2 4 2 3 2" xfId="3672" xr:uid="{00000000-0005-0000-0000-000092020000}"/>
    <cellStyle name="Header2 2 4 2 4" xfId="504" xr:uid="{00000000-0005-0000-0000-000093020000}"/>
    <cellStyle name="Header2 2 4 2 5" xfId="505" xr:uid="{00000000-0005-0000-0000-000094020000}"/>
    <cellStyle name="Header2 2 4 2 6" xfId="506" xr:uid="{00000000-0005-0000-0000-000095020000}"/>
    <cellStyle name="Header2 2 4 2 7" xfId="507" xr:uid="{00000000-0005-0000-0000-000096020000}"/>
    <cellStyle name="Header2 2 4 2 8" xfId="3233" xr:uid="{00000000-0005-0000-0000-000097020000}"/>
    <cellStyle name="Header2 2 4 3" xfId="508" xr:uid="{00000000-0005-0000-0000-000098020000}"/>
    <cellStyle name="Header2 2 4 3 2" xfId="509" xr:uid="{00000000-0005-0000-0000-000099020000}"/>
    <cellStyle name="Header2 2 4 3 3" xfId="510" xr:uid="{00000000-0005-0000-0000-00009A020000}"/>
    <cellStyle name="Header2 2 4 3 4" xfId="511" xr:uid="{00000000-0005-0000-0000-00009B020000}"/>
    <cellStyle name="Header2 2 4 3 5" xfId="3153" xr:uid="{00000000-0005-0000-0000-00009C020000}"/>
    <cellStyle name="Header2 2 4 4" xfId="512" xr:uid="{00000000-0005-0000-0000-00009D020000}"/>
    <cellStyle name="Header2 2 4 4 2" xfId="513" xr:uid="{00000000-0005-0000-0000-00009E020000}"/>
    <cellStyle name="Header2 2 4 4 3" xfId="514" xr:uid="{00000000-0005-0000-0000-00009F020000}"/>
    <cellStyle name="Header2 2 4 4 4" xfId="515" xr:uid="{00000000-0005-0000-0000-0000A0020000}"/>
    <cellStyle name="Header2 2 4 4 5" xfId="3391" xr:uid="{00000000-0005-0000-0000-0000A1020000}"/>
    <cellStyle name="Header2 2 4 5" xfId="516" xr:uid="{00000000-0005-0000-0000-0000A2020000}"/>
    <cellStyle name="Header2 2 4 5 2" xfId="517" xr:uid="{00000000-0005-0000-0000-0000A3020000}"/>
    <cellStyle name="Header2 2 4 5 3" xfId="3610" xr:uid="{00000000-0005-0000-0000-0000A4020000}"/>
    <cellStyle name="Header2 2 4 6" xfId="518" xr:uid="{00000000-0005-0000-0000-0000A5020000}"/>
    <cellStyle name="Header2 2 4 7" xfId="519" xr:uid="{00000000-0005-0000-0000-0000A6020000}"/>
    <cellStyle name="Header2 2 4 8" xfId="520" xr:uid="{00000000-0005-0000-0000-0000A7020000}"/>
    <cellStyle name="Header2 2 4 9" xfId="521" xr:uid="{00000000-0005-0000-0000-0000A8020000}"/>
    <cellStyle name="Header2 2 5" xfId="522" xr:uid="{00000000-0005-0000-0000-0000A9020000}"/>
    <cellStyle name="Header2 2 5 10" xfId="3015" xr:uid="{00000000-0005-0000-0000-0000AA020000}"/>
    <cellStyle name="Header2 2 5 2" xfId="523" xr:uid="{00000000-0005-0000-0000-0000AB020000}"/>
    <cellStyle name="Header2 2 5 2 2" xfId="524" xr:uid="{00000000-0005-0000-0000-0000AC020000}"/>
    <cellStyle name="Header2 2 5 2 3" xfId="525" xr:uid="{00000000-0005-0000-0000-0000AD020000}"/>
    <cellStyle name="Header2 2 5 2 4" xfId="526" xr:uid="{00000000-0005-0000-0000-0000AE020000}"/>
    <cellStyle name="Header2 2 5 2 5" xfId="3243" xr:uid="{00000000-0005-0000-0000-0000AF020000}"/>
    <cellStyle name="Header2 2 5 3" xfId="527" xr:uid="{00000000-0005-0000-0000-0000B0020000}"/>
    <cellStyle name="Header2 2 5 3 2" xfId="528" xr:uid="{00000000-0005-0000-0000-0000B1020000}"/>
    <cellStyle name="Header2 2 5 3 3" xfId="529" xr:uid="{00000000-0005-0000-0000-0000B2020000}"/>
    <cellStyle name="Header2 2 5 3 4" xfId="530" xr:uid="{00000000-0005-0000-0000-0000B3020000}"/>
    <cellStyle name="Header2 2 5 3 5" xfId="3481" xr:uid="{00000000-0005-0000-0000-0000B4020000}"/>
    <cellStyle name="Header2 2 5 4" xfId="531" xr:uid="{00000000-0005-0000-0000-0000B5020000}"/>
    <cellStyle name="Header2 2 5 4 2" xfId="532" xr:uid="{00000000-0005-0000-0000-0000B6020000}"/>
    <cellStyle name="Header2 2 5 4 3" xfId="3682" xr:uid="{00000000-0005-0000-0000-0000B7020000}"/>
    <cellStyle name="Header2 2 5 5" xfId="533" xr:uid="{00000000-0005-0000-0000-0000B8020000}"/>
    <cellStyle name="Header2 2 5 6" xfId="534" xr:uid="{00000000-0005-0000-0000-0000B9020000}"/>
    <cellStyle name="Header2 2 5 7" xfId="535" xr:uid="{00000000-0005-0000-0000-0000BA020000}"/>
    <cellStyle name="Header2 2 5 8" xfId="536" xr:uid="{00000000-0005-0000-0000-0000BB020000}"/>
    <cellStyle name="Header2 2 5 9" xfId="537" xr:uid="{00000000-0005-0000-0000-0000BC020000}"/>
    <cellStyle name="Header2 2 6" xfId="538" xr:uid="{00000000-0005-0000-0000-0000BD020000}"/>
    <cellStyle name="Header2 2 6 10" xfId="3021" xr:uid="{00000000-0005-0000-0000-0000BE020000}"/>
    <cellStyle name="Header2 2 6 2" xfId="539" xr:uid="{00000000-0005-0000-0000-0000BF020000}"/>
    <cellStyle name="Header2 2 6 2 2" xfId="540" xr:uid="{00000000-0005-0000-0000-0000C0020000}"/>
    <cellStyle name="Header2 2 6 2 3" xfId="541" xr:uid="{00000000-0005-0000-0000-0000C1020000}"/>
    <cellStyle name="Header2 2 6 2 4" xfId="542" xr:uid="{00000000-0005-0000-0000-0000C2020000}"/>
    <cellStyle name="Header2 2 6 2 5" xfId="3251" xr:uid="{00000000-0005-0000-0000-0000C3020000}"/>
    <cellStyle name="Header2 2 6 3" xfId="543" xr:uid="{00000000-0005-0000-0000-0000C4020000}"/>
    <cellStyle name="Header2 2 6 3 2" xfId="544" xr:uid="{00000000-0005-0000-0000-0000C5020000}"/>
    <cellStyle name="Header2 2 6 3 3" xfId="545" xr:uid="{00000000-0005-0000-0000-0000C6020000}"/>
    <cellStyle name="Header2 2 6 3 4" xfId="546" xr:uid="{00000000-0005-0000-0000-0000C7020000}"/>
    <cellStyle name="Header2 2 6 3 5" xfId="3489" xr:uid="{00000000-0005-0000-0000-0000C8020000}"/>
    <cellStyle name="Header2 2 6 4" xfId="547" xr:uid="{00000000-0005-0000-0000-0000C9020000}"/>
    <cellStyle name="Header2 2 6 4 2" xfId="548" xr:uid="{00000000-0005-0000-0000-0000CA020000}"/>
    <cellStyle name="Header2 2 6 4 3" xfId="3690" xr:uid="{00000000-0005-0000-0000-0000CB020000}"/>
    <cellStyle name="Header2 2 6 5" xfId="549" xr:uid="{00000000-0005-0000-0000-0000CC020000}"/>
    <cellStyle name="Header2 2 6 6" xfId="550" xr:uid="{00000000-0005-0000-0000-0000CD020000}"/>
    <cellStyle name="Header2 2 6 7" xfId="551" xr:uid="{00000000-0005-0000-0000-0000CE020000}"/>
    <cellStyle name="Header2 2 6 8" xfId="552" xr:uid="{00000000-0005-0000-0000-0000CF020000}"/>
    <cellStyle name="Header2 2 6 9" xfId="553" xr:uid="{00000000-0005-0000-0000-0000D0020000}"/>
    <cellStyle name="Header2 2 7" xfId="554" xr:uid="{00000000-0005-0000-0000-0000D1020000}"/>
    <cellStyle name="Header2 2 7 10" xfId="2996" xr:uid="{00000000-0005-0000-0000-0000D2020000}"/>
    <cellStyle name="Header2 2 7 2" xfId="555" xr:uid="{00000000-0005-0000-0000-0000D3020000}"/>
    <cellStyle name="Header2 2 7 2 2" xfId="556" xr:uid="{00000000-0005-0000-0000-0000D4020000}"/>
    <cellStyle name="Header2 2 7 2 3" xfId="557" xr:uid="{00000000-0005-0000-0000-0000D5020000}"/>
    <cellStyle name="Header2 2 7 2 4" xfId="558" xr:uid="{00000000-0005-0000-0000-0000D6020000}"/>
    <cellStyle name="Header2 2 7 2 5" xfId="3220" xr:uid="{00000000-0005-0000-0000-0000D7020000}"/>
    <cellStyle name="Header2 2 7 3" xfId="559" xr:uid="{00000000-0005-0000-0000-0000D8020000}"/>
    <cellStyle name="Header2 2 7 3 2" xfId="560" xr:uid="{00000000-0005-0000-0000-0000D9020000}"/>
    <cellStyle name="Header2 2 7 3 3" xfId="561" xr:uid="{00000000-0005-0000-0000-0000DA020000}"/>
    <cellStyle name="Header2 2 7 3 4" xfId="562" xr:uid="{00000000-0005-0000-0000-0000DB020000}"/>
    <cellStyle name="Header2 2 7 3 5" xfId="3458" xr:uid="{00000000-0005-0000-0000-0000DC020000}"/>
    <cellStyle name="Header2 2 7 4" xfId="563" xr:uid="{00000000-0005-0000-0000-0000DD020000}"/>
    <cellStyle name="Header2 2 7 4 2" xfId="564" xr:uid="{00000000-0005-0000-0000-0000DE020000}"/>
    <cellStyle name="Header2 2 7 4 3" xfId="3659" xr:uid="{00000000-0005-0000-0000-0000DF020000}"/>
    <cellStyle name="Header2 2 7 5" xfId="565" xr:uid="{00000000-0005-0000-0000-0000E0020000}"/>
    <cellStyle name="Header2 2 7 6" xfId="566" xr:uid="{00000000-0005-0000-0000-0000E1020000}"/>
    <cellStyle name="Header2 2 7 7" xfId="567" xr:uid="{00000000-0005-0000-0000-0000E2020000}"/>
    <cellStyle name="Header2 2 7 8" xfId="568" xr:uid="{00000000-0005-0000-0000-0000E3020000}"/>
    <cellStyle name="Header2 2 7 9" xfId="569" xr:uid="{00000000-0005-0000-0000-0000E4020000}"/>
    <cellStyle name="Header2 2 7 9 2" xfId="3950" xr:uid="{00000000-0005-0000-0000-0000E5020000}"/>
    <cellStyle name="Header2 2 8" xfId="570" xr:uid="{00000000-0005-0000-0000-0000E6020000}"/>
    <cellStyle name="Header2 2 8 10" xfId="2993" xr:uid="{00000000-0005-0000-0000-0000E7020000}"/>
    <cellStyle name="Header2 2 8 2" xfId="571" xr:uid="{00000000-0005-0000-0000-0000E8020000}"/>
    <cellStyle name="Header2 2 8 2 2" xfId="572" xr:uid="{00000000-0005-0000-0000-0000E9020000}"/>
    <cellStyle name="Header2 2 8 2 3" xfId="573" xr:uid="{00000000-0005-0000-0000-0000EA020000}"/>
    <cellStyle name="Header2 2 8 2 4" xfId="574" xr:uid="{00000000-0005-0000-0000-0000EB020000}"/>
    <cellStyle name="Header2 2 8 2 5" xfId="3216" xr:uid="{00000000-0005-0000-0000-0000EC020000}"/>
    <cellStyle name="Header2 2 8 3" xfId="575" xr:uid="{00000000-0005-0000-0000-0000ED020000}"/>
    <cellStyle name="Header2 2 8 3 2" xfId="576" xr:uid="{00000000-0005-0000-0000-0000EE020000}"/>
    <cellStyle name="Header2 2 8 3 3" xfId="577" xr:uid="{00000000-0005-0000-0000-0000EF020000}"/>
    <cellStyle name="Header2 2 8 3 4" xfId="578" xr:uid="{00000000-0005-0000-0000-0000F0020000}"/>
    <cellStyle name="Header2 2 8 3 5" xfId="3454" xr:uid="{00000000-0005-0000-0000-0000F1020000}"/>
    <cellStyle name="Header2 2 8 4" xfId="579" xr:uid="{00000000-0005-0000-0000-0000F2020000}"/>
    <cellStyle name="Header2 2 8 4 2" xfId="580" xr:uid="{00000000-0005-0000-0000-0000F3020000}"/>
    <cellStyle name="Header2 2 8 4 3" xfId="3655" xr:uid="{00000000-0005-0000-0000-0000F4020000}"/>
    <cellStyle name="Header2 2 8 5" xfId="581" xr:uid="{00000000-0005-0000-0000-0000F5020000}"/>
    <cellStyle name="Header2 2 8 6" xfId="582" xr:uid="{00000000-0005-0000-0000-0000F6020000}"/>
    <cellStyle name="Header2 2 8 7" xfId="583" xr:uid="{00000000-0005-0000-0000-0000F7020000}"/>
    <cellStyle name="Header2 2 8 8" xfId="584" xr:uid="{00000000-0005-0000-0000-0000F8020000}"/>
    <cellStyle name="Header2 2 8 9" xfId="585" xr:uid="{00000000-0005-0000-0000-0000F9020000}"/>
    <cellStyle name="Header2 2 8 9 2" xfId="3946" xr:uid="{00000000-0005-0000-0000-0000FA020000}"/>
    <cellStyle name="Header2 2 9" xfId="586" xr:uid="{00000000-0005-0000-0000-0000FB020000}"/>
    <cellStyle name="Header2 2 9 10" xfId="2997" xr:uid="{00000000-0005-0000-0000-0000FC020000}"/>
    <cellStyle name="Header2 2 9 2" xfId="587" xr:uid="{00000000-0005-0000-0000-0000FD020000}"/>
    <cellStyle name="Header2 2 9 2 2" xfId="588" xr:uid="{00000000-0005-0000-0000-0000FE020000}"/>
    <cellStyle name="Header2 2 9 2 3" xfId="589" xr:uid="{00000000-0005-0000-0000-0000FF020000}"/>
    <cellStyle name="Header2 2 9 2 4" xfId="590" xr:uid="{00000000-0005-0000-0000-000000030000}"/>
    <cellStyle name="Header2 2 9 2 5" xfId="3221" xr:uid="{00000000-0005-0000-0000-000001030000}"/>
    <cellStyle name="Header2 2 9 3" xfId="591" xr:uid="{00000000-0005-0000-0000-000002030000}"/>
    <cellStyle name="Header2 2 9 3 2" xfId="592" xr:uid="{00000000-0005-0000-0000-000003030000}"/>
    <cellStyle name="Header2 2 9 3 3" xfId="593" xr:uid="{00000000-0005-0000-0000-000004030000}"/>
    <cellStyle name="Header2 2 9 3 4" xfId="594" xr:uid="{00000000-0005-0000-0000-000005030000}"/>
    <cellStyle name="Header2 2 9 3 5" xfId="3459" xr:uid="{00000000-0005-0000-0000-000006030000}"/>
    <cellStyle name="Header2 2 9 4" xfId="595" xr:uid="{00000000-0005-0000-0000-000007030000}"/>
    <cellStyle name="Header2 2 9 4 2" xfId="596" xr:uid="{00000000-0005-0000-0000-000008030000}"/>
    <cellStyle name="Header2 2 9 4 3" xfId="3660" xr:uid="{00000000-0005-0000-0000-000009030000}"/>
    <cellStyle name="Header2 2 9 5" xfId="597" xr:uid="{00000000-0005-0000-0000-00000A030000}"/>
    <cellStyle name="Header2 2 9 6" xfId="598" xr:uid="{00000000-0005-0000-0000-00000B030000}"/>
    <cellStyle name="Header2 2 9 7" xfId="599" xr:uid="{00000000-0005-0000-0000-00000C030000}"/>
    <cellStyle name="Header2 2 9 8" xfId="600" xr:uid="{00000000-0005-0000-0000-00000D030000}"/>
    <cellStyle name="Header2 2 9 9" xfId="601" xr:uid="{00000000-0005-0000-0000-00000E030000}"/>
    <cellStyle name="Header2 2 9 9 2" xfId="3951" xr:uid="{00000000-0005-0000-0000-00000F030000}"/>
    <cellStyle name="Header2 3" xfId="602" xr:uid="{00000000-0005-0000-0000-000010030000}"/>
    <cellStyle name="Header2 3 10" xfId="603" xr:uid="{00000000-0005-0000-0000-000011030000}"/>
    <cellStyle name="Header2 3 10 2" xfId="604" xr:uid="{00000000-0005-0000-0000-000012030000}"/>
    <cellStyle name="Header2 3 10 2 2" xfId="605" xr:uid="{00000000-0005-0000-0000-000013030000}"/>
    <cellStyle name="Header2 3 10 2 3" xfId="606" xr:uid="{00000000-0005-0000-0000-000014030000}"/>
    <cellStyle name="Header2 3 10 2 4" xfId="607" xr:uid="{00000000-0005-0000-0000-000015030000}"/>
    <cellStyle name="Header2 3 10 2 5" xfId="3419" xr:uid="{00000000-0005-0000-0000-000016030000}"/>
    <cellStyle name="Header2 3 10 3" xfId="608" xr:uid="{00000000-0005-0000-0000-000017030000}"/>
    <cellStyle name="Header2 3 10 3 2" xfId="3620" xr:uid="{00000000-0005-0000-0000-000018030000}"/>
    <cellStyle name="Header2 3 10 4" xfId="609" xr:uid="{00000000-0005-0000-0000-000019030000}"/>
    <cellStyle name="Header2 3 10 5" xfId="610" xr:uid="{00000000-0005-0000-0000-00001A030000}"/>
    <cellStyle name="Header2 3 10 6" xfId="611" xr:uid="{00000000-0005-0000-0000-00001B030000}"/>
    <cellStyle name="Header2 3 10 7" xfId="612" xr:uid="{00000000-0005-0000-0000-00001C030000}"/>
    <cellStyle name="Header2 3 10 8" xfId="3181" xr:uid="{00000000-0005-0000-0000-00001D030000}"/>
    <cellStyle name="Header2 3 11" xfId="613" xr:uid="{00000000-0005-0000-0000-00001E030000}"/>
    <cellStyle name="Header2 3 11 2" xfId="614" xr:uid="{00000000-0005-0000-0000-00001F030000}"/>
    <cellStyle name="Header2 3 11 3" xfId="615" xr:uid="{00000000-0005-0000-0000-000020030000}"/>
    <cellStyle name="Header2 3 11 4" xfId="616" xr:uid="{00000000-0005-0000-0000-000021030000}"/>
    <cellStyle name="Header2 3 11 5" xfId="3101" xr:uid="{00000000-0005-0000-0000-000022030000}"/>
    <cellStyle name="Header2 3 12" xfId="617" xr:uid="{00000000-0005-0000-0000-000023030000}"/>
    <cellStyle name="Header2 3 12 2" xfId="618" xr:uid="{00000000-0005-0000-0000-000024030000}"/>
    <cellStyle name="Header2 3 12 3" xfId="619" xr:uid="{00000000-0005-0000-0000-000025030000}"/>
    <cellStyle name="Header2 3 12 4" xfId="620" xr:uid="{00000000-0005-0000-0000-000026030000}"/>
    <cellStyle name="Header2 3 12 5" xfId="3339" xr:uid="{00000000-0005-0000-0000-000027030000}"/>
    <cellStyle name="Header2 3 13" xfId="621" xr:uid="{00000000-0005-0000-0000-000028030000}"/>
    <cellStyle name="Header2 3 13 2" xfId="622" xr:uid="{00000000-0005-0000-0000-000029030000}"/>
    <cellStyle name="Header2 3 13 3" xfId="3580" xr:uid="{00000000-0005-0000-0000-00002A030000}"/>
    <cellStyle name="Header2 3 14" xfId="623" xr:uid="{00000000-0005-0000-0000-00002B030000}"/>
    <cellStyle name="Header2 3 15" xfId="624" xr:uid="{00000000-0005-0000-0000-00002C030000}"/>
    <cellStyle name="Header2 3 16" xfId="625" xr:uid="{00000000-0005-0000-0000-00002D030000}"/>
    <cellStyle name="Header2 3 17" xfId="626" xr:uid="{00000000-0005-0000-0000-00002E030000}"/>
    <cellStyle name="Header2 3 18" xfId="627" xr:uid="{00000000-0005-0000-0000-00002F030000}"/>
    <cellStyle name="Header2 3 18 2" xfId="3919" xr:uid="{00000000-0005-0000-0000-000030030000}"/>
    <cellStyle name="Header2 3 2" xfId="628" xr:uid="{00000000-0005-0000-0000-000031030000}"/>
    <cellStyle name="Header2 3 2 10" xfId="629" xr:uid="{00000000-0005-0000-0000-000032030000}"/>
    <cellStyle name="Header2 3 2 11" xfId="630" xr:uid="{00000000-0005-0000-0000-000033030000}"/>
    <cellStyle name="Header2 3 2 2" xfId="631" xr:uid="{00000000-0005-0000-0000-000034030000}"/>
    <cellStyle name="Header2 3 2 2 2" xfId="632" xr:uid="{00000000-0005-0000-0000-000035030000}"/>
    <cellStyle name="Header2 3 2 2 2 2" xfId="633" xr:uid="{00000000-0005-0000-0000-000036030000}"/>
    <cellStyle name="Header2 3 2 2 2 3" xfId="634" xr:uid="{00000000-0005-0000-0000-000037030000}"/>
    <cellStyle name="Header2 3 2 2 2 4" xfId="635" xr:uid="{00000000-0005-0000-0000-000038030000}"/>
    <cellStyle name="Header2 3 2 2 2 5" xfId="3380" xr:uid="{00000000-0005-0000-0000-000039030000}"/>
    <cellStyle name="Header2 3 2 2 3" xfId="636" xr:uid="{00000000-0005-0000-0000-00003A030000}"/>
    <cellStyle name="Header2 3 2 2 3 2" xfId="3606" xr:uid="{00000000-0005-0000-0000-00003B030000}"/>
    <cellStyle name="Header2 3 2 2 4" xfId="637" xr:uid="{00000000-0005-0000-0000-00003C030000}"/>
    <cellStyle name="Header2 3 2 2 5" xfId="638" xr:uid="{00000000-0005-0000-0000-00003D030000}"/>
    <cellStyle name="Header2 3 2 2 6" xfId="639" xr:uid="{00000000-0005-0000-0000-00003E030000}"/>
    <cellStyle name="Header2 3 2 2 7" xfId="640" xr:uid="{00000000-0005-0000-0000-00003F030000}"/>
    <cellStyle name="Header2 3 2 2 8" xfId="3142" xr:uid="{00000000-0005-0000-0000-000040030000}"/>
    <cellStyle name="Header2 3 2 3" xfId="641" xr:uid="{00000000-0005-0000-0000-000041030000}"/>
    <cellStyle name="Header2 3 2 3 2" xfId="642" xr:uid="{00000000-0005-0000-0000-000042030000}"/>
    <cellStyle name="Header2 3 2 3 2 2" xfId="643" xr:uid="{00000000-0005-0000-0000-000043030000}"/>
    <cellStyle name="Header2 3 2 3 2 3" xfId="644" xr:uid="{00000000-0005-0000-0000-000044030000}"/>
    <cellStyle name="Header2 3 2 3 2 4" xfId="645" xr:uid="{00000000-0005-0000-0000-000045030000}"/>
    <cellStyle name="Header2 3 2 3 2 5" xfId="3406" xr:uid="{00000000-0005-0000-0000-000046030000}"/>
    <cellStyle name="Header2 3 2 3 3" xfId="646" xr:uid="{00000000-0005-0000-0000-000047030000}"/>
    <cellStyle name="Header2 3 2 3 3 2" xfId="3614" xr:uid="{00000000-0005-0000-0000-000048030000}"/>
    <cellStyle name="Header2 3 2 3 4" xfId="647" xr:uid="{00000000-0005-0000-0000-000049030000}"/>
    <cellStyle name="Header2 3 2 3 5" xfId="648" xr:uid="{00000000-0005-0000-0000-00004A030000}"/>
    <cellStyle name="Header2 3 2 3 6" xfId="649" xr:uid="{00000000-0005-0000-0000-00004B030000}"/>
    <cellStyle name="Header2 3 2 3 7" xfId="650" xr:uid="{00000000-0005-0000-0000-00004C030000}"/>
    <cellStyle name="Header2 3 2 3 8" xfId="3168" xr:uid="{00000000-0005-0000-0000-00004D030000}"/>
    <cellStyle name="Header2 3 2 4" xfId="651" xr:uid="{00000000-0005-0000-0000-00004E030000}"/>
    <cellStyle name="Header2 3 2 4 2" xfId="652" xr:uid="{00000000-0005-0000-0000-00004F030000}"/>
    <cellStyle name="Header2 3 2 4 2 2" xfId="653" xr:uid="{00000000-0005-0000-0000-000050030000}"/>
    <cellStyle name="Header2 3 2 4 2 3" xfId="654" xr:uid="{00000000-0005-0000-0000-000051030000}"/>
    <cellStyle name="Header2 3 2 4 2 4" xfId="655" xr:uid="{00000000-0005-0000-0000-000052030000}"/>
    <cellStyle name="Header2 3 2 4 2 5" xfId="3435" xr:uid="{00000000-0005-0000-0000-000053030000}"/>
    <cellStyle name="Header2 3 2 4 3" xfId="656" xr:uid="{00000000-0005-0000-0000-000054030000}"/>
    <cellStyle name="Header2 3 2 4 3 2" xfId="3636" xr:uid="{00000000-0005-0000-0000-000055030000}"/>
    <cellStyle name="Header2 3 2 4 4" xfId="657" xr:uid="{00000000-0005-0000-0000-000056030000}"/>
    <cellStyle name="Header2 3 2 4 5" xfId="658" xr:uid="{00000000-0005-0000-0000-000057030000}"/>
    <cellStyle name="Header2 3 2 4 6" xfId="659" xr:uid="{00000000-0005-0000-0000-000058030000}"/>
    <cellStyle name="Header2 3 2 4 7" xfId="660" xr:uid="{00000000-0005-0000-0000-000059030000}"/>
    <cellStyle name="Header2 3 2 4 8" xfId="3197" xr:uid="{00000000-0005-0000-0000-00005A030000}"/>
    <cellStyle name="Header2 3 2 5" xfId="661" xr:uid="{00000000-0005-0000-0000-00005B030000}"/>
    <cellStyle name="Header2 3 2 5 2" xfId="662" xr:uid="{00000000-0005-0000-0000-00005C030000}"/>
    <cellStyle name="Header2 3 2 5 3" xfId="663" xr:uid="{00000000-0005-0000-0000-00005D030000}"/>
    <cellStyle name="Header2 3 2 5 4" xfId="664" xr:uid="{00000000-0005-0000-0000-00005E030000}"/>
    <cellStyle name="Header2 3 2 5 5" xfId="3102" xr:uid="{00000000-0005-0000-0000-00005F030000}"/>
    <cellStyle name="Header2 3 2 6" xfId="665" xr:uid="{00000000-0005-0000-0000-000060030000}"/>
    <cellStyle name="Header2 3 2 6 2" xfId="666" xr:uid="{00000000-0005-0000-0000-000061030000}"/>
    <cellStyle name="Header2 3 2 6 3" xfId="667" xr:uid="{00000000-0005-0000-0000-000062030000}"/>
    <cellStyle name="Header2 3 2 6 4" xfId="668" xr:uid="{00000000-0005-0000-0000-000063030000}"/>
    <cellStyle name="Header2 3 2 6 5" xfId="3340" xr:uid="{00000000-0005-0000-0000-000064030000}"/>
    <cellStyle name="Header2 3 2 7" xfId="669" xr:uid="{00000000-0005-0000-0000-000065030000}"/>
    <cellStyle name="Header2 3 2 7 2" xfId="670" xr:uid="{00000000-0005-0000-0000-000066030000}"/>
    <cellStyle name="Header2 3 2 7 3" xfId="3581" xr:uid="{00000000-0005-0000-0000-000067030000}"/>
    <cellStyle name="Header2 3 2 8" xfId="671" xr:uid="{00000000-0005-0000-0000-000068030000}"/>
    <cellStyle name="Header2 3 2 9" xfId="672" xr:uid="{00000000-0005-0000-0000-000069030000}"/>
    <cellStyle name="Header2 3 3" xfId="673" xr:uid="{00000000-0005-0000-0000-00006A030000}"/>
    <cellStyle name="Header2 3 3 2" xfId="674" xr:uid="{00000000-0005-0000-0000-00006B030000}"/>
    <cellStyle name="Header2 3 3 2 2" xfId="675" xr:uid="{00000000-0005-0000-0000-00006C030000}"/>
    <cellStyle name="Header2 3 3 2 2 2" xfId="676" xr:uid="{00000000-0005-0000-0000-00006D030000}"/>
    <cellStyle name="Header2 3 3 2 2 3" xfId="677" xr:uid="{00000000-0005-0000-0000-00006E030000}"/>
    <cellStyle name="Header2 3 3 2 2 4" xfId="678" xr:uid="{00000000-0005-0000-0000-00006F030000}"/>
    <cellStyle name="Header2 3 3 2 2 5" xfId="3466" xr:uid="{00000000-0005-0000-0000-000070030000}"/>
    <cellStyle name="Header2 3 3 2 3" xfId="679" xr:uid="{00000000-0005-0000-0000-000071030000}"/>
    <cellStyle name="Header2 3 3 2 3 2" xfId="3667" xr:uid="{00000000-0005-0000-0000-000072030000}"/>
    <cellStyle name="Header2 3 3 2 4" xfId="680" xr:uid="{00000000-0005-0000-0000-000073030000}"/>
    <cellStyle name="Header2 3 3 2 5" xfId="681" xr:uid="{00000000-0005-0000-0000-000074030000}"/>
    <cellStyle name="Header2 3 3 2 6" xfId="682" xr:uid="{00000000-0005-0000-0000-000075030000}"/>
    <cellStyle name="Header2 3 3 2 7" xfId="683" xr:uid="{00000000-0005-0000-0000-000076030000}"/>
    <cellStyle name="Header2 3 3 2 8" xfId="3228" xr:uid="{00000000-0005-0000-0000-000077030000}"/>
    <cellStyle name="Header2 3 3 3" xfId="684" xr:uid="{00000000-0005-0000-0000-000078030000}"/>
    <cellStyle name="Header2 3 3 3 2" xfId="685" xr:uid="{00000000-0005-0000-0000-000079030000}"/>
    <cellStyle name="Header2 3 3 3 3" xfId="686" xr:uid="{00000000-0005-0000-0000-00007A030000}"/>
    <cellStyle name="Header2 3 3 3 4" xfId="687" xr:uid="{00000000-0005-0000-0000-00007B030000}"/>
    <cellStyle name="Header2 3 3 3 5" xfId="3128" xr:uid="{00000000-0005-0000-0000-00007C030000}"/>
    <cellStyle name="Header2 3 3 4" xfId="688" xr:uid="{00000000-0005-0000-0000-00007D030000}"/>
    <cellStyle name="Header2 3 3 4 2" xfId="689" xr:uid="{00000000-0005-0000-0000-00007E030000}"/>
    <cellStyle name="Header2 3 3 4 3" xfId="690" xr:uid="{00000000-0005-0000-0000-00007F030000}"/>
    <cellStyle name="Header2 3 3 4 4" xfId="691" xr:uid="{00000000-0005-0000-0000-000080030000}"/>
    <cellStyle name="Header2 3 3 4 5" xfId="3366" xr:uid="{00000000-0005-0000-0000-000081030000}"/>
    <cellStyle name="Header2 3 3 5" xfId="692" xr:uid="{00000000-0005-0000-0000-000082030000}"/>
    <cellStyle name="Header2 3 3 5 2" xfId="693" xr:uid="{00000000-0005-0000-0000-000083030000}"/>
    <cellStyle name="Header2 3 3 5 3" xfId="3603" xr:uid="{00000000-0005-0000-0000-000084030000}"/>
    <cellStyle name="Header2 3 3 6" xfId="694" xr:uid="{00000000-0005-0000-0000-000085030000}"/>
    <cellStyle name="Header2 3 3 7" xfId="695" xr:uid="{00000000-0005-0000-0000-000086030000}"/>
    <cellStyle name="Header2 3 3 8" xfId="696" xr:uid="{00000000-0005-0000-0000-000087030000}"/>
    <cellStyle name="Header2 3 3 9" xfId="697" xr:uid="{00000000-0005-0000-0000-000088030000}"/>
    <cellStyle name="Header2 3 4" xfId="698" xr:uid="{00000000-0005-0000-0000-000089030000}"/>
    <cellStyle name="Header2 3 4 10" xfId="3023" xr:uid="{00000000-0005-0000-0000-00008A030000}"/>
    <cellStyle name="Header2 3 4 2" xfId="699" xr:uid="{00000000-0005-0000-0000-00008B030000}"/>
    <cellStyle name="Header2 3 4 2 2" xfId="700" xr:uid="{00000000-0005-0000-0000-00008C030000}"/>
    <cellStyle name="Header2 3 4 2 2 2" xfId="701" xr:uid="{00000000-0005-0000-0000-00008D030000}"/>
    <cellStyle name="Header2 3 4 2 2 3" xfId="702" xr:uid="{00000000-0005-0000-0000-00008E030000}"/>
    <cellStyle name="Header2 3 4 2 2 4" xfId="703" xr:uid="{00000000-0005-0000-0000-00008F030000}"/>
    <cellStyle name="Header2 3 4 2 2 5" xfId="3491" xr:uid="{00000000-0005-0000-0000-000090030000}"/>
    <cellStyle name="Header2 3 4 2 3" xfId="704" xr:uid="{00000000-0005-0000-0000-000091030000}"/>
    <cellStyle name="Header2 3 4 2 3 2" xfId="3692" xr:uid="{00000000-0005-0000-0000-000092030000}"/>
    <cellStyle name="Header2 3 4 2 4" xfId="705" xr:uid="{00000000-0005-0000-0000-000093030000}"/>
    <cellStyle name="Header2 3 4 2 5" xfId="706" xr:uid="{00000000-0005-0000-0000-000094030000}"/>
    <cellStyle name="Header2 3 4 2 6" xfId="707" xr:uid="{00000000-0005-0000-0000-000095030000}"/>
    <cellStyle name="Header2 3 4 2 7" xfId="708" xr:uid="{00000000-0005-0000-0000-000096030000}"/>
    <cellStyle name="Header2 3 4 2 8" xfId="3253" xr:uid="{00000000-0005-0000-0000-000097030000}"/>
    <cellStyle name="Header2 3 4 3" xfId="709" xr:uid="{00000000-0005-0000-0000-000098030000}"/>
    <cellStyle name="Header2 3 4 3 2" xfId="710" xr:uid="{00000000-0005-0000-0000-000099030000}"/>
    <cellStyle name="Header2 3 4 3 3" xfId="711" xr:uid="{00000000-0005-0000-0000-00009A030000}"/>
    <cellStyle name="Header2 3 4 3 4" xfId="712" xr:uid="{00000000-0005-0000-0000-00009B030000}"/>
    <cellStyle name="Header2 3 4 3 5" xfId="3154" xr:uid="{00000000-0005-0000-0000-00009C030000}"/>
    <cellStyle name="Header2 3 4 4" xfId="713" xr:uid="{00000000-0005-0000-0000-00009D030000}"/>
    <cellStyle name="Header2 3 4 4 2" xfId="714" xr:uid="{00000000-0005-0000-0000-00009E030000}"/>
    <cellStyle name="Header2 3 4 4 3" xfId="715" xr:uid="{00000000-0005-0000-0000-00009F030000}"/>
    <cellStyle name="Header2 3 4 4 4" xfId="716" xr:uid="{00000000-0005-0000-0000-0000A0030000}"/>
    <cellStyle name="Header2 3 4 4 5" xfId="3392" xr:uid="{00000000-0005-0000-0000-0000A1030000}"/>
    <cellStyle name="Header2 3 4 5" xfId="717" xr:uid="{00000000-0005-0000-0000-0000A2030000}"/>
    <cellStyle name="Header2 3 4 5 2" xfId="718" xr:uid="{00000000-0005-0000-0000-0000A3030000}"/>
    <cellStyle name="Header2 3 4 5 3" xfId="3611" xr:uid="{00000000-0005-0000-0000-0000A4030000}"/>
    <cellStyle name="Header2 3 4 6" xfId="719" xr:uid="{00000000-0005-0000-0000-0000A5030000}"/>
    <cellStyle name="Header2 3 4 7" xfId="720" xr:uid="{00000000-0005-0000-0000-0000A6030000}"/>
    <cellStyle name="Header2 3 4 8" xfId="721" xr:uid="{00000000-0005-0000-0000-0000A7030000}"/>
    <cellStyle name="Header2 3 4 9" xfId="722" xr:uid="{00000000-0005-0000-0000-0000A8030000}"/>
    <cellStyle name="Header2 3 5" xfId="723" xr:uid="{00000000-0005-0000-0000-0000A9030000}"/>
    <cellStyle name="Header2 3 5 10" xfId="3014" xr:uid="{00000000-0005-0000-0000-0000AA030000}"/>
    <cellStyle name="Header2 3 5 2" xfId="724" xr:uid="{00000000-0005-0000-0000-0000AB030000}"/>
    <cellStyle name="Header2 3 5 2 2" xfId="725" xr:uid="{00000000-0005-0000-0000-0000AC030000}"/>
    <cellStyle name="Header2 3 5 2 3" xfId="726" xr:uid="{00000000-0005-0000-0000-0000AD030000}"/>
    <cellStyle name="Header2 3 5 2 4" xfId="727" xr:uid="{00000000-0005-0000-0000-0000AE030000}"/>
    <cellStyle name="Header2 3 5 2 5" xfId="3242" xr:uid="{00000000-0005-0000-0000-0000AF030000}"/>
    <cellStyle name="Header2 3 5 3" xfId="728" xr:uid="{00000000-0005-0000-0000-0000B0030000}"/>
    <cellStyle name="Header2 3 5 3 2" xfId="729" xr:uid="{00000000-0005-0000-0000-0000B1030000}"/>
    <cellStyle name="Header2 3 5 3 3" xfId="730" xr:uid="{00000000-0005-0000-0000-0000B2030000}"/>
    <cellStyle name="Header2 3 5 3 4" xfId="731" xr:uid="{00000000-0005-0000-0000-0000B3030000}"/>
    <cellStyle name="Header2 3 5 3 5" xfId="3480" xr:uid="{00000000-0005-0000-0000-0000B4030000}"/>
    <cellStyle name="Header2 3 5 4" xfId="732" xr:uid="{00000000-0005-0000-0000-0000B5030000}"/>
    <cellStyle name="Header2 3 5 4 2" xfId="733" xr:uid="{00000000-0005-0000-0000-0000B6030000}"/>
    <cellStyle name="Header2 3 5 4 3" xfId="3681" xr:uid="{00000000-0005-0000-0000-0000B7030000}"/>
    <cellStyle name="Header2 3 5 5" xfId="734" xr:uid="{00000000-0005-0000-0000-0000B8030000}"/>
    <cellStyle name="Header2 3 5 6" xfId="735" xr:uid="{00000000-0005-0000-0000-0000B9030000}"/>
    <cellStyle name="Header2 3 5 7" xfId="736" xr:uid="{00000000-0005-0000-0000-0000BA030000}"/>
    <cellStyle name="Header2 3 5 8" xfId="737" xr:uid="{00000000-0005-0000-0000-0000BB030000}"/>
    <cellStyle name="Header2 3 5 9" xfId="738" xr:uid="{00000000-0005-0000-0000-0000BC030000}"/>
    <cellStyle name="Header2 3 6" xfId="739" xr:uid="{00000000-0005-0000-0000-0000BD030000}"/>
    <cellStyle name="Header2 3 6 10" xfId="3033" xr:uid="{00000000-0005-0000-0000-0000BE030000}"/>
    <cellStyle name="Header2 3 6 2" xfId="740" xr:uid="{00000000-0005-0000-0000-0000BF030000}"/>
    <cellStyle name="Header2 3 6 2 2" xfId="741" xr:uid="{00000000-0005-0000-0000-0000C0030000}"/>
    <cellStyle name="Header2 3 6 2 3" xfId="742" xr:uid="{00000000-0005-0000-0000-0000C1030000}"/>
    <cellStyle name="Header2 3 6 2 4" xfId="743" xr:uid="{00000000-0005-0000-0000-0000C2030000}"/>
    <cellStyle name="Header2 3 6 2 5" xfId="3267" xr:uid="{00000000-0005-0000-0000-0000C3030000}"/>
    <cellStyle name="Header2 3 6 3" xfId="744" xr:uid="{00000000-0005-0000-0000-0000C4030000}"/>
    <cellStyle name="Header2 3 6 3 2" xfId="745" xr:uid="{00000000-0005-0000-0000-0000C5030000}"/>
    <cellStyle name="Header2 3 6 3 3" xfId="746" xr:uid="{00000000-0005-0000-0000-0000C6030000}"/>
    <cellStyle name="Header2 3 6 3 4" xfId="747" xr:uid="{00000000-0005-0000-0000-0000C7030000}"/>
    <cellStyle name="Header2 3 6 3 5" xfId="3505" xr:uid="{00000000-0005-0000-0000-0000C8030000}"/>
    <cellStyle name="Header2 3 6 4" xfId="748" xr:uid="{00000000-0005-0000-0000-0000C9030000}"/>
    <cellStyle name="Header2 3 6 4 2" xfId="749" xr:uid="{00000000-0005-0000-0000-0000CA030000}"/>
    <cellStyle name="Header2 3 6 4 3" xfId="3706" xr:uid="{00000000-0005-0000-0000-0000CB030000}"/>
    <cellStyle name="Header2 3 6 5" xfId="750" xr:uid="{00000000-0005-0000-0000-0000CC030000}"/>
    <cellStyle name="Header2 3 6 6" xfId="751" xr:uid="{00000000-0005-0000-0000-0000CD030000}"/>
    <cellStyle name="Header2 3 6 7" xfId="752" xr:uid="{00000000-0005-0000-0000-0000CE030000}"/>
    <cellStyle name="Header2 3 6 8" xfId="753" xr:uid="{00000000-0005-0000-0000-0000CF030000}"/>
    <cellStyle name="Header2 3 6 9" xfId="754" xr:uid="{00000000-0005-0000-0000-0000D0030000}"/>
    <cellStyle name="Header2 3 7" xfId="755" xr:uid="{00000000-0005-0000-0000-0000D1030000}"/>
    <cellStyle name="Header2 3 7 10" xfId="2995" xr:uid="{00000000-0005-0000-0000-0000D2030000}"/>
    <cellStyle name="Header2 3 7 2" xfId="756" xr:uid="{00000000-0005-0000-0000-0000D3030000}"/>
    <cellStyle name="Header2 3 7 2 2" xfId="757" xr:uid="{00000000-0005-0000-0000-0000D4030000}"/>
    <cellStyle name="Header2 3 7 2 3" xfId="758" xr:uid="{00000000-0005-0000-0000-0000D5030000}"/>
    <cellStyle name="Header2 3 7 2 4" xfId="759" xr:uid="{00000000-0005-0000-0000-0000D6030000}"/>
    <cellStyle name="Header2 3 7 2 5" xfId="3219" xr:uid="{00000000-0005-0000-0000-0000D7030000}"/>
    <cellStyle name="Header2 3 7 3" xfId="760" xr:uid="{00000000-0005-0000-0000-0000D8030000}"/>
    <cellStyle name="Header2 3 7 3 2" xfId="761" xr:uid="{00000000-0005-0000-0000-0000D9030000}"/>
    <cellStyle name="Header2 3 7 3 3" xfId="762" xr:uid="{00000000-0005-0000-0000-0000DA030000}"/>
    <cellStyle name="Header2 3 7 3 4" xfId="763" xr:uid="{00000000-0005-0000-0000-0000DB030000}"/>
    <cellStyle name="Header2 3 7 3 5" xfId="3457" xr:uid="{00000000-0005-0000-0000-0000DC030000}"/>
    <cellStyle name="Header2 3 7 4" xfId="764" xr:uid="{00000000-0005-0000-0000-0000DD030000}"/>
    <cellStyle name="Header2 3 7 4 2" xfId="765" xr:uid="{00000000-0005-0000-0000-0000DE030000}"/>
    <cellStyle name="Header2 3 7 4 3" xfId="3658" xr:uid="{00000000-0005-0000-0000-0000DF030000}"/>
    <cellStyle name="Header2 3 7 5" xfId="766" xr:uid="{00000000-0005-0000-0000-0000E0030000}"/>
    <cellStyle name="Header2 3 7 6" xfId="767" xr:uid="{00000000-0005-0000-0000-0000E1030000}"/>
    <cellStyle name="Header2 3 7 7" xfId="768" xr:uid="{00000000-0005-0000-0000-0000E2030000}"/>
    <cellStyle name="Header2 3 7 8" xfId="769" xr:uid="{00000000-0005-0000-0000-0000E3030000}"/>
    <cellStyle name="Header2 3 7 9" xfId="770" xr:uid="{00000000-0005-0000-0000-0000E4030000}"/>
    <cellStyle name="Header2 3 7 9 2" xfId="3949" xr:uid="{00000000-0005-0000-0000-0000E5030000}"/>
    <cellStyle name="Header2 3 8" xfId="771" xr:uid="{00000000-0005-0000-0000-0000E6030000}"/>
    <cellStyle name="Header2 3 8 10" xfId="3006" xr:uid="{00000000-0005-0000-0000-0000E7030000}"/>
    <cellStyle name="Header2 3 8 2" xfId="772" xr:uid="{00000000-0005-0000-0000-0000E8030000}"/>
    <cellStyle name="Header2 3 8 2 2" xfId="773" xr:uid="{00000000-0005-0000-0000-0000E9030000}"/>
    <cellStyle name="Header2 3 8 2 3" xfId="774" xr:uid="{00000000-0005-0000-0000-0000EA030000}"/>
    <cellStyle name="Header2 3 8 2 4" xfId="775" xr:uid="{00000000-0005-0000-0000-0000EB030000}"/>
    <cellStyle name="Header2 3 8 2 5" xfId="3234" xr:uid="{00000000-0005-0000-0000-0000EC030000}"/>
    <cellStyle name="Header2 3 8 3" xfId="776" xr:uid="{00000000-0005-0000-0000-0000ED030000}"/>
    <cellStyle name="Header2 3 8 3 2" xfId="777" xr:uid="{00000000-0005-0000-0000-0000EE030000}"/>
    <cellStyle name="Header2 3 8 3 3" xfId="778" xr:uid="{00000000-0005-0000-0000-0000EF030000}"/>
    <cellStyle name="Header2 3 8 3 4" xfId="779" xr:uid="{00000000-0005-0000-0000-0000F0030000}"/>
    <cellStyle name="Header2 3 8 3 5" xfId="3472" xr:uid="{00000000-0005-0000-0000-0000F1030000}"/>
    <cellStyle name="Header2 3 8 4" xfId="780" xr:uid="{00000000-0005-0000-0000-0000F2030000}"/>
    <cellStyle name="Header2 3 8 4 2" xfId="781" xr:uid="{00000000-0005-0000-0000-0000F3030000}"/>
    <cellStyle name="Header2 3 8 4 3" xfId="3673" xr:uid="{00000000-0005-0000-0000-0000F4030000}"/>
    <cellStyle name="Header2 3 8 5" xfId="782" xr:uid="{00000000-0005-0000-0000-0000F5030000}"/>
    <cellStyle name="Header2 3 8 6" xfId="783" xr:uid="{00000000-0005-0000-0000-0000F6030000}"/>
    <cellStyle name="Header2 3 8 7" xfId="784" xr:uid="{00000000-0005-0000-0000-0000F7030000}"/>
    <cellStyle name="Header2 3 8 8" xfId="785" xr:uid="{00000000-0005-0000-0000-0000F8030000}"/>
    <cellStyle name="Header2 3 8 9" xfId="786" xr:uid="{00000000-0005-0000-0000-0000F9030000}"/>
    <cellStyle name="Header2 3 8 9 2" xfId="3958" xr:uid="{00000000-0005-0000-0000-0000FA030000}"/>
    <cellStyle name="Header2 3 9" xfId="787" xr:uid="{00000000-0005-0000-0000-0000FB030000}"/>
    <cellStyle name="Header2 3 9 10" xfId="3055" xr:uid="{00000000-0005-0000-0000-0000FC030000}"/>
    <cellStyle name="Header2 3 9 2" xfId="788" xr:uid="{00000000-0005-0000-0000-0000FD030000}"/>
    <cellStyle name="Header2 3 9 2 2" xfId="789" xr:uid="{00000000-0005-0000-0000-0000FE030000}"/>
    <cellStyle name="Header2 3 9 2 3" xfId="790" xr:uid="{00000000-0005-0000-0000-0000FF030000}"/>
    <cellStyle name="Header2 3 9 2 4" xfId="791" xr:uid="{00000000-0005-0000-0000-000000040000}"/>
    <cellStyle name="Header2 3 9 2 5" xfId="3295" xr:uid="{00000000-0005-0000-0000-000001040000}"/>
    <cellStyle name="Header2 3 9 3" xfId="792" xr:uid="{00000000-0005-0000-0000-000002040000}"/>
    <cellStyle name="Header2 3 9 3 2" xfId="793" xr:uid="{00000000-0005-0000-0000-000003040000}"/>
    <cellStyle name="Header2 3 9 3 3" xfId="794" xr:uid="{00000000-0005-0000-0000-000004040000}"/>
    <cellStyle name="Header2 3 9 3 4" xfId="795" xr:uid="{00000000-0005-0000-0000-000005040000}"/>
    <cellStyle name="Header2 3 9 3 5" xfId="3533" xr:uid="{00000000-0005-0000-0000-000006040000}"/>
    <cellStyle name="Header2 3 9 4" xfId="796" xr:uid="{00000000-0005-0000-0000-000007040000}"/>
    <cellStyle name="Header2 3 9 4 2" xfId="797" xr:uid="{00000000-0005-0000-0000-000008040000}"/>
    <cellStyle name="Header2 3 9 4 3" xfId="3734" xr:uid="{00000000-0005-0000-0000-000009040000}"/>
    <cellStyle name="Header2 3 9 5" xfId="798" xr:uid="{00000000-0005-0000-0000-00000A040000}"/>
    <cellStyle name="Header2 3 9 6" xfId="799" xr:uid="{00000000-0005-0000-0000-00000B040000}"/>
    <cellStyle name="Header2 3 9 7" xfId="800" xr:uid="{00000000-0005-0000-0000-00000C040000}"/>
    <cellStyle name="Header2 3 9 8" xfId="801" xr:uid="{00000000-0005-0000-0000-00000D040000}"/>
    <cellStyle name="Header2 3 9 9" xfId="802" xr:uid="{00000000-0005-0000-0000-00000E040000}"/>
    <cellStyle name="Header2 3 9 9 2" xfId="3987" xr:uid="{00000000-0005-0000-0000-00000F040000}"/>
    <cellStyle name="Header2 4" xfId="803" xr:uid="{00000000-0005-0000-0000-000010040000}"/>
    <cellStyle name="Header2 4 10" xfId="804" xr:uid="{00000000-0005-0000-0000-000011040000}"/>
    <cellStyle name="Header2 4 10 2" xfId="805" xr:uid="{00000000-0005-0000-0000-000012040000}"/>
    <cellStyle name="Header2 4 10 3" xfId="806" xr:uid="{00000000-0005-0000-0000-000013040000}"/>
    <cellStyle name="Header2 4 10 4" xfId="807" xr:uid="{00000000-0005-0000-0000-000014040000}"/>
    <cellStyle name="Header2 4 10 5" xfId="3103" xr:uid="{00000000-0005-0000-0000-000015040000}"/>
    <cellStyle name="Header2 4 11" xfId="808" xr:uid="{00000000-0005-0000-0000-000016040000}"/>
    <cellStyle name="Header2 4 11 2" xfId="809" xr:uid="{00000000-0005-0000-0000-000017040000}"/>
    <cellStyle name="Header2 4 11 3" xfId="810" xr:uid="{00000000-0005-0000-0000-000018040000}"/>
    <cellStyle name="Header2 4 11 4" xfId="811" xr:uid="{00000000-0005-0000-0000-000019040000}"/>
    <cellStyle name="Header2 4 11 5" xfId="3341" xr:uid="{00000000-0005-0000-0000-00001A040000}"/>
    <cellStyle name="Header2 4 12" xfId="812" xr:uid="{00000000-0005-0000-0000-00001B040000}"/>
    <cellStyle name="Header2 4 12 2" xfId="813" xr:uid="{00000000-0005-0000-0000-00001C040000}"/>
    <cellStyle name="Header2 4 12 3" xfId="3582" xr:uid="{00000000-0005-0000-0000-00001D040000}"/>
    <cellStyle name="Header2 4 13" xfId="814" xr:uid="{00000000-0005-0000-0000-00001E040000}"/>
    <cellStyle name="Header2 4 14" xfId="815" xr:uid="{00000000-0005-0000-0000-00001F040000}"/>
    <cellStyle name="Header2 4 15" xfId="816" xr:uid="{00000000-0005-0000-0000-000020040000}"/>
    <cellStyle name="Header2 4 16" xfId="817" xr:uid="{00000000-0005-0000-0000-000021040000}"/>
    <cellStyle name="Header2 4 2" xfId="818" xr:uid="{00000000-0005-0000-0000-000022040000}"/>
    <cellStyle name="Header2 4 2 10" xfId="3036" xr:uid="{00000000-0005-0000-0000-000023040000}"/>
    <cellStyle name="Header2 4 2 2" xfId="819" xr:uid="{00000000-0005-0000-0000-000024040000}"/>
    <cellStyle name="Header2 4 2 2 2" xfId="820" xr:uid="{00000000-0005-0000-0000-000025040000}"/>
    <cellStyle name="Header2 4 2 2 2 2" xfId="821" xr:uid="{00000000-0005-0000-0000-000026040000}"/>
    <cellStyle name="Header2 4 2 2 2 3" xfId="822" xr:uid="{00000000-0005-0000-0000-000027040000}"/>
    <cellStyle name="Header2 4 2 2 2 4" xfId="823" xr:uid="{00000000-0005-0000-0000-000028040000}"/>
    <cellStyle name="Header2 4 2 2 2 5" xfId="3514" xr:uid="{00000000-0005-0000-0000-000029040000}"/>
    <cellStyle name="Header2 4 2 2 3" xfId="824" xr:uid="{00000000-0005-0000-0000-00002A040000}"/>
    <cellStyle name="Header2 4 2 2 3 2" xfId="3715" xr:uid="{00000000-0005-0000-0000-00002B040000}"/>
    <cellStyle name="Header2 4 2 2 4" xfId="825" xr:uid="{00000000-0005-0000-0000-00002C040000}"/>
    <cellStyle name="Header2 4 2 2 5" xfId="826" xr:uid="{00000000-0005-0000-0000-00002D040000}"/>
    <cellStyle name="Header2 4 2 2 6" xfId="827" xr:uid="{00000000-0005-0000-0000-00002E040000}"/>
    <cellStyle name="Header2 4 2 2 7" xfId="828" xr:uid="{00000000-0005-0000-0000-00002F040000}"/>
    <cellStyle name="Header2 4 2 2 8" xfId="3276" xr:uid="{00000000-0005-0000-0000-000030040000}"/>
    <cellStyle name="Header2 4 2 3" xfId="829" xr:uid="{00000000-0005-0000-0000-000031040000}"/>
    <cellStyle name="Header2 4 2 3 2" xfId="830" xr:uid="{00000000-0005-0000-0000-000032040000}"/>
    <cellStyle name="Header2 4 2 3 3" xfId="831" xr:uid="{00000000-0005-0000-0000-000033040000}"/>
    <cellStyle name="Header2 4 2 3 4" xfId="832" xr:uid="{00000000-0005-0000-0000-000034040000}"/>
    <cellStyle name="Header2 4 2 3 5" xfId="3140" xr:uid="{00000000-0005-0000-0000-000035040000}"/>
    <cellStyle name="Header2 4 2 4" xfId="833" xr:uid="{00000000-0005-0000-0000-000036040000}"/>
    <cellStyle name="Header2 4 2 4 2" xfId="834" xr:uid="{00000000-0005-0000-0000-000037040000}"/>
    <cellStyle name="Header2 4 2 4 3" xfId="835" xr:uid="{00000000-0005-0000-0000-000038040000}"/>
    <cellStyle name="Header2 4 2 4 4" xfId="836" xr:uid="{00000000-0005-0000-0000-000039040000}"/>
    <cellStyle name="Header2 4 2 4 5" xfId="3378" xr:uid="{00000000-0005-0000-0000-00003A040000}"/>
    <cellStyle name="Header2 4 2 5" xfId="837" xr:uid="{00000000-0005-0000-0000-00003B040000}"/>
    <cellStyle name="Header2 4 2 5 2" xfId="838" xr:uid="{00000000-0005-0000-0000-00003C040000}"/>
    <cellStyle name="Header2 4 2 5 3" xfId="3604" xr:uid="{00000000-0005-0000-0000-00003D040000}"/>
    <cellStyle name="Header2 4 2 6" xfId="839" xr:uid="{00000000-0005-0000-0000-00003E040000}"/>
    <cellStyle name="Header2 4 2 7" xfId="840" xr:uid="{00000000-0005-0000-0000-00003F040000}"/>
    <cellStyle name="Header2 4 2 8" xfId="841" xr:uid="{00000000-0005-0000-0000-000040040000}"/>
    <cellStyle name="Header2 4 2 9" xfId="842" xr:uid="{00000000-0005-0000-0000-000041040000}"/>
    <cellStyle name="Header2 4 3" xfId="843" xr:uid="{00000000-0005-0000-0000-000042040000}"/>
    <cellStyle name="Header2 4 3 10" xfId="844" xr:uid="{00000000-0005-0000-0000-000043040000}"/>
    <cellStyle name="Header2 4 3 11" xfId="3050" xr:uid="{00000000-0005-0000-0000-000044040000}"/>
    <cellStyle name="Header2 4 3 2" xfId="845" xr:uid="{00000000-0005-0000-0000-000045040000}"/>
    <cellStyle name="Header2 4 3 2 2" xfId="846" xr:uid="{00000000-0005-0000-0000-000046040000}"/>
    <cellStyle name="Header2 4 3 2 2 2" xfId="847" xr:uid="{00000000-0005-0000-0000-000047040000}"/>
    <cellStyle name="Header2 4 3 2 2 3" xfId="848" xr:uid="{00000000-0005-0000-0000-000048040000}"/>
    <cellStyle name="Header2 4 3 2 2 4" xfId="849" xr:uid="{00000000-0005-0000-0000-000049040000}"/>
    <cellStyle name="Header2 4 3 2 2 5" xfId="3528" xr:uid="{00000000-0005-0000-0000-00004A040000}"/>
    <cellStyle name="Header2 4 3 2 3" xfId="850" xr:uid="{00000000-0005-0000-0000-00004B040000}"/>
    <cellStyle name="Header2 4 3 2 3 2" xfId="3729" xr:uid="{00000000-0005-0000-0000-00004C040000}"/>
    <cellStyle name="Header2 4 3 2 4" xfId="851" xr:uid="{00000000-0005-0000-0000-00004D040000}"/>
    <cellStyle name="Header2 4 3 2 5" xfId="852" xr:uid="{00000000-0005-0000-0000-00004E040000}"/>
    <cellStyle name="Header2 4 3 2 6" xfId="853" xr:uid="{00000000-0005-0000-0000-00004F040000}"/>
    <cellStyle name="Header2 4 3 2 7" xfId="854" xr:uid="{00000000-0005-0000-0000-000050040000}"/>
    <cellStyle name="Header2 4 3 2 8" xfId="3290" xr:uid="{00000000-0005-0000-0000-000051040000}"/>
    <cellStyle name="Header2 4 3 3" xfId="855" xr:uid="{00000000-0005-0000-0000-000052040000}"/>
    <cellStyle name="Header2 4 3 3 2" xfId="856" xr:uid="{00000000-0005-0000-0000-000053040000}"/>
    <cellStyle name="Header2 4 3 3 3" xfId="857" xr:uid="{00000000-0005-0000-0000-000054040000}"/>
    <cellStyle name="Header2 4 3 3 4" xfId="858" xr:uid="{00000000-0005-0000-0000-000055040000}"/>
    <cellStyle name="Header2 4 3 3 5" xfId="3166" xr:uid="{00000000-0005-0000-0000-000056040000}"/>
    <cellStyle name="Header2 4 3 4" xfId="859" xr:uid="{00000000-0005-0000-0000-000057040000}"/>
    <cellStyle name="Header2 4 3 4 2" xfId="860" xr:uid="{00000000-0005-0000-0000-000058040000}"/>
    <cellStyle name="Header2 4 3 4 3" xfId="861" xr:uid="{00000000-0005-0000-0000-000059040000}"/>
    <cellStyle name="Header2 4 3 4 4" xfId="862" xr:uid="{00000000-0005-0000-0000-00005A040000}"/>
    <cellStyle name="Header2 4 3 4 5" xfId="3404" xr:uid="{00000000-0005-0000-0000-00005B040000}"/>
    <cellStyle name="Header2 4 3 5" xfId="863" xr:uid="{00000000-0005-0000-0000-00005C040000}"/>
    <cellStyle name="Header2 4 3 5 2" xfId="864" xr:uid="{00000000-0005-0000-0000-00005D040000}"/>
    <cellStyle name="Header2 4 3 5 3" xfId="3612" xr:uid="{00000000-0005-0000-0000-00005E040000}"/>
    <cellStyle name="Header2 4 3 6" xfId="865" xr:uid="{00000000-0005-0000-0000-00005F040000}"/>
    <cellStyle name="Header2 4 3 7" xfId="866" xr:uid="{00000000-0005-0000-0000-000060040000}"/>
    <cellStyle name="Header2 4 3 8" xfId="867" xr:uid="{00000000-0005-0000-0000-000061040000}"/>
    <cellStyle name="Header2 4 3 9" xfId="868" xr:uid="{00000000-0005-0000-0000-000062040000}"/>
    <cellStyle name="Header2 4 4" xfId="869" xr:uid="{00000000-0005-0000-0000-000063040000}"/>
    <cellStyle name="Header2 4 4 10" xfId="3057" xr:uid="{00000000-0005-0000-0000-000064040000}"/>
    <cellStyle name="Header2 4 4 2" xfId="870" xr:uid="{00000000-0005-0000-0000-000065040000}"/>
    <cellStyle name="Header2 4 4 2 2" xfId="871" xr:uid="{00000000-0005-0000-0000-000066040000}"/>
    <cellStyle name="Header2 4 4 2 3" xfId="872" xr:uid="{00000000-0005-0000-0000-000067040000}"/>
    <cellStyle name="Header2 4 4 2 4" xfId="873" xr:uid="{00000000-0005-0000-0000-000068040000}"/>
    <cellStyle name="Header2 4 4 2 5" xfId="3297" xr:uid="{00000000-0005-0000-0000-000069040000}"/>
    <cellStyle name="Header2 4 4 3" xfId="874" xr:uid="{00000000-0005-0000-0000-00006A040000}"/>
    <cellStyle name="Header2 4 4 3 2" xfId="875" xr:uid="{00000000-0005-0000-0000-00006B040000}"/>
    <cellStyle name="Header2 4 4 3 3" xfId="876" xr:uid="{00000000-0005-0000-0000-00006C040000}"/>
    <cellStyle name="Header2 4 4 3 4" xfId="877" xr:uid="{00000000-0005-0000-0000-00006D040000}"/>
    <cellStyle name="Header2 4 4 3 5" xfId="3535" xr:uid="{00000000-0005-0000-0000-00006E040000}"/>
    <cellStyle name="Header2 4 4 4" xfId="878" xr:uid="{00000000-0005-0000-0000-00006F040000}"/>
    <cellStyle name="Header2 4 4 4 2" xfId="879" xr:uid="{00000000-0005-0000-0000-000070040000}"/>
    <cellStyle name="Header2 4 4 4 3" xfId="3736" xr:uid="{00000000-0005-0000-0000-000071040000}"/>
    <cellStyle name="Header2 4 4 5" xfId="880" xr:uid="{00000000-0005-0000-0000-000072040000}"/>
    <cellStyle name="Header2 4 4 6" xfId="881" xr:uid="{00000000-0005-0000-0000-000073040000}"/>
    <cellStyle name="Header2 4 4 7" xfId="882" xr:uid="{00000000-0005-0000-0000-000074040000}"/>
    <cellStyle name="Header2 4 4 8" xfId="883" xr:uid="{00000000-0005-0000-0000-000075040000}"/>
    <cellStyle name="Header2 4 4 9" xfId="884" xr:uid="{00000000-0005-0000-0000-000076040000}"/>
    <cellStyle name="Header2 4 5" xfId="885" xr:uid="{00000000-0005-0000-0000-000077040000}"/>
    <cellStyle name="Header2 4 5 10" xfId="3062" xr:uid="{00000000-0005-0000-0000-000078040000}"/>
    <cellStyle name="Header2 4 5 2" xfId="886" xr:uid="{00000000-0005-0000-0000-000079040000}"/>
    <cellStyle name="Header2 4 5 2 2" xfId="887" xr:uid="{00000000-0005-0000-0000-00007A040000}"/>
    <cellStyle name="Header2 4 5 2 3" xfId="888" xr:uid="{00000000-0005-0000-0000-00007B040000}"/>
    <cellStyle name="Header2 4 5 2 4" xfId="889" xr:uid="{00000000-0005-0000-0000-00007C040000}"/>
    <cellStyle name="Header2 4 5 2 5" xfId="3302" xr:uid="{00000000-0005-0000-0000-00007D040000}"/>
    <cellStyle name="Header2 4 5 3" xfId="890" xr:uid="{00000000-0005-0000-0000-00007E040000}"/>
    <cellStyle name="Header2 4 5 3 2" xfId="891" xr:uid="{00000000-0005-0000-0000-00007F040000}"/>
    <cellStyle name="Header2 4 5 3 3" xfId="892" xr:uid="{00000000-0005-0000-0000-000080040000}"/>
    <cellStyle name="Header2 4 5 3 4" xfId="893" xr:uid="{00000000-0005-0000-0000-000081040000}"/>
    <cellStyle name="Header2 4 5 3 5" xfId="3540" xr:uid="{00000000-0005-0000-0000-000082040000}"/>
    <cellStyle name="Header2 4 5 4" xfId="894" xr:uid="{00000000-0005-0000-0000-000083040000}"/>
    <cellStyle name="Header2 4 5 4 2" xfId="895" xr:uid="{00000000-0005-0000-0000-000084040000}"/>
    <cellStyle name="Header2 4 5 4 3" xfId="3741" xr:uid="{00000000-0005-0000-0000-000085040000}"/>
    <cellStyle name="Header2 4 5 5" xfId="896" xr:uid="{00000000-0005-0000-0000-000086040000}"/>
    <cellStyle name="Header2 4 5 6" xfId="897" xr:uid="{00000000-0005-0000-0000-000087040000}"/>
    <cellStyle name="Header2 4 5 7" xfId="898" xr:uid="{00000000-0005-0000-0000-000088040000}"/>
    <cellStyle name="Header2 4 5 8" xfId="899" xr:uid="{00000000-0005-0000-0000-000089040000}"/>
    <cellStyle name="Header2 4 5 9" xfId="900" xr:uid="{00000000-0005-0000-0000-00008A040000}"/>
    <cellStyle name="Header2 4 5 9 2" xfId="3989" xr:uid="{00000000-0005-0000-0000-00008B040000}"/>
    <cellStyle name="Header2 4 6" xfId="901" xr:uid="{00000000-0005-0000-0000-00008C040000}"/>
    <cellStyle name="Header2 4 6 10" xfId="3072" xr:uid="{00000000-0005-0000-0000-00008D040000}"/>
    <cellStyle name="Header2 4 6 2" xfId="902" xr:uid="{00000000-0005-0000-0000-00008E040000}"/>
    <cellStyle name="Header2 4 6 2 2" xfId="903" xr:uid="{00000000-0005-0000-0000-00008F040000}"/>
    <cellStyle name="Header2 4 6 2 3" xfId="904" xr:uid="{00000000-0005-0000-0000-000090040000}"/>
    <cellStyle name="Header2 4 6 2 4" xfId="905" xr:uid="{00000000-0005-0000-0000-000091040000}"/>
    <cellStyle name="Header2 4 6 2 5" xfId="3312" xr:uid="{00000000-0005-0000-0000-000092040000}"/>
    <cellStyle name="Header2 4 6 3" xfId="906" xr:uid="{00000000-0005-0000-0000-000093040000}"/>
    <cellStyle name="Header2 4 6 3 2" xfId="907" xr:uid="{00000000-0005-0000-0000-000094040000}"/>
    <cellStyle name="Header2 4 6 3 3" xfId="908" xr:uid="{00000000-0005-0000-0000-000095040000}"/>
    <cellStyle name="Header2 4 6 3 4" xfId="909" xr:uid="{00000000-0005-0000-0000-000096040000}"/>
    <cellStyle name="Header2 4 6 3 5" xfId="3550" xr:uid="{00000000-0005-0000-0000-000097040000}"/>
    <cellStyle name="Header2 4 6 4" xfId="910" xr:uid="{00000000-0005-0000-0000-000098040000}"/>
    <cellStyle name="Header2 4 6 4 2" xfId="911" xr:uid="{00000000-0005-0000-0000-000099040000}"/>
    <cellStyle name="Header2 4 6 4 3" xfId="3751" xr:uid="{00000000-0005-0000-0000-00009A040000}"/>
    <cellStyle name="Header2 4 6 5" xfId="912" xr:uid="{00000000-0005-0000-0000-00009B040000}"/>
    <cellStyle name="Header2 4 6 6" xfId="913" xr:uid="{00000000-0005-0000-0000-00009C040000}"/>
    <cellStyle name="Header2 4 6 7" xfId="914" xr:uid="{00000000-0005-0000-0000-00009D040000}"/>
    <cellStyle name="Header2 4 6 8" xfId="915" xr:uid="{00000000-0005-0000-0000-00009E040000}"/>
    <cellStyle name="Header2 4 6 9" xfId="916" xr:uid="{00000000-0005-0000-0000-00009F040000}"/>
    <cellStyle name="Header2 4 6 9 2" xfId="3999" xr:uid="{00000000-0005-0000-0000-0000A0040000}"/>
    <cellStyle name="Header2 4 7" xfId="917" xr:uid="{00000000-0005-0000-0000-0000A1040000}"/>
    <cellStyle name="Header2 4 7 10" xfId="3081" xr:uid="{00000000-0005-0000-0000-0000A2040000}"/>
    <cellStyle name="Header2 4 7 2" xfId="918" xr:uid="{00000000-0005-0000-0000-0000A3040000}"/>
    <cellStyle name="Header2 4 7 2 2" xfId="919" xr:uid="{00000000-0005-0000-0000-0000A4040000}"/>
    <cellStyle name="Header2 4 7 2 3" xfId="920" xr:uid="{00000000-0005-0000-0000-0000A5040000}"/>
    <cellStyle name="Header2 4 7 2 4" xfId="921" xr:uid="{00000000-0005-0000-0000-0000A6040000}"/>
    <cellStyle name="Header2 4 7 2 5" xfId="3321" xr:uid="{00000000-0005-0000-0000-0000A7040000}"/>
    <cellStyle name="Header2 4 7 3" xfId="922" xr:uid="{00000000-0005-0000-0000-0000A8040000}"/>
    <cellStyle name="Header2 4 7 3 2" xfId="923" xr:uid="{00000000-0005-0000-0000-0000A9040000}"/>
    <cellStyle name="Header2 4 7 3 3" xfId="924" xr:uid="{00000000-0005-0000-0000-0000AA040000}"/>
    <cellStyle name="Header2 4 7 3 4" xfId="925" xr:uid="{00000000-0005-0000-0000-0000AB040000}"/>
    <cellStyle name="Header2 4 7 3 5" xfId="3559" xr:uid="{00000000-0005-0000-0000-0000AC040000}"/>
    <cellStyle name="Header2 4 7 4" xfId="926" xr:uid="{00000000-0005-0000-0000-0000AD040000}"/>
    <cellStyle name="Header2 4 7 4 2" xfId="927" xr:uid="{00000000-0005-0000-0000-0000AE040000}"/>
    <cellStyle name="Header2 4 7 4 3" xfId="3760" xr:uid="{00000000-0005-0000-0000-0000AF040000}"/>
    <cellStyle name="Header2 4 7 5" xfId="928" xr:uid="{00000000-0005-0000-0000-0000B0040000}"/>
    <cellStyle name="Header2 4 7 6" xfId="929" xr:uid="{00000000-0005-0000-0000-0000B1040000}"/>
    <cellStyle name="Header2 4 7 7" xfId="930" xr:uid="{00000000-0005-0000-0000-0000B2040000}"/>
    <cellStyle name="Header2 4 7 8" xfId="931" xr:uid="{00000000-0005-0000-0000-0000B3040000}"/>
    <cellStyle name="Header2 4 7 9" xfId="932" xr:uid="{00000000-0005-0000-0000-0000B4040000}"/>
    <cellStyle name="Header2 4 7 9 2" xfId="4008" xr:uid="{00000000-0005-0000-0000-0000B5040000}"/>
    <cellStyle name="Header2 4 8" xfId="933" xr:uid="{00000000-0005-0000-0000-0000B6040000}"/>
    <cellStyle name="Header2 4 8 10" xfId="3090" xr:uid="{00000000-0005-0000-0000-0000B7040000}"/>
    <cellStyle name="Header2 4 8 2" xfId="934" xr:uid="{00000000-0005-0000-0000-0000B8040000}"/>
    <cellStyle name="Header2 4 8 2 2" xfId="935" xr:uid="{00000000-0005-0000-0000-0000B9040000}"/>
    <cellStyle name="Header2 4 8 2 3" xfId="936" xr:uid="{00000000-0005-0000-0000-0000BA040000}"/>
    <cellStyle name="Header2 4 8 2 4" xfId="937" xr:uid="{00000000-0005-0000-0000-0000BB040000}"/>
    <cellStyle name="Header2 4 8 2 5" xfId="3330" xr:uid="{00000000-0005-0000-0000-0000BC040000}"/>
    <cellStyle name="Header2 4 8 3" xfId="938" xr:uid="{00000000-0005-0000-0000-0000BD040000}"/>
    <cellStyle name="Header2 4 8 3 2" xfId="939" xr:uid="{00000000-0005-0000-0000-0000BE040000}"/>
    <cellStyle name="Header2 4 8 3 3" xfId="940" xr:uid="{00000000-0005-0000-0000-0000BF040000}"/>
    <cellStyle name="Header2 4 8 3 4" xfId="941" xr:uid="{00000000-0005-0000-0000-0000C0040000}"/>
    <cellStyle name="Header2 4 8 3 5" xfId="3568" xr:uid="{00000000-0005-0000-0000-0000C1040000}"/>
    <cellStyle name="Header2 4 8 4" xfId="942" xr:uid="{00000000-0005-0000-0000-0000C2040000}"/>
    <cellStyle name="Header2 4 8 4 2" xfId="943" xr:uid="{00000000-0005-0000-0000-0000C3040000}"/>
    <cellStyle name="Header2 4 8 4 3" xfId="3769" xr:uid="{00000000-0005-0000-0000-0000C4040000}"/>
    <cellStyle name="Header2 4 8 5" xfId="944" xr:uid="{00000000-0005-0000-0000-0000C5040000}"/>
    <cellStyle name="Header2 4 8 6" xfId="945" xr:uid="{00000000-0005-0000-0000-0000C6040000}"/>
    <cellStyle name="Header2 4 8 7" xfId="946" xr:uid="{00000000-0005-0000-0000-0000C7040000}"/>
    <cellStyle name="Header2 4 8 8" xfId="947" xr:uid="{00000000-0005-0000-0000-0000C8040000}"/>
    <cellStyle name="Header2 4 8 9" xfId="948" xr:uid="{00000000-0005-0000-0000-0000C9040000}"/>
    <cellStyle name="Header2 4 8 9 2" xfId="4017" xr:uid="{00000000-0005-0000-0000-0000CA040000}"/>
    <cellStyle name="Header2 4 9" xfId="949" xr:uid="{00000000-0005-0000-0000-0000CB040000}"/>
    <cellStyle name="Header2 4 9 2" xfId="950" xr:uid="{00000000-0005-0000-0000-0000CC040000}"/>
    <cellStyle name="Header2 4 9 2 2" xfId="951" xr:uid="{00000000-0005-0000-0000-0000CD040000}"/>
    <cellStyle name="Header2 4 9 2 3" xfId="952" xr:uid="{00000000-0005-0000-0000-0000CE040000}"/>
    <cellStyle name="Header2 4 9 2 4" xfId="953" xr:uid="{00000000-0005-0000-0000-0000CF040000}"/>
    <cellStyle name="Header2 4 9 2 5" xfId="3433" xr:uid="{00000000-0005-0000-0000-0000D0040000}"/>
    <cellStyle name="Header2 4 9 3" xfId="954" xr:uid="{00000000-0005-0000-0000-0000D1040000}"/>
    <cellStyle name="Header2 4 9 3 2" xfId="3634" xr:uid="{00000000-0005-0000-0000-0000D2040000}"/>
    <cellStyle name="Header2 4 9 4" xfId="955" xr:uid="{00000000-0005-0000-0000-0000D3040000}"/>
    <cellStyle name="Header2 4 9 5" xfId="956" xr:uid="{00000000-0005-0000-0000-0000D4040000}"/>
    <cellStyle name="Header2 4 9 6" xfId="957" xr:uid="{00000000-0005-0000-0000-0000D5040000}"/>
    <cellStyle name="Header2 4 9 7" xfId="958" xr:uid="{00000000-0005-0000-0000-0000D6040000}"/>
    <cellStyle name="Header2 4 9 8" xfId="3195" xr:uid="{00000000-0005-0000-0000-0000D7040000}"/>
    <cellStyle name="Header2 5" xfId="959" xr:uid="{00000000-0005-0000-0000-0000D8040000}"/>
    <cellStyle name="Header2 5 10" xfId="960" xr:uid="{00000000-0005-0000-0000-0000D9040000}"/>
    <cellStyle name="Header2 5 10 2" xfId="961" xr:uid="{00000000-0005-0000-0000-0000DA040000}"/>
    <cellStyle name="Header2 5 10 3" xfId="962" xr:uid="{00000000-0005-0000-0000-0000DB040000}"/>
    <cellStyle name="Header2 5 10 4" xfId="963" xr:uid="{00000000-0005-0000-0000-0000DC040000}"/>
    <cellStyle name="Header2 5 10 5" xfId="3361" xr:uid="{00000000-0005-0000-0000-0000DD040000}"/>
    <cellStyle name="Header2 5 11" xfId="964" xr:uid="{00000000-0005-0000-0000-0000DE040000}"/>
    <cellStyle name="Header2 5 11 2" xfId="965" xr:uid="{00000000-0005-0000-0000-0000DF040000}"/>
    <cellStyle name="Header2 5 11 3" xfId="3600" xr:uid="{00000000-0005-0000-0000-0000E0040000}"/>
    <cellStyle name="Header2 5 12" xfId="966" xr:uid="{00000000-0005-0000-0000-0000E1040000}"/>
    <cellStyle name="Header2 5 13" xfId="967" xr:uid="{00000000-0005-0000-0000-0000E2040000}"/>
    <cellStyle name="Header2 5 14" xfId="968" xr:uid="{00000000-0005-0000-0000-0000E3040000}"/>
    <cellStyle name="Header2 5 15" xfId="969" xr:uid="{00000000-0005-0000-0000-0000E4040000}"/>
    <cellStyle name="Header2 5 16" xfId="3038" xr:uid="{00000000-0005-0000-0000-0000E5040000}"/>
    <cellStyle name="Header2 5 2" xfId="970" xr:uid="{00000000-0005-0000-0000-0000E6040000}"/>
    <cellStyle name="Header2 5 2 10" xfId="3052" xr:uid="{00000000-0005-0000-0000-0000E7040000}"/>
    <cellStyle name="Header2 5 2 2" xfId="971" xr:uid="{00000000-0005-0000-0000-0000E8040000}"/>
    <cellStyle name="Header2 5 2 2 2" xfId="972" xr:uid="{00000000-0005-0000-0000-0000E9040000}"/>
    <cellStyle name="Header2 5 2 2 3" xfId="973" xr:uid="{00000000-0005-0000-0000-0000EA040000}"/>
    <cellStyle name="Header2 5 2 2 4" xfId="974" xr:uid="{00000000-0005-0000-0000-0000EB040000}"/>
    <cellStyle name="Header2 5 2 2 5" xfId="3292" xr:uid="{00000000-0005-0000-0000-0000EC040000}"/>
    <cellStyle name="Header2 5 2 3" xfId="975" xr:uid="{00000000-0005-0000-0000-0000ED040000}"/>
    <cellStyle name="Header2 5 2 3 2" xfId="976" xr:uid="{00000000-0005-0000-0000-0000EE040000}"/>
    <cellStyle name="Header2 5 2 3 3" xfId="977" xr:uid="{00000000-0005-0000-0000-0000EF040000}"/>
    <cellStyle name="Header2 5 2 3 4" xfId="978" xr:uid="{00000000-0005-0000-0000-0000F0040000}"/>
    <cellStyle name="Header2 5 2 3 5" xfId="3530" xr:uid="{00000000-0005-0000-0000-0000F1040000}"/>
    <cellStyle name="Header2 5 2 4" xfId="979" xr:uid="{00000000-0005-0000-0000-0000F2040000}"/>
    <cellStyle name="Header2 5 2 4 2" xfId="980" xr:uid="{00000000-0005-0000-0000-0000F3040000}"/>
    <cellStyle name="Header2 5 2 4 3" xfId="3731" xr:uid="{00000000-0005-0000-0000-0000F4040000}"/>
    <cellStyle name="Header2 5 2 5" xfId="981" xr:uid="{00000000-0005-0000-0000-0000F5040000}"/>
    <cellStyle name="Header2 5 2 6" xfId="982" xr:uid="{00000000-0005-0000-0000-0000F6040000}"/>
    <cellStyle name="Header2 5 2 7" xfId="983" xr:uid="{00000000-0005-0000-0000-0000F7040000}"/>
    <cellStyle name="Header2 5 2 8" xfId="984" xr:uid="{00000000-0005-0000-0000-0000F8040000}"/>
    <cellStyle name="Header2 5 2 9" xfId="985" xr:uid="{00000000-0005-0000-0000-0000F9040000}"/>
    <cellStyle name="Header2 5 3" xfId="986" xr:uid="{00000000-0005-0000-0000-0000FA040000}"/>
    <cellStyle name="Header2 5 3 10" xfId="3059" xr:uid="{00000000-0005-0000-0000-0000FB040000}"/>
    <cellStyle name="Header2 5 3 2" xfId="987" xr:uid="{00000000-0005-0000-0000-0000FC040000}"/>
    <cellStyle name="Header2 5 3 2 2" xfId="988" xr:uid="{00000000-0005-0000-0000-0000FD040000}"/>
    <cellStyle name="Header2 5 3 2 3" xfId="989" xr:uid="{00000000-0005-0000-0000-0000FE040000}"/>
    <cellStyle name="Header2 5 3 2 4" xfId="990" xr:uid="{00000000-0005-0000-0000-0000FF040000}"/>
    <cellStyle name="Header2 5 3 2 5" xfId="3299" xr:uid="{00000000-0005-0000-0000-000000050000}"/>
    <cellStyle name="Header2 5 3 3" xfId="991" xr:uid="{00000000-0005-0000-0000-000001050000}"/>
    <cellStyle name="Header2 5 3 3 2" xfId="992" xr:uid="{00000000-0005-0000-0000-000002050000}"/>
    <cellStyle name="Header2 5 3 3 3" xfId="993" xr:uid="{00000000-0005-0000-0000-000003050000}"/>
    <cellStyle name="Header2 5 3 3 4" xfId="994" xr:uid="{00000000-0005-0000-0000-000004050000}"/>
    <cellStyle name="Header2 5 3 3 5" xfId="3537" xr:uid="{00000000-0005-0000-0000-000005050000}"/>
    <cellStyle name="Header2 5 3 4" xfId="995" xr:uid="{00000000-0005-0000-0000-000006050000}"/>
    <cellStyle name="Header2 5 3 4 2" xfId="996" xr:uid="{00000000-0005-0000-0000-000007050000}"/>
    <cellStyle name="Header2 5 3 4 3" xfId="3738" xr:uid="{00000000-0005-0000-0000-000008050000}"/>
    <cellStyle name="Header2 5 3 5" xfId="997" xr:uid="{00000000-0005-0000-0000-000009050000}"/>
    <cellStyle name="Header2 5 3 6" xfId="998" xr:uid="{00000000-0005-0000-0000-00000A050000}"/>
    <cellStyle name="Header2 5 3 7" xfId="999" xr:uid="{00000000-0005-0000-0000-00000B050000}"/>
    <cellStyle name="Header2 5 3 8" xfId="1000" xr:uid="{00000000-0005-0000-0000-00000C050000}"/>
    <cellStyle name="Header2 5 3 9" xfId="1001" xr:uid="{00000000-0005-0000-0000-00000D050000}"/>
    <cellStyle name="Header2 5 4" xfId="1002" xr:uid="{00000000-0005-0000-0000-00000E050000}"/>
    <cellStyle name="Header2 5 4 10" xfId="3064" xr:uid="{00000000-0005-0000-0000-00000F050000}"/>
    <cellStyle name="Header2 5 4 2" xfId="1003" xr:uid="{00000000-0005-0000-0000-000010050000}"/>
    <cellStyle name="Header2 5 4 2 2" xfId="1004" xr:uid="{00000000-0005-0000-0000-000011050000}"/>
    <cellStyle name="Header2 5 4 2 3" xfId="1005" xr:uid="{00000000-0005-0000-0000-000012050000}"/>
    <cellStyle name="Header2 5 4 2 4" xfId="1006" xr:uid="{00000000-0005-0000-0000-000013050000}"/>
    <cellStyle name="Header2 5 4 2 5" xfId="3304" xr:uid="{00000000-0005-0000-0000-000014050000}"/>
    <cellStyle name="Header2 5 4 3" xfId="1007" xr:uid="{00000000-0005-0000-0000-000015050000}"/>
    <cellStyle name="Header2 5 4 3 2" xfId="1008" xr:uid="{00000000-0005-0000-0000-000016050000}"/>
    <cellStyle name="Header2 5 4 3 3" xfId="1009" xr:uid="{00000000-0005-0000-0000-000017050000}"/>
    <cellStyle name="Header2 5 4 3 4" xfId="1010" xr:uid="{00000000-0005-0000-0000-000018050000}"/>
    <cellStyle name="Header2 5 4 3 5" xfId="3542" xr:uid="{00000000-0005-0000-0000-000019050000}"/>
    <cellStyle name="Header2 5 4 4" xfId="1011" xr:uid="{00000000-0005-0000-0000-00001A050000}"/>
    <cellStyle name="Header2 5 4 4 2" xfId="1012" xr:uid="{00000000-0005-0000-0000-00001B050000}"/>
    <cellStyle name="Header2 5 4 4 3" xfId="3743" xr:uid="{00000000-0005-0000-0000-00001C050000}"/>
    <cellStyle name="Header2 5 4 5" xfId="1013" xr:uid="{00000000-0005-0000-0000-00001D050000}"/>
    <cellStyle name="Header2 5 4 6" xfId="1014" xr:uid="{00000000-0005-0000-0000-00001E050000}"/>
    <cellStyle name="Header2 5 4 7" xfId="1015" xr:uid="{00000000-0005-0000-0000-00001F050000}"/>
    <cellStyle name="Header2 5 4 8" xfId="1016" xr:uid="{00000000-0005-0000-0000-000020050000}"/>
    <cellStyle name="Header2 5 4 9" xfId="1017" xr:uid="{00000000-0005-0000-0000-000021050000}"/>
    <cellStyle name="Header2 5 4 9 2" xfId="3991" xr:uid="{00000000-0005-0000-0000-000022050000}"/>
    <cellStyle name="Header2 5 5" xfId="1018" xr:uid="{00000000-0005-0000-0000-000023050000}"/>
    <cellStyle name="Header2 5 5 10" xfId="3074" xr:uid="{00000000-0005-0000-0000-000024050000}"/>
    <cellStyle name="Header2 5 5 2" xfId="1019" xr:uid="{00000000-0005-0000-0000-000025050000}"/>
    <cellStyle name="Header2 5 5 2 2" xfId="1020" xr:uid="{00000000-0005-0000-0000-000026050000}"/>
    <cellStyle name="Header2 5 5 2 3" xfId="1021" xr:uid="{00000000-0005-0000-0000-000027050000}"/>
    <cellStyle name="Header2 5 5 2 4" xfId="1022" xr:uid="{00000000-0005-0000-0000-000028050000}"/>
    <cellStyle name="Header2 5 5 2 5" xfId="3314" xr:uid="{00000000-0005-0000-0000-000029050000}"/>
    <cellStyle name="Header2 5 5 3" xfId="1023" xr:uid="{00000000-0005-0000-0000-00002A050000}"/>
    <cellStyle name="Header2 5 5 3 2" xfId="1024" xr:uid="{00000000-0005-0000-0000-00002B050000}"/>
    <cellStyle name="Header2 5 5 3 3" xfId="1025" xr:uid="{00000000-0005-0000-0000-00002C050000}"/>
    <cellStyle name="Header2 5 5 3 4" xfId="1026" xr:uid="{00000000-0005-0000-0000-00002D050000}"/>
    <cellStyle name="Header2 5 5 3 5" xfId="3552" xr:uid="{00000000-0005-0000-0000-00002E050000}"/>
    <cellStyle name="Header2 5 5 4" xfId="1027" xr:uid="{00000000-0005-0000-0000-00002F050000}"/>
    <cellStyle name="Header2 5 5 4 2" xfId="1028" xr:uid="{00000000-0005-0000-0000-000030050000}"/>
    <cellStyle name="Header2 5 5 4 3" xfId="3753" xr:uid="{00000000-0005-0000-0000-000031050000}"/>
    <cellStyle name="Header2 5 5 5" xfId="1029" xr:uid="{00000000-0005-0000-0000-000032050000}"/>
    <cellStyle name="Header2 5 5 6" xfId="1030" xr:uid="{00000000-0005-0000-0000-000033050000}"/>
    <cellStyle name="Header2 5 5 7" xfId="1031" xr:uid="{00000000-0005-0000-0000-000034050000}"/>
    <cellStyle name="Header2 5 5 8" xfId="1032" xr:uid="{00000000-0005-0000-0000-000035050000}"/>
    <cellStyle name="Header2 5 5 9" xfId="1033" xr:uid="{00000000-0005-0000-0000-000036050000}"/>
    <cellStyle name="Header2 5 5 9 2" xfId="4001" xr:uid="{00000000-0005-0000-0000-000037050000}"/>
    <cellStyle name="Header2 5 6" xfId="1034" xr:uid="{00000000-0005-0000-0000-000038050000}"/>
    <cellStyle name="Header2 5 6 10" xfId="3083" xr:uid="{00000000-0005-0000-0000-000039050000}"/>
    <cellStyle name="Header2 5 6 2" xfId="1035" xr:uid="{00000000-0005-0000-0000-00003A050000}"/>
    <cellStyle name="Header2 5 6 2 2" xfId="1036" xr:uid="{00000000-0005-0000-0000-00003B050000}"/>
    <cellStyle name="Header2 5 6 2 3" xfId="1037" xr:uid="{00000000-0005-0000-0000-00003C050000}"/>
    <cellStyle name="Header2 5 6 2 4" xfId="1038" xr:uid="{00000000-0005-0000-0000-00003D050000}"/>
    <cellStyle name="Header2 5 6 2 5" xfId="3323" xr:uid="{00000000-0005-0000-0000-00003E050000}"/>
    <cellStyle name="Header2 5 6 3" xfId="1039" xr:uid="{00000000-0005-0000-0000-00003F050000}"/>
    <cellStyle name="Header2 5 6 3 2" xfId="1040" xr:uid="{00000000-0005-0000-0000-000040050000}"/>
    <cellStyle name="Header2 5 6 3 3" xfId="1041" xr:uid="{00000000-0005-0000-0000-000041050000}"/>
    <cellStyle name="Header2 5 6 3 4" xfId="1042" xr:uid="{00000000-0005-0000-0000-000042050000}"/>
    <cellStyle name="Header2 5 6 3 5" xfId="3561" xr:uid="{00000000-0005-0000-0000-000043050000}"/>
    <cellStyle name="Header2 5 6 4" xfId="1043" xr:uid="{00000000-0005-0000-0000-000044050000}"/>
    <cellStyle name="Header2 5 6 4 2" xfId="1044" xr:uid="{00000000-0005-0000-0000-000045050000}"/>
    <cellStyle name="Header2 5 6 4 3" xfId="3762" xr:uid="{00000000-0005-0000-0000-000046050000}"/>
    <cellStyle name="Header2 5 6 5" xfId="1045" xr:uid="{00000000-0005-0000-0000-000047050000}"/>
    <cellStyle name="Header2 5 6 6" xfId="1046" xr:uid="{00000000-0005-0000-0000-000048050000}"/>
    <cellStyle name="Header2 5 6 7" xfId="1047" xr:uid="{00000000-0005-0000-0000-000049050000}"/>
    <cellStyle name="Header2 5 6 8" xfId="1048" xr:uid="{00000000-0005-0000-0000-00004A050000}"/>
    <cellStyle name="Header2 5 6 9" xfId="1049" xr:uid="{00000000-0005-0000-0000-00004B050000}"/>
    <cellStyle name="Header2 5 6 9 2" xfId="4010" xr:uid="{00000000-0005-0000-0000-00004C050000}"/>
    <cellStyle name="Header2 5 7" xfId="1050" xr:uid="{00000000-0005-0000-0000-00004D050000}"/>
    <cellStyle name="Header2 5 7 10" xfId="3092" xr:uid="{00000000-0005-0000-0000-00004E050000}"/>
    <cellStyle name="Header2 5 7 2" xfId="1051" xr:uid="{00000000-0005-0000-0000-00004F050000}"/>
    <cellStyle name="Header2 5 7 2 2" xfId="1052" xr:uid="{00000000-0005-0000-0000-000050050000}"/>
    <cellStyle name="Header2 5 7 2 3" xfId="1053" xr:uid="{00000000-0005-0000-0000-000051050000}"/>
    <cellStyle name="Header2 5 7 2 4" xfId="1054" xr:uid="{00000000-0005-0000-0000-000052050000}"/>
    <cellStyle name="Header2 5 7 2 5" xfId="3332" xr:uid="{00000000-0005-0000-0000-000053050000}"/>
    <cellStyle name="Header2 5 7 3" xfId="1055" xr:uid="{00000000-0005-0000-0000-000054050000}"/>
    <cellStyle name="Header2 5 7 3 2" xfId="1056" xr:uid="{00000000-0005-0000-0000-000055050000}"/>
    <cellStyle name="Header2 5 7 3 3" xfId="1057" xr:uid="{00000000-0005-0000-0000-000056050000}"/>
    <cellStyle name="Header2 5 7 3 4" xfId="1058" xr:uid="{00000000-0005-0000-0000-000057050000}"/>
    <cellStyle name="Header2 5 7 3 5" xfId="3570" xr:uid="{00000000-0005-0000-0000-000058050000}"/>
    <cellStyle name="Header2 5 7 4" xfId="1059" xr:uid="{00000000-0005-0000-0000-000059050000}"/>
    <cellStyle name="Header2 5 7 4 2" xfId="1060" xr:uid="{00000000-0005-0000-0000-00005A050000}"/>
    <cellStyle name="Header2 5 7 4 3" xfId="3771" xr:uid="{00000000-0005-0000-0000-00005B050000}"/>
    <cellStyle name="Header2 5 7 5" xfId="1061" xr:uid="{00000000-0005-0000-0000-00005C050000}"/>
    <cellStyle name="Header2 5 7 6" xfId="1062" xr:uid="{00000000-0005-0000-0000-00005D050000}"/>
    <cellStyle name="Header2 5 7 7" xfId="1063" xr:uid="{00000000-0005-0000-0000-00005E050000}"/>
    <cellStyle name="Header2 5 7 8" xfId="1064" xr:uid="{00000000-0005-0000-0000-00005F050000}"/>
    <cellStyle name="Header2 5 7 9" xfId="1065" xr:uid="{00000000-0005-0000-0000-000060050000}"/>
    <cellStyle name="Header2 5 7 9 2" xfId="4019" xr:uid="{00000000-0005-0000-0000-000061050000}"/>
    <cellStyle name="Header2 5 8" xfId="1066" xr:uid="{00000000-0005-0000-0000-000062050000}"/>
    <cellStyle name="Header2 5 8 2" xfId="1067" xr:uid="{00000000-0005-0000-0000-000063050000}"/>
    <cellStyle name="Header2 5 8 2 2" xfId="1068" xr:uid="{00000000-0005-0000-0000-000064050000}"/>
    <cellStyle name="Header2 5 8 2 3" xfId="1069" xr:uid="{00000000-0005-0000-0000-000065050000}"/>
    <cellStyle name="Header2 5 8 2 4" xfId="1070" xr:uid="{00000000-0005-0000-0000-000066050000}"/>
    <cellStyle name="Header2 5 8 2 5" xfId="3516" xr:uid="{00000000-0005-0000-0000-000067050000}"/>
    <cellStyle name="Header2 5 8 3" xfId="1071" xr:uid="{00000000-0005-0000-0000-000068050000}"/>
    <cellStyle name="Header2 5 8 3 2" xfId="3717" xr:uid="{00000000-0005-0000-0000-000069050000}"/>
    <cellStyle name="Header2 5 8 4" xfId="1072" xr:uid="{00000000-0005-0000-0000-00006A050000}"/>
    <cellStyle name="Header2 5 8 5" xfId="1073" xr:uid="{00000000-0005-0000-0000-00006B050000}"/>
    <cellStyle name="Header2 5 8 6" xfId="1074" xr:uid="{00000000-0005-0000-0000-00006C050000}"/>
    <cellStyle name="Header2 5 8 7" xfId="1075" xr:uid="{00000000-0005-0000-0000-00006D050000}"/>
    <cellStyle name="Header2 5 8 8" xfId="3278" xr:uid="{00000000-0005-0000-0000-00006E050000}"/>
    <cellStyle name="Header2 5 9" xfId="1076" xr:uid="{00000000-0005-0000-0000-00006F050000}"/>
    <cellStyle name="Header2 5 9 2" xfId="1077" xr:uid="{00000000-0005-0000-0000-000070050000}"/>
    <cellStyle name="Header2 5 9 3" xfId="1078" xr:uid="{00000000-0005-0000-0000-000071050000}"/>
    <cellStyle name="Header2 5 9 4" xfId="1079" xr:uid="{00000000-0005-0000-0000-000072050000}"/>
    <cellStyle name="Header2 5 9 5" xfId="3123" xr:uid="{00000000-0005-0000-0000-000073050000}"/>
    <cellStyle name="Header2 6" xfId="1080" xr:uid="{00000000-0005-0000-0000-000074050000}"/>
    <cellStyle name="Header2 6 2" xfId="1081" xr:uid="{00000000-0005-0000-0000-000075050000}"/>
    <cellStyle name="Header2 6 2 2" xfId="1082" xr:uid="{00000000-0005-0000-0000-000076050000}"/>
    <cellStyle name="Header2 6 2 3" xfId="1083" xr:uid="{00000000-0005-0000-0000-000077050000}"/>
    <cellStyle name="Header2 6 2 4" xfId="1084" xr:uid="{00000000-0005-0000-0000-000078050000}"/>
    <cellStyle name="Header2 6 2 5" xfId="3213" xr:uid="{00000000-0005-0000-0000-000079050000}"/>
    <cellStyle name="Header2 6 3" xfId="1085" xr:uid="{00000000-0005-0000-0000-00007A050000}"/>
    <cellStyle name="Header2 6 3 2" xfId="1086" xr:uid="{00000000-0005-0000-0000-00007B050000}"/>
    <cellStyle name="Header2 6 3 3" xfId="1087" xr:uid="{00000000-0005-0000-0000-00007C050000}"/>
    <cellStyle name="Header2 6 3 4" xfId="1088" xr:uid="{00000000-0005-0000-0000-00007D050000}"/>
    <cellStyle name="Header2 6 3 5" xfId="3451" xr:uid="{00000000-0005-0000-0000-00007E050000}"/>
    <cellStyle name="Header2 6 4" xfId="1089" xr:uid="{00000000-0005-0000-0000-00007F050000}"/>
    <cellStyle name="Header2 6 4 2" xfId="1090" xr:uid="{00000000-0005-0000-0000-000080050000}"/>
    <cellStyle name="Header2 6 4 3" xfId="3652" xr:uid="{00000000-0005-0000-0000-000081050000}"/>
    <cellStyle name="Header2 6 5" xfId="1091" xr:uid="{00000000-0005-0000-0000-000082050000}"/>
    <cellStyle name="Header2 6 6" xfId="1092" xr:uid="{00000000-0005-0000-0000-000083050000}"/>
    <cellStyle name="Header2 6 7" xfId="1093" xr:uid="{00000000-0005-0000-0000-000084050000}"/>
    <cellStyle name="Header2 6 8" xfId="1094" xr:uid="{00000000-0005-0000-0000-000085050000}"/>
    <cellStyle name="Header2 7" xfId="1095" xr:uid="{00000000-0005-0000-0000-000086050000}"/>
    <cellStyle name="Header2 7 2" xfId="1096" xr:uid="{00000000-0005-0000-0000-000087050000}"/>
    <cellStyle name="Header2 7 2 2" xfId="1097" xr:uid="{00000000-0005-0000-0000-000088050000}"/>
    <cellStyle name="Header2 7 2 3" xfId="1098" xr:uid="{00000000-0005-0000-0000-000089050000}"/>
    <cellStyle name="Header2 7 2 4" xfId="1099" xr:uid="{00000000-0005-0000-0000-00008A050000}"/>
    <cellStyle name="Header2 7 2 5" xfId="3217" xr:uid="{00000000-0005-0000-0000-00008B050000}"/>
    <cellStyle name="Header2 7 3" xfId="1100" xr:uid="{00000000-0005-0000-0000-00008C050000}"/>
    <cellStyle name="Header2 7 3 2" xfId="1101" xr:uid="{00000000-0005-0000-0000-00008D050000}"/>
    <cellStyle name="Header2 7 3 3" xfId="1102" xr:uid="{00000000-0005-0000-0000-00008E050000}"/>
    <cellStyle name="Header2 7 3 4" xfId="1103" xr:uid="{00000000-0005-0000-0000-00008F050000}"/>
    <cellStyle name="Header2 7 3 5" xfId="3455" xr:uid="{00000000-0005-0000-0000-000090050000}"/>
    <cellStyle name="Header2 7 4" xfId="1104" xr:uid="{00000000-0005-0000-0000-000091050000}"/>
    <cellStyle name="Header2 7 4 2" xfId="1105" xr:uid="{00000000-0005-0000-0000-000092050000}"/>
    <cellStyle name="Header2 7 4 3" xfId="3656" xr:uid="{00000000-0005-0000-0000-000093050000}"/>
    <cellStyle name="Header2 7 5" xfId="1106" xr:uid="{00000000-0005-0000-0000-000094050000}"/>
    <cellStyle name="Header2 7 6" xfId="1107" xr:uid="{00000000-0005-0000-0000-000095050000}"/>
    <cellStyle name="Header2 7 7" xfId="1108" xr:uid="{00000000-0005-0000-0000-000096050000}"/>
    <cellStyle name="Header2 7 8" xfId="1109" xr:uid="{00000000-0005-0000-0000-000097050000}"/>
    <cellStyle name="Header2 7 9" xfId="1110" xr:uid="{00000000-0005-0000-0000-000098050000}"/>
    <cellStyle name="Header2 7 9 2" xfId="3947" xr:uid="{00000000-0005-0000-0000-000099050000}"/>
    <cellStyle name="Header2 8" xfId="1111" xr:uid="{00000000-0005-0000-0000-00009A050000}"/>
    <cellStyle name="Header2 8 10" xfId="3076" xr:uid="{00000000-0005-0000-0000-00009B050000}"/>
    <cellStyle name="Header2 8 2" xfId="1112" xr:uid="{00000000-0005-0000-0000-00009C050000}"/>
    <cellStyle name="Header2 8 2 2" xfId="1113" xr:uid="{00000000-0005-0000-0000-00009D050000}"/>
    <cellStyle name="Header2 8 2 3" xfId="1114" xr:uid="{00000000-0005-0000-0000-00009E050000}"/>
    <cellStyle name="Header2 8 2 4" xfId="1115" xr:uid="{00000000-0005-0000-0000-00009F050000}"/>
    <cellStyle name="Header2 8 2 5" xfId="3316" xr:uid="{00000000-0005-0000-0000-0000A0050000}"/>
    <cellStyle name="Header2 8 3" xfId="1116" xr:uid="{00000000-0005-0000-0000-0000A1050000}"/>
    <cellStyle name="Header2 8 3 2" xfId="1117" xr:uid="{00000000-0005-0000-0000-0000A2050000}"/>
    <cellStyle name="Header2 8 3 3" xfId="1118" xr:uid="{00000000-0005-0000-0000-0000A3050000}"/>
    <cellStyle name="Header2 8 3 4" xfId="1119" xr:uid="{00000000-0005-0000-0000-0000A4050000}"/>
    <cellStyle name="Header2 8 3 5" xfId="3554" xr:uid="{00000000-0005-0000-0000-0000A5050000}"/>
    <cellStyle name="Header2 8 4" xfId="1120" xr:uid="{00000000-0005-0000-0000-0000A6050000}"/>
    <cellStyle name="Header2 8 4 2" xfId="1121" xr:uid="{00000000-0005-0000-0000-0000A7050000}"/>
    <cellStyle name="Header2 8 4 3" xfId="3755" xr:uid="{00000000-0005-0000-0000-0000A8050000}"/>
    <cellStyle name="Header2 8 5" xfId="1122" xr:uid="{00000000-0005-0000-0000-0000A9050000}"/>
    <cellStyle name="Header2 8 6" xfId="1123" xr:uid="{00000000-0005-0000-0000-0000AA050000}"/>
    <cellStyle name="Header2 8 7" xfId="1124" xr:uid="{00000000-0005-0000-0000-0000AB050000}"/>
    <cellStyle name="Header2 8 8" xfId="1125" xr:uid="{00000000-0005-0000-0000-0000AC050000}"/>
    <cellStyle name="Header2 8 9" xfId="1126" xr:uid="{00000000-0005-0000-0000-0000AD050000}"/>
    <cellStyle name="Header2 8 9 2" xfId="4003" xr:uid="{00000000-0005-0000-0000-0000AE050000}"/>
    <cellStyle name="Header2 9" xfId="1127" xr:uid="{00000000-0005-0000-0000-0000AF050000}"/>
    <cellStyle name="Header2 9 2" xfId="1128" xr:uid="{00000000-0005-0000-0000-0000B0050000}"/>
    <cellStyle name="Header2 9 2 2" xfId="1129" xr:uid="{00000000-0005-0000-0000-0000B1050000}"/>
    <cellStyle name="Header2 9 2 3" xfId="1130" xr:uid="{00000000-0005-0000-0000-0000B2050000}"/>
    <cellStyle name="Header2 9 2 4" xfId="1131" xr:uid="{00000000-0005-0000-0000-0000B3050000}"/>
    <cellStyle name="Header2 9 2 5" xfId="3414" xr:uid="{00000000-0005-0000-0000-0000B4050000}"/>
    <cellStyle name="Header2 9 3" xfId="1132" xr:uid="{00000000-0005-0000-0000-0000B5050000}"/>
    <cellStyle name="Header2 9 3 2" xfId="3615" xr:uid="{00000000-0005-0000-0000-0000B6050000}"/>
    <cellStyle name="Header2 9 4" xfId="1133" xr:uid="{00000000-0005-0000-0000-0000B7050000}"/>
    <cellStyle name="Header2 9 5" xfId="1134" xr:uid="{00000000-0005-0000-0000-0000B8050000}"/>
    <cellStyle name="Header2 9 6" xfId="1135" xr:uid="{00000000-0005-0000-0000-0000B9050000}"/>
    <cellStyle name="Header2 9 7" xfId="1136" xr:uid="{00000000-0005-0000-0000-0000BA050000}"/>
    <cellStyle name="Header2 9 8" xfId="3176" xr:uid="{00000000-0005-0000-0000-0000BB050000}"/>
    <cellStyle name="Heading" xfId="1137" xr:uid="{00000000-0005-0000-0000-0000BC050000}"/>
    <cellStyle name="Heading 1 2" xfId="1138" xr:uid="{00000000-0005-0000-0000-0000BD050000}"/>
    <cellStyle name="Heading 1 2 2" xfId="1139" xr:uid="{00000000-0005-0000-0000-0000BE050000}"/>
    <cellStyle name="Heading 1 2 3" xfId="1140" xr:uid="{00000000-0005-0000-0000-0000BF050000}"/>
    <cellStyle name="Heading 2 2" xfId="1141" xr:uid="{00000000-0005-0000-0000-0000C0050000}"/>
    <cellStyle name="Heading 2 2 2" xfId="1142" xr:uid="{00000000-0005-0000-0000-0000C1050000}"/>
    <cellStyle name="Heading 2 2 3" xfId="1143" xr:uid="{00000000-0005-0000-0000-0000C2050000}"/>
    <cellStyle name="Heading 3 2" xfId="1144" xr:uid="{00000000-0005-0000-0000-0000C3050000}"/>
    <cellStyle name="Heading 3 2 2" xfId="1145" xr:uid="{00000000-0005-0000-0000-0000C4050000}"/>
    <cellStyle name="Heading 3 2 3" xfId="1146" xr:uid="{00000000-0005-0000-0000-0000C5050000}"/>
    <cellStyle name="Heading 4 2" xfId="1147" xr:uid="{00000000-0005-0000-0000-0000C6050000}"/>
    <cellStyle name="Heading 4 2 2" xfId="1148" xr:uid="{00000000-0005-0000-0000-0000C7050000}"/>
    <cellStyle name="Heading 4 2 3" xfId="1149" xr:uid="{00000000-0005-0000-0000-0000C8050000}"/>
    <cellStyle name="Heading1" xfId="1150" xr:uid="{00000000-0005-0000-0000-0000C9050000}"/>
    <cellStyle name="Hyperlink 2" xfId="1151" xr:uid="{00000000-0005-0000-0000-0000CA050000}"/>
    <cellStyle name="Hyperlink 3" xfId="4051" xr:uid="{00000000-0005-0000-0000-0000CB050000}"/>
    <cellStyle name="Input [yellow]" xfId="1152" xr:uid="{00000000-0005-0000-0000-0000CC050000}"/>
    <cellStyle name="Input [yellow] 10" xfId="1153" xr:uid="{00000000-0005-0000-0000-0000CD050000}"/>
    <cellStyle name="Input [yellow] 10 2" xfId="1154" xr:uid="{00000000-0005-0000-0000-0000CE050000}"/>
    <cellStyle name="Input [yellow] 10 2 2" xfId="1155" xr:uid="{00000000-0005-0000-0000-0000CF050000}"/>
    <cellStyle name="Input [yellow] 10 2 3" xfId="1156" xr:uid="{00000000-0005-0000-0000-0000D0050000}"/>
    <cellStyle name="Input [yellow] 10 2 3 2" xfId="3774" xr:uid="{00000000-0005-0000-0000-0000D1050000}"/>
    <cellStyle name="Input [yellow] 10 2 4" xfId="1157" xr:uid="{00000000-0005-0000-0000-0000D2050000}"/>
    <cellStyle name="Input [yellow] 10 2 5" xfId="3415" xr:uid="{00000000-0005-0000-0000-0000D3050000}"/>
    <cellStyle name="Input [yellow] 10 3" xfId="1158" xr:uid="{00000000-0005-0000-0000-0000D4050000}"/>
    <cellStyle name="Input [yellow] 10 3 2" xfId="3616" xr:uid="{00000000-0005-0000-0000-0000D5050000}"/>
    <cellStyle name="Input [yellow] 10 4" xfId="1159" xr:uid="{00000000-0005-0000-0000-0000D6050000}"/>
    <cellStyle name="Input [yellow] 10 5" xfId="1160" xr:uid="{00000000-0005-0000-0000-0000D7050000}"/>
    <cellStyle name="Input [yellow] 10 5 2" xfId="3773" xr:uid="{00000000-0005-0000-0000-0000D8050000}"/>
    <cellStyle name="Input [yellow] 10 6" xfId="1161" xr:uid="{00000000-0005-0000-0000-0000D9050000}"/>
    <cellStyle name="Input [yellow] 10 7" xfId="3177" xr:uid="{00000000-0005-0000-0000-0000DA050000}"/>
    <cellStyle name="Input [yellow] 11" xfId="1162" xr:uid="{00000000-0005-0000-0000-0000DB050000}"/>
    <cellStyle name="Input [yellow] 11 2" xfId="1163" xr:uid="{00000000-0005-0000-0000-0000DC050000}"/>
    <cellStyle name="Input [yellow] 11 3" xfId="1164" xr:uid="{00000000-0005-0000-0000-0000DD050000}"/>
    <cellStyle name="Input [yellow] 11 4" xfId="3095" xr:uid="{00000000-0005-0000-0000-0000DE050000}"/>
    <cellStyle name="Input [yellow] 12" xfId="1165" xr:uid="{00000000-0005-0000-0000-0000DF050000}"/>
    <cellStyle name="Input [yellow] 12 2" xfId="3573" xr:uid="{00000000-0005-0000-0000-0000E0050000}"/>
    <cellStyle name="Input [yellow] 13" xfId="1166" xr:uid="{00000000-0005-0000-0000-0000E1050000}"/>
    <cellStyle name="Input [yellow] 13 2" xfId="3574" xr:uid="{00000000-0005-0000-0000-0000E2050000}"/>
    <cellStyle name="Input [yellow] 14" xfId="1167" xr:uid="{00000000-0005-0000-0000-0000E3050000}"/>
    <cellStyle name="Input [yellow] 15" xfId="1168" xr:uid="{00000000-0005-0000-0000-0000E4050000}"/>
    <cellStyle name="Input [yellow] 2" xfId="1169" xr:uid="{00000000-0005-0000-0000-0000E5050000}"/>
    <cellStyle name="Input [yellow] 2 10" xfId="1170" xr:uid="{00000000-0005-0000-0000-0000E6050000}"/>
    <cellStyle name="Input [yellow] 2 10 2" xfId="1171" xr:uid="{00000000-0005-0000-0000-0000E7050000}"/>
    <cellStyle name="Input [yellow] 2 10 2 2" xfId="1172" xr:uid="{00000000-0005-0000-0000-0000E8050000}"/>
    <cellStyle name="Input [yellow] 2 10 2 3" xfId="1173" xr:uid="{00000000-0005-0000-0000-0000E9050000}"/>
    <cellStyle name="Input [yellow] 2 10 2 3 2" xfId="3777" xr:uid="{00000000-0005-0000-0000-0000EA050000}"/>
    <cellStyle name="Input [yellow] 2 10 2 4" xfId="1174" xr:uid="{00000000-0005-0000-0000-0000EB050000}"/>
    <cellStyle name="Input [yellow] 2 10 2 5" xfId="3420" xr:uid="{00000000-0005-0000-0000-0000EC050000}"/>
    <cellStyle name="Input [yellow] 2 10 3" xfId="1175" xr:uid="{00000000-0005-0000-0000-0000ED050000}"/>
    <cellStyle name="Input [yellow] 2 10 3 2" xfId="3621" xr:uid="{00000000-0005-0000-0000-0000EE050000}"/>
    <cellStyle name="Input [yellow] 2 10 4" xfId="1176" xr:uid="{00000000-0005-0000-0000-0000EF050000}"/>
    <cellStyle name="Input [yellow] 2 10 5" xfId="1177" xr:uid="{00000000-0005-0000-0000-0000F0050000}"/>
    <cellStyle name="Input [yellow] 2 10 5 2" xfId="3776" xr:uid="{00000000-0005-0000-0000-0000F1050000}"/>
    <cellStyle name="Input [yellow] 2 10 6" xfId="1178" xr:uid="{00000000-0005-0000-0000-0000F2050000}"/>
    <cellStyle name="Input [yellow] 2 10 7" xfId="3182" xr:uid="{00000000-0005-0000-0000-0000F3050000}"/>
    <cellStyle name="Input [yellow] 2 11" xfId="1179" xr:uid="{00000000-0005-0000-0000-0000F4050000}"/>
    <cellStyle name="Input [yellow] 2 11 2" xfId="1180" xr:uid="{00000000-0005-0000-0000-0000F5050000}"/>
    <cellStyle name="Input [yellow] 2 11 3" xfId="1181" xr:uid="{00000000-0005-0000-0000-0000F6050000}"/>
    <cellStyle name="Input [yellow] 2 11 3 2" xfId="3778" xr:uid="{00000000-0005-0000-0000-0000F7050000}"/>
    <cellStyle name="Input [yellow] 2 11 4" xfId="1182" xr:uid="{00000000-0005-0000-0000-0000F8050000}"/>
    <cellStyle name="Input [yellow] 2 11 5" xfId="3104" xr:uid="{00000000-0005-0000-0000-0000F9050000}"/>
    <cellStyle name="Input [yellow] 2 12" xfId="1183" xr:uid="{00000000-0005-0000-0000-0000FA050000}"/>
    <cellStyle name="Input [yellow] 2 12 2" xfId="1184" xr:uid="{00000000-0005-0000-0000-0000FB050000}"/>
    <cellStyle name="Input [yellow] 2 12 3" xfId="1185" xr:uid="{00000000-0005-0000-0000-0000FC050000}"/>
    <cellStyle name="Input [yellow] 2 12 3 2" xfId="3779" xr:uid="{00000000-0005-0000-0000-0000FD050000}"/>
    <cellStyle name="Input [yellow] 2 12 4" xfId="1186" xr:uid="{00000000-0005-0000-0000-0000FE050000}"/>
    <cellStyle name="Input [yellow] 2 12 5" xfId="3342" xr:uid="{00000000-0005-0000-0000-0000FF050000}"/>
    <cellStyle name="Input [yellow] 2 13" xfId="1187" xr:uid="{00000000-0005-0000-0000-000000060000}"/>
    <cellStyle name="Input [yellow] 2 13 2" xfId="3583" xr:uid="{00000000-0005-0000-0000-000001060000}"/>
    <cellStyle name="Input [yellow] 2 14" xfId="1188" xr:uid="{00000000-0005-0000-0000-000002060000}"/>
    <cellStyle name="Input [yellow] 2 15" xfId="1189" xr:uid="{00000000-0005-0000-0000-000003060000}"/>
    <cellStyle name="Input [yellow] 2 16" xfId="1190" xr:uid="{00000000-0005-0000-0000-000004060000}"/>
    <cellStyle name="Input [yellow] 2 16 2" xfId="3775" xr:uid="{00000000-0005-0000-0000-000005060000}"/>
    <cellStyle name="Input [yellow] 2 17" xfId="1191" xr:uid="{00000000-0005-0000-0000-000006060000}"/>
    <cellStyle name="Input [yellow] 2 18" xfId="1192" xr:uid="{00000000-0005-0000-0000-000007060000}"/>
    <cellStyle name="Input [yellow] 2 18 2" xfId="3920" xr:uid="{00000000-0005-0000-0000-000008060000}"/>
    <cellStyle name="Input [yellow] 2 2" xfId="1193" xr:uid="{00000000-0005-0000-0000-000009060000}"/>
    <cellStyle name="Input [yellow] 2 2 10" xfId="1194" xr:uid="{00000000-0005-0000-0000-00000A060000}"/>
    <cellStyle name="Input [yellow] 2 2 11" xfId="1195" xr:uid="{00000000-0005-0000-0000-00000B060000}"/>
    <cellStyle name="Input [yellow] 2 2 11 2" xfId="3932" xr:uid="{00000000-0005-0000-0000-00000C060000}"/>
    <cellStyle name="Input [yellow] 2 2 2" xfId="1196" xr:uid="{00000000-0005-0000-0000-00000D060000}"/>
    <cellStyle name="Input [yellow] 2 2 2 2" xfId="1197" xr:uid="{00000000-0005-0000-0000-00000E060000}"/>
    <cellStyle name="Input [yellow] 2 2 2 2 2" xfId="1198" xr:uid="{00000000-0005-0000-0000-00000F060000}"/>
    <cellStyle name="Input [yellow] 2 2 2 2 3" xfId="1199" xr:uid="{00000000-0005-0000-0000-000010060000}"/>
    <cellStyle name="Input [yellow] 2 2 2 2 3 2" xfId="3782" xr:uid="{00000000-0005-0000-0000-000011060000}"/>
    <cellStyle name="Input [yellow] 2 2 2 2 4" xfId="1200" xr:uid="{00000000-0005-0000-0000-000012060000}"/>
    <cellStyle name="Input [yellow] 2 2 2 2 5" xfId="3382" xr:uid="{00000000-0005-0000-0000-000013060000}"/>
    <cellStyle name="Input [yellow] 2 2 2 3" xfId="1201" xr:uid="{00000000-0005-0000-0000-000014060000}"/>
    <cellStyle name="Input [yellow] 2 2 2 3 2" xfId="3608" xr:uid="{00000000-0005-0000-0000-000015060000}"/>
    <cellStyle name="Input [yellow] 2 2 2 4" xfId="1202" xr:uid="{00000000-0005-0000-0000-000016060000}"/>
    <cellStyle name="Input [yellow] 2 2 2 5" xfId="1203" xr:uid="{00000000-0005-0000-0000-000017060000}"/>
    <cellStyle name="Input [yellow] 2 2 2 5 2" xfId="3781" xr:uid="{00000000-0005-0000-0000-000018060000}"/>
    <cellStyle name="Input [yellow] 2 2 2 6" xfId="1204" xr:uid="{00000000-0005-0000-0000-000019060000}"/>
    <cellStyle name="Input [yellow] 2 2 2 7" xfId="3144" xr:uid="{00000000-0005-0000-0000-00001A060000}"/>
    <cellStyle name="Input [yellow] 2 2 3" xfId="1205" xr:uid="{00000000-0005-0000-0000-00001B060000}"/>
    <cellStyle name="Input [yellow] 2 2 3 2" xfId="1206" xr:uid="{00000000-0005-0000-0000-00001C060000}"/>
    <cellStyle name="Input [yellow] 2 2 3 2 2" xfId="1207" xr:uid="{00000000-0005-0000-0000-00001D060000}"/>
    <cellStyle name="Input [yellow] 2 2 3 2 3" xfId="1208" xr:uid="{00000000-0005-0000-0000-00001E060000}"/>
    <cellStyle name="Input [yellow] 2 2 3 2 3 2" xfId="3784" xr:uid="{00000000-0005-0000-0000-00001F060000}"/>
    <cellStyle name="Input [yellow] 2 2 3 2 4" xfId="1209" xr:uid="{00000000-0005-0000-0000-000020060000}"/>
    <cellStyle name="Input [yellow] 2 2 3 2 5" xfId="3437" xr:uid="{00000000-0005-0000-0000-000021060000}"/>
    <cellStyle name="Input [yellow] 2 2 3 3" xfId="1210" xr:uid="{00000000-0005-0000-0000-000022060000}"/>
    <cellStyle name="Input [yellow] 2 2 3 3 2" xfId="3638" xr:uid="{00000000-0005-0000-0000-000023060000}"/>
    <cellStyle name="Input [yellow] 2 2 3 4" xfId="1211" xr:uid="{00000000-0005-0000-0000-000024060000}"/>
    <cellStyle name="Input [yellow] 2 2 3 5" xfId="1212" xr:uid="{00000000-0005-0000-0000-000025060000}"/>
    <cellStyle name="Input [yellow] 2 2 3 5 2" xfId="3783" xr:uid="{00000000-0005-0000-0000-000026060000}"/>
    <cellStyle name="Input [yellow] 2 2 3 6" xfId="1213" xr:uid="{00000000-0005-0000-0000-000027060000}"/>
    <cellStyle name="Input [yellow] 2 2 3 7" xfId="3199" xr:uid="{00000000-0005-0000-0000-000028060000}"/>
    <cellStyle name="Input [yellow] 2 2 4" xfId="1214" xr:uid="{00000000-0005-0000-0000-000029060000}"/>
    <cellStyle name="Input [yellow] 2 2 4 2" xfId="1215" xr:uid="{00000000-0005-0000-0000-00002A060000}"/>
    <cellStyle name="Input [yellow] 2 2 4 3" xfId="1216" xr:uid="{00000000-0005-0000-0000-00002B060000}"/>
    <cellStyle name="Input [yellow] 2 2 4 3 2" xfId="3785" xr:uid="{00000000-0005-0000-0000-00002C060000}"/>
    <cellStyle name="Input [yellow] 2 2 4 4" xfId="1217" xr:uid="{00000000-0005-0000-0000-00002D060000}"/>
    <cellStyle name="Input [yellow] 2 2 4 5" xfId="3105" xr:uid="{00000000-0005-0000-0000-00002E060000}"/>
    <cellStyle name="Input [yellow] 2 2 5" xfId="1218" xr:uid="{00000000-0005-0000-0000-00002F060000}"/>
    <cellStyle name="Input [yellow] 2 2 5 2" xfId="1219" xr:uid="{00000000-0005-0000-0000-000030060000}"/>
    <cellStyle name="Input [yellow] 2 2 5 3" xfId="1220" xr:uid="{00000000-0005-0000-0000-000031060000}"/>
    <cellStyle name="Input [yellow] 2 2 5 3 2" xfId="3786" xr:uid="{00000000-0005-0000-0000-000032060000}"/>
    <cellStyle name="Input [yellow] 2 2 5 4" xfId="1221" xr:uid="{00000000-0005-0000-0000-000033060000}"/>
    <cellStyle name="Input [yellow] 2 2 5 5" xfId="3343" xr:uid="{00000000-0005-0000-0000-000034060000}"/>
    <cellStyle name="Input [yellow] 2 2 6" xfId="1222" xr:uid="{00000000-0005-0000-0000-000035060000}"/>
    <cellStyle name="Input [yellow] 2 2 6 2" xfId="3584" xr:uid="{00000000-0005-0000-0000-000036060000}"/>
    <cellStyle name="Input [yellow] 2 2 7" xfId="1223" xr:uid="{00000000-0005-0000-0000-000037060000}"/>
    <cellStyle name="Input [yellow] 2 2 8" xfId="1224" xr:uid="{00000000-0005-0000-0000-000038060000}"/>
    <cellStyle name="Input [yellow] 2 2 9" xfId="1225" xr:uid="{00000000-0005-0000-0000-000039060000}"/>
    <cellStyle name="Input [yellow] 2 2 9 2" xfId="3780" xr:uid="{00000000-0005-0000-0000-00003A060000}"/>
    <cellStyle name="Input [yellow] 2 3" xfId="1226" xr:uid="{00000000-0005-0000-0000-00003B060000}"/>
    <cellStyle name="Input [yellow] 2 3 2" xfId="1227" xr:uid="{00000000-0005-0000-0000-00003C060000}"/>
    <cellStyle name="Input [yellow] 2 3 2 2" xfId="1228" xr:uid="{00000000-0005-0000-0000-00003D060000}"/>
    <cellStyle name="Input [yellow] 2 3 2 3" xfId="1229" xr:uid="{00000000-0005-0000-0000-00003E060000}"/>
    <cellStyle name="Input [yellow] 2 3 2 3 2" xfId="3788" xr:uid="{00000000-0005-0000-0000-00003F060000}"/>
    <cellStyle name="Input [yellow] 2 3 2 4" xfId="1230" xr:uid="{00000000-0005-0000-0000-000040060000}"/>
    <cellStyle name="Input [yellow] 2 3 2 5" xfId="3230" xr:uid="{00000000-0005-0000-0000-000041060000}"/>
    <cellStyle name="Input [yellow] 2 3 3" xfId="1231" xr:uid="{00000000-0005-0000-0000-000042060000}"/>
    <cellStyle name="Input [yellow] 2 3 3 2" xfId="1232" xr:uid="{00000000-0005-0000-0000-000043060000}"/>
    <cellStyle name="Input [yellow] 2 3 3 3" xfId="1233" xr:uid="{00000000-0005-0000-0000-000044060000}"/>
    <cellStyle name="Input [yellow] 2 3 3 3 2" xfId="3789" xr:uid="{00000000-0005-0000-0000-000045060000}"/>
    <cellStyle name="Input [yellow] 2 3 3 4" xfId="1234" xr:uid="{00000000-0005-0000-0000-000046060000}"/>
    <cellStyle name="Input [yellow] 2 3 3 5" xfId="3468" xr:uid="{00000000-0005-0000-0000-000047060000}"/>
    <cellStyle name="Input [yellow] 2 3 4" xfId="1235" xr:uid="{00000000-0005-0000-0000-000048060000}"/>
    <cellStyle name="Input [yellow] 2 3 4 2" xfId="3669" xr:uid="{00000000-0005-0000-0000-000049060000}"/>
    <cellStyle name="Input [yellow] 2 3 5" xfId="1236" xr:uid="{00000000-0005-0000-0000-00004A060000}"/>
    <cellStyle name="Input [yellow] 2 3 6" xfId="1237" xr:uid="{00000000-0005-0000-0000-00004B060000}"/>
    <cellStyle name="Input [yellow] 2 3 6 2" xfId="3787" xr:uid="{00000000-0005-0000-0000-00004C060000}"/>
    <cellStyle name="Input [yellow] 2 3 7" xfId="1238" xr:uid="{00000000-0005-0000-0000-00004D060000}"/>
    <cellStyle name="Input [yellow] 2 3 8" xfId="1239" xr:uid="{00000000-0005-0000-0000-00004E060000}"/>
    <cellStyle name="Input [yellow] 2 3 8 2" xfId="3956" xr:uid="{00000000-0005-0000-0000-00004F060000}"/>
    <cellStyle name="Input [yellow] 2 4" xfId="1240" xr:uid="{00000000-0005-0000-0000-000050060000}"/>
    <cellStyle name="Input [yellow] 2 4 2" xfId="1241" xr:uid="{00000000-0005-0000-0000-000051060000}"/>
    <cellStyle name="Input [yellow] 2 4 2 2" xfId="1242" xr:uid="{00000000-0005-0000-0000-000052060000}"/>
    <cellStyle name="Input [yellow] 2 4 2 3" xfId="1243" xr:uid="{00000000-0005-0000-0000-000053060000}"/>
    <cellStyle name="Input [yellow] 2 4 2 3 2" xfId="3791" xr:uid="{00000000-0005-0000-0000-000054060000}"/>
    <cellStyle name="Input [yellow] 2 4 2 4" xfId="1244" xr:uid="{00000000-0005-0000-0000-000055060000}"/>
    <cellStyle name="Input [yellow] 2 4 2 5" xfId="3225" xr:uid="{00000000-0005-0000-0000-000056060000}"/>
    <cellStyle name="Input [yellow] 2 4 3" xfId="1245" xr:uid="{00000000-0005-0000-0000-000057060000}"/>
    <cellStyle name="Input [yellow] 2 4 3 2" xfId="1246" xr:uid="{00000000-0005-0000-0000-000058060000}"/>
    <cellStyle name="Input [yellow] 2 4 3 3" xfId="1247" xr:uid="{00000000-0005-0000-0000-000059060000}"/>
    <cellStyle name="Input [yellow] 2 4 3 3 2" xfId="3792" xr:uid="{00000000-0005-0000-0000-00005A060000}"/>
    <cellStyle name="Input [yellow] 2 4 3 4" xfId="1248" xr:uid="{00000000-0005-0000-0000-00005B060000}"/>
    <cellStyle name="Input [yellow] 2 4 3 5" xfId="3463" xr:uid="{00000000-0005-0000-0000-00005C060000}"/>
    <cellStyle name="Input [yellow] 2 4 4" xfId="1249" xr:uid="{00000000-0005-0000-0000-00005D060000}"/>
    <cellStyle name="Input [yellow] 2 4 4 2" xfId="3664" xr:uid="{00000000-0005-0000-0000-00005E060000}"/>
    <cellStyle name="Input [yellow] 2 4 5" xfId="1250" xr:uid="{00000000-0005-0000-0000-00005F060000}"/>
    <cellStyle name="Input [yellow] 2 4 6" xfId="1251" xr:uid="{00000000-0005-0000-0000-000060060000}"/>
    <cellStyle name="Input [yellow] 2 4 6 2" xfId="3790" xr:uid="{00000000-0005-0000-0000-000061060000}"/>
    <cellStyle name="Input [yellow] 2 4 7" xfId="1252" xr:uid="{00000000-0005-0000-0000-000062060000}"/>
    <cellStyle name="Input [yellow] 2 4 8" xfId="1253" xr:uid="{00000000-0005-0000-0000-000063060000}"/>
    <cellStyle name="Input [yellow] 2 4 8 2" xfId="3955" xr:uid="{00000000-0005-0000-0000-000064060000}"/>
    <cellStyle name="Input [yellow] 2 4 9" xfId="3001" xr:uid="{00000000-0005-0000-0000-000065060000}"/>
    <cellStyle name="Input [yellow] 2 5" xfId="1254" xr:uid="{00000000-0005-0000-0000-000066060000}"/>
    <cellStyle name="Input [yellow] 2 5 2" xfId="1255" xr:uid="{00000000-0005-0000-0000-000067060000}"/>
    <cellStyle name="Input [yellow] 2 5 2 2" xfId="1256" xr:uid="{00000000-0005-0000-0000-000068060000}"/>
    <cellStyle name="Input [yellow] 2 5 2 3" xfId="1257" xr:uid="{00000000-0005-0000-0000-000069060000}"/>
    <cellStyle name="Input [yellow] 2 5 2 3 2" xfId="3794" xr:uid="{00000000-0005-0000-0000-00006A060000}"/>
    <cellStyle name="Input [yellow] 2 5 2 4" xfId="1258" xr:uid="{00000000-0005-0000-0000-00006B060000}"/>
    <cellStyle name="Input [yellow] 2 5 2 5" xfId="3244" xr:uid="{00000000-0005-0000-0000-00006C060000}"/>
    <cellStyle name="Input [yellow] 2 5 3" xfId="1259" xr:uid="{00000000-0005-0000-0000-00006D060000}"/>
    <cellStyle name="Input [yellow] 2 5 3 2" xfId="1260" xr:uid="{00000000-0005-0000-0000-00006E060000}"/>
    <cellStyle name="Input [yellow] 2 5 3 3" xfId="1261" xr:uid="{00000000-0005-0000-0000-00006F060000}"/>
    <cellStyle name="Input [yellow] 2 5 3 3 2" xfId="3795" xr:uid="{00000000-0005-0000-0000-000070060000}"/>
    <cellStyle name="Input [yellow] 2 5 3 4" xfId="1262" xr:uid="{00000000-0005-0000-0000-000071060000}"/>
    <cellStyle name="Input [yellow] 2 5 3 5" xfId="3482" xr:uid="{00000000-0005-0000-0000-000072060000}"/>
    <cellStyle name="Input [yellow] 2 5 4" xfId="1263" xr:uid="{00000000-0005-0000-0000-000073060000}"/>
    <cellStyle name="Input [yellow] 2 5 4 2" xfId="3683" xr:uid="{00000000-0005-0000-0000-000074060000}"/>
    <cellStyle name="Input [yellow] 2 5 5" xfId="1264" xr:uid="{00000000-0005-0000-0000-000075060000}"/>
    <cellStyle name="Input [yellow] 2 5 6" xfId="1265" xr:uid="{00000000-0005-0000-0000-000076060000}"/>
    <cellStyle name="Input [yellow] 2 5 6 2" xfId="3793" xr:uid="{00000000-0005-0000-0000-000077060000}"/>
    <cellStyle name="Input [yellow] 2 5 7" xfId="1266" xr:uid="{00000000-0005-0000-0000-000078060000}"/>
    <cellStyle name="Input [yellow] 2 5 8" xfId="3016" xr:uid="{00000000-0005-0000-0000-000079060000}"/>
    <cellStyle name="Input [yellow] 2 6" xfId="1267" xr:uid="{00000000-0005-0000-0000-00007A060000}"/>
    <cellStyle name="Input [yellow] 2 6 2" xfId="1268" xr:uid="{00000000-0005-0000-0000-00007B060000}"/>
    <cellStyle name="Input [yellow] 2 6 2 2" xfId="1269" xr:uid="{00000000-0005-0000-0000-00007C060000}"/>
    <cellStyle name="Input [yellow] 2 6 2 3" xfId="1270" xr:uid="{00000000-0005-0000-0000-00007D060000}"/>
    <cellStyle name="Input [yellow] 2 6 2 3 2" xfId="3797" xr:uid="{00000000-0005-0000-0000-00007E060000}"/>
    <cellStyle name="Input [yellow] 2 6 2 4" xfId="1271" xr:uid="{00000000-0005-0000-0000-00007F060000}"/>
    <cellStyle name="Input [yellow] 2 6 2 5" xfId="3211" xr:uid="{00000000-0005-0000-0000-000080060000}"/>
    <cellStyle name="Input [yellow] 2 6 3" xfId="1272" xr:uid="{00000000-0005-0000-0000-000081060000}"/>
    <cellStyle name="Input [yellow] 2 6 3 2" xfId="1273" xr:uid="{00000000-0005-0000-0000-000082060000}"/>
    <cellStyle name="Input [yellow] 2 6 3 3" xfId="1274" xr:uid="{00000000-0005-0000-0000-000083060000}"/>
    <cellStyle name="Input [yellow] 2 6 3 3 2" xfId="3798" xr:uid="{00000000-0005-0000-0000-000084060000}"/>
    <cellStyle name="Input [yellow] 2 6 3 4" xfId="1275" xr:uid="{00000000-0005-0000-0000-000085060000}"/>
    <cellStyle name="Input [yellow] 2 6 3 5" xfId="3449" xr:uid="{00000000-0005-0000-0000-000086060000}"/>
    <cellStyle name="Input [yellow] 2 6 4" xfId="1276" xr:uid="{00000000-0005-0000-0000-000087060000}"/>
    <cellStyle name="Input [yellow] 2 6 4 2" xfId="3650" xr:uid="{00000000-0005-0000-0000-000088060000}"/>
    <cellStyle name="Input [yellow] 2 6 5" xfId="1277" xr:uid="{00000000-0005-0000-0000-000089060000}"/>
    <cellStyle name="Input [yellow] 2 6 6" xfId="1278" xr:uid="{00000000-0005-0000-0000-00008A060000}"/>
    <cellStyle name="Input [yellow] 2 6 6 2" xfId="3796" xr:uid="{00000000-0005-0000-0000-00008B060000}"/>
    <cellStyle name="Input [yellow] 2 6 7" xfId="1279" xr:uid="{00000000-0005-0000-0000-00008C060000}"/>
    <cellStyle name="Input [yellow] 2 6 8" xfId="2989" xr:uid="{00000000-0005-0000-0000-00008D060000}"/>
    <cellStyle name="Input [yellow] 2 7" xfId="1280" xr:uid="{00000000-0005-0000-0000-00008E060000}"/>
    <cellStyle name="Input [yellow] 2 7 2" xfId="1281" xr:uid="{00000000-0005-0000-0000-00008F060000}"/>
    <cellStyle name="Input [yellow] 2 7 2 2" xfId="1282" xr:uid="{00000000-0005-0000-0000-000090060000}"/>
    <cellStyle name="Input [yellow] 2 7 2 3" xfId="1283" xr:uid="{00000000-0005-0000-0000-000091060000}"/>
    <cellStyle name="Input [yellow] 2 7 2 3 2" xfId="3800" xr:uid="{00000000-0005-0000-0000-000092060000}"/>
    <cellStyle name="Input [yellow] 2 7 2 4" xfId="1284" xr:uid="{00000000-0005-0000-0000-000093060000}"/>
    <cellStyle name="Input [yellow] 2 7 2 5" xfId="3248" xr:uid="{00000000-0005-0000-0000-000094060000}"/>
    <cellStyle name="Input [yellow] 2 7 3" xfId="1285" xr:uid="{00000000-0005-0000-0000-000095060000}"/>
    <cellStyle name="Input [yellow] 2 7 3 2" xfId="1286" xr:uid="{00000000-0005-0000-0000-000096060000}"/>
    <cellStyle name="Input [yellow] 2 7 3 3" xfId="1287" xr:uid="{00000000-0005-0000-0000-000097060000}"/>
    <cellStyle name="Input [yellow] 2 7 3 3 2" xfId="3801" xr:uid="{00000000-0005-0000-0000-000098060000}"/>
    <cellStyle name="Input [yellow] 2 7 3 4" xfId="1288" xr:uid="{00000000-0005-0000-0000-000099060000}"/>
    <cellStyle name="Input [yellow] 2 7 3 5" xfId="3486" xr:uid="{00000000-0005-0000-0000-00009A060000}"/>
    <cellStyle name="Input [yellow] 2 7 4" xfId="1289" xr:uid="{00000000-0005-0000-0000-00009B060000}"/>
    <cellStyle name="Input [yellow] 2 7 4 2" xfId="3687" xr:uid="{00000000-0005-0000-0000-00009C060000}"/>
    <cellStyle name="Input [yellow] 2 7 5" xfId="1290" xr:uid="{00000000-0005-0000-0000-00009D060000}"/>
    <cellStyle name="Input [yellow] 2 7 6" xfId="1291" xr:uid="{00000000-0005-0000-0000-00009E060000}"/>
    <cellStyle name="Input [yellow] 2 7 6 2" xfId="3799" xr:uid="{00000000-0005-0000-0000-00009F060000}"/>
    <cellStyle name="Input [yellow] 2 7 7" xfId="1292" xr:uid="{00000000-0005-0000-0000-0000A0060000}"/>
    <cellStyle name="Input [yellow] 2 7 8" xfId="1293" xr:uid="{00000000-0005-0000-0000-0000A1060000}"/>
    <cellStyle name="Input [yellow] 2 7 8 2" xfId="3967" xr:uid="{00000000-0005-0000-0000-0000A2060000}"/>
    <cellStyle name="Input [yellow] 2 7 9" xfId="3020" xr:uid="{00000000-0005-0000-0000-0000A3060000}"/>
    <cellStyle name="Input [yellow] 2 8" xfId="1294" xr:uid="{00000000-0005-0000-0000-0000A4060000}"/>
    <cellStyle name="Input [yellow] 2 8 2" xfId="1295" xr:uid="{00000000-0005-0000-0000-0000A5060000}"/>
    <cellStyle name="Input [yellow] 2 8 2 2" xfId="1296" xr:uid="{00000000-0005-0000-0000-0000A6060000}"/>
    <cellStyle name="Input [yellow] 2 8 2 3" xfId="1297" xr:uid="{00000000-0005-0000-0000-0000A7060000}"/>
    <cellStyle name="Input [yellow] 2 8 2 3 2" xfId="3803" xr:uid="{00000000-0005-0000-0000-0000A8060000}"/>
    <cellStyle name="Input [yellow] 2 8 2 4" xfId="1298" xr:uid="{00000000-0005-0000-0000-0000A9060000}"/>
    <cellStyle name="Input [yellow] 2 8 2 5" xfId="3280" xr:uid="{00000000-0005-0000-0000-0000AA060000}"/>
    <cellStyle name="Input [yellow] 2 8 3" xfId="1299" xr:uid="{00000000-0005-0000-0000-0000AB060000}"/>
    <cellStyle name="Input [yellow] 2 8 3 2" xfId="1300" xr:uid="{00000000-0005-0000-0000-0000AC060000}"/>
    <cellStyle name="Input [yellow] 2 8 3 3" xfId="1301" xr:uid="{00000000-0005-0000-0000-0000AD060000}"/>
    <cellStyle name="Input [yellow] 2 8 3 3 2" xfId="3804" xr:uid="{00000000-0005-0000-0000-0000AE060000}"/>
    <cellStyle name="Input [yellow] 2 8 3 4" xfId="1302" xr:uid="{00000000-0005-0000-0000-0000AF060000}"/>
    <cellStyle name="Input [yellow] 2 8 3 5" xfId="3518" xr:uid="{00000000-0005-0000-0000-0000B0060000}"/>
    <cellStyle name="Input [yellow] 2 8 4" xfId="1303" xr:uid="{00000000-0005-0000-0000-0000B1060000}"/>
    <cellStyle name="Input [yellow] 2 8 4 2" xfId="3719" xr:uid="{00000000-0005-0000-0000-0000B2060000}"/>
    <cellStyle name="Input [yellow] 2 8 5" xfId="1304" xr:uid="{00000000-0005-0000-0000-0000B3060000}"/>
    <cellStyle name="Input [yellow] 2 8 6" xfId="1305" xr:uid="{00000000-0005-0000-0000-0000B4060000}"/>
    <cellStyle name="Input [yellow] 2 8 6 2" xfId="3802" xr:uid="{00000000-0005-0000-0000-0000B5060000}"/>
    <cellStyle name="Input [yellow] 2 8 7" xfId="1306" xr:uid="{00000000-0005-0000-0000-0000B6060000}"/>
    <cellStyle name="Input [yellow] 2 8 8" xfId="1307" xr:uid="{00000000-0005-0000-0000-0000B7060000}"/>
    <cellStyle name="Input [yellow] 2 8 8 2" xfId="3979" xr:uid="{00000000-0005-0000-0000-0000B8060000}"/>
    <cellStyle name="Input [yellow] 2 8 9" xfId="3040" xr:uid="{00000000-0005-0000-0000-0000B9060000}"/>
    <cellStyle name="Input [yellow] 2 9" xfId="1308" xr:uid="{00000000-0005-0000-0000-0000BA060000}"/>
    <cellStyle name="Input [yellow] 2 9 2" xfId="1309" xr:uid="{00000000-0005-0000-0000-0000BB060000}"/>
    <cellStyle name="Input [yellow] 2 9 2 2" xfId="1310" xr:uid="{00000000-0005-0000-0000-0000BC060000}"/>
    <cellStyle name="Input [yellow] 2 9 2 3" xfId="1311" xr:uid="{00000000-0005-0000-0000-0000BD060000}"/>
    <cellStyle name="Input [yellow] 2 9 2 3 2" xfId="3806" xr:uid="{00000000-0005-0000-0000-0000BE060000}"/>
    <cellStyle name="Input [yellow] 2 9 2 4" xfId="1312" xr:uid="{00000000-0005-0000-0000-0000BF060000}"/>
    <cellStyle name="Input [yellow] 2 9 2 5" xfId="3215" xr:uid="{00000000-0005-0000-0000-0000C0060000}"/>
    <cellStyle name="Input [yellow] 2 9 3" xfId="1313" xr:uid="{00000000-0005-0000-0000-0000C1060000}"/>
    <cellStyle name="Input [yellow] 2 9 3 2" xfId="1314" xr:uid="{00000000-0005-0000-0000-0000C2060000}"/>
    <cellStyle name="Input [yellow] 2 9 3 3" xfId="1315" xr:uid="{00000000-0005-0000-0000-0000C3060000}"/>
    <cellStyle name="Input [yellow] 2 9 3 3 2" xfId="3807" xr:uid="{00000000-0005-0000-0000-0000C4060000}"/>
    <cellStyle name="Input [yellow] 2 9 3 4" xfId="1316" xr:uid="{00000000-0005-0000-0000-0000C5060000}"/>
    <cellStyle name="Input [yellow] 2 9 3 5" xfId="3453" xr:uid="{00000000-0005-0000-0000-0000C6060000}"/>
    <cellStyle name="Input [yellow] 2 9 4" xfId="1317" xr:uid="{00000000-0005-0000-0000-0000C7060000}"/>
    <cellStyle name="Input [yellow] 2 9 4 2" xfId="3654" xr:uid="{00000000-0005-0000-0000-0000C8060000}"/>
    <cellStyle name="Input [yellow] 2 9 5" xfId="1318" xr:uid="{00000000-0005-0000-0000-0000C9060000}"/>
    <cellStyle name="Input [yellow] 2 9 6" xfId="1319" xr:uid="{00000000-0005-0000-0000-0000CA060000}"/>
    <cellStyle name="Input [yellow] 2 9 6 2" xfId="3805" xr:uid="{00000000-0005-0000-0000-0000CB060000}"/>
    <cellStyle name="Input [yellow] 2 9 7" xfId="1320" xr:uid="{00000000-0005-0000-0000-0000CC060000}"/>
    <cellStyle name="Input [yellow] 2 9 8" xfId="1321" xr:uid="{00000000-0005-0000-0000-0000CD060000}"/>
    <cellStyle name="Input [yellow] 2 9 8 2" xfId="3945" xr:uid="{00000000-0005-0000-0000-0000CE060000}"/>
    <cellStyle name="Input [yellow] 2 9 9" xfId="2992" xr:uid="{00000000-0005-0000-0000-0000CF060000}"/>
    <cellStyle name="Input [yellow] 3" xfId="1322" xr:uid="{00000000-0005-0000-0000-0000D0060000}"/>
    <cellStyle name="Input [yellow] 3 10" xfId="1323" xr:uid="{00000000-0005-0000-0000-0000D1060000}"/>
    <cellStyle name="Input [yellow] 3 10 2" xfId="1324" xr:uid="{00000000-0005-0000-0000-0000D2060000}"/>
    <cellStyle name="Input [yellow] 3 10 3" xfId="1325" xr:uid="{00000000-0005-0000-0000-0000D3060000}"/>
    <cellStyle name="Input [yellow] 3 10 3 2" xfId="3809" xr:uid="{00000000-0005-0000-0000-0000D4060000}"/>
    <cellStyle name="Input [yellow] 3 10 4" xfId="1326" xr:uid="{00000000-0005-0000-0000-0000D5060000}"/>
    <cellStyle name="Input [yellow] 3 10 5" xfId="3106" xr:uid="{00000000-0005-0000-0000-0000D6060000}"/>
    <cellStyle name="Input [yellow] 3 11" xfId="1327" xr:uid="{00000000-0005-0000-0000-0000D7060000}"/>
    <cellStyle name="Input [yellow] 3 11 2" xfId="1328" xr:uid="{00000000-0005-0000-0000-0000D8060000}"/>
    <cellStyle name="Input [yellow] 3 11 3" xfId="1329" xr:uid="{00000000-0005-0000-0000-0000D9060000}"/>
    <cellStyle name="Input [yellow] 3 11 3 2" xfId="3810" xr:uid="{00000000-0005-0000-0000-0000DA060000}"/>
    <cellStyle name="Input [yellow] 3 11 4" xfId="1330" xr:uid="{00000000-0005-0000-0000-0000DB060000}"/>
    <cellStyle name="Input [yellow] 3 11 5" xfId="3344" xr:uid="{00000000-0005-0000-0000-0000DC060000}"/>
    <cellStyle name="Input [yellow] 3 12" xfId="1331" xr:uid="{00000000-0005-0000-0000-0000DD060000}"/>
    <cellStyle name="Input [yellow] 3 12 2" xfId="3585" xr:uid="{00000000-0005-0000-0000-0000DE060000}"/>
    <cellStyle name="Input [yellow] 3 13" xfId="1332" xr:uid="{00000000-0005-0000-0000-0000DF060000}"/>
    <cellStyle name="Input [yellow] 3 14" xfId="1333" xr:uid="{00000000-0005-0000-0000-0000E0060000}"/>
    <cellStyle name="Input [yellow] 3 15" xfId="1334" xr:uid="{00000000-0005-0000-0000-0000E1060000}"/>
    <cellStyle name="Input [yellow] 3 15 2" xfId="3808" xr:uid="{00000000-0005-0000-0000-0000E2060000}"/>
    <cellStyle name="Input [yellow] 3 16" xfId="1335" xr:uid="{00000000-0005-0000-0000-0000E3060000}"/>
    <cellStyle name="Input [yellow] 3 17" xfId="1336" xr:uid="{00000000-0005-0000-0000-0000E4060000}"/>
    <cellStyle name="Input [yellow] 3 17 2" xfId="3921" xr:uid="{00000000-0005-0000-0000-0000E5060000}"/>
    <cellStyle name="Input [yellow] 3 2" xfId="1337" xr:uid="{00000000-0005-0000-0000-0000E6060000}"/>
    <cellStyle name="Input [yellow] 3 2 10" xfId="1338" xr:uid="{00000000-0005-0000-0000-0000E7060000}"/>
    <cellStyle name="Input [yellow] 3 2 11" xfId="1339" xr:uid="{00000000-0005-0000-0000-0000E8060000}"/>
    <cellStyle name="Input [yellow] 3 2 11 2" xfId="3933" xr:uid="{00000000-0005-0000-0000-0000E9060000}"/>
    <cellStyle name="Input [yellow] 3 2 2" xfId="1340" xr:uid="{00000000-0005-0000-0000-0000EA060000}"/>
    <cellStyle name="Input [yellow] 3 2 2 2" xfId="1341" xr:uid="{00000000-0005-0000-0000-0000EB060000}"/>
    <cellStyle name="Input [yellow] 3 2 2 2 2" xfId="1342" xr:uid="{00000000-0005-0000-0000-0000EC060000}"/>
    <cellStyle name="Input [yellow] 3 2 2 2 3" xfId="1343" xr:uid="{00000000-0005-0000-0000-0000ED060000}"/>
    <cellStyle name="Input [yellow] 3 2 2 2 3 2" xfId="3813" xr:uid="{00000000-0005-0000-0000-0000EE060000}"/>
    <cellStyle name="Input [yellow] 3 2 2 2 4" xfId="1344" xr:uid="{00000000-0005-0000-0000-0000EF060000}"/>
    <cellStyle name="Input [yellow] 3 2 2 2 5" xfId="3383" xr:uid="{00000000-0005-0000-0000-0000F0060000}"/>
    <cellStyle name="Input [yellow] 3 2 2 3" xfId="1345" xr:uid="{00000000-0005-0000-0000-0000F1060000}"/>
    <cellStyle name="Input [yellow] 3 2 2 3 2" xfId="3609" xr:uid="{00000000-0005-0000-0000-0000F2060000}"/>
    <cellStyle name="Input [yellow] 3 2 2 4" xfId="1346" xr:uid="{00000000-0005-0000-0000-0000F3060000}"/>
    <cellStyle name="Input [yellow] 3 2 2 5" xfId="1347" xr:uid="{00000000-0005-0000-0000-0000F4060000}"/>
    <cellStyle name="Input [yellow] 3 2 2 5 2" xfId="3812" xr:uid="{00000000-0005-0000-0000-0000F5060000}"/>
    <cellStyle name="Input [yellow] 3 2 2 6" xfId="1348" xr:uid="{00000000-0005-0000-0000-0000F6060000}"/>
    <cellStyle name="Input [yellow] 3 2 2 7" xfId="3145" xr:uid="{00000000-0005-0000-0000-0000F7060000}"/>
    <cellStyle name="Input [yellow] 3 2 3" xfId="1349" xr:uid="{00000000-0005-0000-0000-0000F8060000}"/>
    <cellStyle name="Input [yellow] 3 2 3 2" xfId="1350" xr:uid="{00000000-0005-0000-0000-0000F9060000}"/>
    <cellStyle name="Input [yellow] 3 2 3 2 2" xfId="1351" xr:uid="{00000000-0005-0000-0000-0000FA060000}"/>
    <cellStyle name="Input [yellow] 3 2 3 2 3" xfId="1352" xr:uid="{00000000-0005-0000-0000-0000FB060000}"/>
    <cellStyle name="Input [yellow] 3 2 3 2 3 2" xfId="3815" xr:uid="{00000000-0005-0000-0000-0000FC060000}"/>
    <cellStyle name="Input [yellow] 3 2 3 2 4" xfId="1353" xr:uid="{00000000-0005-0000-0000-0000FD060000}"/>
    <cellStyle name="Input [yellow] 3 2 3 2 5" xfId="3438" xr:uid="{00000000-0005-0000-0000-0000FE060000}"/>
    <cellStyle name="Input [yellow] 3 2 3 3" xfId="1354" xr:uid="{00000000-0005-0000-0000-0000FF060000}"/>
    <cellStyle name="Input [yellow] 3 2 3 3 2" xfId="3639" xr:uid="{00000000-0005-0000-0000-000000070000}"/>
    <cellStyle name="Input [yellow] 3 2 3 4" xfId="1355" xr:uid="{00000000-0005-0000-0000-000001070000}"/>
    <cellStyle name="Input [yellow] 3 2 3 5" xfId="1356" xr:uid="{00000000-0005-0000-0000-000002070000}"/>
    <cellStyle name="Input [yellow] 3 2 3 5 2" xfId="3814" xr:uid="{00000000-0005-0000-0000-000003070000}"/>
    <cellStyle name="Input [yellow] 3 2 3 6" xfId="1357" xr:uid="{00000000-0005-0000-0000-000004070000}"/>
    <cellStyle name="Input [yellow] 3 2 3 7" xfId="3200" xr:uid="{00000000-0005-0000-0000-000005070000}"/>
    <cellStyle name="Input [yellow] 3 2 4" xfId="1358" xr:uid="{00000000-0005-0000-0000-000006070000}"/>
    <cellStyle name="Input [yellow] 3 2 4 2" xfId="1359" xr:uid="{00000000-0005-0000-0000-000007070000}"/>
    <cellStyle name="Input [yellow] 3 2 4 3" xfId="1360" xr:uid="{00000000-0005-0000-0000-000008070000}"/>
    <cellStyle name="Input [yellow] 3 2 4 3 2" xfId="3816" xr:uid="{00000000-0005-0000-0000-000009070000}"/>
    <cellStyle name="Input [yellow] 3 2 4 4" xfId="1361" xr:uid="{00000000-0005-0000-0000-00000A070000}"/>
    <cellStyle name="Input [yellow] 3 2 4 5" xfId="3107" xr:uid="{00000000-0005-0000-0000-00000B070000}"/>
    <cellStyle name="Input [yellow] 3 2 5" xfId="1362" xr:uid="{00000000-0005-0000-0000-00000C070000}"/>
    <cellStyle name="Input [yellow] 3 2 5 2" xfId="1363" xr:uid="{00000000-0005-0000-0000-00000D070000}"/>
    <cellStyle name="Input [yellow] 3 2 5 3" xfId="1364" xr:uid="{00000000-0005-0000-0000-00000E070000}"/>
    <cellStyle name="Input [yellow] 3 2 5 3 2" xfId="3817" xr:uid="{00000000-0005-0000-0000-00000F070000}"/>
    <cellStyle name="Input [yellow] 3 2 5 4" xfId="1365" xr:uid="{00000000-0005-0000-0000-000010070000}"/>
    <cellStyle name="Input [yellow] 3 2 5 5" xfId="3345" xr:uid="{00000000-0005-0000-0000-000011070000}"/>
    <cellStyle name="Input [yellow] 3 2 6" xfId="1366" xr:uid="{00000000-0005-0000-0000-000012070000}"/>
    <cellStyle name="Input [yellow] 3 2 6 2" xfId="3586" xr:uid="{00000000-0005-0000-0000-000013070000}"/>
    <cellStyle name="Input [yellow] 3 2 7" xfId="1367" xr:uid="{00000000-0005-0000-0000-000014070000}"/>
    <cellStyle name="Input [yellow] 3 2 8" xfId="1368" xr:uid="{00000000-0005-0000-0000-000015070000}"/>
    <cellStyle name="Input [yellow] 3 2 9" xfId="1369" xr:uid="{00000000-0005-0000-0000-000016070000}"/>
    <cellStyle name="Input [yellow] 3 2 9 2" xfId="3811" xr:uid="{00000000-0005-0000-0000-000017070000}"/>
    <cellStyle name="Input [yellow] 3 3" xfId="1370" xr:uid="{00000000-0005-0000-0000-000018070000}"/>
    <cellStyle name="Input [yellow] 3 3 2" xfId="1371" xr:uid="{00000000-0005-0000-0000-000019070000}"/>
    <cellStyle name="Input [yellow] 3 3 2 2" xfId="1372" xr:uid="{00000000-0005-0000-0000-00001A070000}"/>
    <cellStyle name="Input [yellow] 3 3 2 3" xfId="1373" xr:uid="{00000000-0005-0000-0000-00001B070000}"/>
    <cellStyle name="Input [yellow] 3 3 2 3 2" xfId="3819" xr:uid="{00000000-0005-0000-0000-00001C070000}"/>
    <cellStyle name="Input [yellow] 3 3 2 4" xfId="1374" xr:uid="{00000000-0005-0000-0000-00001D070000}"/>
    <cellStyle name="Input [yellow] 3 3 2 5" xfId="3227" xr:uid="{00000000-0005-0000-0000-00001E070000}"/>
    <cellStyle name="Input [yellow] 3 3 3" xfId="1375" xr:uid="{00000000-0005-0000-0000-00001F070000}"/>
    <cellStyle name="Input [yellow] 3 3 3 2" xfId="1376" xr:uid="{00000000-0005-0000-0000-000020070000}"/>
    <cellStyle name="Input [yellow] 3 3 3 3" xfId="1377" xr:uid="{00000000-0005-0000-0000-000021070000}"/>
    <cellStyle name="Input [yellow] 3 3 3 3 2" xfId="3820" xr:uid="{00000000-0005-0000-0000-000022070000}"/>
    <cellStyle name="Input [yellow] 3 3 3 4" xfId="1378" xr:uid="{00000000-0005-0000-0000-000023070000}"/>
    <cellStyle name="Input [yellow] 3 3 3 5" xfId="3465" xr:uid="{00000000-0005-0000-0000-000024070000}"/>
    <cellStyle name="Input [yellow] 3 3 4" xfId="1379" xr:uid="{00000000-0005-0000-0000-000025070000}"/>
    <cellStyle name="Input [yellow] 3 3 4 2" xfId="3666" xr:uid="{00000000-0005-0000-0000-000026070000}"/>
    <cellStyle name="Input [yellow] 3 3 5" xfId="1380" xr:uid="{00000000-0005-0000-0000-000027070000}"/>
    <cellStyle name="Input [yellow] 3 3 6" xfId="1381" xr:uid="{00000000-0005-0000-0000-000028070000}"/>
    <cellStyle name="Input [yellow] 3 3 6 2" xfId="3818" xr:uid="{00000000-0005-0000-0000-000029070000}"/>
    <cellStyle name="Input [yellow] 3 3 7" xfId="1382" xr:uid="{00000000-0005-0000-0000-00002A070000}"/>
    <cellStyle name="Input [yellow] 3 3 8" xfId="3003" xr:uid="{00000000-0005-0000-0000-00002B070000}"/>
    <cellStyle name="Input [yellow] 3 4" xfId="1383" xr:uid="{00000000-0005-0000-0000-00002C070000}"/>
    <cellStyle name="Input [yellow] 3 4 2" xfId="1384" xr:uid="{00000000-0005-0000-0000-00002D070000}"/>
    <cellStyle name="Input [yellow] 3 4 2 2" xfId="1385" xr:uid="{00000000-0005-0000-0000-00002E070000}"/>
    <cellStyle name="Input [yellow] 3 4 2 3" xfId="1386" xr:uid="{00000000-0005-0000-0000-00002F070000}"/>
    <cellStyle name="Input [yellow] 3 4 2 3 2" xfId="3822" xr:uid="{00000000-0005-0000-0000-000030070000}"/>
    <cellStyle name="Input [yellow] 3 4 2 4" xfId="1387" xr:uid="{00000000-0005-0000-0000-000031070000}"/>
    <cellStyle name="Input [yellow] 3 4 2 5" xfId="3254" xr:uid="{00000000-0005-0000-0000-000032070000}"/>
    <cellStyle name="Input [yellow] 3 4 3" xfId="1388" xr:uid="{00000000-0005-0000-0000-000033070000}"/>
    <cellStyle name="Input [yellow] 3 4 3 2" xfId="1389" xr:uid="{00000000-0005-0000-0000-000034070000}"/>
    <cellStyle name="Input [yellow] 3 4 3 3" xfId="1390" xr:uid="{00000000-0005-0000-0000-000035070000}"/>
    <cellStyle name="Input [yellow] 3 4 3 3 2" xfId="3823" xr:uid="{00000000-0005-0000-0000-000036070000}"/>
    <cellStyle name="Input [yellow] 3 4 3 4" xfId="1391" xr:uid="{00000000-0005-0000-0000-000037070000}"/>
    <cellStyle name="Input [yellow] 3 4 3 5" xfId="3492" xr:uid="{00000000-0005-0000-0000-000038070000}"/>
    <cellStyle name="Input [yellow] 3 4 4" xfId="1392" xr:uid="{00000000-0005-0000-0000-000039070000}"/>
    <cellStyle name="Input [yellow] 3 4 4 2" xfId="3693" xr:uid="{00000000-0005-0000-0000-00003A070000}"/>
    <cellStyle name="Input [yellow] 3 4 5" xfId="1393" xr:uid="{00000000-0005-0000-0000-00003B070000}"/>
    <cellStyle name="Input [yellow] 3 4 6" xfId="1394" xr:uid="{00000000-0005-0000-0000-00003C070000}"/>
    <cellStyle name="Input [yellow] 3 4 6 2" xfId="3821" xr:uid="{00000000-0005-0000-0000-00003D070000}"/>
    <cellStyle name="Input [yellow] 3 4 7" xfId="1395" xr:uid="{00000000-0005-0000-0000-00003E070000}"/>
    <cellStyle name="Input [yellow] 3 4 8" xfId="1396" xr:uid="{00000000-0005-0000-0000-00003F070000}"/>
    <cellStyle name="Input [yellow] 3 4 8 2" xfId="3968" xr:uid="{00000000-0005-0000-0000-000040070000}"/>
    <cellStyle name="Input [yellow] 3 5" xfId="1397" xr:uid="{00000000-0005-0000-0000-000041070000}"/>
    <cellStyle name="Input [yellow] 3 5 2" xfId="1398" xr:uid="{00000000-0005-0000-0000-000042070000}"/>
    <cellStyle name="Input [yellow] 3 5 2 2" xfId="1399" xr:uid="{00000000-0005-0000-0000-000043070000}"/>
    <cellStyle name="Input [yellow] 3 5 2 3" xfId="1400" xr:uid="{00000000-0005-0000-0000-000044070000}"/>
    <cellStyle name="Input [yellow] 3 5 2 3 2" xfId="3825" xr:uid="{00000000-0005-0000-0000-000045070000}"/>
    <cellStyle name="Input [yellow] 3 5 2 4" xfId="1401" xr:uid="{00000000-0005-0000-0000-000046070000}"/>
    <cellStyle name="Input [yellow] 3 5 2 5" xfId="3241" xr:uid="{00000000-0005-0000-0000-000047070000}"/>
    <cellStyle name="Input [yellow] 3 5 3" xfId="1402" xr:uid="{00000000-0005-0000-0000-000048070000}"/>
    <cellStyle name="Input [yellow] 3 5 3 2" xfId="1403" xr:uid="{00000000-0005-0000-0000-000049070000}"/>
    <cellStyle name="Input [yellow] 3 5 3 3" xfId="1404" xr:uid="{00000000-0005-0000-0000-00004A070000}"/>
    <cellStyle name="Input [yellow] 3 5 3 3 2" xfId="3826" xr:uid="{00000000-0005-0000-0000-00004B070000}"/>
    <cellStyle name="Input [yellow] 3 5 3 4" xfId="1405" xr:uid="{00000000-0005-0000-0000-00004C070000}"/>
    <cellStyle name="Input [yellow] 3 5 3 5" xfId="3479" xr:uid="{00000000-0005-0000-0000-00004D070000}"/>
    <cellStyle name="Input [yellow] 3 5 4" xfId="1406" xr:uid="{00000000-0005-0000-0000-00004E070000}"/>
    <cellStyle name="Input [yellow] 3 5 4 2" xfId="3680" xr:uid="{00000000-0005-0000-0000-00004F070000}"/>
    <cellStyle name="Input [yellow] 3 5 5" xfId="1407" xr:uid="{00000000-0005-0000-0000-000050070000}"/>
    <cellStyle name="Input [yellow] 3 5 6" xfId="1408" xr:uid="{00000000-0005-0000-0000-000051070000}"/>
    <cellStyle name="Input [yellow] 3 5 6 2" xfId="3824" xr:uid="{00000000-0005-0000-0000-000052070000}"/>
    <cellStyle name="Input [yellow] 3 5 7" xfId="1409" xr:uid="{00000000-0005-0000-0000-000053070000}"/>
    <cellStyle name="Input [yellow] 3 5 8" xfId="3013" xr:uid="{00000000-0005-0000-0000-000054070000}"/>
    <cellStyle name="Input [yellow] 3 6" xfId="1410" xr:uid="{00000000-0005-0000-0000-000055070000}"/>
    <cellStyle name="Input [yellow] 3 6 2" xfId="1411" xr:uid="{00000000-0005-0000-0000-000056070000}"/>
    <cellStyle name="Input [yellow] 3 6 2 2" xfId="1412" xr:uid="{00000000-0005-0000-0000-000057070000}"/>
    <cellStyle name="Input [yellow] 3 6 2 3" xfId="1413" xr:uid="{00000000-0005-0000-0000-000058070000}"/>
    <cellStyle name="Input [yellow] 3 6 2 3 2" xfId="3828" xr:uid="{00000000-0005-0000-0000-000059070000}"/>
    <cellStyle name="Input [yellow] 3 6 2 4" xfId="1414" xr:uid="{00000000-0005-0000-0000-00005A070000}"/>
    <cellStyle name="Input [yellow] 3 6 2 5" xfId="3252" xr:uid="{00000000-0005-0000-0000-00005B070000}"/>
    <cellStyle name="Input [yellow] 3 6 3" xfId="1415" xr:uid="{00000000-0005-0000-0000-00005C070000}"/>
    <cellStyle name="Input [yellow] 3 6 3 2" xfId="1416" xr:uid="{00000000-0005-0000-0000-00005D070000}"/>
    <cellStyle name="Input [yellow] 3 6 3 3" xfId="1417" xr:uid="{00000000-0005-0000-0000-00005E070000}"/>
    <cellStyle name="Input [yellow] 3 6 3 3 2" xfId="3829" xr:uid="{00000000-0005-0000-0000-00005F070000}"/>
    <cellStyle name="Input [yellow] 3 6 3 4" xfId="1418" xr:uid="{00000000-0005-0000-0000-000060070000}"/>
    <cellStyle name="Input [yellow] 3 6 3 5" xfId="3490" xr:uid="{00000000-0005-0000-0000-000061070000}"/>
    <cellStyle name="Input [yellow] 3 6 4" xfId="1419" xr:uid="{00000000-0005-0000-0000-000062070000}"/>
    <cellStyle name="Input [yellow] 3 6 4 2" xfId="3691" xr:uid="{00000000-0005-0000-0000-000063070000}"/>
    <cellStyle name="Input [yellow] 3 6 5" xfId="1420" xr:uid="{00000000-0005-0000-0000-000064070000}"/>
    <cellStyle name="Input [yellow] 3 6 6" xfId="1421" xr:uid="{00000000-0005-0000-0000-000065070000}"/>
    <cellStyle name="Input [yellow] 3 6 6 2" xfId="3827" xr:uid="{00000000-0005-0000-0000-000066070000}"/>
    <cellStyle name="Input [yellow] 3 6 7" xfId="1422" xr:uid="{00000000-0005-0000-0000-000067070000}"/>
    <cellStyle name="Input [yellow] 3 6 8" xfId="3022" xr:uid="{00000000-0005-0000-0000-000068070000}"/>
    <cellStyle name="Input [yellow] 3 7" xfId="1423" xr:uid="{00000000-0005-0000-0000-000069070000}"/>
    <cellStyle name="Input [yellow] 3 7 2" xfId="1424" xr:uid="{00000000-0005-0000-0000-00006A070000}"/>
    <cellStyle name="Input [yellow] 3 7 2 2" xfId="1425" xr:uid="{00000000-0005-0000-0000-00006B070000}"/>
    <cellStyle name="Input [yellow] 3 7 2 3" xfId="1426" xr:uid="{00000000-0005-0000-0000-00006C070000}"/>
    <cellStyle name="Input [yellow] 3 7 2 3 2" xfId="3831" xr:uid="{00000000-0005-0000-0000-00006D070000}"/>
    <cellStyle name="Input [yellow] 3 7 2 4" xfId="1427" xr:uid="{00000000-0005-0000-0000-00006E070000}"/>
    <cellStyle name="Input [yellow] 3 7 2 5" xfId="3264" xr:uid="{00000000-0005-0000-0000-00006F070000}"/>
    <cellStyle name="Input [yellow] 3 7 3" xfId="1428" xr:uid="{00000000-0005-0000-0000-000070070000}"/>
    <cellStyle name="Input [yellow] 3 7 3 2" xfId="1429" xr:uid="{00000000-0005-0000-0000-000071070000}"/>
    <cellStyle name="Input [yellow] 3 7 3 3" xfId="1430" xr:uid="{00000000-0005-0000-0000-000072070000}"/>
    <cellStyle name="Input [yellow] 3 7 3 3 2" xfId="3832" xr:uid="{00000000-0005-0000-0000-000073070000}"/>
    <cellStyle name="Input [yellow] 3 7 3 4" xfId="1431" xr:uid="{00000000-0005-0000-0000-000074070000}"/>
    <cellStyle name="Input [yellow] 3 7 3 5" xfId="3502" xr:uid="{00000000-0005-0000-0000-000075070000}"/>
    <cellStyle name="Input [yellow] 3 7 4" xfId="1432" xr:uid="{00000000-0005-0000-0000-000076070000}"/>
    <cellStyle name="Input [yellow] 3 7 4 2" xfId="3703" xr:uid="{00000000-0005-0000-0000-000077070000}"/>
    <cellStyle name="Input [yellow] 3 7 5" xfId="1433" xr:uid="{00000000-0005-0000-0000-000078070000}"/>
    <cellStyle name="Input [yellow] 3 7 6" xfId="1434" xr:uid="{00000000-0005-0000-0000-000079070000}"/>
    <cellStyle name="Input [yellow] 3 7 6 2" xfId="3830" xr:uid="{00000000-0005-0000-0000-00007A070000}"/>
    <cellStyle name="Input [yellow] 3 7 7" xfId="1435" xr:uid="{00000000-0005-0000-0000-00007B070000}"/>
    <cellStyle name="Input [yellow] 3 7 8" xfId="1436" xr:uid="{00000000-0005-0000-0000-00007C070000}"/>
    <cellStyle name="Input [yellow] 3 7 8 2" xfId="3970" xr:uid="{00000000-0005-0000-0000-00007D070000}"/>
    <cellStyle name="Input [yellow] 3 7 9" xfId="3030" xr:uid="{00000000-0005-0000-0000-00007E070000}"/>
    <cellStyle name="Input [yellow] 3 8" xfId="1437" xr:uid="{00000000-0005-0000-0000-00007F070000}"/>
    <cellStyle name="Input [yellow] 3 8 2" xfId="1438" xr:uid="{00000000-0005-0000-0000-000080070000}"/>
    <cellStyle name="Input [yellow] 3 8 2 2" xfId="1439" xr:uid="{00000000-0005-0000-0000-000081070000}"/>
    <cellStyle name="Input [yellow] 3 8 2 3" xfId="1440" xr:uid="{00000000-0005-0000-0000-000082070000}"/>
    <cellStyle name="Input [yellow] 3 8 2 3 2" xfId="3834" xr:uid="{00000000-0005-0000-0000-000083070000}"/>
    <cellStyle name="Input [yellow] 3 8 2 4" xfId="1441" xr:uid="{00000000-0005-0000-0000-000084070000}"/>
    <cellStyle name="Input [yellow] 3 8 2 5" xfId="3235" xr:uid="{00000000-0005-0000-0000-000085070000}"/>
    <cellStyle name="Input [yellow] 3 8 3" xfId="1442" xr:uid="{00000000-0005-0000-0000-000086070000}"/>
    <cellStyle name="Input [yellow] 3 8 3 2" xfId="1443" xr:uid="{00000000-0005-0000-0000-000087070000}"/>
    <cellStyle name="Input [yellow] 3 8 3 3" xfId="1444" xr:uid="{00000000-0005-0000-0000-000088070000}"/>
    <cellStyle name="Input [yellow] 3 8 3 3 2" xfId="3835" xr:uid="{00000000-0005-0000-0000-000089070000}"/>
    <cellStyle name="Input [yellow] 3 8 3 4" xfId="1445" xr:uid="{00000000-0005-0000-0000-00008A070000}"/>
    <cellStyle name="Input [yellow] 3 8 3 5" xfId="3473" xr:uid="{00000000-0005-0000-0000-00008B070000}"/>
    <cellStyle name="Input [yellow] 3 8 4" xfId="1446" xr:uid="{00000000-0005-0000-0000-00008C070000}"/>
    <cellStyle name="Input [yellow] 3 8 4 2" xfId="3674" xr:uid="{00000000-0005-0000-0000-00008D070000}"/>
    <cellStyle name="Input [yellow] 3 8 5" xfId="1447" xr:uid="{00000000-0005-0000-0000-00008E070000}"/>
    <cellStyle name="Input [yellow] 3 8 6" xfId="1448" xr:uid="{00000000-0005-0000-0000-00008F070000}"/>
    <cellStyle name="Input [yellow] 3 8 6 2" xfId="3833" xr:uid="{00000000-0005-0000-0000-000090070000}"/>
    <cellStyle name="Input [yellow] 3 8 7" xfId="1449" xr:uid="{00000000-0005-0000-0000-000091070000}"/>
    <cellStyle name="Input [yellow] 3 8 8" xfId="1450" xr:uid="{00000000-0005-0000-0000-000092070000}"/>
    <cellStyle name="Input [yellow] 3 8 8 2" xfId="3959" xr:uid="{00000000-0005-0000-0000-000093070000}"/>
    <cellStyle name="Input [yellow] 3 8 9" xfId="3007" xr:uid="{00000000-0005-0000-0000-000094070000}"/>
    <cellStyle name="Input [yellow] 3 9" xfId="1451" xr:uid="{00000000-0005-0000-0000-000095070000}"/>
    <cellStyle name="Input [yellow] 3 9 2" xfId="1452" xr:uid="{00000000-0005-0000-0000-000096070000}"/>
    <cellStyle name="Input [yellow] 3 9 2 2" xfId="1453" xr:uid="{00000000-0005-0000-0000-000097070000}"/>
    <cellStyle name="Input [yellow] 3 9 2 3" xfId="1454" xr:uid="{00000000-0005-0000-0000-000098070000}"/>
    <cellStyle name="Input [yellow] 3 9 2 3 2" xfId="3837" xr:uid="{00000000-0005-0000-0000-000099070000}"/>
    <cellStyle name="Input [yellow] 3 9 2 4" xfId="1455" xr:uid="{00000000-0005-0000-0000-00009A070000}"/>
    <cellStyle name="Input [yellow] 3 9 2 5" xfId="3421" xr:uid="{00000000-0005-0000-0000-00009B070000}"/>
    <cellStyle name="Input [yellow] 3 9 3" xfId="1456" xr:uid="{00000000-0005-0000-0000-00009C070000}"/>
    <cellStyle name="Input [yellow] 3 9 3 2" xfId="3622" xr:uid="{00000000-0005-0000-0000-00009D070000}"/>
    <cellStyle name="Input [yellow] 3 9 4" xfId="1457" xr:uid="{00000000-0005-0000-0000-00009E070000}"/>
    <cellStyle name="Input [yellow] 3 9 5" xfId="1458" xr:uid="{00000000-0005-0000-0000-00009F070000}"/>
    <cellStyle name="Input [yellow] 3 9 5 2" xfId="3836" xr:uid="{00000000-0005-0000-0000-0000A0070000}"/>
    <cellStyle name="Input [yellow] 3 9 6" xfId="1459" xr:uid="{00000000-0005-0000-0000-0000A1070000}"/>
    <cellStyle name="Input [yellow] 3 9 7" xfId="3183" xr:uid="{00000000-0005-0000-0000-0000A2070000}"/>
    <cellStyle name="Input [yellow] 4" xfId="1460" xr:uid="{00000000-0005-0000-0000-0000A3070000}"/>
    <cellStyle name="Input [yellow] 4 10" xfId="1461" xr:uid="{00000000-0005-0000-0000-0000A4070000}"/>
    <cellStyle name="Input [yellow] 4 10 2" xfId="1462" xr:uid="{00000000-0005-0000-0000-0000A5070000}"/>
    <cellStyle name="Input [yellow] 4 10 3" xfId="1463" xr:uid="{00000000-0005-0000-0000-0000A6070000}"/>
    <cellStyle name="Input [yellow] 4 10 3 2" xfId="3839" xr:uid="{00000000-0005-0000-0000-0000A7070000}"/>
    <cellStyle name="Input [yellow] 4 10 4" xfId="1464" xr:uid="{00000000-0005-0000-0000-0000A8070000}"/>
    <cellStyle name="Input [yellow] 4 10 5" xfId="3108" xr:uid="{00000000-0005-0000-0000-0000A9070000}"/>
    <cellStyle name="Input [yellow] 4 11" xfId="1465" xr:uid="{00000000-0005-0000-0000-0000AA070000}"/>
    <cellStyle name="Input [yellow] 4 11 2" xfId="1466" xr:uid="{00000000-0005-0000-0000-0000AB070000}"/>
    <cellStyle name="Input [yellow] 4 11 3" xfId="1467" xr:uid="{00000000-0005-0000-0000-0000AC070000}"/>
    <cellStyle name="Input [yellow] 4 11 3 2" xfId="3840" xr:uid="{00000000-0005-0000-0000-0000AD070000}"/>
    <cellStyle name="Input [yellow] 4 11 4" xfId="1468" xr:uid="{00000000-0005-0000-0000-0000AE070000}"/>
    <cellStyle name="Input [yellow] 4 11 5" xfId="3346" xr:uid="{00000000-0005-0000-0000-0000AF070000}"/>
    <cellStyle name="Input [yellow] 4 12" xfId="1469" xr:uid="{00000000-0005-0000-0000-0000B0070000}"/>
    <cellStyle name="Input [yellow] 4 12 2" xfId="3587" xr:uid="{00000000-0005-0000-0000-0000B1070000}"/>
    <cellStyle name="Input [yellow] 4 13" xfId="1470" xr:uid="{00000000-0005-0000-0000-0000B2070000}"/>
    <cellStyle name="Input [yellow] 4 14" xfId="1471" xr:uid="{00000000-0005-0000-0000-0000B3070000}"/>
    <cellStyle name="Input [yellow] 4 15" xfId="1472" xr:uid="{00000000-0005-0000-0000-0000B4070000}"/>
    <cellStyle name="Input [yellow] 4 15 2" xfId="3838" xr:uid="{00000000-0005-0000-0000-0000B5070000}"/>
    <cellStyle name="Input [yellow] 4 16" xfId="1473" xr:uid="{00000000-0005-0000-0000-0000B6070000}"/>
    <cellStyle name="Input [yellow] 4 17" xfId="1474" xr:uid="{00000000-0005-0000-0000-0000B7070000}"/>
    <cellStyle name="Input [yellow] 4 17 2" xfId="3931" xr:uid="{00000000-0005-0000-0000-0000B8070000}"/>
    <cellStyle name="Input [yellow] 4 2" xfId="1475" xr:uid="{00000000-0005-0000-0000-0000B9070000}"/>
    <cellStyle name="Input [yellow] 4 2 10" xfId="3037" xr:uid="{00000000-0005-0000-0000-0000BA070000}"/>
    <cellStyle name="Input [yellow] 4 2 2" xfId="1476" xr:uid="{00000000-0005-0000-0000-0000BB070000}"/>
    <cellStyle name="Input [yellow] 4 2 2 2" xfId="1477" xr:uid="{00000000-0005-0000-0000-0000BC070000}"/>
    <cellStyle name="Input [yellow] 4 2 2 2 2" xfId="1478" xr:uid="{00000000-0005-0000-0000-0000BD070000}"/>
    <cellStyle name="Input [yellow] 4 2 2 2 3" xfId="1479" xr:uid="{00000000-0005-0000-0000-0000BE070000}"/>
    <cellStyle name="Input [yellow] 4 2 2 2 3 2" xfId="3843" xr:uid="{00000000-0005-0000-0000-0000BF070000}"/>
    <cellStyle name="Input [yellow] 4 2 2 2 4" xfId="1480" xr:uid="{00000000-0005-0000-0000-0000C0070000}"/>
    <cellStyle name="Input [yellow] 4 2 2 2 5" xfId="3515" xr:uid="{00000000-0005-0000-0000-0000C1070000}"/>
    <cellStyle name="Input [yellow] 4 2 2 3" xfId="1481" xr:uid="{00000000-0005-0000-0000-0000C2070000}"/>
    <cellStyle name="Input [yellow] 4 2 2 3 2" xfId="3716" xr:uid="{00000000-0005-0000-0000-0000C3070000}"/>
    <cellStyle name="Input [yellow] 4 2 2 4" xfId="1482" xr:uid="{00000000-0005-0000-0000-0000C4070000}"/>
    <cellStyle name="Input [yellow] 4 2 2 5" xfId="1483" xr:uid="{00000000-0005-0000-0000-0000C5070000}"/>
    <cellStyle name="Input [yellow] 4 2 2 5 2" xfId="3842" xr:uid="{00000000-0005-0000-0000-0000C6070000}"/>
    <cellStyle name="Input [yellow] 4 2 2 6" xfId="1484" xr:uid="{00000000-0005-0000-0000-0000C7070000}"/>
    <cellStyle name="Input [yellow] 4 2 2 7" xfId="3277" xr:uid="{00000000-0005-0000-0000-0000C8070000}"/>
    <cellStyle name="Input [yellow] 4 2 3" xfId="1485" xr:uid="{00000000-0005-0000-0000-0000C9070000}"/>
    <cellStyle name="Input [yellow] 4 2 3 2" xfId="1486" xr:uid="{00000000-0005-0000-0000-0000CA070000}"/>
    <cellStyle name="Input [yellow] 4 2 3 3" xfId="1487" xr:uid="{00000000-0005-0000-0000-0000CB070000}"/>
    <cellStyle name="Input [yellow] 4 2 3 3 2" xfId="3844" xr:uid="{00000000-0005-0000-0000-0000CC070000}"/>
    <cellStyle name="Input [yellow] 4 2 3 4" xfId="1488" xr:uid="{00000000-0005-0000-0000-0000CD070000}"/>
    <cellStyle name="Input [yellow] 4 2 3 5" xfId="3143" xr:uid="{00000000-0005-0000-0000-0000CE070000}"/>
    <cellStyle name="Input [yellow] 4 2 4" xfId="1489" xr:uid="{00000000-0005-0000-0000-0000CF070000}"/>
    <cellStyle name="Input [yellow] 4 2 4 2" xfId="1490" xr:uid="{00000000-0005-0000-0000-0000D0070000}"/>
    <cellStyle name="Input [yellow] 4 2 4 3" xfId="1491" xr:uid="{00000000-0005-0000-0000-0000D1070000}"/>
    <cellStyle name="Input [yellow] 4 2 4 3 2" xfId="3845" xr:uid="{00000000-0005-0000-0000-0000D2070000}"/>
    <cellStyle name="Input [yellow] 4 2 4 4" xfId="1492" xr:uid="{00000000-0005-0000-0000-0000D3070000}"/>
    <cellStyle name="Input [yellow] 4 2 4 5" xfId="3381" xr:uid="{00000000-0005-0000-0000-0000D4070000}"/>
    <cellStyle name="Input [yellow] 4 2 5" xfId="1493" xr:uid="{00000000-0005-0000-0000-0000D5070000}"/>
    <cellStyle name="Input [yellow] 4 2 5 2" xfId="3607" xr:uid="{00000000-0005-0000-0000-0000D6070000}"/>
    <cellStyle name="Input [yellow] 4 2 6" xfId="1494" xr:uid="{00000000-0005-0000-0000-0000D7070000}"/>
    <cellStyle name="Input [yellow] 4 2 7" xfId="1495" xr:uid="{00000000-0005-0000-0000-0000D8070000}"/>
    <cellStyle name="Input [yellow] 4 2 7 2" xfId="3841" xr:uid="{00000000-0005-0000-0000-0000D9070000}"/>
    <cellStyle name="Input [yellow] 4 2 8" xfId="1496" xr:uid="{00000000-0005-0000-0000-0000DA070000}"/>
    <cellStyle name="Input [yellow] 4 2 9" xfId="1497" xr:uid="{00000000-0005-0000-0000-0000DB070000}"/>
    <cellStyle name="Input [yellow] 4 2 9 2" xfId="3977" xr:uid="{00000000-0005-0000-0000-0000DC070000}"/>
    <cellStyle name="Input [yellow] 4 3" xfId="1498" xr:uid="{00000000-0005-0000-0000-0000DD070000}"/>
    <cellStyle name="Input [yellow] 4 3 2" xfId="1499" xr:uid="{00000000-0005-0000-0000-0000DE070000}"/>
    <cellStyle name="Input [yellow] 4 3 2 2" xfId="1500" xr:uid="{00000000-0005-0000-0000-0000DF070000}"/>
    <cellStyle name="Input [yellow] 4 3 2 3" xfId="1501" xr:uid="{00000000-0005-0000-0000-0000E0070000}"/>
    <cellStyle name="Input [yellow] 4 3 2 3 2" xfId="3847" xr:uid="{00000000-0005-0000-0000-0000E1070000}"/>
    <cellStyle name="Input [yellow] 4 3 2 4" xfId="1502" xr:uid="{00000000-0005-0000-0000-0000E2070000}"/>
    <cellStyle name="Input [yellow] 4 3 2 5" xfId="3291" xr:uid="{00000000-0005-0000-0000-0000E3070000}"/>
    <cellStyle name="Input [yellow] 4 3 3" xfId="1503" xr:uid="{00000000-0005-0000-0000-0000E4070000}"/>
    <cellStyle name="Input [yellow] 4 3 3 2" xfId="1504" xr:uid="{00000000-0005-0000-0000-0000E5070000}"/>
    <cellStyle name="Input [yellow] 4 3 3 3" xfId="1505" xr:uid="{00000000-0005-0000-0000-0000E6070000}"/>
    <cellStyle name="Input [yellow] 4 3 3 3 2" xfId="3848" xr:uid="{00000000-0005-0000-0000-0000E7070000}"/>
    <cellStyle name="Input [yellow] 4 3 3 4" xfId="1506" xr:uid="{00000000-0005-0000-0000-0000E8070000}"/>
    <cellStyle name="Input [yellow] 4 3 3 5" xfId="3529" xr:uid="{00000000-0005-0000-0000-0000E9070000}"/>
    <cellStyle name="Input [yellow] 4 3 4" xfId="1507" xr:uid="{00000000-0005-0000-0000-0000EA070000}"/>
    <cellStyle name="Input [yellow] 4 3 4 2" xfId="3730" xr:uid="{00000000-0005-0000-0000-0000EB070000}"/>
    <cellStyle name="Input [yellow] 4 3 5" xfId="1508" xr:uid="{00000000-0005-0000-0000-0000EC070000}"/>
    <cellStyle name="Input [yellow] 4 3 6" xfId="1509" xr:uid="{00000000-0005-0000-0000-0000ED070000}"/>
    <cellStyle name="Input [yellow] 4 3 6 2" xfId="3846" xr:uid="{00000000-0005-0000-0000-0000EE070000}"/>
    <cellStyle name="Input [yellow] 4 3 7" xfId="1510" xr:uid="{00000000-0005-0000-0000-0000EF070000}"/>
    <cellStyle name="Input [yellow] 4 3 8" xfId="3051" xr:uid="{00000000-0005-0000-0000-0000F0070000}"/>
    <cellStyle name="Input [yellow] 4 4" xfId="1511" xr:uid="{00000000-0005-0000-0000-0000F1070000}"/>
    <cellStyle name="Input [yellow] 4 4 2" xfId="1512" xr:uid="{00000000-0005-0000-0000-0000F2070000}"/>
    <cellStyle name="Input [yellow] 4 4 2 2" xfId="1513" xr:uid="{00000000-0005-0000-0000-0000F3070000}"/>
    <cellStyle name="Input [yellow] 4 4 2 3" xfId="1514" xr:uid="{00000000-0005-0000-0000-0000F4070000}"/>
    <cellStyle name="Input [yellow] 4 4 2 3 2" xfId="3850" xr:uid="{00000000-0005-0000-0000-0000F5070000}"/>
    <cellStyle name="Input [yellow] 4 4 2 4" xfId="1515" xr:uid="{00000000-0005-0000-0000-0000F6070000}"/>
    <cellStyle name="Input [yellow] 4 4 2 5" xfId="3298" xr:uid="{00000000-0005-0000-0000-0000F7070000}"/>
    <cellStyle name="Input [yellow] 4 4 3" xfId="1516" xr:uid="{00000000-0005-0000-0000-0000F8070000}"/>
    <cellStyle name="Input [yellow] 4 4 3 2" xfId="1517" xr:uid="{00000000-0005-0000-0000-0000F9070000}"/>
    <cellStyle name="Input [yellow] 4 4 3 3" xfId="1518" xr:uid="{00000000-0005-0000-0000-0000FA070000}"/>
    <cellStyle name="Input [yellow] 4 4 3 3 2" xfId="3851" xr:uid="{00000000-0005-0000-0000-0000FB070000}"/>
    <cellStyle name="Input [yellow] 4 4 3 4" xfId="1519" xr:uid="{00000000-0005-0000-0000-0000FC070000}"/>
    <cellStyle name="Input [yellow] 4 4 3 5" xfId="3536" xr:uid="{00000000-0005-0000-0000-0000FD070000}"/>
    <cellStyle name="Input [yellow] 4 4 4" xfId="1520" xr:uid="{00000000-0005-0000-0000-0000FE070000}"/>
    <cellStyle name="Input [yellow] 4 4 4 2" xfId="3737" xr:uid="{00000000-0005-0000-0000-0000FF070000}"/>
    <cellStyle name="Input [yellow] 4 4 5" xfId="1521" xr:uid="{00000000-0005-0000-0000-000000080000}"/>
    <cellStyle name="Input [yellow] 4 4 6" xfId="1522" xr:uid="{00000000-0005-0000-0000-000001080000}"/>
    <cellStyle name="Input [yellow] 4 4 6 2" xfId="3849" xr:uid="{00000000-0005-0000-0000-000002080000}"/>
    <cellStyle name="Input [yellow] 4 4 7" xfId="1523" xr:uid="{00000000-0005-0000-0000-000003080000}"/>
    <cellStyle name="Input [yellow] 4 4 8" xfId="3058" xr:uid="{00000000-0005-0000-0000-000004080000}"/>
    <cellStyle name="Input [yellow] 4 5" xfId="1524" xr:uid="{00000000-0005-0000-0000-000005080000}"/>
    <cellStyle name="Input [yellow] 4 5 2" xfId="1525" xr:uid="{00000000-0005-0000-0000-000006080000}"/>
    <cellStyle name="Input [yellow] 4 5 2 2" xfId="1526" xr:uid="{00000000-0005-0000-0000-000007080000}"/>
    <cellStyle name="Input [yellow] 4 5 2 3" xfId="1527" xr:uid="{00000000-0005-0000-0000-000008080000}"/>
    <cellStyle name="Input [yellow] 4 5 2 3 2" xfId="3853" xr:uid="{00000000-0005-0000-0000-000009080000}"/>
    <cellStyle name="Input [yellow] 4 5 2 4" xfId="1528" xr:uid="{00000000-0005-0000-0000-00000A080000}"/>
    <cellStyle name="Input [yellow] 4 5 2 5" xfId="3303" xr:uid="{00000000-0005-0000-0000-00000B080000}"/>
    <cellStyle name="Input [yellow] 4 5 3" xfId="1529" xr:uid="{00000000-0005-0000-0000-00000C080000}"/>
    <cellStyle name="Input [yellow] 4 5 3 2" xfId="1530" xr:uid="{00000000-0005-0000-0000-00000D080000}"/>
    <cellStyle name="Input [yellow] 4 5 3 3" xfId="1531" xr:uid="{00000000-0005-0000-0000-00000E080000}"/>
    <cellStyle name="Input [yellow] 4 5 3 3 2" xfId="3854" xr:uid="{00000000-0005-0000-0000-00000F080000}"/>
    <cellStyle name="Input [yellow] 4 5 3 4" xfId="1532" xr:uid="{00000000-0005-0000-0000-000010080000}"/>
    <cellStyle name="Input [yellow] 4 5 3 5" xfId="3541" xr:uid="{00000000-0005-0000-0000-000011080000}"/>
    <cellStyle name="Input [yellow] 4 5 4" xfId="1533" xr:uid="{00000000-0005-0000-0000-000012080000}"/>
    <cellStyle name="Input [yellow] 4 5 4 2" xfId="3742" xr:uid="{00000000-0005-0000-0000-000013080000}"/>
    <cellStyle name="Input [yellow] 4 5 5" xfId="1534" xr:uid="{00000000-0005-0000-0000-000014080000}"/>
    <cellStyle name="Input [yellow] 4 5 6" xfId="1535" xr:uid="{00000000-0005-0000-0000-000015080000}"/>
    <cellStyle name="Input [yellow] 4 5 6 2" xfId="3852" xr:uid="{00000000-0005-0000-0000-000016080000}"/>
    <cellStyle name="Input [yellow] 4 5 7" xfId="1536" xr:uid="{00000000-0005-0000-0000-000017080000}"/>
    <cellStyle name="Input [yellow] 4 5 8" xfId="1537" xr:uid="{00000000-0005-0000-0000-000018080000}"/>
    <cellStyle name="Input [yellow] 4 5 8 2" xfId="3990" xr:uid="{00000000-0005-0000-0000-000019080000}"/>
    <cellStyle name="Input [yellow] 4 5 9" xfId="3063" xr:uid="{00000000-0005-0000-0000-00001A080000}"/>
    <cellStyle name="Input [yellow] 4 6" xfId="1538" xr:uid="{00000000-0005-0000-0000-00001B080000}"/>
    <cellStyle name="Input [yellow] 4 6 2" xfId="1539" xr:uid="{00000000-0005-0000-0000-00001C080000}"/>
    <cellStyle name="Input [yellow] 4 6 2 2" xfId="1540" xr:uid="{00000000-0005-0000-0000-00001D080000}"/>
    <cellStyle name="Input [yellow] 4 6 2 3" xfId="1541" xr:uid="{00000000-0005-0000-0000-00001E080000}"/>
    <cellStyle name="Input [yellow] 4 6 2 3 2" xfId="3856" xr:uid="{00000000-0005-0000-0000-00001F080000}"/>
    <cellStyle name="Input [yellow] 4 6 2 4" xfId="1542" xr:uid="{00000000-0005-0000-0000-000020080000}"/>
    <cellStyle name="Input [yellow] 4 6 2 5" xfId="3313" xr:uid="{00000000-0005-0000-0000-000021080000}"/>
    <cellStyle name="Input [yellow] 4 6 3" xfId="1543" xr:uid="{00000000-0005-0000-0000-000022080000}"/>
    <cellStyle name="Input [yellow] 4 6 3 2" xfId="1544" xr:uid="{00000000-0005-0000-0000-000023080000}"/>
    <cellStyle name="Input [yellow] 4 6 3 3" xfId="1545" xr:uid="{00000000-0005-0000-0000-000024080000}"/>
    <cellStyle name="Input [yellow] 4 6 3 3 2" xfId="3857" xr:uid="{00000000-0005-0000-0000-000025080000}"/>
    <cellStyle name="Input [yellow] 4 6 3 4" xfId="1546" xr:uid="{00000000-0005-0000-0000-000026080000}"/>
    <cellStyle name="Input [yellow] 4 6 3 5" xfId="3551" xr:uid="{00000000-0005-0000-0000-000027080000}"/>
    <cellStyle name="Input [yellow] 4 6 4" xfId="1547" xr:uid="{00000000-0005-0000-0000-000028080000}"/>
    <cellStyle name="Input [yellow] 4 6 4 2" xfId="3752" xr:uid="{00000000-0005-0000-0000-000029080000}"/>
    <cellStyle name="Input [yellow] 4 6 5" xfId="1548" xr:uid="{00000000-0005-0000-0000-00002A080000}"/>
    <cellStyle name="Input [yellow] 4 6 6" xfId="1549" xr:uid="{00000000-0005-0000-0000-00002B080000}"/>
    <cellStyle name="Input [yellow] 4 6 6 2" xfId="3855" xr:uid="{00000000-0005-0000-0000-00002C080000}"/>
    <cellStyle name="Input [yellow] 4 6 7" xfId="1550" xr:uid="{00000000-0005-0000-0000-00002D080000}"/>
    <cellStyle name="Input [yellow] 4 6 8" xfId="1551" xr:uid="{00000000-0005-0000-0000-00002E080000}"/>
    <cellStyle name="Input [yellow] 4 6 8 2" xfId="4000" xr:uid="{00000000-0005-0000-0000-00002F080000}"/>
    <cellStyle name="Input [yellow] 4 6 9" xfId="3073" xr:uid="{00000000-0005-0000-0000-000030080000}"/>
    <cellStyle name="Input [yellow] 4 7" xfId="1552" xr:uid="{00000000-0005-0000-0000-000031080000}"/>
    <cellStyle name="Input [yellow] 4 7 2" xfId="1553" xr:uid="{00000000-0005-0000-0000-000032080000}"/>
    <cellStyle name="Input [yellow] 4 7 2 2" xfId="1554" xr:uid="{00000000-0005-0000-0000-000033080000}"/>
    <cellStyle name="Input [yellow] 4 7 2 3" xfId="1555" xr:uid="{00000000-0005-0000-0000-000034080000}"/>
    <cellStyle name="Input [yellow] 4 7 2 3 2" xfId="3859" xr:uid="{00000000-0005-0000-0000-000035080000}"/>
    <cellStyle name="Input [yellow] 4 7 2 4" xfId="1556" xr:uid="{00000000-0005-0000-0000-000036080000}"/>
    <cellStyle name="Input [yellow] 4 7 2 5" xfId="3322" xr:uid="{00000000-0005-0000-0000-000037080000}"/>
    <cellStyle name="Input [yellow] 4 7 3" xfId="1557" xr:uid="{00000000-0005-0000-0000-000038080000}"/>
    <cellStyle name="Input [yellow] 4 7 3 2" xfId="1558" xr:uid="{00000000-0005-0000-0000-000039080000}"/>
    <cellStyle name="Input [yellow] 4 7 3 3" xfId="1559" xr:uid="{00000000-0005-0000-0000-00003A080000}"/>
    <cellStyle name="Input [yellow] 4 7 3 3 2" xfId="3860" xr:uid="{00000000-0005-0000-0000-00003B080000}"/>
    <cellStyle name="Input [yellow] 4 7 3 4" xfId="1560" xr:uid="{00000000-0005-0000-0000-00003C080000}"/>
    <cellStyle name="Input [yellow] 4 7 3 5" xfId="3560" xr:uid="{00000000-0005-0000-0000-00003D080000}"/>
    <cellStyle name="Input [yellow] 4 7 4" xfId="1561" xr:uid="{00000000-0005-0000-0000-00003E080000}"/>
    <cellStyle name="Input [yellow] 4 7 4 2" xfId="3761" xr:uid="{00000000-0005-0000-0000-00003F080000}"/>
    <cellStyle name="Input [yellow] 4 7 5" xfId="1562" xr:uid="{00000000-0005-0000-0000-000040080000}"/>
    <cellStyle name="Input [yellow] 4 7 6" xfId="1563" xr:uid="{00000000-0005-0000-0000-000041080000}"/>
    <cellStyle name="Input [yellow] 4 7 6 2" xfId="3858" xr:uid="{00000000-0005-0000-0000-000042080000}"/>
    <cellStyle name="Input [yellow] 4 7 7" xfId="1564" xr:uid="{00000000-0005-0000-0000-000043080000}"/>
    <cellStyle name="Input [yellow] 4 7 8" xfId="1565" xr:uid="{00000000-0005-0000-0000-000044080000}"/>
    <cellStyle name="Input [yellow] 4 7 8 2" xfId="4009" xr:uid="{00000000-0005-0000-0000-000045080000}"/>
    <cellStyle name="Input [yellow] 4 7 9" xfId="3082" xr:uid="{00000000-0005-0000-0000-000046080000}"/>
    <cellStyle name="Input [yellow] 4 8" xfId="1566" xr:uid="{00000000-0005-0000-0000-000047080000}"/>
    <cellStyle name="Input [yellow] 4 8 2" xfId="1567" xr:uid="{00000000-0005-0000-0000-000048080000}"/>
    <cellStyle name="Input [yellow] 4 8 2 2" xfId="1568" xr:uid="{00000000-0005-0000-0000-000049080000}"/>
    <cellStyle name="Input [yellow] 4 8 2 3" xfId="1569" xr:uid="{00000000-0005-0000-0000-00004A080000}"/>
    <cellStyle name="Input [yellow] 4 8 2 3 2" xfId="3862" xr:uid="{00000000-0005-0000-0000-00004B080000}"/>
    <cellStyle name="Input [yellow] 4 8 2 4" xfId="1570" xr:uid="{00000000-0005-0000-0000-00004C080000}"/>
    <cellStyle name="Input [yellow] 4 8 2 5" xfId="3331" xr:uid="{00000000-0005-0000-0000-00004D080000}"/>
    <cellStyle name="Input [yellow] 4 8 3" xfId="1571" xr:uid="{00000000-0005-0000-0000-00004E080000}"/>
    <cellStyle name="Input [yellow] 4 8 3 2" xfId="1572" xr:uid="{00000000-0005-0000-0000-00004F080000}"/>
    <cellStyle name="Input [yellow] 4 8 3 3" xfId="1573" xr:uid="{00000000-0005-0000-0000-000050080000}"/>
    <cellStyle name="Input [yellow] 4 8 3 3 2" xfId="3863" xr:uid="{00000000-0005-0000-0000-000051080000}"/>
    <cellStyle name="Input [yellow] 4 8 3 4" xfId="1574" xr:uid="{00000000-0005-0000-0000-000052080000}"/>
    <cellStyle name="Input [yellow] 4 8 3 5" xfId="3569" xr:uid="{00000000-0005-0000-0000-000053080000}"/>
    <cellStyle name="Input [yellow] 4 8 4" xfId="1575" xr:uid="{00000000-0005-0000-0000-000054080000}"/>
    <cellStyle name="Input [yellow] 4 8 4 2" xfId="3770" xr:uid="{00000000-0005-0000-0000-000055080000}"/>
    <cellStyle name="Input [yellow] 4 8 5" xfId="1576" xr:uid="{00000000-0005-0000-0000-000056080000}"/>
    <cellStyle name="Input [yellow] 4 8 6" xfId="1577" xr:uid="{00000000-0005-0000-0000-000057080000}"/>
    <cellStyle name="Input [yellow] 4 8 6 2" xfId="3861" xr:uid="{00000000-0005-0000-0000-000058080000}"/>
    <cellStyle name="Input [yellow] 4 8 7" xfId="1578" xr:uid="{00000000-0005-0000-0000-000059080000}"/>
    <cellStyle name="Input [yellow] 4 8 8" xfId="1579" xr:uid="{00000000-0005-0000-0000-00005A080000}"/>
    <cellStyle name="Input [yellow] 4 8 8 2" xfId="4018" xr:uid="{00000000-0005-0000-0000-00005B080000}"/>
    <cellStyle name="Input [yellow] 4 8 9" xfId="3091" xr:uid="{00000000-0005-0000-0000-00005C080000}"/>
    <cellStyle name="Input [yellow] 4 9" xfId="1580" xr:uid="{00000000-0005-0000-0000-00005D080000}"/>
    <cellStyle name="Input [yellow] 4 9 2" xfId="1581" xr:uid="{00000000-0005-0000-0000-00005E080000}"/>
    <cellStyle name="Input [yellow] 4 9 2 2" xfId="1582" xr:uid="{00000000-0005-0000-0000-00005F080000}"/>
    <cellStyle name="Input [yellow] 4 9 2 3" xfId="1583" xr:uid="{00000000-0005-0000-0000-000060080000}"/>
    <cellStyle name="Input [yellow] 4 9 2 3 2" xfId="3865" xr:uid="{00000000-0005-0000-0000-000061080000}"/>
    <cellStyle name="Input [yellow] 4 9 2 4" xfId="1584" xr:uid="{00000000-0005-0000-0000-000062080000}"/>
    <cellStyle name="Input [yellow] 4 9 2 5" xfId="3436" xr:uid="{00000000-0005-0000-0000-000063080000}"/>
    <cellStyle name="Input [yellow] 4 9 3" xfId="1585" xr:uid="{00000000-0005-0000-0000-000064080000}"/>
    <cellStyle name="Input [yellow] 4 9 3 2" xfId="3637" xr:uid="{00000000-0005-0000-0000-000065080000}"/>
    <cellStyle name="Input [yellow] 4 9 4" xfId="1586" xr:uid="{00000000-0005-0000-0000-000066080000}"/>
    <cellStyle name="Input [yellow] 4 9 5" xfId="1587" xr:uid="{00000000-0005-0000-0000-000067080000}"/>
    <cellStyle name="Input [yellow] 4 9 5 2" xfId="3864" xr:uid="{00000000-0005-0000-0000-000068080000}"/>
    <cellStyle name="Input [yellow] 4 9 6" xfId="1588" xr:uid="{00000000-0005-0000-0000-000069080000}"/>
    <cellStyle name="Input [yellow] 4 9 7" xfId="3198" xr:uid="{00000000-0005-0000-0000-00006A080000}"/>
    <cellStyle name="Input [yellow] 5" xfId="1589" xr:uid="{00000000-0005-0000-0000-00006B080000}"/>
    <cellStyle name="Input [yellow] 5 10" xfId="1590" xr:uid="{00000000-0005-0000-0000-00006C080000}"/>
    <cellStyle name="Input [yellow] 5 10 2" xfId="1591" xr:uid="{00000000-0005-0000-0000-00006D080000}"/>
    <cellStyle name="Input [yellow] 5 10 3" xfId="1592" xr:uid="{00000000-0005-0000-0000-00006E080000}"/>
    <cellStyle name="Input [yellow] 5 10 3 2" xfId="3867" xr:uid="{00000000-0005-0000-0000-00006F080000}"/>
    <cellStyle name="Input [yellow] 5 10 4" xfId="1593" xr:uid="{00000000-0005-0000-0000-000070080000}"/>
    <cellStyle name="Input [yellow] 5 10 5" xfId="3362" xr:uid="{00000000-0005-0000-0000-000071080000}"/>
    <cellStyle name="Input [yellow] 5 11" xfId="1594" xr:uid="{00000000-0005-0000-0000-000072080000}"/>
    <cellStyle name="Input [yellow] 5 11 2" xfId="3601" xr:uid="{00000000-0005-0000-0000-000073080000}"/>
    <cellStyle name="Input [yellow] 5 12" xfId="1595" xr:uid="{00000000-0005-0000-0000-000074080000}"/>
    <cellStyle name="Input [yellow] 5 13" xfId="1596" xr:uid="{00000000-0005-0000-0000-000075080000}"/>
    <cellStyle name="Input [yellow] 5 14" xfId="1597" xr:uid="{00000000-0005-0000-0000-000076080000}"/>
    <cellStyle name="Input [yellow] 5 14 2" xfId="3866" xr:uid="{00000000-0005-0000-0000-000077080000}"/>
    <cellStyle name="Input [yellow] 5 15" xfId="1598" xr:uid="{00000000-0005-0000-0000-000078080000}"/>
    <cellStyle name="Input [yellow] 5 16" xfId="1599" xr:uid="{00000000-0005-0000-0000-000079080000}"/>
    <cellStyle name="Input [yellow] 5 16 2" xfId="3978" xr:uid="{00000000-0005-0000-0000-00007A080000}"/>
    <cellStyle name="Input [yellow] 5 17" xfId="3039" xr:uid="{00000000-0005-0000-0000-00007B080000}"/>
    <cellStyle name="Input [yellow] 5 2" xfId="1600" xr:uid="{00000000-0005-0000-0000-00007C080000}"/>
    <cellStyle name="Input [yellow] 5 2 2" xfId="1601" xr:uid="{00000000-0005-0000-0000-00007D080000}"/>
    <cellStyle name="Input [yellow] 5 2 2 2" xfId="1602" xr:uid="{00000000-0005-0000-0000-00007E080000}"/>
    <cellStyle name="Input [yellow] 5 2 2 3" xfId="1603" xr:uid="{00000000-0005-0000-0000-00007F080000}"/>
    <cellStyle name="Input [yellow] 5 2 2 3 2" xfId="3869" xr:uid="{00000000-0005-0000-0000-000080080000}"/>
    <cellStyle name="Input [yellow] 5 2 2 4" xfId="1604" xr:uid="{00000000-0005-0000-0000-000081080000}"/>
    <cellStyle name="Input [yellow] 5 2 2 5" xfId="3293" xr:uid="{00000000-0005-0000-0000-000082080000}"/>
    <cellStyle name="Input [yellow] 5 2 3" xfId="1605" xr:uid="{00000000-0005-0000-0000-000083080000}"/>
    <cellStyle name="Input [yellow] 5 2 3 2" xfId="1606" xr:uid="{00000000-0005-0000-0000-000084080000}"/>
    <cellStyle name="Input [yellow] 5 2 3 3" xfId="1607" xr:uid="{00000000-0005-0000-0000-000085080000}"/>
    <cellStyle name="Input [yellow] 5 2 3 3 2" xfId="3870" xr:uid="{00000000-0005-0000-0000-000086080000}"/>
    <cellStyle name="Input [yellow] 5 2 3 4" xfId="1608" xr:uid="{00000000-0005-0000-0000-000087080000}"/>
    <cellStyle name="Input [yellow] 5 2 3 5" xfId="3531" xr:uid="{00000000-0005-0000-0000-000088080000}"/>
    <cellStyle name="Input [yellow] 5 2 4" xfId="1609" xr:uid="{00000000-0005-0000-0000-000089080000}"/>
    <cellStyle name="Input [yellow] 5 2 4 2" xfId="3732" xr:uid="{00000000-0005-0000-0000-00008A080000}"/>
    <cellStyle name="Input [yellow] 5 2 5" xfId="1610" xr:uid="{00000000-0005-0000-0000-00008B080000}"/>
    <cellStyle name="Input [yellow] 5 2 6" xfId="1611" xr:uid="{00000000-0005-0000-0000-00008C080000}"/>
    <cellStyle name="Input [yellow] 5 2 6 2" xfId="3868" xr:uid="{00000000-0005-0000-0000-00008D080000}"/>
    <cellStyle name="Input [yellow] 5 2 7" xfId="1612" xr:uid="{00000000-0005-0000-0000-00008E080000}"/>
    <cellStyle name="Input [yellow] 5 2 8" xfId="3053" xr:uid="{00000000-0005-0000-0000-00008F080000}"/>
    <cellStyle name="Input [yellow] 5 3" xfId="1613" xr:uid="{00000000-0005-0000-0000-000090080000}"/>
    <cellStyle name="Input [yellow] 5 3 2" xfId="1614" xr:uid="{00000000-0005-0000-0000-000091080000}"/>
    <cellStyle name="Input [yellow] 5 3 2 2" xfId="1615" xr:uid="{00000000-0005-0000-0000-000092080000}"/>
    <cellStyle name="Input [yellow] 5 3 2 3" xfId="1616" xr:uid="{00000000-0005-0000-0000-000093080000}"/>
    <cellStyle name="Input [yellow] 5 3 2 3 2" xfId="3872" xr:uid="{00000000-0005-0000-0000-000094080000}"/>
    <cellStyle name="Input [yellow] 5 3 2 4" xfId="1617" xr:uid="{00000000-0005-0000-0000-000095080000}"/>
    <cellStyle name="Input [yellow] 5 3 2 5" xfId="3300" xr:uid="{00000000-0005-0000-0000-000096080000}"/>
    <cellStyle name="Input [yellow] 5 3 3" xfId="1618" xr:uid="{00000000-0005-0000-0000-000097080000}"/>
    <cellStyle name="Input [yellow] 5 3 3 2" xfId="1619" xr:uid="{00000000-0005-0000-0000-000098080000}"/>
    <cellStyle name="Input [yellow] 5 3 3 3" xfId="1620" xr:uid="{00000000-0005-0000-0000-000099080000}"/>
    <cellStyle name="Input [yellow] 5 3 3 3 2" xfId="3873" xr:uid="{00000000-0005-0000-0000-00009A080000}"/>
    <cellStyle name="Input [yellow] 5 3 3 4" xfId="1621" xr:uid="{00000000-0005-0000-0000-00009B080000}"/>
    <cellStyle name="Input [yellow] 5 3 3 5" xfId="3538" xr:uid="{00000000-0005-0000-0000-00009C080000}"/>
    <cellStyle name="Input [yellow] 5 3 4" xfId="1622" xr:uid="{00000000-0005-0000-0000-00009D080000}"/>
    <cellStyle name="Input [yellow] 5 3 4 2" xfId="3739" xr:uid="{00000000-0005-0000-0000-00009E080000}"/>
    <cellStyle name="Input [yellow] 5 3 5" xfId="1623" xr:uid="{00000000-0005-0000-0000-00009F080000}"/>
    <cellStyle name="Input [yellow] 5 3 6" xfId="1624" xr:uid="{00000000-0005-0000-0000-0000A0080000}"/>
    <cellStyle name="Input [yellow] 5 3 6 2" xfId="3871" xr:uid="{00000000-0005-0000-0000-0000A1080000}"/>
    <cellStyle name="Input [yellow] 5 3 7" xfId="1625" xr:uid="{00000000-0005-0000-0000-0000A2080000}"/>
    <cellStyle name="Input [yellow] 5 3 8" xfId="3060" xr:uid="{00000000-0005-0000-0000-0000A3080000}"/>
    <cellStyle name="Input [yellow] 5 4" xfId="1626" xr:uid="{00000000-0005-0000-0000-0000A4080000}"/>
    <cellStyle name="Input [yellow] 5 4 2" xfId="1627" xr:uid="{00000000-0005-0000-0000-0000A5080000}"/>
    <cellStyle name="Input [yellow] 5 4 2 2" xfId="1628" xr:uid="{00000000-0005-0000-0000-0000A6080000}"/>
    <cellStyle name="Input [yellow] 5 4 2 3" xfId="1629" xr:uid="{00000000-0005-0000-0000-0000A7080000}"/>
    <cellStyle name="Input [yellow] 5 4 2 3 2" xfId="3875" xr:uid="{00000000-0005-0000-0000-0000A8080000}"/>
    <cellStyle name="Input [yellow] 5 4 2 4" xfId="1630" xr:uid="{00000000-0005-0000-0000-0000A9080000}"/>
    <cellStyle name="Input [yellow] 5 4 2 5" xfId="3305" xr:uid="{00000000-0005-0000-0000-0000AA080000}"/>
    <cellStyle name="Input [yellow] 5 4 3" xfId="1631" xr:uid="{00000000-0005-0000-0000-0000AB080000}"/>
    <cellStyle name="Input [yellow] 5 4 3 2" xfId="1632" xr:uid="{00000000-0005-0000-0000-0000AC080000}"/>
    <cellStyle name="Input [yellow] 5 4 3 3" xfId="1633" xr:uid="{00000000-0005-0000-0000-0000AD080000}"/>
    <cellStyle name="Input [yellow] 5 4 3 3 2" xfId="3876" xr:uid="{00000000-0005-0000-0000-0000AE080000}"/>
    <cellStyle name="Input [yellow] 5 4 3 4" xfId="1634" xr:uid="{00000000-0005-0000-0000-0000AF080000}"/>
    <cellStyle name="Input [yellow] 5 4 3 5" xfId="3543" xr:uid="{00000000-0005-0000-0000-0000B0080000}"/>
    <cellStyle name="Input [yellow] 5 4 4" xfId="1635" xr:uid="{00000000-0005-0000-0000-0000B1080000}"/>
    <cellStyle name="Input [yellow] 5 4 4 2" xfId="3744" xr:uid="{00000000-0005-0000-0000-0000B2080000}"/>
    <cellStyle name="Input [yellow] 5 4 5" xfId="1636" xr:uid="{00000000-0005-0000-0000-0000B3080000}"/>
    <cellStyle name="Input [yellow] 5 4 6" xfId="1637" xr:uid="{00000000-0005-0000-0000-0000B4080000}"/>
    <cellStyle name="Input [yellow] 5 4 6 2" xfId="3874" xr:uid="{00000000-0005-0000-0000-0000B5080000}"/>
    <cellStyle name="Input [yellow] 5 4 7" xfId="1638" xr:uid="{00000000-0005-0000-0000-0000B6080000}"/>
    <cellStyle name="Input [yellow] 5 4 8" xfId="1639" xr:uid="{00000000-0005-0000-0000-0000B7080000}"/>
    <cellStyle name="Input [yellow] 5 4 8 2" xfId="3992" xr:uid="{00000000-0005-0000-0000-0000B8080000}"/>
    <cellStyle name="Input [yellow] 5 4 9" xfId="3065" xr:uid="{00000000-0005-0000-0000-0000B9080000}"/>
    <cellStyle name="Input [yellow] 5 5" xfId="1640" xr:uid="{00000000-0005-0000-0000-0000BA080000}"/>
    <cellStyle name="Input [yellow] 5 5 2" xfId="1641" xr:uid="{00000000-0005-0000-0000-0000BB080000}"/>
    <cellStyle name="Input [yellow] 5 5 2 2" xfId="1642" xr:uid="{00000000-0005-0000-0000-0000BC080000}"/>
    <cellStyle name="Input [yellow] 5 5 2 3" xfId="1643" xr:uid="{00000000-0005-0000-0000-0000BD080000}"/>
    <cellStyle name="Input [yellow] 5 5 2 3 2" xfId="3878" xr:uid="{00000000-0005-0000-0000-0000BE080000}"/>
    <cellStyle name="Input [yellow] 5 5 2 4" xfId="1644" xr:uid="{00000000-0005-0000-0000-0000BF080000}"/>
    <cellStyle name="Input [yellow] 5 5 2 5" xfId="3315" xr:uid="{00000000-0005-0000-0000-0000C0080000}"/>
    <cellStyle name="Input [yellow] 5 5 3" xfId="1645" xr:uid="{00000000-0005-0000-0000-0000C1080000}"/>
    <cellStyle name="Input [yellow] 5 5 3 2" xfId="1646" xr:uid="{00000000-0005-0000-0000-0000C2080000}"/>
    <cellStyle name="Input [yellow] 5 5 3 3" xfId="1647" xr:uid="{00000000-0005-0000-0000-0000C3080000}"/>
    <cellStyle name="Input [yellow] 5 5 3 3 2" xfId="3879" xr:uid="{00000000-0005-0000-0000-0000C4080000}"/>
    <cellStyle name="Input [yellow] 5 5 3 4" xfId="1648" xr:uid="{00000000-0005-0000-0000-0000C5080000}"/>
    <cellStyle name="Input [yellow] 5 5 3 5" xfId="3553" xr:uid="{00000000-0005-0000-0000-0000C6080000}"/>
    <cellStyle name="Input [yellow] 5 5 4" xfId="1649" xr:uid="{00000000-0005-0000-0000-0000C7080000}"/>
    <cellStyle name="Input [yellow] 5 5 4 2" xfId="3754" xr:uid="{00000000-0005-0000-0000-0000C8080000}"/>
    <cellStyle name="Input [yellow] 5 5 5" xfId="1650" xr:uid="{00000000-0005-0000-0000-0000C9080000}"/>
    <cellStyle name="Input [yellow] 5 5 6" xfId="1651" xr:uid="{00000000-0005-0000-0000-0000CA080000}"/>
    <cellStyle name="Input [yellow] 5 5 6 2" xfId="3877" xr:uid="{00000000-0005-0000-0000-0000CB080000}"/>
    <cellStyle name="Input [yellow] 5 5 7" xfId="1652" xr:uid="{00000000-0005-0000-0000-0000CC080000}"/>
    <cellStyle name="Input [yellow] 5 5 8" xfId="1653" xr:uid="{00000000-0005-0000-0000-0000CD080000}"/>
    <cellStyle name="Input [yellow] 5 5 8 2" xfId="4002" xr:uid="{00000000-0005-0000-0000-0000CE080000}"/>
    <cellStyle name="Input [yellow] 5 5 9" xfId="3075" xr:uid="{00000000-0005-0000-0000-0000CF080000}"/>
    <cellStyle name="Input [yellow] 5 6" xfId="1654" xr:uid="{00000000-0005-0000-0000-0000D0080000}"/>
    <cellStyle name="Input [yellow] 5 6 2" xfId="1655" xr:uid="{00000000-0005-0000-0000-0000D1080000}"/>
    <cellStyle name="Input [yellow] 5 6 2 2" xfId="1656" xr:uid="{00000000-0005-0000-0000-0000D2080000}"/>
    <cellStyle name="Input [yellow] 5 6 2 3" xfId="1657" xr:uid="{00000000-0005-0000-0000-0000D3080000}"/>
    <cellStyle name="Input [yellow] 5 6 2 3 2" xfId="3881" xr:uid="{00000000-0005-0000-0000-0000D4080000}"/>
    <cellStyle name="Input [yellow] 5 6 2 4" xfId="1658" xr:uid="{00000000-0005-0000-0000-0000D5080000}"/>
    <cellStyle name="Input [yellow] 5 6 2 5" xfId="3324" xr:uid="{00000000-0005-0000-0000-0000D6080000}"/>
    <cellStyle name="Input [yellow] 5 6 3" xfId="1659" xr:uid="{00000000-0005-0000-0000-0000D7080000}"/>
    <cellStyle name="Input [yellow] 5 6 3 2" xfId="1660" xr:uid="{00000000-0005-0000-0000-0000D8080000}"/>
    <cellStyle name="Input [yellow] 5 6 3 3" xfId="1661" xr:uid="{00000000-0005-0000-0000-0000D9080000}"/>
    <cellStyle name="Input [yellow] 5 6 3 3 2" xfId="3882" xr:uid="{00000000-0005-0000-0000-0000DA080000}"/>
    <cellStyle name="Input [yellow] 5 6 3 4" xfId="1662" xr:uid="{00000000-0005-0000-0000-0000DB080000}"/>
    <cellStyle name="Input [yellow] 5 6 3 5" xfId="3562" xr:uid="{00000000-0005-0000-0000-0000DC080000}"/>
    <cellStyle name="Input [yellow] 5 6 4" xfId="1663" xr:uid="{00000000-0005-0000-0000-0000DD080000}"/>
    <cellStyle name="Input [yellow] 5 6 4 2" xfId="3763" xr:uid="{00000000-0005-0000-0000-0000DE080000}"/>
    <cellStyle name="Input [yellow] 5 6 5" xfId="1664" xr:uid="{00000000-0005-0000-0000-0000DF080000}"/>
    <cellStyle name="Input [yellow] 5 6 6" xfId="1665" xr:uid="{00000000-0005-0000-0000-0000E0080000}"/>
    <cellStyle name="Input [yellow] 5 6 6 2" xfId="3880" xr:uid="{00000000-0005-0000-0000-0000E1080000}"/>
    <cellStyle name="Input [yellow] 5 6 7" xfId="1666" xr:uid="{00000000-0005-0000-0000-0000E2080000}"/>
    <cellStyle name="Input [yellow] 5 6 8" xfId="1667" xr:uid="{00000000-0005-0000-0000-0000E3080000}"/>
    <cellStyle name="Input [yellow] 5 6 8 2" xfId="4011" xr:uid="{00000000-0005-0000-0000-0000E4080000}"/>
    <cellStyle name="Input [yellow] 5 6 9" xfId="3084" xr:uid="{00000000-0005-0000-0000-0000E5080000}"/>
    <cellStyle name="Input [yellow] 5 7" xfId="1668" xr:uid="{00000000-0005-0000-0000-0000E6080000}"/>
    <cellStyle name="Input [yellow] 5 7 2" xfId="1669" xr:uid="{00000000-0005-0000-0000-0000E7080000}"/>
    <cellStyle name="Input [yellow] 5 7 2 2" xfId="1670" xr:uid="{00000000-0005-0000-0000-0000E8080000}"/>
    <cellStyle name="Input [yellow] 5 7 2 3" xfId="1671" xr:uid="{00000000-0005-0000-0000-0000E9080000}"/>
    <cellStyle name="Input [yellow] 5 7 2 3 2" xfId="3884" xr:uid="{00000000-0005-0000-0000-0000EA080000}"/>
    <cellStyle name="Input [yellow] 5 7 2 4" xfId="1672" xr:uid="{00000000-0005-0000-0000-0000EB080000}"/>
    <cellStyle name="Input [yellow] 5 7 2 5" xfId="3333" xr:uid="{00000000-0005-0000-0000-0000EC080000}"/>
    <cellStyle name="Input [yellow] 5 7 3" xfId="1673" xr:uid="{00000000-0005-0000-0000-0000ED080000}"/>
    <cellStyle name="Input [yellow] 5 7 3 2" xfId="1674" xr:uid="{00000000-0005-0000-0000-0000EE080000}"/>
    <cellStyle name="Input [yellow] 5 7 3 3" xfId="1675" xr:uid="{00000000-0005-0000-0000-0000EF080000}"/>
    <cellStyle name="Input [yellow] 5 7 3 3 2" xfId="3885" xr:uid="{00000000-0005-0000-0000-0000F0080000}"/>
    <cellStyle name="Input [yellow] 5 7 3 4" xfId="1676" xr:uid="{00000000-0005-0000-0000-0000F1080000}"/>
    <cellStyle name="Input [yellow] 5 7 3 5" xfId="3571" xr:uid="{00000000-0005-0000-0000-0000F2080000}"/>
    <cellStyle name="Input [yellow] 5 7 4" xfId="1677" xr:uid="{00000000-0005-0000-0000-0000F3080000}"/>
    <cellStyle name="Input [yellow] 5 7 4 2" xfId="3772" xr:uid="{00000000-0005-0000-0000-0000F4080000}"/>
    <cellStyle name="Input [yellow] 5 7 5" xfId="1678" xr:uid="{00000000-0005-0000-0000-0000F5080000}"/>
    <cellStyle name="Input [yellow] 5 7 6" xfId="1679" xr:uid="{00000000-0005-0000-0000-0000F6080000}"/>
    <cellStyle name="Input [yellow] 5 7 6 2" xfId="3883" xr:uid="{00000000-0005-0000-0000-0000F7080000}"/>
    <cellStyle name="Input [yellow] 5 7 7" xfId="1680" xr:uid="{00000000-0005-0000-0000-0000F8080000}"/>
    <cellStyle name="Input [yellow] 5 7 8" xfId="1681" xr:uid="{00000000-0005-0000-0000-0000F9080000}"/>
    <cellStyle name="Input [yellow] 5 7 8 2" xfId="4020" xr:uid="{00000000-0005-0000-0000-0000FA080000}"/>
    <cellStyle name="Input [yellow] 5 7 9" xfId="3093" xr:uid="{00000000-0005-0000-0000-0000FB080000}"/>
    <cellStyle name="Input [yellow] 5 8" xfId="1682" xr:uid="{00000000-0005-0000-0000-0000FC080000}"/>
    <cellStyle name="Input [yellow] 5 8 2" xfId="1683" xr:uid="{00000000-0005-0000-0000-0000FD080000}"/>
    <cellStyle name="Input [yellow] 5 8 2 2" xfId="1684" xr:uid="{00000000-0005-0000-0000-0000FE080000}"/>
    <cellStyle name="Input [yellow] 5 8 2 3" xfId="1685" xr:uid="{00000000-0005-0000-0000-0000FF080000}"/>
    <cellStyle name="Input [yellow] 5 8 2 3 2" xfId="3887" xr:uid="{00000000-0005-0000-0000-000000090000}"/>
    <cellStyle name="Input [yellow] 5 8 2 4" xfId="1686" xr:uid="{00000000-0005-0000-0000-000001090000}"/>
    <cellStyle name="Input [yellow] 5 8 2 5" xfId="3517" xr:uid="{00000000-0005-0000-0000-000002090000}"/>
    <cellStyle name="Input [yellow] 5 8 3" xfId="1687" xr:uid="{00000000-0005-0000-0000-000003090000}"/>
    <cellStyle name="Input [yellow] 5 8 3 2" xfId="3718" xr:uid="{00000000-0005-0000-0000-000004090000}"/>
    <cellStyle name="Input [yellow] 5 8 4" xfId="1688" xr:uid="{00000000-0005-0000-0000-000005090000}"/>
    <cellStyle name="Input [yellow] 5 8 5" xfId="1689" xr:uid="{00000000-0005-0000-0000-000006090000}"/>
    <cellStyle name="Input [yellow] 5 8 5 2" xfId="3886" xr:uid="{00000000-0005-0000-0000-000007090000}"/>
    <cellStyle name="Input [yellow] 5 8 6" xfId="1690" xr:uid="{00000000-0005-0000-0000-000008090000}"/>
    <cellStyle name="Input [yellow] 5 8 7" xfId="3279" xr:uid="{00000000-0005-0000-0000-000009090000}"/>
    <cellStyle name="Input [yellow] 5 9" xfId="1691" xr:uid="{00000000-0005-0000-0000-00000A090000}"/>
    <cellStyle name="Input [yellow] 5 9 2" xfId="1692" xr:uid="{00000000-0005-0000-0000-00000B090000}"/>
    <cellStyle name="Input [yellow] 5 9 3" xfId="1693" xr:uid="{00000000-0005-0000-0000-00000C090000}"/>
    <cellStyle name="Input [yellow] 5 9 3 2" xfId="3888" xr:uid="{00000000-0005-0000-0000-00000D090000}"/>
    <cellStyle name="Input [yellow] 5 9 4" xfId="1694" xr:uid="{00000000-0005-0000-0000-00000E090000}"/>
    <cellStyle name="Input [yellow] 5 9 5" xfId="3124" xr:uid="{00000000-0005-0000-0000-00000F090000}"/>
    <cellStyle name="Input [yellow] 6" xfId="1695" xr:uid="{00000000-0005-0000-0000-000010090000}"/>
    <cellStyle name="Input [yellow] 6 2" xfId="1696" xr:uid="{00000000-0005-0000-0000-000011090000}"/>
    <cellStyle name="Input [yellow] 6 2 2" xfId="1697" xr:uid="{00000000-0005-0000-0000-000012090000}"/>
    <cellStyle name="Input [yellow] 6 2 3" xfId="1698" xr:uid="{00000000-0005-0000-0000-000013090000}"/>
    <cellStyle name="Input [yellow] 6 2 3 2" xfId="3890" xr:uid="{00000000-0005-0000-0000-000014090000}"/>
    <cellStyle name="Input [yellow] 6 2 4" xfId="1699" xr:uid="{00000000-0005-0000-0000-000015090000}"/>
    <cellStyle name="Input [yellow] 6 2 5" xfId="3214" xr:uid="{00000000-0005-0000-0000-000016090000}"/>
    <cellStyle name="Input [yellow] 6 3" xfId="1700" xr:uid="{00000000-0005-0000-0000-000017090000}"/>
    <cellStyle name="Input [yellow] 6 3 2" xfId="1701" xr:uid="{00000000-0005-0000-0000-000018090000}"/>
    <cellStyle name="Input [yellow] 6 3 3" xfId="1702" xr:uid="{00000000-0005-0000-0000-000019090000}"/>
    <cellStyle name="Input [yellow] 6 3 3 2" xfId="3891" xr:uid="{00000000-0005-0000-0000-00001A090000}"/>
    <cellStyle name="Input [yellow] 6 3 4" xfId="1703" xr:uid="{00000000-0005-0000-0000-00001B090000}"/>
    <cellStyle name="Input [yellow] 6 3 5" xfId="3452" xr:uid="{00000000-0005-0000-0000-00001C090000}"/>
    <cellStyle name="Input [yellow] 6 4" xfId="1704" xr:uid="{00000000-0005-0000-0000-00001D090000}"/>
    <cellStyle name="Input [yellow] 6 4 2" xfId="3653" xr:uid="{00000000-0005-0000-0000-00001E090000}"/>
    <cellStyle name="Input [yellow] 6 5" xfId="1705" xr:uid="{00000000-0005-0000-0000-00001F090000}"/>
    <cellStyle name="Input [yellow] 6 6" xfId="1706" xr:uid="{00000000-0005-0000-0000-000020090000}"/>
    <cellStyle name="Input [yellow] 6 6 2" xfId="3889" xr:uid="{00000000-0005-0000-0000-000021090000}"/>
    <cellStyle name="Input [yellow] 6 7" xfId="1707" xr:uid="{00000000-0005-0000-0000-000022090000}"/>
    <cellStyle name="Input [yellow] 6 8" xfId="2991" xr:uid="{00000000-0005-0000-0000-000023090000}"/>
    <cellStyle name="Input [yellow] 7" xfId="1708" xr:uid="{00000000-0005-0000-0000-000024090000}"/>
    <cellStyle name="Input [yellow] 7 2" xfId="1709" xr:uid="{00000000-0005-0000-0000-000025090000}"/>
    <cellStyle name="Input [yellow] 7 2 2" xfId="1710" xr:uid="{00000000-0005-0000-0000-000026090000}"/>
    <cellStyle name="Input [yellow] 7 2 3" xfId="1711" xr:uid="{00000000-0005-0000-0000-000027090000}"/>
    <cellStyle name="Input [yellow] 7 2 3 2" xfId="3893" xr:uid="{00000000-0005-0000-0000-000028090000}"/>
    <cellStyle name="Input [yellow] 7 2 4" xfId="1712" xr:uid="{00000000-0005-0000-0000-000029090000}"/>
    <cellStyle name="Input [yellow] 7 2 5" xfId="3231" xr:uid="{00000000-0005-0000-0000-00002A090000}"/>
    <cellStyle name="Input [yellow] 7 3" xfId="1713" xr:uid="{00000000-0005-0000-0000-00002B090000}"/>
    <cellStyle name="Input [yellow] 7 3 2" xfId="1714" xr:uid="{00000000-0005-0000-0000-00002C090000}"/>
    <cellStyle name="Input [yellow] 7 3 3" xfId="1715" xr:uid="{00000000-0005-0000-0000-00002D090000}"/>
    <cellStyle name="Input [yellow] 7 3 3 2" xfId="3894" xr:uid="{00000000-0005-0000-0000-00002E090000}"/>
    <cellStyle name="Input [yellow] 7 3 4" xfId="1716" xr:uid="{00000000-0005-0000-0000-00002F090000}"/>
    <cellStyle name="Input [yellow] 7 3 5" xfId="3469" xr:uid="{00000000-0005-0000-0000-000030090000}"/>
    <cellStyle name="Input [yellow] 7 4" xfId="1717" xr:uid="{00000000-0005-0000-0000-000031090000}"/>
    <cellStyle name="Input [yellow] 7 4 2" xfId="3670" xr:uid="{00000000-0005-0000-0000-000032090000}"/>
    <cellStyle name="Input [yellow] 7 5" xfId="1718" xr:uid="{00000000-0005-0000-0000-000033090000}"/>
    <cellStyle name="Input [yellow] 7 6" xfId="1719" xr:uid="{00000000-0005-0000-0000-000034090000}"/>
    <cellStyle name="Input [yellow] 7 6 2" xfId="3892" xr:uid="{00000000-0005-0000-0000-000035090000}"/>
    <cellStyle name="Input [yellow] 7 7" xfId="1720" xr:uid="{00000000-0005-0000-0000-000036090000}"/>
    <cellStyle name="Input [yellow] 7 8" xfId="1721" xr:uid="{00000000-0005-0000-0000-000037090000}"/>
    <cellStyle name="Input [yellow] 7 8 2" xfId="3957" xr:uid="{00000000-0005-0000-0000-000038090000}"/>
    <cellStyle name="Input [yellow] 8" xfId="1722" xr:uid="{00000000-0005-0000-0000-000039090000}"/>
    <cellStyle name="Input [yellow] 8 2" xfId="1723" xr:uid="{00000000-0005-0000-0000-00003A090000}"/>
    <cellStyle name="Input [yellow] 8 2 2" xfId="1724" xr:uid="{00000000-0005-0000-0000-00003B090000}"/>
    <cellStyle name="Input [yellow] 8 2 3" xfId="1725" xr:uid="{00000000-0005-0000-0000-00003C090000}"/>
    <cellStyle name="Input [yellow] 8 2 3 2" xfId="3896" xr:uid="{00000000-0005-0000-0000-00003D090000}"/>
    <cellStyle name="Input [yellow] 8 2 4" xfId="1726" xr:uid="{00000000-0005-0000-0000-00003E090000}"/>
    <cellStyle name="Input [yellow] 8 2 5" xfId="3266" xr:uid="{00000000-0005-0000-0000-00003F090000}"/>
    <cellStyle name="Input [yellow] 8 3" xfId="1727" xr:uid="{00000000-0005-0000-0000-000040090000}"/>
    <cellStyle name="Input [yellow] 8 3 2" xfId="1728" xr:uid="{00000000-0005-0000-0000-000041090000}"/>
    <cellStyle name="Input [yellow] 8 3 3" xfId="1729" xr:uid="{00000000-0005-0000-0000-000042090000}"/>
    <cellStyle name="Input [yellow] 8 3 3 2" xfId="3897" xr:uid="{00000000-0005-0000-0000-000043090000}"/>
    <cellStyle name="Input [yellow] 8 3 4" xfId="1730" xr:uid="{00000000-0005-0000-0000-000044090000}"/>
    <cellStyle name="Input [yellow] 8 3 5" xfId="3504" xr:uid="{00000000-0005-0000-0000-000045090000}"/>
    <cellStyle name="Input [yellow] 8 4" xfId="1731" xr:uid="{00000000-0005-0000-0000-000046090000}"/>
    <cellStyle name="Input [yellow] 8 4 2" xfId="3705" xr:uid="{00000000-0005-0000-0000-000047090000}"/>
    <cellStyle name="Input [yellow] 8 5" xfId="1732" xr:uid="{00000000-0005-0000-0000-000048090000}"/>
    <cellStyle name="Input [yellow] 8 6" xfId="1733" xr:uid="{00000000-0005-0000-0000-000049090000}"/>
    <cellStyle name="Input [yellow] 8 6 2" xfId="3895" xr:uid="{00000000-0005-0000-0000-00004A090000}"/>
    <cellStyle name="Input [yellow] 8 7" xfId="1734" xr:uid="{00000000-0005-0000-0000-00004B090000}"/>
    <cellStyle name="Input [yellow] 8 8" xfId="3032" xr:uid="{00000000-0005-0000-0000-00004C090000}"/>
    <cellStyle name="Input [yellow] 9" xfId="1735" xr:uid="{00000000-0005-0000-0000-00004D090000}"/>
    <cellStyle name="Input [yellow] 9 2" xfId="1736" xr:uid="{00000000-0005-0000-0000-00004E090000}"/>
    <cellStyle name="Input [yellow] 9 2 2" xfId="1737" xr:uid="{00000000-0005-0000-0000-00004F090000}"/>
    <cellStyle name="Input [yellow] 9 2 3" xfId="1738" xr:uid="{00000000-0005-0000-0000-000050090000}"/>
    <cellStyle name="Input [yellow] 9 2 3 2" xfId="3899" xr:uid="{00000000-0005-0000-0000-000051090000}"/>
    <cellStyle name="Input [yellow] 9 2 4" xfId="1739" xr:uid="{00000000-0005-0000-0000-000052090000}"/>
    <cellStyle name="Input [yellow] 9 2 5" xfId="3212" xr:uid="{00000000-0005-0000-0000-000053090000}"/>
    <cellStyle name="Input [yellow] 9 3" xfId="1740" xr:uid="{00000000-0005-0000-0000-000054090000}"/>
    <cellStyle name="Input [yellow] 9 3 2" xfId="1741" xr:uid="{00000000-0005-0000-0000-000055090000}"/>
    <cellStyle name="Input [yellow] 9 3 3" xfId="1742" xr:uid="{00000000-0005-0000-0000-000056090000}"/>
    <cellStyle name="Input [yellow] 9 3 3 2" xfId="3900" xr:uid="{00000000-0005-0000-0000-000057090000}"/>
    <cellStyle name="Input [yellow] 9 3 4" xfId="1743" xr:uid="{00000000-0005-0000-0000-000058090000}"/>
    <cellStyle name="Input [yellow] 9 3 5" xfId="3450" xr:uid="{00000000-0005-0000-0000-000059090000}"/>
    <cellStyle name="Input [yellow] 9 4" xfId="1744" xr:uid="{00000000-0005-0000-0000-00005A090000}"/>
    <cellStyle name="Input [yellow] 9 4 2" xfId="3651" xr:uid="{00000000-0005-0000-0000-00005B090000}"/>
    <cellStyle name="Input [yellow] 9 5" xfId="1745" xr:uid="{00000000-0005-0000-0000-00005C090000}"/>
    <cellStyle name="Input [yellow] 9 6" xfId="1746" xr:uid="{00000000-0005-0000-0000-00005D090000}"/>
    <cellStyle name="Input [yellow] 9 6 2" xfId="3898" xr:uid="{00000000-0005-0000-0000-00005E090000}"/>
    <cellStyle name="Input [yellow] 9 7" xfId="1747" xr:uid="{00000000-0005-0000-0000-00005F090000}"/>
    <cellStyle name="Input [yellow] 9 8" xfId="1748" xr:uid="{00000000-0005-0000-0000-000060090000}"/>
    <cellStyle name="Input [yellow] 9 8 2" xfId="3944" xr:uid="{00000000-0005-0000-0000-000061090000}"/>
    <cellStyle name="Input [yellow] 9 9" xfId="2990" xr:uid="{00000000-0005-0000-0000-000062090000}"/>
    <cellStyle name="Input 2" xfId="1749" xr:uid="{00000000-0005-0000-0000-000063090000}"/>
    <cellStyle name="Input 2 10" xfId="1750" xr:uid="{00000000-0005-0000-0000-000064090000}"/>
    <cellStyle name="Input 2 11" xfId="1751" xr:uid="{00000000-0005-0000-0000-000065090000}"/>
    <cellStyle name="Input 2 12" xfId="1752" xr:uid="{00000000-0005-0000-0000-000066090000}"/>
    <cellStyle name="Input 2 12 2" xfId="3922" xr:uid="{00000000-0005-0000-0000-000067090000}"/>
    <cellStyle name="Input 2 2" xfId="1753" xr:uid="{00000000-0005-0000-0000-000068090000}"/>
    <cellStyle name="Input 2 2 10" xfId="1754" xr:uid="{00000000-0005-0000-0000-000069090000}"/>
    <cellStyle name="Input 2 2 10 2" xfId="3934" xr:uid="{00000000-0005-0000-0000-00006A090000}"/>
    <cellStyle name="Input 2 2 2" xfId="1755" xr:uid="{00000000-0005-0000-0000-00006B090000}"/>
    <cellStyle name="Input 2 2 2 2" xfId="1756" xr:uid="{00000000-0005-0000-0000-00006C090000}"/>
    <cellStyle name="Input 2 2 2 2 2" xfId="1757" xr:uid="{00000000-0005-0000-0000-00006D090000}"/>
    <cellStyle name="Input 2 2 2 2 3" xfId="1758" xr:uid="{00000000-0005-0000-0000-00006E090000}"/>
    <cellStyle name="Input 2 2 2 2 4" xfId="3384" xr:uid="{00000000-0005-0000-0000-00006F090000}"/>
    <cellStyle name="Input 2 2 2 3" xfId="1759" xr:uid="{00000000-0005-0000-0000-000070090000}"/>
    <cellStyle name="Input 2 2 2 4" xfId="1760" xr:uid="{00000000-0005-0000-0000-000071090000}"/>
    <cellStyle name="Input 2 2 2 5" xfId="1761" xr:uid="{00000000-0005-0000-0000-000072090000}"/>
    <cellStyle name="Input 2 2 2 6" xfId="1762" xr:uid="{00000000-0005-0000-0000-000073090000}"/>
    <cellStyle name="Input 2 2 2 7" xfId="3146" xr:uid="{00000000-0005-0000-0000-000074090000}"/>
    <cellStyle name="Input 2 2 3" xfId="1763" xr:uid="{00000000-0005-0000-0000-000075090000}"/>
    <cellStyle name="Input 2 2 3 2" xfId="1764" xr:uid="{00000000-0005-0000-0000-000076090000}"/>
    <cellStyle name="Input 2 2 3 2 2" xfId="1765" xr:uid="{00000000-0005-0000-0000-000077090000}"/>
    <cellStyle name="Input 2 2 3 2 3" xfId="1766" xr:uid="{00000000-0005-0000-0000-000078090000}"/>
    <cellStyle name="Input 2 2 3 2 4" xfId="3407" xr:uid="{00000000-0005-0000-0000-000079090000}"/>
    <cellStyle name="Input 2 2 3 3" xfId="1767" xr:uid="{00000000-0005-0000-0000-00007A090000}"/>
    <cellStyle name="Input 2 2 3 4" xfId="1768" xr:uid="{00000000-0005-0000-0000-00007B090000}"/>
    <cellStyle name="Input 2 2 3 5" xfId="1769" xr:uid="{00000000-0005-0000-0000-00007C090000}"/>
    <cellStyle name="Input 2 2 3 6" xfId="1770" xr:uid="{00000000-0005-0000-0000-00007D090000}"/>
    <cellStyle name="Input 2 2 3 7" xfId="3169" xr:uid="{00000000-0005-0000-0000-00007E090000}"/>
    <cellStyle name="Input 2 2 4" xfId="1771" xr:uid="{00000000-0005-0000-0000-00007F090000}"/>
    <cellStyle name="Input 2 2 4 2" xfId="1772" xr:uid="{00000000-0005-0000-0000-000080090000}"/>
    <cellStyle name="Input 2 2 4 2 2" xfId="1773" xr:uid="{00000000-0005-0000-0000-000081090000}"/>
    <cellStyle name="Input 2 2 4 2 3" xfId="1774" xr:uid="{00000000-0005-0000-0000-000082090000}"/>
    <cellStyle name="Input 2 2 4 2 4" xfId="3439" xr:uid="{00000000-0005-0000-0000-000083090000}"/>
    <cellStyle name="Input 2 2 4 3" xfId="1775" xr:uid="{00000000-0005-0000-0000-000084090000}"/>
    <cellStyle name="Input 2 2 4 3 2" xfId="3640" xr:uid="{00000000-0005-0000-0000-000085090000}"/>
    <cellStyle name="Input 2 2 4 4" xfId="1776" xr:uid="{00000000-0005-0000-0000-000086090000}"/>
    <cellStyle name="Input 2 2 4 5" xfId="1777" xr:uid="{00000000-0005-0000-0000-000087090000}"/>
    <cellStyle name="Input 2 2 4 6" xfId="3201" xr:uid="{00000000-0005-0000-0000-000088090000}"/>
    <cellStyle name="Input 2 2 5" xfId="1778" xr:uid="{00000000-0005-0000-0000-000089090000}"/>
    <cellStyle name="Input 2 2 5 2" xfId="1779" xr:uid="{00000000-0005-0000-0000-00008A090000}"/>
    <cellStyle name="Input 2 2 5 3" xfId="1780" xr:uid="{00000000-0005-0000-0000-00008B090000}"/>
    <cellStyle name="Input 2 2 5 4" xfId="3109" xr:uid="{00000000-0005-0000-0000-00008C090000}"/>
    <cellStyle name="Input 2 2 6" xfId="1781" xr:uid="{00000000-0005-0000-0000-00008D090000}"/>
    <cellStyle name="Input 2 2 6 2" xfId="1782" xr:uid="{00000000-0005-0000-0000-00008E090000}"/>
    <cellStyle name="Input 2 2 6 3" xfId="1783" xr:uid="{00000000-0005-0000-0000-00008F090000}"/>
    <cellStyle name="Input 2 2 6 4" xfId="3347" xr:uid="{00000000-0005-0000-0000-000090090000}"/>
    <cellStyle name="Input 2 2 7" xfId="1784" xr:uid="{00000000-0005-0000-0000-000091090000}"/>
    <cellStyle name="Input 2 2 7 2" xfId="3588" xr:uid="{00000000-0005-0000-0000-000092090000}"/>
    <cellStyle name="Input 2 2 8" xfId="1785" xr:uid="{00000000-0005-0000-0000-000093090000}"/>
    <cellStyle name="Input 2 2 9" xfId="1786" xr:uid="{00000000-0005-0000-0000-000094090000}"/>
    <cellStyle name="Input 2 3" xfId="1787" xr:uid="{00000000-0005-0000-0000-000095090000}"/>
    <cellStyle name="Input 2 3 2" xfId="1788" xr:uid="{00000000-0005-0000-0000-000096090000}"/>
    <cellStyle name="Input 2 3 2 2" xfId="1789" xr:uid="{00000000-0005-0000-0000-000097090000}"/>
    <cellStyle name="Input 2 3 2 2 2" xfId="1790" xr:uid="{00000000-0005-0000-0000-000098090000}"/>
    <cellStyle name="Input 2 3 2 2 3" xfId="1791" xr:uid="{00000000-0005-0000-0000-000099090000}"/>
    <cellStyle name="Input 2 3 2 2 4" xfId="3496" xr:uid="{00000000-0005-0000-0000-00009A090000}"/>
    <cellStyle name="Input 2 3 2 3" xfId="1792" xr:uid="{00000000-0005-0000-0000-00009B090000}"/>
    <cellStyle name="Input 2 3 2 3 2" xfId="3697" xr:uid="{00000000-0005-0000-0000-00009C090000}"/>
    <cellStyle name="Input 2 3 2 4" xfId="1793" xr:uid="{00000000-0005-0000-0000-00009D090000}"/>
    <cellStyle name="Input 2 3 2 5" xfId="1794" xr:uid="{00000000-0005-0000-0000-00009E090000}"/>
    <cellStyle name="Input 2 3 2 6" xfId="3258" xr:uid="{00000000-0005-0000-0000-00009F090000}"/>
    <cellStyle name="Input 2 3 3" xfId="1795" xr:uid="{00000000-0005-0000-0000-0000A0090000}"/>
    <cellStyle name="Input 2 3 3 2" xfId="1796" xr:uid="{00000000-0005-0000-0000-0000A1090000}"/>
    <cellStyle name="Input 2 3 3 3" xfId="1797" xr:uid="{00000000-0005-0000-0000-0000A2090000}"/>
    <cellStyle name="Input 2 3 3 4" xfId="3129" xr:uid="{00000000-0005-0000-0000-0000A3090000}"/>
    <cellStyle name="Input 2 3 4" xfId="1798" xr:uid="{00000000-0005-0000-0000-0000A4090000}"/>
    <cellStyle name="Input 2 3 4 2" xfId="1799" xr:uid="{00000000-0005-0000-0000-0000A5090000}"/>
    <cellStyle name="Input 2 3 4 3" xfId="1800" xr:uid="{00000000-0005-0000-0000-0000A6090000}"/>
    <cellStyle name="Input 2 3 4 4" xfId="3367" xr:uid="{00000000-0005-0000-0000-0000A7090000}"/>
    <cellStyle name="Input 2 3 5" xfId="1801" xr:uid="{00000000-0005-0000-0000-0000A8090000}"/>
    <cellStyle name="Input 2 3 6" xfId="1802" xr:uid="{00000000-0005-0000-0000-0000A9090000}"/>
    <cellStyle name="Input 2 3 7" xfId="1803" xr:uid="{00000000-0005-0000-0000-0000AA090000}"/>
    <cellStyle name="Input 2 3 8" xfId="1804" xr:uid="{00000000-0005-0000-0000-0000AB090000}"/>
    <cellStyle name="Input 2 4" xfId="1805" xr:uid="{00000000-0005-0000-0000-0000AC090000}"/>
    <cellStyle name="Input 2 4 2" xfId="1806" xr:uid="{00000000-0005-0000-0000-0000AD090000}"/>
    <cellStyle name="Input 2 4 2 2" xfId="1807" xr:uid="{00000000-0005-0000-0000-0000AE090000}"/>
    <cellStyle name="Input 2 4 2 2 2" xfId="1808" xr:uid="{00000000-0005-0000-0000-0000AF090000}"/>
    <cellStyle name="Input 2 4 2 2 3" xfId="1809" xr:uid="{00000000-0005-0000-0000-0000B0090000}"/>
    <cellStyle name="Input 2 4 2 2 4" xfId="3476" xr:uid="{00000000-0005-0000-0000-0000B1090000}"/>
    <cellStyle name="Input 2 4 2 3" xfId="1810" xr:uid="{00000000-0005-0000-0000-0000B2090000}"/>
    <cellStyle name="Input 2 4 2 3 2" xfId="3677" xr:uid="{00000000-0005-0000-0000-0000B3090000}"/>
    <cellStyle name="Input 2 4 2 4" xfId="1811" xr:uid="{00000000-0005-0000-0000-0000B4090000}"/>
    <cellStyle name="Input 2 4 2 5" xfId="1812" xr:uid="{00000000-0005-0000-0000-0000B5090000}"/>
    <cellStyle name="Input 2 4 2 6" xfId="3238" xr:uid="{00000000-0005-0000-0000-0000B6090000}"/>
    <cellStyle name="Input 2 4 3" xfId="1813" xr:uid="{00000000-0005-0000-0000-0000B7090000}"/>
    <cellStyle name="Input 2 4 3 2" xfId="1814" xr:uid="{00000000-0005-0000-0000-0000B8090000}"/>
    <cellStyle name="Input 2 4 3 3" xfId="1815" xr:uid="{00000000-0005-0000-0000-0000B9090000}"/>
    <cellStyle name="Input 2 4 3 4" xfId="3155" xr:uid="{00000000-0005-0000-0000-0000BA090000}"/>
    <cellStyle name="Input 2 4 4" xfId="1816" xr:uid="{00000000-0005-0000-0000-0000BB090000}"/>
    <cellStyle name="Input 2 4 4 2" xfId="1817" xr:uid="{00000000-0005-0000-0000-0000BC090000}"/>
    <cellStyle name="Input 2 4 4 3" xfId="1818" xr:uid="{00000000-0005-0000-0000-0000BD090000}"/>
    <cellStyle name="Input 2 4 4 4" xfId="3393" xr:uid="{00000000-0005-0000-0000-0000BE090000}"/>
    <cellStyle name="Input 2 4 5" xfId="1819" xr:uid="{00000000-0005-0000-0000-0000BF090000}"/>
    <cellStyle name="Input 2 4 6" xfId="1820" xr:uid="{00000000-0005-0000-0000-0000C0090000}"/>
    <cellStyle name="Input 2 4 7" xfId="1821" xr:uid="{00000000-0005-0000-0000-0000C1090000}"/>
    <cellStyle name="Input 2 4 8" xfId="1822" xr:uid="{00000000-0005-0000-0000-0000C2090000}"/>
    <cellStyle name="Input 2 4 8 2" xfId="3962" xr:uid="{00000000-0005-0000-0000-0000C3090000}"/>
    <cellStyle name="Input 2 4 9" xfId="3010" xr:uid="{00000000-0005-0000-0000-0000C4090000}"/>
    <cellStyle name="Input 2 5" xfId="1823" xr:uid="{00000000-0005-0000-0000-0000C5090000}"/>
    <cellStyle name="Input 2 5 2" xfId="1824" xr:uid="{00000000-0005-0000-0000-0000C6090000}"/>
    <cellStyle name="Input 2 5 2 2" xfId="1825" xr:uid="{00000000-0005-0000-0000-0000C7090000}"/>
    <cellStyle name="Input 2 5 2 3" xfId="1826" xr:uid="{00000000-0005-0000-0000-0000C8090000}"/>
    <cellStyle name="Input 2 5 2 4" xfId="3263" xr:uid="{00000000-0005-0000-0000-0000C9090000}"/>
    <cellStyle name="Input 2 5 3" xfId="1827" xr:uid="{00000000-0005-0000-0000-0000CA090000}"/>
    <cellStyle name="Input 2 5 3 2" xfId="1828" xr:uid="{00000000-0005-0000-0000-0000CB090000}"/>
    <cellStyle name="Input 2 5 3 3" xfId="1829" xr:uid="{00000000-0005-0000-0000-0000CC090000}"/>
    <cellStyle name="Input 2 5 3 4" xfId="3501" xr:uid="{00000000-0005-0000-0000-0000CD090000}"/>
    <cellStyle name="Input 2 5 4" xfId="1830" xr:uid="{00000000-0005-0000-0000-0000CE090000}"/>
    <cellStyle name="Input 2 5 4 2" xfId="3702" xr:uid="{00000000-0005-0000-0000-0000CF090000}"/>
    <cellStyle name="Input 2 5 5" xfId="1831" xr:uid="{00000000-0005-0000-0000-0000D0090000}"/>
    <cellStyle name="Input 2 5 6" xfId="1832" xr:uid="{00000000-0005-0000-0000-0000D1090000}"/>
    <cellStyle name="Input 2 5 7" xfId="1833" xr:uid="{00000000-0005-0000-0000-0000D2090000}"/>
    <cellStyle name="Input 2 5 8" xfId="3029" xr:uid="{00000000-0005-0000-0000-0000D3090000}"/>
    <cellStyle name="Input 2 6" xfId="1834" xr:uid="{00000000-0005-0000-0000-0000D4090000}"/>
    <cellStyle name="Input 2 6 2" xfId="1835" xr:uid="{00000000-0005-0000-0000-0000D5090000}"/>
    <cellStyle name="Input 2 6 2 2" xfId="1836" xr:uid="{00000000-0005-0000-0000-0000D6090000}"/>
    <cellStyle name="Input 2 6 2 3" xfId="1837" xr:uid="{00000000-0005-0000-0000-0000D7090000}"/>
    <cellStyle name="Input 2 6 2 4" xfId="3240" xr:uid="{00000000-0005-0000-0000-0000D8090000}"/>
    <cellStyle name="Input 2 6 3" xfId="1838" xr:uid="{00000000-0005-0000-0000-0000D9090000}"/>
    <cellStyle name="Input 2 6 3 2" xfId="1839" xr:uid="{00000000-0005-0000-0000-0000DA090000}"/>
    <cellStyle name="Input 2 6 3 3" xfId="1840" xr:uid="{00000000-0005-0000-0000-0000DB090000}"/>
    <cellStyle name="Input 2 6 3 4" xfId="3478" xr:uid="{00000000-0005-0000-0000-0000DC090000}"/>
    <cellStyle name="Input 2 6 4" xfId="1841" xr:uid="{00000000-0005-0000-0000-0000DD090000}"/>
    <cellStyle name="Input 2 6 4 2" xfId="3679" xr:uid="{00000000-0005-0000-0000-0000DE090000}"/>
    <cellStyle name="Input 2 6 5" xfId="1842" xr:uid="{00000000-0005-0000-0000-0000DF090000}"/>
    <cellStyle name="Input 2 6 6" xfId="1843" xr:uid="{00000000-0005-0000-0000-0000E0090000}"/>
    <cellStyle name="Input 2 6 7" xfId="1844" xr:uid="{00000000-0005-0000-0000-0000E1090000}"/>
    <cellStyle name="Input 2 6 7 2" xfId="3964" xr:uid="{00000000-0005-0000-0000-0000E2090000}"/>
    <cellStyle name="Input 2 6 8" xfId="3012" xr:uid="{00000000-0005-0000-0000-0000E3090000}"/>
    <cellStyle name="Input 2 7" xfId="1845" xr:uid="{00000000-0005-0000-0000-0000E4090000}"/>
    <cellStyle name="Input 2 7 2" xfId="1846" xr:uid="{00000000-0005-0000-0000-0000E5090000}"/>
    <cellStyle name="Input 2 7 2 2" xfId="1847" xr:uid="{00000000-0005-0000-0000-0000E6090000}"/>
    <cellStyle name="Input 2 7 2 3" xfId="1848" xr:uid="{00000000-0005-0000-0000-0000E7090000}"/>
    <cellStyle name="Input 2 7 2 4" xfId="3224" xr:uid="{00000000-0005-0000-0000-0000E8090000}"/>
    <cellStyle name="Input 2 7 3" xfId="1849" xr:uid="{00000000-0005-0000-0000-0000E9090000}"/>
    <cellStyle name="Input 2 7 3 2" xfId="1850" xr:uid="{00000000-0005-0000-0000-0000EA090000}"/>
    <cellStyle name="Input 2 7 3 3" xfId="1851" xr:uid="{00000000-0005-0000-0000-0000EB090000}"/>
    <cellStyle name="Input 2 7 3 4" xfId="3462" xr:uid="{00000000-0005-0000-0000-0000EC090000}"/>
    <cellStyle name="Input 2 7 4" xfId="1852" xr:uid="{00000000-0005-0000-0000-0000ED090000}"/>
    <cellStyle name="Input 2 7 4 2" xfId="3663" xr:uid="{00000000-0005-0000-0000-0000EE090000}"/>
    <cellStyle name="Input 2 7 5" xfId="1853" xr:uid="{00000000-0005-0000-0000-0000EF090000}"/>
    <cellStyle name="Input 2 7 6" xfId="1854" xr:uid="{00000000-0005-0000-0000-0000F0090000}"/>
    <cellStyle name="Input 2 7 7" xfId="1855" xr:uid="{00000000-0005-0000-0000-0000F1090000}"/>
    <cellStyle name="Input 2 7 7 2" xfId="3954" xr:uid="{00000000-0005-0000-0000-0000F2090000}"/>
    <cellStyle name="Input 2 7 8" xfId="3000" xr:uid="{00000000-0005-0000-0000-0000F3090000}"/>
    <cellStyle name="Input 2 8" xfId="1856" xr:uid="{00000000-0005-0000-0000-0000F4090000}"/>
    <cellStyle name="Input 2 8 2" xfId="1857" xr:uid="{00000000-0005-0000-0000-0000F5090000}"/>
    <cellStyle name="Input 2 8 2 2" xfId="1858" xr:uid="{00000000-0005-0000-0000-0000F6090000}"/>
    <cellStyle name="Input 2 8 2 3" xfId="1859" xr:uid="{00000000-0005-0000-0000-0000F7090000}"/>
    <cellStyle name="Input 2 8 2 4" xfId="3265" xr:uid="{00000000-0005-0000-0000-0000F8090000}"/>
    <cellStyle name="Input 2 8 3" xfId="1860" xr:uid="{00000000-0005-0000-0000-0000F9090000}"/>
    <cellStyle name="Input 2 8 3 2" xfId="1861" xr:uid="{00000000-0005-0000-0000-0000FA090000}"/>
    <cellStyle name="Input 2 8 3 3" xfId="1862" xr:uid="{00000000-0005-0000-0000-0000FB090000}"/>
    <cellStyle name="Input 2 8 3 4" xfId="3503" xr:uid="{00000000-0005-0000-0000-0000FC090000}"/>
    <cellStyle name="Input 2 8 4" xfId="1863" xr:uid="{00000000-0005-0000-0000-0000FD090000}"/>
    <cellStyle name="Input 2 8 4 2" xfId="3704" xr:uid="{00000000-0005-0000-0000-0000FE090000}"/>
    <cellStyle name="Input 2 8 5" xfId="1864" xr:uid="{00000000-0005-0000-0000-0000FF090000}"/>
    <cellStyle name="Input 2 8 6" xfId="1865" xr:uid="{00000000-0005-0000-0000-0000000A0000}"/>
    <cellStyle name="Input 2 8 7" xfId="1866" xr:uid="{00000000-0005-0000-0000-0000010A0000}"/>
    <cellStyle name="Input 2 8 7 2" xfId="3971" xr:uid="{00000000-0005-0000-0000-0000020A0000}"/>
    <cellStyle name="Input 2 8 8" xfId="3031" xr:uid="{00000000-0005-0000-0000-0000030A0000}"/>
    <cellStyle name="Input 2 9" xfId="1867" xr:uid="{00000000-0005-0000-0000-0000040A0000}"/>
    <cellStyle name="Input 2 9 2" xfId="1868" xr:uid="{00000000-0005-0000-0000-0000050A0000}"/>
    <cellStyle name="Input 2 9 2 2" xfId="1869" xr:uid="{00000000-0005-0000-0000-0000060A0000}"/>
    <cellStyle name="Input 2 9 2 3" xfId="1870" xr:uid="{00000000-0005-0000-0000-0000070A0000}"/>
    <cellStyle name="Input 2 9 2 4" xfId="3422" xr:uid="{00000000-0005-0000-0000-0000080A0000}"/>
    <cellStyle name="Input 2 9 3" xfId="1871" xr:uid="{00000000-0005-0000-0000-0000090A0000}"/>
    <cellStyle name="Input 2 9 3 2" xfId="3623" xr:uid="{00000000-0005-0000-0000-00000A0A0000}"/>
    <cellStyle name="Input 2 9 4" xfId="1872" xr:uid="{00000000-0005-0000-0000-00000B0A0000}"/>
    <cellStyle name="Input 2 9 5" xfId="1873" xr:uid="{00000000-0005-0000-0000-00000C0A0000}"/>
    <cellStyle name="Input 2 9 6" xfId="3184" xr:uid="{00000000-0005-0000-0000-00000D0A0000}"/>
    <cellStyle name="Input 3" xfId="1874" xr:uid="{00000000-0005-0000-0000-00000E0A0000}"/>
    <cellStyle name="Input 3 10" xfId="1875" xr:uid="{00000000-0005-0000-0000-00000F0A0000}"/>
    <cellStyle name="Input 3 10 2" xfId="1876" xr:uid="{00000000-0005-0000-0000-0000100A0000}"/>
    <cellStyle name="Input 3 10 3" xfId="1877" xr:uid="{00000000-0005-0000-0000-0000110A0000}"/>
    <cellStyle name="Input 3 10 4" xfId="3110" xr:uid="{00000000-0005-0000-0000-0000120A0000}"/>
    <cellStyle name="Input 3 11" xfId="1878" xr:uid="{00000000-0005-0000-0000-0000130A0000}"/>
    <cellStyle name="Input 3 11 2" xfId="1879" xr:uid="{00000000-0005-0000-0000-0000140A0000}"/>
    <cellStyle name="Input 3 11 3" xfId="1880" xr:uid="{00000000-0005-0000-0000-0000150A0000}"/>
    <cellStyle name="Input 3 11 4" xfId="3348" xr:uid="{00000000-0005-0000-0000-0000160A0000}"/>
    <cellStyle name="Input 3 12" xfId="1881" xr:uid="{00000000-0005-0000-0000-0000170A0000}"/>
    <cellStyle name="Input 3 12 2" xfId="3589" xr:uid="{00000000-0005-0000-0000-0000180A0000}"/>
    <cellStyle name="Input 3 13" xfId="1882" xr:uid="{00000000-0005-0000-0000-0000190A0000}"/>
    <cellStyle name="Input 3 14" xfId="1883" xr:uid="{00000000-0005-0000-0000-00001A0A0000}"/>
    <cellStyle name="Input 3 15" xfId="1884" xr:uid="{00000000-0005-0000-0000-00001B0A0000}"/>
    <cellStyle name="Input 3 15 2" xfId="3923" xr:uid="{00000000-0005-0000-0000-00001C0A0000}"/>
    <cellStyle name="Input 3 2" xfId="1885" xr:uid="{00000000-0005-0000-0000-00001D0A0000}"/>
    <cellStyle name="Input 3 2 10" xfId="1886" xr:uid="{00000000-0005-0000-0000-00001E0A0000}"/>
    <cellStyle name="Input 3 2 10 2" xfId="3935" xr:uid="{00000000-0005-0000-0000-00001F0A0000}"/>
    <cellStyle name="Input 3 2 2" xfId="1887" xr:uid="{00000000-0005-0000-0000-0000200A0000}"/>
    <cellStyle name="Input 3 2 2 2" xfId="1888" xr:uid="{00000000-0005-0000-0000-0000210A0000}"/>
    <cellStyle name="Input 3 2 2 2 2" xfId="1889" xr:uid="{00000000-0005-0000-0000-0000220A0000}"/>
    <cellStyle name="Input 3 2 2 2 3" xfId="1890" xr:uid="{00000000-0005-0000-0000-0000230A0000}"/>
    <cellStyle name="Input 3 2 2 2 4" xfId="3385" xr:uid="{00000000-0005-0000-0000-0000240A0000}"/>
    <cellStyle name="Input 3 2 2 3" xfId="1891" xr:uid="{00000000-0005-0000-0000-0000250A0000}"/>
    <cellStyle name="Input 3 2 2 4" xfId="1892" xr:uid="{00000000-0005-0000-0000-0000260A0000}"/>
    <cellStyle name="Input 3 2 2 5" xfId="1893" xr:uid="{00000000-0005-0000-0000-0000270A0000}"/>
    <cellStyle name="Input 3 2 2 6" xfId="1894" xr:uid="{00000000-0005-0000-0000-0000280A0000}"/>
    <cellStyle name="Input 3 2 2 7" xfId="3147" xr:uid="{00000000-0005-0000-0000-0000290A0000}"/>
    <cellStyle name="Input 3 2 3" xfId="1895" xr:uid="{00000000-0005-0000-0000-00002A0A0000}"/>
    <cellStyle name="Input 3 2 3 2" xfId="1896" xr:uid="{00000000-0005-0000-0000-00002B0A0000}"/>
    <cellStyle name="Input 3 2 3 2 2" xfId="1897" xr:uid="{00000000-0005-0000-0000-00002C0A0000}"/>
    <cellStyle name="Input 3 2 3 2 3" xfId="1898" xr:uid="{00000000-0005-0000-0000-00002D0A0000}"/>
    <cellStyle name="Input 3 2 3 2 4" xfId="3408" xr:uid="{00000000-0005-0000-0000-00002E0A0000}"/>
    <cellStyle name="Input 3 2 3 3" xfId="1899" xr:uid="{00000000-0005-0000-0000-00002F0A0000}"/>
    <cellStyle name="Input 3 2 3 4" xfId="1900" xr:uid="{00000000-0005-0000-0000-0000300A0000}"/>
    <cellStyle name="Input 3 2 3 5" xfId="1901" xr:uid="{00000000-0005-0000-0000-0000310A0000}"/>
    <cellStyle name="Input 3 2 3 6" xfId="1902" xr:uid="{00000000-0005-0000-0000-0000320A0000}"/>
    <cellStyle name="Input 3 2 3 7" xfId="3170" xr:uid="{00000000-0005-0000-0000-0000330A0000}"/>
    <cellStyle name="Input 3 2 4" xfId="1903" xr:uid="{00000000-0005-0000-0000-0000340A0000}"/>
    <cellStyle name="Input 3 2 4 2" xfId="1904" xr:uid="{00000000-0005-0000-0000-0000350A0000}"/>
    <cellStyle name="Input 3 2 4 2 2" xfId="1905" xr:uid="{00000000-0005-0000-0000-0000360A0000}"/>
    <cellStyle name="Input 3 2 4 2 3" xfId="1906" xr:uid="{00000000-0005-0000-0000-0000370A0000}"/>
    <cellStyle name="Input 3 2 4 2 4" xfId="3440" xr:uid="{00000000-0005-0000-0000-0000380A0000}"/>
    <cellStyle name="Input 3 2 4 3" xfId="1907" xr:uid="{00000000-0005-0000-0000-0000390A0000}"/>
    <cellStyle name="Input 3 2 4 3 2" xfId="3641" xr:uid="{00000000-0005-0000-0000-00003A0A0000}"/>
    <cellStyle name="Input 3 2 4 4" xfId="1908" xr:uid="{00000000-0005-0000-0000-00003B0A0000}"/>
    <cellStyle name="Input 3 2 4 5" xfId="1909" xr:uid="{00000000-0005-0000-0000-00003C0A0000}"/>
    <cellStyle name="Input 3 2 4 6" xfId="3202" xr:uid="{00000000-0005-0000-0000-00003D0A0000}"/>
    <cellStyle name="Input 3 2 5" xfId="1910" xr:uid="{00000000-0005-0000-0000-00003E0A0000}"/>
    <cellStyle name="Input 3 2 5 2" xfId="1911" xr:uid="{00000000-0005-0000-0000-00003F0A0000}"/>
    <cellStyle name="Input 3 2 5 3" xfId="1912" xr:uid="{00000000-0005-0000-0000-0000400A0000}"/>
    <cellStyle name="Input 3 2 5 4" xfId="3111" xr:uid="{00000000-0005-0000-0000-0000410A0000}"/>
    <cellStyle name="Input 3 2 6" xfId="1913" xr:uid="{00000000-0005-0000-0000-0000420A0000}"/>
    <cellStyle name="Input 3 2 6 2" xfId="1914" xr:uid="{00000000-0005-0000-0000-0000430A0000}"/>
    <cellStyle name="Input 3 2 6 3" xfId="1915" xr:uid="{00000000-0005-0000-0000-0000440A0000}"/>
    <cellStyle name="Input 3 2 6 4" xfId="3349" xr:uid="{00000000-0005-0000-0000-0000450A0000}"/>
    <cellStyle name="Input 3 2 7" xfId="1916" xr:uid="{00000000-0005-0000-0000-0000460A0000}"/>
    <cellStyle name="Input 3 2 7 2" xfId="3590" xr:uid="{00000000-0005-0000-0000-0000470A0000}"/>
    <cellStyle name="Input 3 2 8" xfId="1917" xr:uid="{00000000-0005-0000-0000-0000480A0000}"/>
    <cellStyle name="Input 3 2 9" xfId="1918" xr:uid="{00000000-0005-0000-0000-0000490A0000}"/>
    <cellStyle name="Input 3 3" xfId="1919" xr:uid="{00000000-0005-0000-0000-00004A0A0000}"/>
    <cellStyle name="Input 3 3 2" xfId="1920" xr:uid="{00000000-0005-0000-0000-00004B0A0000}"/>
    <cellStyle name="Input 3 3 2 2" xfId="1921" xr:uid="{00000000-0005-0000-0000-00004C0A0000}"/>
    <cellStyle name="Input 3 3 2 2 2" xfId="1922" xr:uid="{00000000-0005-0000-0000-00004D0A0000}"/>
    <cellStyle name="Input 3 3 2 2 3" xfId="1923" xr:uid="{00000000-0005-0000-0000-00004E0A0000}"/>
    <cellStyle name="Input 3 3 2 2 4" xfId="3497" xr:uid="{00000000-0005-0000-0000-00004F0A0000}"/>
    <cellStyle name="Input 3 3 2 3" xfId="1924" xr:uid="{00000000-0005-0000-0000-0000500A0000}"/>
    <cellStyle name="Input 3 3 2 3 2" xfId="3698" xr:uid="{00000000-0005-0000-0000-0000510A0000}"/>
    <cellStyle name="Input 3 3 2 4" xfId="1925" xr:uid="{00000000-0005-0000-0000-0000520A0000}"/>
    <cellStyle name="Input 3 3 2 5" xfId="1926" xr:uid="{00000000-0005-0000-0000-0000530A0000}"/>
    <cellStyle name="Input 3 3 2 6" xfId="3259" xr:uid="{00000000-0005-0000-0000-0000540A0000}"/>
    <cellStyle name="Input 3 3 3" xfId="1927" xr:uid="{00000000-0005-0000-0000-0000550A0000}"/>
    <cellStyle name="Input 3 3 3 2" xfId="1928" xr:uid="{00000000-0005-0000-0000-0000560A0000}"/>
    <cellStyle name="Input 3 3 3 3" xfId="1929" xr:uid="{00000000-0005-0000-0000-0000570A0000}"/>
    <cellStyle name="Input 3 3 3 4" xfId="3130" xr:uid="{00000000-0005-0000-0000-0000580A0000}"/>
    <cellStyle name="Input 3 3 4" xfId="1930" xr:uid="{00000000-0005-0000-0000-0000590A0000}"/>
    <cellStyle name="Input 3 3 4 2" xfId="1931" xr:uid="{00000000-0005-0000-0000-00005A0A0000}"/>
    <cellStyle name="Input 3 3 4 3" xfId="1932" xr:uid="{00000000-0005-0000-0000-00005B0A0000}"/>
    <cellStyle name="Input 3 3 4 4" xfId="3368" xr:uid="{00000000-0005-0000-0000-00005C0A0000}"/>
    <cellStyle name="Input 3 3 5" xfId="1933" xr:uid="{00000000-0005-0000-0000-00005D0A0000}"/>
    <cellStyle name="Input 3 3 6" xfId="1934" xr:uid="{00000000-0005-0000-0000-00005E0A0000}"/>
    <cellStyle name="Input 3 3 7" xfId="1935" xr:uid="{00000000-0005-0000-0000-00005F0A0000}"/>
    <cellStyle name="Input 3 3 8" xfId="1936" xr:uid="{00000000-0005-0000-0000-0000600A0000}"/>
    <cellStyle name="Input 3 4" xfId="1937" xr:uid="{00000000-0005-0000-0000-0000610A0000}"/>
    <cellStyle name="Input 3 4 2" xfId="1938" xr:uid="{00000000-0005-0000-0000-0000620A0000}"/>
    <cellStyle name="Input 3 4 2 2" xfId="1939" xr:uid="{00000000-0005-0000-0000-0000630A0000}"/>
    <cellStyle name="Input 3 4 2 2 2" xfId="1940" xr:uid="{00000000-0005-0000-0000-0000640A0000}"/>
    <cellStyle name="Input 3 4 2 2 3" xfId="1941" xr:uid="{00000000-0005-0000-0000-0000650A0000}"/>
    <cellStyle name="Input 3 4 2 2 4" xfId="3475" xr:uid="{00000000-0005-0000-0000-0000660A0000}"/>
    <cellStyle name="Input 3 4 2 3" xfId="1942" xr:uid="{00000000-0005-0000-0000-0000670A0000}"/>
    <cellStyle name="Input 3 4 2 3 2" xfId="3676" xr:uid="{00000000-0005-0000-0000-0000680A0000}"/>
    <cellStyle name="Input 3 4 2 4" xfId="1943" xr:uid="{00000000-0005-0000-0000-0000690A0000}"/>
    <cellStyle name="Input 3 4 2 5" xfId="1944" xr:uid="{00000000-0005-0000-0000-00006A0A0000}"/>
    <cellStyle name="Input 3 4 2 6" xfId="3237" xr:uid="{00000000-0005-0000-0000-00006B0A0000}"/>
    <cellStyle name="Input 3 4 3" xfId="1945" xr:uid="{00000000-0005-0000-0000-00006C0A0000}"/>
    <cellStyle name="Input 3 4 3 2" xfId="1946" xr:uid="{00000000-0005-0000-0000-00006D0A0000}"/>
    <cellStyle name="Input 3 4 3 3" xfId="1947" xr:uid="{00000000-0005-0000-0000-00006E0A0000}"/>
    <cellStyle name="Input 3 4 3 4" xfId="3156" xr:uid="{00000000-0005-0000-0000-00006F0A0000}"/>
    <cellStyle name="Input 3 4 4" xfId="1948" xr:uid="{00000000-0005-0000-0000-0000700A0000}"/>
    <cellStyle name="Input 3 4 4 2" xfId="1949" xr:uid="{00000000-0005-0000-0000-0000710A0000}"/>
    <cellStyle name="Input 3 4 4 3" xfId="1950" xr:uid="{00000000-0005-0000-0000-0000720A0000}"/>
    <cellStyle name="Input 3 4 4 4" xfId="3394" xr:uid="{00000000-0005-0000-0000-0000730A0000}"/>
    <cellStyle name="Input 3 4 5" xfId="1951" xr:uid="{00000000-0005-0000-0000-0000740A0000}"/>
    <cellStyle name="Input 3 4 6" xfId="1952" xr:uid="{00000000-0005-0000-0000-0000750A0000}"/>
    <cellStyle name="Input 3 4 7" xfId="1953" xr:uid="{00000000-0005-0000-0000-0000760A0000}"/>
    <cellStyle name="Input 3 4 8" xfId="1954" xr:uid="{00000000-0005-0000-0000-0000770A0000}"/>
    <cellStyle name="Input 3 4 8 2" xfId="3961" xr:uid="{00000000-0005-0000-0000-0000780A0000}"/>
    <cellStyle name="Input 3 4 9" xfId="3009" xr:uid="{00000000-0005-0000-0000-0000790A0000}"/>
    <cellStyle name="Input 3 5" xfId="1955" xr:uid="{00000000-0005-0000-0000-00007A0A0000}"/>
    <cellStyle name="Input 3 5 2" xfId="1956" xr:uid="{00000000-0005-0000-0000-00007B0A0000}"/>
    <cellStyle name="Input 3 5 2 2" xfId="1957" xr:uid="{00000000-0005-0000-0000-00007C0A0000}"/>
    <cellStyle name="Input 3 5 2 3" xfId="1958" xr:uid="{00000000-0005-0000-0000-00007D0A0000}"/>
    <cellStyle name="Input 3 5 2 4" xfId="3262" xr:uid="{00000000-0005-0000-0000-00007E0A0000}"/>
    <cellStyle name="Input 3 5 3" xfId="1959" xr:uid="{00000000-0005-0000-0000-00007F0A0000}"/>
    <cellStyle name="Input 3 5 3 2" xfId="1960" xr:uid="{00000000-0005-0000-0000-0000800A0000}"/>
    <cellStyle name="Input 3 5 3 3" xfId="1961" xr:uid="{00000000-0005-0000-0000-0000810A0000}"/>
    <cellStyle name="Input 3 5 3 4" xfId="3500" xr:uid="{00000000-0005-0000-0000-0000820A0000}"/>
    <cellStyle name="Input 3 5 4" xfId="1962" xr:uid="{00000000-0005-0000-0000-0000830A0000}"/>
    <cellStyle name="Input 3 5 4 2" xfId="3701" xr:uid="{00000000-0005-0000-0000-0000840A0000}"/>
    <cellStyle name="Input 3 5 5" xfId="1963" xr:uid="{00000000-0005-0000-0000-0000850A0000}"/>
    <cellStyle name="Input 3 5 6" xfId="1964" xr:uid="{00000000-0005-0000-0000-0000860A0000}"/>
    <cellStyle name="Input 3 5 7" xfId="1965" xr:uid="{00000000-0005-0000-0000-0000870A0000}"/>
    <cellStyle name="Input 3 5 8" xfId="3028" xr:uid="{00000000-0005-0000-0000-0000880A0000}"/>
    <cellStyle name="Input 3 6" xfId="1966" xr:uid="{00000000-0005-0000-0000-0000890A0000}"/>
    <cellStyle name="Input 3 6 2" xfId="1967" xr:uid="{00000000-0005-0000-0000-00008A0A0000}"/>
    <cellStyle name="Input 3 6 2 2" xfId="1968" xr:uid="{00000000-0005-0000-0000-00008B0A0000}"/>
    <cellStyle name="Input 3 6 2 3" xfId="1969" xr:uid="{00000000-0005-0000-0000-00008C0A0000}"/>
    <cellStyle name="Input 3 6 2 4" xfId="3222" xr:uid="{00000000-0005-0000-0000-00008D0A0000}"/>
    <cellStyle name="Input 3 6 3" xfId="1970" xr:uid="{00000000-0005-0000-0000-00008E0A0000}"/>
    <cellStyle name="Input 3 6 3 2" xfId="1971" xr:uid="{00000000-0005-0000-0000-00008F0A0000}"/>
    <cellStyle name="Input 3 6 3 3" xfId="1972" xr:uid="{00000000-0005-0000-0000-0000900A0000}"/>
    <cellStyle name="Input 3 6 3 4" xfId="3460" xr:uid="{00000000-0005-0000-0000-0000910A0000}"/>
    <cellStyle name="Input 3 6 4" xfId="1973" xr:uid="{00000000-0005-0000-0000-0000920A0000}"/>
    <cellStyle name="Input 3 6 4 2" xfId="3661" xr:uid="{00000000-0005-0000-0000-0000930A0000}"/>
    <cellStyle name="Input 3 6 5" xfId="1974" xr:uid="{00000000-0005-0000-0000-0000940A0000}"/>
    <cellStyle name="Input 3 6 6" xfId="1975" xr:uid="{00000000-0005-0000-0000-0000950A0000}"/>
    <cellStyle name="Input 3 6 7" xfId="1976" xr:uid="{00000000-0005-0000-0000-0000960A0000}"/>
    <cellStyle name="Input 3 6 7 2" xfId="3952" xr:uid="{00000000-0005-0000-0000-0000970A0000}"/>
    <cellStyle name="Input 3 6 8" xfId="2998" xr:uid="{00000000-0005-0000-0000-0000980A0000}"/>
    <cellStyle name="Input 3 7" xfId="1977" xr:uid="{00000000-0005-0000-0000-0000990A0000}"/>
    <cellStyle name="Input 3 7 2" xfId="1978" xr:uid="{00000000-0005-0000-0000-00009A0A0000}"/>
    <cellStyle name="Input 3 7 2 2" xfId="1979" xr:uid="{00000000-0005-0000-0000-00009B0A0000}"/>
    <cellStyle name="Input 3 7 2 3" xfId="1980" xr:uid="{00000000-0005-0000-0000-00009C0A0000}"/>
    <cellStyle name="Input 3 7 2 4" xfId="3210" xr:uid="{00000000-0005-0000-0000-00009D0A0000}"/>
    <cellStyle name="Input 3 7 3" xfId="1981" xr:uid="{00000000-0005-0000-0000-00009E0A0000}"/>
    <cellStyle name="Input 3 7 3 2" xfId="1982" xr:uid="{00000000-0005-0000-0000-00009F0A0000}"/>
    <cellStyle name="Input 3 7 3 3" xfId="1983" xr:uid="{00000000-0005-0000-0000-0000A00A0000}"/>
    <cellStyle name="Input 3 7 3 4" xfId="3448" xr:uid="{00000000-0005-0000-0000-0000A10A0000}"/>
    <cellStyle name="Input 3 7 4" xfId="1984" xr:uid="{00000000-0005-0000-0000-0000A20A0000}"/>
    <cellStyle name="Input 3 7 4 2" xfId="3649" xr:uid="{00000000-0005-0000-0000-0000A30A0000}"/>
    <cellStyle name="Input 3 7 5" xfId="1985" xr:uid="{00000000-0005-0000-0000-0000A40A0000}"/>
    <cellStyle name="Input 3 7 6" xfId="1986" xr:uid="{00000000-0005-0000-0000-0000A50A0000}"/>
    <cellStyle name="Input 3 7 7" xfId="1987" xr:uid="{00000000-0005-0000-0000-0000A60A0000}"/>
    <cellStyle name="Input 3 7 7 2" xfId="3943" xr:uid="{00000000-0005-0000-0000-0000A70A0000}"/>
    <cellStyle name="Input 3 7 8" xfId="2988" xr:uid="{00000000-0005-0000-0000-0000A80A0000}"/>
    <cellStyle name="Input 3 8" xfId="1988" xr:uid="{00000000-0005-0000-0000-0000A90A0000}"/>
    <cellStyle name="Input 3 8 2" xfId="1989" xr:uid="{00000000-0005-0000-0000-0000AA0A0000}"/>
    <cellStyle name="Input 3 8 2 2" xfId="1990" xr:uid="{00000000-0005-0000-0000-0000AB0A0000}"/>
    <cellStyle name="Input 3 8 2 3" xfId="1991" xr:uid="{00000000-0005-0000-0000-0000AC0A0000}"/>
    <cellStyle name="Input 3 8 2 4" xfId="3294" xr:uid="{00000000-0005-0000-0000-0000AD0A0000}"/>
    <cellStyle name="Input 3 8 3" xfId="1992" xr:uid="{00000000-0005-0000-0000-0000AE0A0000}"/>
    <cellStyle name="Input 3 8 3 2" xfId="1993" xr:uid="{00000000-0005-0000-0000-0000AF0A0000}"/>
    <cellStyle name="Input 3 8 3 3" xfId="1994" xr:uid="{00000000-0005-0000-0000-0000B00A0000}"/>
    <cellStyle name="Input 3 8 3 4" xfId="3532" xr:uid="{00000000-0005-0000-0000-0000B10A0000}"/>
    <cellStyle name="Input 3 8 4" xfId="1995" xr:uid="{00000000-0005-0000-0000-0000B20A0000}"/>
    <cellStyle name="Input 3 8 4 2" xfId="3733" xr:uid="{00000000-0005-0000-0000-0000B30A0000}"/>
    <cellStyle name="Input 3 8 5" xfId="1996" xr:uid="{00000000-0005-0000-0000-0000B40A0000}"/>
    <cellStyle name="Input 3 8 6" xfId="1997" xr:uid="{00000000-0005-0000-0000-0000B50A0000}"/>
    <cellStyle name="Input 3 8 7" xfId="1998" xr:uid="{00000000-0005-0000-0000-0000B60A0000}"/>
    <cellStyle name="Input 3 8 7 2" xfId="3986" xr:uid="{00000000-0005-0000-0000-0000B70A0000}"/>
    <cellStyle name="Input 3 8 8" xfId="3054" xr:uid="{00000000-0005-0000-0000-0000B80A0000}"/>
    <cellStyle name="Input 3 9" xfId="1999" xr:uid="{00000000-0005-0000-0000-0000B90A0000}"/>
    <cellStyle name="Input 3 9 2" xfId="2000" xr:uid="{00000000-0005-0000-0000-0000BA0A0000}"/>
    <cellStyle name="Input 3 9 2 2" xfId="2001" xr:uid="{00000000-0005-0000-0000-0000BB0A0000}"/>
    <cellStyle name="Input 3 9 2 3" xfId="2002" xr:uid="{00000000-0005-0000-0000-0000BC0A0000}"/>
    <cellStyle name="Input 3 9 2 4" xfId="3423" xr:uid="{00000000-0005-0000-0000-0000BD0A0000}"/>
    <cellStyle name="Input 3 9 3" xfId="2003" xr:uid="{00000000-0005-0000-0000-0000BE0A0000}"/>
    <cellStyle name="Input 3 9 3 2" xfId="3624" xr:uid="{00000000-0005-0000-0000-0000BF0A0000}"/>
    <cellStyle name="Input 3 9 4" xfId="2004" xr:uid="{00000000-0005-0000-0000-0000C00A0000}"/>
    <cellStyle name="Input 3 9 5" xfId="2005" xr:uid="{00000000-0005-0000-0000-0000C10A0000}"/>
    <cellStyle name="Input 3 9 6" xfId="3185" xr:uid="{00000000-0005-0000-0000-0000C20A0000}"/>
    <cellStyle name="Input 4" xfId="2006" xr:uid="{00000000-0005-0000-0000-0000C30A0000}"/>
    <cellStyle name="Input 4 10" xfId="2007" xr:uid="{00000000-0005-0000-0000-0000C40A0000}"/>
    <cellStyle name="Input 4 10 2" xfId="2008" xr:uid="{00000000-0005-0000-0000-0000C50A0000}"/>
    <cellStyle name="Input 4 10 3" xfId="2009" xr:uid="{00000000-0005-0000-0000-0000C60A0000}"/>
    <cellStyle name="Input 4 10 4" xfId="3112" xr:uid="{00000000-0005-0000-0000-0000C70A0000}"/>
    <cellStyle name="Input 4 11" xfId="2010" xr:uid="{00000000-0005-0000-0000-0000C80A0000}"/>
    <cellStyle name="Input 4 11 2" xfId="2011" xr:uid="{00000000-0005-0000-0000-0000C90A0000}"/>
    <cellStyle name="Input 4 11 3" xfId="2012" xr:uid="{00000000-0005-0000-0000-0000CA0A0000}"/>
    <cellStyle name="Input 4 11 4" xfId="3350" xr:uid="{00000000-0005-0000-0000-0000CB0A0000}"/>
    <cellStyle name="Input 4 12" xfId="2013" xr:uid="{00000000-0005-0000-0000-0000CC0A0000}"/>
    <cellStyle name="Input 4 12 2" xfId="3591" xr:uid="{00000000-0005-0000-0000-0000CD0A0000}"/>
    <cellStyle name="Input 4 13" xfId="2014" xr:uid="{00000000-0005-0000-0000-0000CE0A0000}"/>
    <cellStyle name="Input 4 14" xfId="2015" xr:uid="{00000000-0005-0000-0000-0000CF0A0000}"/>
    <cellStyle name="Input 4 15" xfId="2016" xr:uid="{00000000-0005-0000-0000-0000D00A0000}"/>
    <cellStyle name="Input 4 15 2" xfId="3924" xr:uid="{00000000-0005-0000-0000-0000D10A0000}"/>
    <cellStyle name="Input 4 2" xfId="2017" xr:uid="{00000000-0005-0000-0000-0000D20A0000}"/>
    <cellStyle name="Input 4 2 10" xfId="2018" xr:uid="{00000000-0005-0000-0000-0000D30A0000}"/>
    <cellStyle name="Input 4 2 10 2" xfId="3936" xr:uid="{00000000-0005-0000-0000-0000D40A0000}"/>
    <cellStyle name="Input 4 2 2" xfId="2019" xr:uid="{00000000-0005-0000-0000-0000D50A0000}"/>
    <cellStyle name="Input 4 2 2 2" xfId="2020" xr:uid="{00000000-0005-0000-0000-0000D60A0000}"/>
    <cellStyle name="Input 4 2 2 2 2" xfId="2021" xr:uid="{00000000-0005-0000-0000-0000D70A0000}"/>
    <cellStyle name="Input 4 2 2 2 3" xfId="2022" xr:uid="{00000000-0005-0000-0000-0000D80A0000}"/>
    <cellStyle name="Input 4 2 2 2 4" xfId="3386" xr:uid="{00000000-0005-0000-0000-0000D90A0000}"/>
    <cellStyle name="Input 4 2 2 3" xfId="2023" xr:uid="{00000000-0005-0000-0000-0000DA0A0000}"/>
    <cellStyle name="Input 4 2 2 4" xfId="2024" xr:uid="{00000000-0005-0000-0000-0000DB0A0000}"/>
    <cellStyle name="Input 4 2 2 5" xfId="2025" xr:uid="{00000000-0005-0000-0000-0000DC0A0000}"/>
    <cellStyle name="Input 4 2 2 6" xfId="2026" xr:uid="{00000000-0005-0000-0000-0000DD0A0000}"/>
    <cellStyle name="Input 4 2 2 7" xfId="3148" xr:uid="{00000000-0005-0000-0000-0000DE0A0000}"/>
    <cellStyle name="Input 4 2 3" xfId="2027" xr:uid="{00000000-0005-0000-0000-0000DF0A0000}"/>
    <cellStyle name="Input 4 2 3 2" xfId="2028" xr:uid="{00000000-0005-0000-0000-0000E00A0000}"/>
    <cellStyle name="Input 4 2 3 2 2" xfId="2029" xr:uid="{00000000-0005-0000-0000-0000E10A0000}"/>
    <cellStyle name="Input 4 2 3 2 3" xfId="2030" xr:uid="{00000000-0005-0000-0000-0000E20A0000}"/>
    <cellStyle name="Input 4 2 3 2 4" xfId="3409" xr:uid="{00000000-0005-0000-0000-0000E30A0000}"/>
    <cellStyle name="Input 4 2 3 3" xfId="2031" xr:uid="{00000000-0005-0000-0000-0000E40A0000}"/>
    <cellStyle name="Input 4 2 3 4" xfId="2032" xr:uid="{00000000-0005-0000-0000-0000E50A0000}"/>
    <cellStyle name="Input 4 2 3 5" xfId="2033" xr:uid="{00000000-0005-0000-0000-0000E60A0000}"/>
    <cellStyle name="Input 4 2 3 6" xfId="2034" xr:uid="{00000000-0005-0000-0000-0000E70A0000}"/>
    <cellStyle name="Input 4 2 3 7" xfId="3171" xr:uid="{00000000-0005-0000-0000-0000E80A0000}"/>
    <cellStyle name="Input 4 2 4" xfId="2035" xr:uid="{00000000-0005-0000-0000-0000E90A0000}"/>
    <cellStyle name="Input 4 2 4 2" xfId="2036" xr:uid="{00000000-0005-0000-0000-0000EA0A0000}"/>
    <cellStyle name="Input 4 2 4 2 2" xfId="2037" xr:uid="{00000000-0005-0000-0000-0000EB0A0000}"/>
    <cellStyle name="Input 4 2 4 2 3" xfId="2038" xr:uid="{00000000-0005-0000-0000-0000EC0A0000}"/>
    <cellStyle name="Input 4 2 4 2 4" xfId="3441" xr:uid="{00000000-0005-0000-0000-0000ED0A0000}"/>
    <cellStyle name="Input 4 2 4 3" xfId="2039" xr:uid="{00000000-0005-0000-0000-0000EE0A0000}"/>
    <cellStyle name="Input 4 2 4 3 2" xfId="3642" xr:uid="{00000000-0005-0000-0000-0000EF0A0000}"/>
    <cellStyle name="Input 4 2 4 4" xfId="2040" xr:uid="{00000000-0005-0000-0000-0000F00A0000}"/>
    <cellStyle name="Input 4 2 4 5" xfId="2041" xr:uid="{00000000-0005-0000-0000-0000F10A0000}"/>
    <cellStyle name="Input 4 2 4 6" xfId="3203" xr:uid="{00000000-0005-0000-0000-0000F20A0000}"/>
    <cellStyle name="Input 4 2 5" xfId="2042" xr:uid="{00000000-0005-0000-0000-0000F30A0000}"/>
    <cellStyle name="Input 4 2 5 2" xfId="2043" xr:uid="{00000000-0005-0000-0000-0000F40A0000}"/>
    <cellStyle name="Input 4 2 5 3" xfId="2044" xr:uid="{00000000-0005-0000-0000-0000F50A0000}"/>
    <cellStyle name="Input 4 2 5 4" xfId="3113" xr:uid="{00000000-0005-0000-0000-0000F60A0000}"/>
    <cellStyle name="Input 4 2 6" xfId="2045" xr:uid="{00000000-0005-0000-0000-0000F70A0000}"/>
    <cellStyle name="Input 4 2 6 2" xfId="2046" xr:uid="{00000000-0005-0000-0000-0000F80A0000}"/>
    <cellStyle name="Input 4 2 6 3" xfId="2047" xr:uid="{00000000-0005-0000-0000-0000F90A0000}"/>
    <cellStyle name="Input 4 2 6 4" xfId="3351" xr:uid="{00000000-0005-0000-0000-0000FA0A0000}"/>
    <cellStyle name="Input 4 2 7" xfId="2048" xr:uid="{00000000-0005-0000-0000-0000FB0A0000}"/>
    <cellStyle name="Input 4 2 7 2" xfId="3592" xr:uid="{00000000-0005-0000-0000-0000FC0A0000}"/>
    <cellStyle name="Input 4 2 8" xfId="2049" xr:uid="{00000000-0005-0000-0000-0000FD0A0000}"/>
    <cellStyle name="Input 4 2 9" xfId="2050" xr:uid="{00000000-0005-0000-0000-0000FE0A0000}"/>
    <cellStyle name="Input 4 3" xfId="2051" xr:uid="{00000000-0005-0000-0000-0000FF0A0000}"/>
    <cellStyle name="Input 4 3 2" xfId="2052" xr:uid="{00000000-0005-0000-0000-0000000B0000}"/>
    <cellStyle name="Input 4 3 2 2" xfId="2053" xr:uid="{00000000-0005-0000-0000-0000010B0000}"/>
    <cellStyle name="Input 4 3 2 2 2" xfId="2054" xr:uid="{00000000-0005-0000-0000-0000020B0000}"/>
    <cellStyle name="Input 4 3 2 2 3" xfId="2055" xr:uid="{00000000-0005-0000-0000-0000030B0000}"/>
    <cellStyle name="Input 4 3 2 2 4" xfId="3498" xr:uid="{00000000-0005-0000-0000-0000040B0000}"/>
    <cellStyle name="Input 4 3 2 3" xfId="2056" xr:uid="{00000000-0005-0000-0000-0000050B0000}"/>
    <cellStyle name="Input 4 3 2 3 2" xfId="3699" xr:uid="{00000000-0005-0000-0000-0000060B0000}"/>
    <cellStyle name="Input 4 3 2 4" xfId="2057" xr:uid="{00000000-0005-0000-0000-0000070B0000}"/>
    <cellStyle name="Input 4 3 2 5" xfId="2058" xr:uid="{00000000-0005-0000-0000-0000080B0000}"/>
    <cellStyle name="Input 4 3 2 6" xfId="3260" xr:uid="{00000000-0005-0000-0000-0000090B0000}"/>
    <cellStyle name="Input 4 3 3" xfId="2059" xr:uid="{00000000-0005-0000-0000-00000A0B0000}"/>
    <cellStyle name="Input 4 3 3 2" xfId="2060" xr:uid="{00000000-0005-0000-0000-00000B0B0000}"/>
    <cellStyle name="Input 4 3 3 3" xfId="2061" xr:uid="{00000000-0005-0000-0000-00000C0B0000}"/>
    <cellStyle name="Input 4 3 3 4" xfId="3131" xr:uid="{00000000-0005-0000-0000-00000D0B0000}"/>
    <cellStyle name="Input 4 3 4" xfId="2062" xr:uid="{00000000-0005-0000-0000-00000E0B0000}"/>
    <cellStyle name="Input 4 3 4 2" xfId="2063" xr:uid="{00000000-0005-0000-0000-00000F0B0000}"/>
    <cellStyle name="Input 4 3 4 3" xfId="2064" xr:uid="{00000000-0005-0000-0000-0000100B0000}"/>
    <cellStyle name="Input 4 3 4 4" xfId="3369" xr:uid="{00000000-0005-0000-0000-0000110B0000}"/>
    <cellStyle name="Input 4 3 5" xfId="2065" xr:uid="{00000000-0005-0000-0000-0000120B0000}"/>
    <cellStyle name="Input 4 3 6" xfId="2066" xr:uid="{00000000-0005-0000-0000-0000130B0000}"/>
    <cellStyle name="Input 4 3 7" xfId="2067" xr:uid="{00000000-0005-0000-0000-0000140B0000}"/>
    <cellStyle name="Input 4 3 8" xfId="2068" xr:uid="{00000000-0005-0000-0000-0000150B0000}"/>
    <cellStyle name="Input 4 4" xfId="2069" xr:uid="{00000000-0005-0000-0000-0000160B0000}"/>
    <cellStyle name="Input 4 4 2" xfId="2070" xr:uid="{00000000-0005-0000-0000-0000170B0000}"/>
    <cellStyle name="Input 4 4 2 2" xfId="2071" xr:uid="{00000000-0005-0000-0000-0000180B0000}"/>
    <cellStyle name="Input 4 4 2 2 2" xfId="2072" xr:uid="{00000000-0005-0000-0000-0000190B0000}"/>
    <cellStyle name="Input 4 4 2 2 3" xfId="2073" xr:uid="{00000000-0005-0000-0000-00001A0B0000}"/>
    <cellStyle name="Input 4 4 2 2 4" xfId="3474" xr:uid="{00000000-0005-0000-0000-00001B0B0000}"/>
    <cellStyle name="Input 4 4 2 3" xfId="2074" xr:uid="{00000000-0005-0000-0000-00001C0B0000}"/>
    <cellStyle name="Input 4 4 2 3 2" xfId="3675" xr:uid="{00000000-0005-0000-0000-00001D0B0000}"/>
    <cellStyle name="Input 4 4 2 4" xfId="2075" xr:uid="{00000000-0005-0000-0000-00001E0B0000}"/>
    <cellStyle name="Input 4 4 2 5" xfId="2076" xr:uid="{00000000-0005-0000-0000-00001F0B0000}"/>
    <cellStyle name="Input 4 4 2 6" xfId="3236" xr:uid="{00000000-0005-0000-0000-0000200B0000}"/>
    <cellStyle name="Input 4 4 3" xfId="2077" xr:uid="{00000000-0005-0000-0000-0000210B0000}"/>
    <cellStyle name="Input 4 4 3 2" xfId="2078" xr:uid="{00000000-0005-0000-0000-0000220B0000}"/>
    <cellStyle name="Input 4 4 3 3" xfId="2079" xr:uid="{00000000-0005-0000-0000-0000230B0000}"/>
    <cellStyle name="Input 4 4 3 4" xfId="3157" xr:uid="{00000000-0005-0000-0000-0000240B0000}"/>
    <cellStyle name="Input 4 4 4" xfId="2080" xr:uid="{00000000-0005-0000-0000-0000250B0000}"/>
    <cellStyle name="Input 4 4 4 2" xfId="2081" xr:uid="{00000000-0005-0000-0000-0000260B0000}"/>
    <cellStyle name="Input 4 4 4 3" xfId="2082" xr:uid="{00000000-0005-0000-0000-0000270B0000}"/>
    <cellStyle name="Input 4 4 4 4" xfId="3395" xr:uid="{00000000-0005-0000-0000-0000280B0000}"/>
    <cellStyle name="Input 4 4 5" xfId="2083" xr:uid="{00000000-0005-0000-0000-0000290B0000}"/>
    <cellStyle name="Input 4 4 6" xfId="2084" xr:uid="{00000000-0005-0000-0000-00002A0B0000}"/>
    <cellStyle name="Input 4 4 7" xfId="2085" xr:uid="{00000000-0005-0000-0000-00002B0B0000}"/>
    <cellStyle name="Input 4 4 8" xfId="2086" xr:uid="{00000000-0005-0000-0000-00002C0B0000}"/>
    <cellStyle name="Input 4 4 8 2" xfId="3960" xr:uid="{00000000-0005-0000-0000-00002D0B0000}"/>
    <cellStyle name="Input 4 4 9" xfId="3008" xr:uid="{00000000-0005-0000-0000-00002E0B0000}"/>
    <cellStyle name="Input 4 5" xfId="2087" xr:uid="{00000000-0005-0000-0000-00002F0B0000}"/>
    <cellStyle name="Input 4 5 2" xfId="2088" xr:uid="{00000000-0005-0000-0000-0000300B0000}"/>
    <cellStyle name="Input 4 5 2 2" xfId="2089" xr:uid="{00000000-0005-0000-0000-0000310B0000}"/>
    <cellStyle name="Input 4 5 2 3" xfId="2090" xr:uid="{00000000-0005-0000-0000-0000320B0000}"/>
    <cellStyle name="Input 4 5 2 4" xfId="3287" xr:uid="{00000000-0005-0000-0000-0000330B0000}"/>
    <cellStyle name="Input 4 5 3" xfId="2091" xr:uid="{00000000-0005-0000-0000-0000340B0000}"/>
    <cellStyle name="Input 4 5 3 2" xfId="2092" xr:uid="{00000000-0005-0000-0000-0000350B0000}"/>
    <cellStyle name="Input 4 5 3 3" xfId="2093" xr:uid="{00000000-0005-0000-0000-0000360B0000}"/>
    <cellStyle name="Input 4 5 3 4" xfId="3525" xr:uid="{00000000-0005-0000-0000-0000370B0000}"/>
    <cellStyle name="Input 4 5 4" xfId="2094" xr:uid="{00000000-0005-0000-0000-0000380B0000}"/>
    <cellStyle name="Input 4 5 4 2" xfId="3726" xr:uid="{00000000-0005-0000-0000-0000390B0000}"/>
    <cellStyle name="Input 4 5 5" xfId="2095" xr:uid="{00000000-0005-0000-0000-00003A0B0000}"/>
    <cellStyle name="Input 4 5 6" xfId="2096" xr:uid="{00000000-0005-0000-0000-00003B0B0000}"/>
    <cellStyle name="Input 4 5 7" xfId="2097" xr:uid="{00000000-0005-0000-0000-00003C0B0000}"/>
    <cellStyle name="Input 4 5 8" xfId="3047" xr:uid="{00000000-0005-0000-0000-00003D0B0000}"/>
    <cellStyle name="Input 4 6" xfId="2098" xr:uid="{00000000-0005-0000-0000-00003E0B0000}"/>
    <cellStyle name="Input 4 6 2" xfId="2099" xr:uid="{00000000-0005-0000-0000-00003F0B0000}"/>
    <cellStyle name="Input 4 6 2 2" xfId="2100" xr:uid="{00000000-0005-0000-0000-0000400B0000}"/>
    <cellStyle name="Input 4 6 2 3" xfId="2101" xr:uid="{00000000-0005-0000-0000-0000410B0000}"/>
    <cellStyle name="Input 4 6 2 4" xfId="3218" xr:uid="{00000000-0005-0000-0000-0000420B0000}"/>
    <cellStyle name="Input 4 6 3" xfId="2102" xr:uid="{00000000-0005-0000-0000-0000430B0000}"/>
    <cellStyle name="Input 4 6 3 2" xfId="2103" xr:uid="{00000000-0005-0000-0000-0000440B0000}"/>
    <cellStyle name="Input 4 6 3 3" xfId="2104" xr:uid="{00000000-0005-0000-0000-0000450B0000}"/>
    <cellStyle name="Input 4 6 3 4" xfId="3456" xr:uid="{00000000-0005-0000-0000-0000460B0000}"/>
    <cellStyle name="Input 4 6 4" xfId="2105" xr:uid="{00000000-0005-0000-0000-0000470B0000}"/>
    <cellStyle name="Input 4 6 4 2" xfId="3657" xr:uid="{00000000-0005-0000-0000-0000480B0000}"/>
    <cellStyle name="Input 4 6 5" xfId="2106" xr:uid="{00000000-0005-0000-0000-0000490B0000}"/>
    <cellStyle name="Input 4 6 6" xfId="2107" xr:uid="{00000000-0005-0000-0000-00004A0B0000}"/>
    <cellStyle name="Input 4 6 7" xfId="2108" xr:uid="{00000000-0005-0000-0000-00004B0B0000}"/>
    <cellStyle name="Input 4 6 7 2" xfId="3948" xr:uid="{00000000-0005-0000-0000-00004C0B0000}"/>
    <cellStyle name="Input 4 6 8" xfId="2994" xr:uid="{00000000-0005-0000-0000-00004D0B0000}"/>
    <cellStyle name="Input 4 7" xfId="2109" xr:uid="{00000000-0005-0000-0000-00004E0B0000}"/>
    <cellStyle name="Input 4 7 2" xfId="2110" xr:uid="{00000000-0005-0000-0000-00004F0B0000}"/>
    <cellStyle name="Input 4 7 2 2" xfId="2111" xr:uid="{00000000-0005-0000-0000-0000500B0000}"/>
    <cellStyle name="Input 4 7 2 3" xfId="2112" xr:uid="{00000000-0005-0000-0000-0000510B0000}"/>
    <cellStyle name="Input 4 7 2 4" xfId="3223" xr:uid="{00000000-0005-0000-0000-0000520B0000}"/>
    <cellStyle name="Input 4 7 3" xfId="2113" xr:uid="{00000000-0005-0000-0000-0000530B0000}"/>
    <cellStyle name="Input 4 7 3 2" xfId="2114" xr:uid="{00000000-0005-0000-0000-0000540B0000}"/>
    <cellStyle name="Input 4 7 3 3" xfId="2115" xr:uid="{00000000-0005-0000-0000-0000550B0000}"/>
    <cellStyle name="Input 4 7 3 4" xfId="3461" xr:uid="{00000000-0005-0000-0000-0000560B0000}"/>
    <cellStyle name="Input 4 7 4" xfId="2116" xr:uid="{00000000-0005-0000-0000-0000570B0000}"/>
    <cellStyle name="Input 4 7 4 2" xfId="3662" xr:uid="{00000000-0005-0000-0000-0000580B0000}"/>
    <cellStyle name="Input 4 7 5" xfId="2117" xr:uid="{00000000-0005-0000-0000-0000590B0000}"/>
    <cellStyle name="Input 4 7 6" xfId="2118" xr:uid="{00000000-0005-0000-0000-00005A0B0000}"/>
    <cellStyle name="Input 4 7 7" xfId="2119" xr:uid="{00000000-0005-0000-0000-00005B0B0000}"/>
    <cellStyle name="Input 4 7 7 2" xfId="3953" xr:uid="{00000000-0005-0000-0000-00005C0B0000}"/>
    <cellStyle name="Input 4 7 8" xfId="2999" xr:uid="{00000000-0005-0000-0000-00005D0B0000}"/>
    <cellStyle name="Input 4 8" xfId="2120" xr:uid="{00000000-0005-0000-0000-00005E0B0000}"/>
    <cellStyle name="Input 4 8 2" xfId="2121" xr:uid="{00000000-0005-0000-0000-00005F0B0000}"/>
    <cellStyle name="Input 4 8 2 2" xfId="2122" xr:uid="{00000000-0005-0000-0000-0000600B0000}"/>
    <cellStyle name="Input 4 8 2 3" xfId="2123" xr:uid="{00000000-0005-0000-0000-0000610B0000}"/>
    <cellStyle name="Input 4 8 2 4" xfId="3257" xr:uid="{00000000-0005-0000-0000-0000620B0000}"/>
    <cellStyle name="Input 4 8 3" xfId="2124" xr:uid="{00000000-0005-0000-0000-0000630B0000}"/>
    <cellStyle name="Input 4 8 3 2" xfId="2125" xr:uid="{00000000-0005-0000-0000-0000640B0000}"/>
    <cellStyle name="Input 4 8 3 3" xfId="2126" xr:uid="{00000000-0005-0000-0000-0000650B0000}"/>
    <cellStyle name="Input 4 8 3 4" xfId="3495" xr:uid="{00000000-0005-0000-0000-0000660B0000}"/>
    <cellStyle name="Input 4 8 4" xfId="2127" xr:uid="{00000000-0005-0000-0000-0000670B0000}"/>
    <cellStyle name="Input 4 8 4 2" xfId="3696" xr:uid="{00000000-0005-0000-0000-0000680B0000}"/>
    <cellStyle name="Input 4 8 5" xfId="2128" xr:uid="{00000000-0005-0000-0000-0000690B0000}"/>
    <cellStyle name="Input 4 8 6" xfId="2129" xr:uid="{00000000-0005-0000-0000-00006A0B0000}"/>
    <cellStyle name="Input 4 8 7" xfId="2130" xr:uid="{00000000-0005-0000-0000-00006B0B0000}"/>
    <cellStyle name="Input 4 8 7 2" xfId="3969" xr:uid="{00000000-0005-0000-0000-00006C0B0000}"/>
    <cellStyle name="Input 4 8 8" xfId="3026" xr:uid="{00000000-0005-0000-0000-00006D0B0000}"/>
    <cellStyle name="Input 4 9" xfId="2131" xr:uid="{00000000-0005-0000-0000-00006E0B0000}"/>
    <cellStyle name="Input 4 9 2" xfId="2132" xr:uid="{00000000-0005-0000-0000-00006F0B0000}"/>
    <cellStyle name="Input 4 9 2 2" xfId="2133" xr:uid="{00000000-0005-0000-0000-0000700B0000}"/>
    <cellStyle name="Input 4 9 2 3" xfId="2134" xr:uid="{00000000-0005-0000-0000-0000710B0000}"/>
    <cellStyle name="Input 4 9 2 4" xfId="3424" xr:uid="{00000000-0005-0000-0000-0000720B0000}"/>
    <cellStyle name="Input 4 9 3" xfId="2135" xr:uid="{00000000-0005-0000-0000-0000730B0000}"/>
    <cellStyle name="Input 4 9 3 2" xfId="3625" xr:uid="{00000000-0005-0000-0000-0000740B0000}"/>
    <cellStyle name="Input 4 9 4" xfId="2136" xr:uid="{00000000-0005-0000-0000-0000750B0000}"/>
    <cellStyle name="Input 4 9 5" xfId="2137" xr:uid="{00000000-0005-0000-0000-0000760B0000}"/>
    <cellStyle name="Input 4 9 6" xfId="3186" xr:uid="{00000000-0005-0000-0000-0000770B0000}"/>
    <cellStyle name="Link Currency (0)" xfId="2138" xr:uid="{00000000-0005-0000-0000-0000780B0000}"/>
    <cellStyle name="Link Currency (2)" xfId="2139" xr:uid="{00000000-0005-0000-0000-0000790B0000}"/>
    <cellStyle name="Link Units (0)" xfId="2140" xr:uid="{00000000-0005-0000-0000-00007A0B0000}"/>
    <cellStyle name="Link Units (1)" xfId="2141" xr:uid="{00000000-0005-0000-0000-00007B0B0000}"/>
    <cellStyle name="Link Units (2)" xfId="2142" xr:uid="{00000000-0005-0000-0000-00007C0B0000}"/>
    <cellStyle name="Linked Cell 2" xfId="2143" xr:uid="{00000000-0005-0000-0000-00007D0B0000}"/>
    <cellStyle name="Linked Cell 2 2" xfId="2144" xr:uid="{00000000-0005-0000-0000-00007E0B0000}"/>
    <cellStyle name="Linked Cell 2 3" xfId="2145" xr:uid="{00000000-0005-0000-0000-00007F0B0000}"/>
    <cellStyle name="Neutral 2" xfId="2146" xr:uid="{00000000-0005-0000-0000-0000800B0000}"/>
    <cellStyle name="Neutral 2 2" xfId="2147" xr:uid="{00000000-0005-0000-0000-0000810B0000}"/>
    <cellStyle name="Neutral 2 3" xfId="2148" xr:uid="{00000000-0005-0000-0000-0000820B0000}"/>
    <cellStyle name="Normal" xfId="0" builtinId="0"/>
    <cellStyle name="Normal - Style1" xfId="2149" xr:uid="{00000000-0005-0000-0000-0000840B0000}"/>
    <cellStyle name="Normal 10" xfId="2150" xr:uid="{00000000-0005-0000-0000-0000850B0000}"/>
    <cellStyle name="Normal 10 10 3 2 2" xfId="4089" xr:uid="{C7EC06C6-CCBD-445B-B33D-9A4EDB1EE3DA}"/>
    <cellStyle name="Normal 10 2 2" xfId="4086" xr:uid="{21E95234-7A98-4528-8900-6B3F98D9604F}"/>
    <cellStyle name="Normal 10 2 5" xfId="4070" xr:uid="{8FDF953E-0434-4E01-9380-BE8C4D72CD47}"/>
    <cellStyle name="Normal 11" xfId="2151" xr:uid="{00000000-0005-0000-0000-0000860B0000}"/>
    <cellStyle name="Normal 11 2" xfId="4065" xr:uid="{00000000-0005-0000-0000-0000870B0000}"/>
    <cellStyle name="Normal 12" xfId="2152" xr:uid="{00000000-0005-0000-0000-0000880B0000}"/>
    <cellStyle name="Normal 13" xfId="2153" xr:uid="{00000000-0005-0000-0000-0000890B0000}"/>
    <cellStyle name="Normal 14" xfId="2154" xr:uid="{00000000-0005-0000-0000-00008A0B0000}"/>
    <cellStyle name="Normal 14 2" xfId="4064" xr:uid="{00000000-0005-0000-0000-00008B0B0000}"/>
    <cellStyle name="Normal 15" xfId="2155" xr:uid="{00000000-0005-0000-0000-00008C0B0000}"/>
    <cellStyle name="Normal 16" xfId="2156" xr:uid="{00000000-0005-0000-0000-00008D0B0000}"/>
    <cellStyle name="Normal 17" xfId="2157" xr:uid="{00000000-0005-0000-0000-00008E0B0000}"/>
    <cellStyle name="Normal 18" xfId="2158" xr:uid="{00000000-0005-0000-0000-00008F0B0000}"/>
    <cellStyle name="Normal 19" xfId="2159" xr:uid="{00000000-0005-0000-0000-0000900B0000}"/>
    <cellStyle name="Normal 2" xfId="2160" xr:uid="{00000000-0005-0000-0000-0000910B0000}"/>
    <cellStyle name="Normal 2 10 2 2" xfId="4066" xr:uid="{00000000-0005-0000-0000-0000920B0000}"/>
    <cellStyle name="Normal 2 2" xfId="2161" xr:uid="{00000000-0005-0000-0000-0000930B0000}"/>
    <cellStyle name="Normal 2 2 2" xfId="4052" xr:uid="{00000000-0005-0000-0000-0000940B0000}"/>
    <cellStyle name="Normal 2 3" xfId="2162" xr:uid="{00000000-0005-0000-0000-0000950B0000}"/>
    <cellStyle name="Normal 2 3 2" xfId="2163" xr:uid="{00000000-0005-0000-0000-0000960B0000}"/>
    <cellStyle name="Normal 2 3 3" xfId="2164" xr:uid="{00000000-0005-0000-0000-0000970B0000}"/>
    <cellStyle name="Normal 2 4" xfId="2165" xr:uid="{00000000-0005-0000-0000-0000980B0000}"/>
    <cellStyle name="Normal 2_Policies_Final-25.07.2015" xfId="4022" xr:uid="{00000000-0005-0000-0000-0000990B0000}"/>
    <cellStyle name="Normal 20" xfId="2166" xr:uid="{00000000-0005-0000-0000-00009A0B0000}"/>
    <cellStyle name="Normal 20 3" xfId="4023" xr:uid="{00000000-0005-0000-0000-00009B0B0000}"/>
    <cellStyle name="Normal 21" xfId="2167" xr:uid="{00000000-0005-0000-0000-00009C0B0000}"/>
    <cellStyle name="Normal 22" xfId="2168" xr:uid="{00000000-0005-0000-0000-00009D0B0000}"/>
    <cellStyle name="Normal 23" xfId="2169" xr:uid="{00000000-0005-0000-0000-00009E0B0000}"/>
    <cellStyle name="Normal 24" xfId="2170" xr:uid="{00000000-0005-0000-0000-00009F0B0000}"/>
    <cellStyle name="Normal 25" xfId="2171" xr:uid="{00000000-0005-0000-0000-0000A00B0000}"/>
    <cellStyle name="Normal 26" xfId="2172" xr:uid="{00000000-0005-0000-0000-0000A10B0000}"/>
    <cellStyle name="Normal 27" xfId="4026" xr:uid="{00000000-0005-0000-0000-0000A20B0000}"/>
    <cellStyle name="Normal 27 2" xfId="4062" xr:uid="{00000000-0005-0000-0000-0000A30B0000}"/>
    <cellStyle name="Normal 28" xfId="4058" xr:uid="{00000000-0005-0000-0000-0000A40B0000}"/>
    <cellStyle name="Normal 29" xfId="4060" xr:uid="{00000000-0005-0000-0000-0000A50B0000}"/>
    <cellStyle name="Normal 3" xfId="2173" xr:uid="{00000000-0005-0000-0000-0000A60B0000}"/>
    <cellStyle name="Normal 3 2" xfId="2174" xr:uid="{00000000-0005-0000-0000-0000A70B0000}"/>
    <cellStyle name="Normal 30" xfId="4061" xr:uid="{00000000-0005-0000-0000-0000A80B0000}"/>
    <cellStyle name="Normal 31" xfId="4076" xr:uid="{00000000-0005-0000-0000-00001B100000}"/>
    <cellStyle name="Normal 31 2" xfId="4080" xr:uid="{74434D7C-9B00-4581-ACAE-10EBC2D4CF38}"/>
    <cellStyle name="Normal 32" xfId="4078" xr:uid="{EF34EBB4-4ADA-4E09-845C-8468CEAAEB17}"/>
    <cellStyle name="Normal 34 2 2" xfId="4063" xr:uid="{00000000-0005-0000-0000-0000A90B0000}"/>
    <cellStyle name="Normal 4" xfId="2175" xr:uid="{00000000-0005-0000-0000-0000AA0B0000}"/>
    <cellStyle name="Normal 4 2" xfId="2176" xr:uid="{00000000-0005-0000-0000-0000AB0B0000}"/>
    <cellStyle name="Normal 4 2 2" xfId="4053" xr:uid="{00000000-0005-0000-0000-0000AC0B0000}"/>
    <cellStyle name="Normal 4 2 3" xfId="4054" xr:uid="{00000000-0005-0000-0000-0000AD0B0000}"/>
    <cellStyle name="Normal 4 3" xfId="4055" xr:uid="{00000000-0005-0000-0000-0000AE0B0000}"/>
    <cellStyle name="Normal 4 4" xfId="4056" xr:uid="{00000000-0005-0000-0000-0000AF0B0000}"/>
    <cellStyle name="Normal 49 2" xfId="4024" xr:uid="{00000000-0005-0000-0000-0000B00B0000}"/>
    <cellStyle name="Normal 5" xfId="2177" xr:uid="{00000000-0005-0000-0000-0000B10B0000}"/>
    <cellStyle name="Normal 5 2" xfId="2178" xr:uid="{00000000-0005-0000-0000-0000B20B0000}"/>
    <cellStyle name="Normal 5 23 2 2 2 2 4" xfId="4069" xr:uid="{1EB15D72-8AC7-4C5A-91C8-006B0C3997AC}"/>
    <cellStyle name="Normal 6" xfId="2179" xr:uid="{00000000-0005-0000-0000-0000B30B0000}"/>
    <cellStyle name="Normal 7" xfId="2180" xr:uid="{00000000-0005-0000-0000-0000B40B0000}"/>
    <cellStyle name="Normal 7 2" xfId="2181" xr:uid="{00000000-0005-0000-0000-0000B50B0000}"/>
    <cellStyle name="Normal 7 3" xfId="2182" xr:uid="{00000000-0005-0000-0000-0000B60B0000}"/>
    <cellStyle name="Normal 8" xfId="2183" xr:uid="{00000000-0005-0000-0000-0000B70B0000}"/>
    <cellStyle name="Normal 9" xfId="2184" xr:uid="{00000000-0005-0000-0000-0000B80B0000}"/>
    <cellStyle name="Normal_Clause 14 March-09-updated received from Anand 2" xfId="4087" xr:uid="{BAFF32A1-0754-40D5-852A-D294CD4A6633}"/>
    <cellStyle name="Normal_Deferred Tax-31 December 2005" xfId="4088" xr:uid="{AEF14E91-6114-4644-8485-E28442C75D7E}"/>
    <cellStyle name="Normal_FAR_MAR10 2" xfId="4083" xr:uid="{7530C5B0-4D60-4D7B-BAEA-DAA84BE58870}"/>
    <cellStyle name="Normal_Listing-June-03 2 2 2" xfId="4072" xr:uid="{44ED09B9-D698-4736-BE74-AD11698E1044}"/>
    <cellStyle name="Normal_TAXAUD_99-00" xfId="4082" xr:uid="{A6D1C89A-E862-4243-890E-9A04FE9A7A60}"/>
    <cellStyle name="Note 2" xfId="2185" xr:uid="{00000000-0005-0000-0000-0000B90B0000}"/>
    <cellStyle name="Note 2 2" xfId="2186" xr:uid="{00000000-0005-0000-0000-0000BA0B0000}"/>
    <cellStyle name="Note 2 2 2" xfId="2187" xr:uid="{00000000-0005-0000-0000-0000BB0B0000}"/>
    <cellStyle name="Note 2 2 2 2" xfId="2188" xr:uid="{00000000-0005-0000-0000-0000BC0B0000}"/>
    <cellStyle name="Note 2 2 2 2 2" xfId="2189" xr:uid="{00000000-0005-0000-0000-0000BD0B0000}"/>
    <cellStyle name="Note 2 2 2 2 3" xfId="2190" xr:uid="{00000000-0005-0000-0000-0000BE0B0000}"/>
    <cellStyle name="Note 2 2 2 2 4" xfId="3506" xr:uid="{00000000-0005-0000-0000-0000BF0B0000}"/>
    <cellStyle name="Note 2 2 2 3" xfId="2191" xr:uid="{00000000-0005-0000-0000-0000C00B0000}"/>
    <cellStyle name="Note 2 2 2 3 2" xfId="3707" xr:uid="{00000000-0005-0000-0000-0000C10B0000}"/>
    <cellStyle name="Note 2 2 2 4" xfId="2192" xr:uid="{00000000-0005-0000-0000-0000C20B0000}"/>
    <cellStyle name="Note 2 2 2 5" xfId="2193" xr:uid="{00000000-0005-0000-0000-0000C30B0000}"/>
    <cellStyle name="Note 2 2 2 6" xfId="3268" xr:uid="{00000000-0005-0000-0000-0000C40B0000}"/>
    <cellStyle name="Note 2 2 3" xfId="2194" xr:uid="{00000000-0005-0000-0000-0000C50B0000}"/>
    <cellStyle name="Note 2 2 3 2" xfId="2195" xr:uid="{00000000-0005-0000-0000-0000C60B0000}"/>
    <cellStyle name="Note 2 2 3 3" xfId="2196" xr:uid="{00000000-0005-0000-0000-0000C70B0000}"/>
    <cellStyle name="Note 2 2 3 3 2" xfId="3901" xr:uid="{00000000-0005-0000-0000-0000C80B0000}"/>
    <cellStyle name="Note 2 2 3 4" xfId="2197" xr:uid="{00000000-0005-0000-0000-0000C90B0000}"/>
    <cellStyle name="Note 2 2 3 5" xfId="3132" xr:uid="{00000000-0005-0000-0000-0000CA0B0000}"/>
    <cellStyle name="Note 2 2 4" xfId="2198" xr:uid="{00000000-0005-0000-0000-0000CB0B0000}"/>
    <cellStyle name="Note 2 2 4 2" xfId="2199" xr:uid="{00000000-0005-0000-0000-0000CC0B0000}"/>
    <cellStyle name="Note 2 2 4 3" xfId="2200" xr:uid="{00000000-0005-0000-0000-0000CD0B0000}"/>
    <cellStyle name="Note 2 2 4 3 2" xfId="3902" xr:uid="{00000000-0005-0000-0000-0000CE0B0000}"/>
    <cellStyle name="Note 2 2 4 4" xfId="2201" xr:uid="{00000000-0005-0000-0000-0000CF0B0000}"/>
    <cellStyle name="Note 2 2 4 5" xfId="3370" xr:uid="{00000000-0005-0000-0000-0000D00B0000}"/>
    <cellStyle name="Note 2 2 5" xfId="2202" xr:uid="{00000000-0005-0000-0000-0000D10B0000}"/>
    <cellStyle name="Note 2 2 6" xfId="2203" xr:uid="{00000000-0005-0000-0000-0000D20B0000}"/>
    <cellStyle name="Note 2 2 7" xfId="2204" xr:uid="{00000000-0005-0000-0000-0000D30B0000}"/>
    <cellStyle name="Note 2 2 8" xfId="2205" xr:uid="{00000000-0005-0000-0000-0000D40B0000}"/>
    <cellStyle name="Note 2 3" xfId="2206" xr:uid="{00000000-0005-0000-0000-0000D50B0000}"/>
    <cellStyle name="Note 2 3 2" xfId="2207" xr:uid="{00000000-0005-0000-0000-0000D60B0000}"/>
    <cellStyle name="Note 2 3 2 2" xfId="2208" xr:uid="{00000000-0005-0000-0000-0000D70B0000}"/>
    <cellStyle name="Note 2 3 2 2 2" xfId="2209" xr:uid="{00000000-0005-0000-0000-0000D80B0000}"/>
    <cellStyle name="Note 2 3 2 2 3" xfId="2210" xr:uid="{00000000-0005-0000-0000-0000D90B0000}"/>
    <cellStyle name="Note 2 3 2 2 4" xfId="3521" xr:uid="{00000000-0005-0000-0000-0000DA0B0000}"/>
    <cellStyle name="Note 2 3 2 3" xfId="2211" xr:uid="{00000000-0005-0000-0000-0000DB0B0000}"/>
    <cellStyle name="Note 2 3 2 3 2" xfId="3722" xr:uid="{00000000-0005-0000-0000-0000DC0B0000}"/>
    <cellStyle name="Note 2 3 2 4" xfId="2212" xr:uid="{00000000-0005-0000-0000-0000DD0B0000}"/>
    <cellStyle name="Note 2 3 2 5" xfId="2213" xr:uid="{00000000-0005-0000-0000-0000DE0B0000}"/>
    <cellStyle name="Note 2 3 2 6" xfId="3283" xr:uid="{00000000-0005-0000-0000-0000DF0B0000}"/>
    <cellStyle name="Note 2 3 3" xfId="2214" xr:uid="{00000000-0005-0000-0000-0000E00B0000}"/>
    <cellStyle name="Note 2 3 3 2" xfId="2215" xr:uid="{00000000-0005-0000-0000-0000E10B0000}"/>
    <cellStyle name="Note 2 3 3 3" xfId="2216" xr:uid="{00000000-0005-0000-0000-0000E20B0000}"/>
    <cellStyle name="Note 2 3 3 3 2" xfId="3903" xr:uid="{00000000-0005-0000-0000-0000E30B0000}"/>
    <cellStyle name="Note 2 3 3 4" xfId="2217" xr:uid="{00000000-0005-0000-0000-0000E40B0000}"/>
    <cellStyle name="Note 2 3 3 5" xfId="3158" xr:uid="{00000000-0005-0000-0000-0000E50B0000}"/>
    <cellStyle name="Note 2 3 4" xfId="2218" xr:uid="{00000000-0005-0000-0000-0000E60B0000}"/>
    <cellStyle name="Note 2 3 4 2" xfId="2219" xr:uid="{00000000-0005-0000-0000-0000E70B0000}"/>
    <cellStyle name="Note 2 3 4 3" xfId="2220" xr:uid="{00000000-0005-0000-0000-0000E80B0000}"/>
    <cellStyle name="Note 2 3 4 3 2" xfId="3904" xr:uid="{00000000-0005-0000-0000-0000E90B0000}"/>
    <cellStyle name="Note 2 3 4 4" xfId="2221" xr:uid="{00000000-0005-0000-0000-0000EA0B0000}"/>
    <cellStyle name="Note 2 3 4 5" xfId="3396" xr:uid="{00000000-0005-0000-0000-0000EB0B0000}"/>
    <cellStyle name="Note 2 3 5" xfId="2222" xr:uid="{00000000-0005-0000-0000-0000EC0B0000}"/>
    <cellStyle name="Note 2 3 6" xfId="2223" xr:uid="{00000000-0005-0000-0000-0000ED0B0000}"/>
    <cellStyle name="Note 2 3 7" xfId="2224" xr:uid="{00000000-0005-0000-0000-0000EE0B0000}"/>
    <cellStyle name="Note 2 3 8" xfId="3043" xr:uid="{00000000-0005-0000-0000-0000EF0B0000}"/>
    <cellStyle name="Note 2 4" xfId="2225" xr:uid="{00000000-0005-0000-0000-0000F00B0000}"/>
    <cellStyle name="Note 2 4 2" xfId="2226" xr:uid="{00000000-0005-0000-0000-0000F10B0000}"/>
    <cellStyle name="Note 2 4 2 2" xfId="2227" xr:uid="{00000000-0005-0000-0000-0000F20B0000}"/>
    <cellStyle name="Note 2 4 2 3" xfId="2228" xr:uid="{00000000-0005-0000-0000-0000F30B0000}"/>
    <cellStyle name="Note 2 4 2 3 2" xfId="3905" xr:uid="{00000000-0005-0000-0000-0000F40B0000}"/>
    <cellStyle name="Note 2 4 2 4" xfId="2229" xr:uid="{00000000-0005-0000-0000-0000F50B0000}"/>
    <cellStyle name="Note 2 4 2 5" xfId="3261" xr:uid="{00000000-0005-0000-0000-0000F60B0000}"/>
    <cellStyle name="Note 2 4 3" xfId="2230" xr:uid="{00000000-0005-0000-0000-0000F70B0000}"/>
    <cellStyle name="Note 2 4 3 2" xfId="2231" xr:uid="{00000000-0005-0000-0000-0000F80B0000}"/>
    <cellStyle name="Note 2 4 3 3" xfId="2232" xr:uid="{00000000-0005-0000-0000-0000F90B0000}"/>
    <cellStyle name="Note 2 4 3 4" xfId="3499" xr:uid="{00000000-0005-0000-0000-0000FA0B0000}"/>
    <cellStyle name="Note 2 4 4" xfId="2233" xr:uid="{00000000-0005-0000-0000-0000FB0B0000}"/>
    <cellStyle name="Note 2 4 4 2" xfId="3700" xr:uid="{00000000-0005-0000-0000-0000FC0B0000}"/>
    <cellStyle name="Note 2 4 5" xfId="2234" xr:uid="{00000000-0005-0000-0000-0000FD0B0000}"/>
    <cellStyle name="Note 2 4 6" xfId="2235" xr:uid="{00000000-0005-0000-0000-0000FE0B0000}"/>
    <cellStyle name="Note 2 4 7" xfId="2236" xr:uid="{00000000-0005-0000-0000-0000FF0B0000}"/>
    <cellStyle name="Note 2 4 8" xfId="3027" xr:uid="{00000000-0005-0000-0000-0000000C0000}"/>
    <cellStyle name="Note 2 5" xfId="2237" xr:uid="{00000000-0005-0000-0000-0000010C0000}"/>
    <cellStyle name="Note 2 5 2" xfId="2238" xr:uid="{00000000-0005-0000-0000-0000020C0000}"/>
    <cellStyle name="Note 2 5 2 2" xfId="2239" xr:uid="{00000000-0005-0000-0000-0000030C0000}"/>
    <cellStyle name="Note 2 5 2 3" xfId="2240" xr:uid="{00000000-0005-0000-0000-0000040C0000}"/>
    <cellStyle name="Note 2 5 2 3 2" xfId="3906" xr:uid="{00000000-0005-0000-0000-0000050C0000}"/>
    <cellStyle name="Note 2 5 2 4" xfId="2241" xr:uid="{00000000-0005-0000-0000-0000060C0000}"/>
    <cellStyle name="Note 2 5 2 5" xfId="3306" xr:uid="{00000000-0005-0000-0000-0000070C0000}"/>
    <cellStyle name="Note 2 5 3" xfId="2242" xr:uid="{00000000-0005-0000-0000-0000080C0000}"/>
    <cellStyle name="Note 2 5 3 2" xfId="2243" xr:uid="{00000000-0005-0000-0000-0000090C0000}"/>
    <cellStyle name="Note 2 5 3 3" xfId="2244" xr:uid="{00000000-0005-0000-0000-00000A0C0000}"/>
    <cellStyle name="Note 2 5 3 4" xfId="3544" xr:uid="{00000000-0005-0000-0000-00000B0C0000}"/>
    <cellStyle name="Note 2 5 4" xfId="2245" xr:uid="{00000000-0005-0000-0000-00000C0C0000}"/>
    <cellStyle name="Note 2 5 4 2" xfId="3745" xr:uid="{00000000-0005-0000-0000-00000D0C0000}"/>
    <cellStyle name="Note 2 5 5" xfId="2246" xr:uid="{00000000-0005-0000-0000-00000E0C0000}"/>
    <cellStyle name="Note 2 5 6" xfId="2247" xr:uid="{00000000-0005-0000-0000-00000F0C0000}"/>
    <cellStyle name="Note 2 5 7" xfId="2248" xr:uid="{00000000-0005-0000-0000-0000100C0000}"/>
    <cellStyle name="Note 2 5 7 2" xfId="3993" xr:uid="{00000000-0005-0000-0000-0000110C0000}"/>
    <cellStyle name="Note 2 5 8" xfId="3066" xr:uid="{00000000-0005-0000-0000-0000120C0000}"/>
    <cellStyle name="Note 2 6" xfId="2249" xr:uid="{00000000-0005-0000-0000-0000130C0000}"/>
    <cellStyle name="Note 2 6 2" xfId="2250" xr:uid="{00000000-0005-0000-0000-0000140C0000}"/>
    <cellStyle name="Note 2 6 2 2" xfId="2251" xr:uid="{00000000-0005-0000-0000-0000150C0000}"/>
    <cellStyle name="Note 2 6 2 3" xfId="2252" xr:uid="{00000000-0005-0000-0000-0000160C0000}"/>
    <cellStyle name="Note 2 6 2 3 2" xfId="3907" xr:uid="{00000000-0005-0000-0000-0000170C0000}"/>
    <cellStyle name="Note 2 6 2 4" xfId="2253" xr:uid="{00000000-0005-0000-0000-0000180C0000}"/>
    <cellStyle name="Note 2 6 2 5" xfId="3246" xr:uid="{00000000-0005-0000-0000-0000190C0000}"/>
    <cellStyle name="Note 2 6 3" xfId="2254" xr:uid="{00000000-0005-0000-0000-00001A0C0000}"/>
    <cellStyle name="Note 2 6 3 2" xfId="2255" xr:uid="{00000000-0005-0000-0000-00001B0C0000}"/>
    <cellStyle name="Note 2 6 3 3" xfId="2256" xr:uid="{00000000-0005-0000-0000-00001C0C0000}"/>
    <cellStyle name="Note 2 6 3 4" xfId="3484" xr:uid="{00000000-0005-0000-0000-00001D0C0000}"/>
    <cellStyle name="Note 2 6 4" xfId="2257" xr:uid="{00000000-0005-0000-0000-00001E0C0000}"/>
    <cellStyle name="Note 2 6 4 2" xfId="3685" xr:uid="{00000000-0005-0000-0000-00001F0C0000}"/>
    <cellStyle name="Note 2 6 5" xfId="2258" xr:uid="{00000000-0005-0000-0000-0000200C0000}"/>
    <cellStyle name="Note 2 6 6" xfId="2259" xr:uid="{00000000-0005-0000-0000-0000210C0000}"/>
    <cellStyle name="Note 2 6 7" xfId="2260" xr:uid="{00000000-0005-0000-0000-0000220C0000}"/>
    <cellStyle name="Note 2 6 7 2" xfId="3966" xr:uid="{00000000-0005-0000-0000-0000230C0000}"/>
    <cellStyle name="Note 2 6 8" xfId="3018" xr:uid="{00000000-0005-0000-0000-0000240C0000}"/>
    <cellStyle name="Note 2 7" xfId="2261" xr:uid="{00000000-0005-0000-0000-0000250C0000}"/>
    <cellStyle name="Note 2 7 2" xfId="2262" xr:uid="{00000000-0005-0000-0000-0000260C0000}"/>
    <cellStyle name="Note 2 7 2 2" xfId="2263" xr:uid="{00000000-0005-0000-0000-0000270C0000}"/>
    <cellStyle name="Note 2 7 2 3" xfId="2264" xr:uid="{00000000-0005-0000-0000-0000280C0000}"/>
    <cellStyle name="Note 2 7 2 4" xfId="3425" xr:uid="{00000000-0005-0000-0000-0000290C0000}"/>
    <cellStyle name="Note 2 7 3" xfId="2265" xr:uid="{00000000-0005-0000-0000-00002A0C0000}"/>
    <cellStyle name="Note 2 7 3 2" xfId="3626" xr:uid="{00000000-0005-0000-0000-00002B0C0000}"/>
    <cellStyle name="Note 2 7 4" xfId="2266" xr:uid="{00000000-0005-0000-0000-00002C0C0000}"/>
    <cellStyle name="Note 2 7 5" xfId="2267" xr:uid="{00000000-0005-0000-0000-00002D0C0000}"/>
    <cellStyle name="Note 2 7 6" xfId="3187" xr:uid="{00000000-0005-0000-0000-00002E0C0000}"/>
    <cellStyle name="Note 2 8" xfId="2268" xr:uid="{00000000-0005-0000-0000-00002F0C0000}"/>
    <cellStyle name="Note 2 9" xfId="2269" xr:uid="{00000000-0005-0000-0000-0000300C0000}"/>
    <cellStyle name="Note 3" xfId="2270" xr:uid="{00000000-0005-0000-0000-0000310C0000}"/>
    <cellStyle name="Note 3 10" xfId="2271" xr:uid="{00000000-0005-0000-0000-0000320C0000}"/>
    <cellStyle name="Note 3 10 2" xfId="3593" xr:uid="{00000000-0005-0000-0000-0000330C0000}"/>
    <cellStyle name="Note 3 11" xfId="2272" xr:uid="{00000000-0005-0000-0000-0000340C0000}"/>
    <cellStyle name="Note 3 12" xfId="2273" xr:uid="{00000000-0005-0000-0000-0000350C0000}"/>
    <cellStyle name="Note 3 2" xfId="2274" xr:uid="{00000000-0005-0000-0000-0000360C0000}"/>
    <cellStyle name="Note 3 2 2" xfId="2275" xr:uid="{00000000-0005-0000-0000-0000370C0000}"/>
    <cellStyle name="Note 3 2 2 2" xfId="2276" xr:uid="{00000000-0005-0000-0000-0000380C0000}"/>
    <cellStyle name="Note 3 2 2 2 2" xfId="2277" xr:uid="{00000000-0005-0000-0000-0000390C0000}"/>
    <cellStyle name="Note 3 2 2 2 3" xfId="2278" xr:uid="{00000000-0005-0000-0000-00003A0C0000}"/>
    <cellStyle name="Note 3 2 2 2 4" xfId="3507" xr:uid="{00000000-0005-0000-0000-00003B0C0000}"/>
    <cellStyle name="Note 3 2 2 3" xfId="2279" xr:uid="{00000000-0005-0000-0000-00003C0C0000}"/>
    <cellStyle name="Note 3 2 2 3 2" xfId="3708" xr:uid="{00000000-0005-0000-0000-00003D0C0000}"/>
    <cellStyle name="Note 3 2 2 4" xfId="2280" xr:uid="{00000000-0005-0000-0000-00003E0C0000}"/>
    <cellStyle name="Note 3 2 2 5" xfId="2281" xr:uid="{00000000-0005-0000-0000-00003F0C0000}"/>
    <cellStyle name="Note 3 2 2 6" xfId="3269" xr:uid="{00000000-0005-0000-0000-0000400C0000}"/>
    <cellStyle name="Note 3 2 3" xfId="2282" xr:uid="{00000000-0005-0000-0000-0000410C0000}"/>
    <cellStyle name="Note 3 2 3 2" xfId="2283" xr:uid="{00000000-0005-0000-0000-0000420C0000}"/>
    <cellStyle name="Note 3 2 3 3" xfId="2284" xr:uid="{00000000-0005-0000-0000-0000430C0000}"/>
    <cellStyle name="Note 3 2 3 3 2" xfId="3908" xr:uid="{00000000-0005-0000-0000-0000440C0000}"/>
    <cellStyle name="Note 3 2 3 4" xfId="2285" xr:uid="{00000000-0005-0000-0000-0000450C0000}"/>
    <cellStyle name="Note 3 2 3 5" xfId="3133" xr:uid="{00000000-0005-0000-0000-0000460C0000}"/>
    <cellStyle name="Note 3 2 4" xfId="2286" xr:uid="{00000000-0005-0000-0000-0000470C0000}"/>
    <cellStyle name="Note 3 2 4 2" xfId="2287" xr:uid="{00000000-0005-0000-0000-0000480C0000}"/>
    <cellStyle name="Note 3 2 4 3" xfId="2288" xr:uid="{00000000-0005-0000-0000-0000490C0000}"/>
    <cellStyle name="Note 3 2 4 3 2" xfId="3909" xr:uid="{00000000-0005-0000-0000-00004A0C0000}"/>
    <cellStyle name="Note 3 2 4 4" xfId="2289" xr:uid="{00000000-0005-0000-0000-00004B0C0000}"/>
    <cellStyle name="Note 3 2 4 5" xfId="3371" xr:uid="{00000000-0005-0000-0000-00004C0C0000}"/>
    <cellStyle name="Note 3 2 5" xfId="2290" xr:uid="{00000000-0005-0000-0000-00004D0C0000}"/>
    <cellStyle name="Note 3 2 6" xfId="2291" xr:uid="{00000000-0005-0000-0000-00004E0C0000}"/>
    <cellStyle name="Note 3 2 7" xfId="2292" xr:uid="{00000000-0005-0000-0000-00004F0C0000}"/>
    <cellStyle name="Note 3 2 8" xfId="2293" xr:uid="{00000000-0005-0000-0000-0000500C0000}"/>
    <cellStyle name="Note 3 3" xfId="2294" xr:uid="{00000000-0005-0000-0000-0000510C0000}"/>
    <cellStyle name="Note 3 3 2" xfId="2295" xr:uid="{00000000-0005-0000-0000-0000520C0000}"/>
    <cellStyle name="Note 3 3 2 2" xfId="2296" xr:uid="{00000000-0005-0000-0000-0000530C0000}"/>
    <cellStyle name="Note 3 3 2 2 2" xfId="2297" xr:uid="{00000000-0005-0000-0000-0000540C0000}"/>
    <cellStyle name="Note 3 3 2 2 3" xfId="2298" xr:uid="{00000000-0005-0000-0000-0000550C0000}"/>
    <cellStyle name="Note 3 3 2 2 4" xfId="3522" xr:uid="{00000000-0005-0000-0000-0000560C0000}"/>
    <cellStyle name="Note 3 3 2 3" xfId="2299" xr:uid="{00000000-0005-0000-0000-0000570C0000}"/>
    <cellStyle name="Note 3 3 2 3 2" xfId="3723" xr:uid="{00000000-0005-0000-0000-0000580C0000}"/>
    <cellStyle name="Note 3 3 2 4" xfId="2300" xr:uid="{00000000-0005-0000-0000-0000590C0000}"/>
    <cellStyle name="Note 3 3 2 5" xfId="2301" xr:uid="{00000000-0005-0000-0000-00005A0C0000}"/>
    <cellStyle name="Note 3 3 2 6" xfId="3284" xr:uid="{00000000-0005-0000-0000-00005B0C0000}"/>
    <cellStyle name="Note 3 3 3" xfId="2302" xr:uid="{00000000-0005-0000-0000-00005C0C0000}"/>
    <cellStyle name="Note 3 3 3 2" xfId="2303" xr:uid="{00000000-0005-0000-0000-00005D0C0000}"/>
    <cellStyle name="Note 3 3 3 3" xfId="2304" xr:uid="{00000000-0005-0000-0000-00005E0C0000}"/>
    <cellStyle name="Note 3 3 3 3 2" xfId="3910" xr:uid="{00000000-0005-0000-0000-00005F0C0000}"/>
    <cellStyle name="Note 3 3 3 4" xfId="2305" xr:uid="{00000000-0005-0000-0000-0000600C0000}"/>
    <cellStyle name="Note 3 3 3 5" xfId="3159" xr:uid="{00000000-0005-0000-0000-0000610C0000}"/>
    <cellStyle name="Note 3 3 4" xfId="2306" xr:uid="{00000000-0005-0000-0000-0000620C0000}"/>
    <cellStyle name="Note 3 3 4 2" xfId="2307" xr:uid="{00000000-0005-0000-0000-0000630C0000}"/>
    <cellStyle name="Note 3 3 4 3" xfId="2308" xr:uid="{00000000-0005-0000-0000-0000640C0000}"/>
    <cellStyle name="Note 3 3 4 3 2" xfId="3911" xr:uid="{00000000-0005-0000-0000-0000650C0000}"/>
    <cellStyle name="Note 3 3 4 4" xfId="2309" xr:uid="{00000000-0005-0000-0000-0000660C0000}"/>
    <cellStyle name="Note 3 3 4 5" xfId="3397" xr:uid="{00000000-0005-0000-0000-0000670C0000}"/>
    <cellStyle name="Note 3 3 5" xfId="2310" xr:uid="{00000000-0005-0000-0000-0000680C0000}"/>
    <cellStyle name="Note 3 3 6" xfId="2311" xr:uid="{00000000-0005-0000-0000-0000690C0000}"/>
    <cellStyle name="Note 3 3 7" xfId="2312" xr:uid="{00000000-0005-0000-0000-00006A0C0000}"/>
    <cellStyle name="Note 3 3 8" xfId="3044" xr:uid="{00000000-0005-0000-0000-00006B0C0000}"/>
    <cellStyle name="Note 3 4" xfId="2313" xr:uid="{00000000-0005-0000-0000-00006C0C0000}"/>
    <cellStyle name="Note 3 4 2" xfId="2314" xr:uid="{00000000-0005-0000-0000-00006D0C0000}"/>
    <cellStyle name="Note 3 4 2 2" xfId="2315" xr:uid="{00000000-0005-0000-0000-00006E0C0000}"/>
    <cellStyle name="Note 3 4 2 3" xfId="2316" xr:uid="{00000000-0005-0000-0000-00006F0C0000}"/>
    <cellStyle name="Note 3 4 2 3 2" xfId="3912" xr:uid="{00000000-0005-0000-0000-0000700C0000}"/>
    <cellStyle name="Note 3 4 2 4" xfId="2317" xr:uid="{00000000-0005-0000-0000-0000710C0000}"/>
    <cellStyle name="Note 3 4 2 5" xfId="3256" xr:uid="{00000000-0005-0000-0000-0000720C0000}"/>
    <cellStyle name="Note 3 4 3" xfId="2318" xr:uid="{00000000-0005-0000-0000-0000730C0000}"/>
    <cellStyle name="Note 3 4 3 2" xfId="2319" xr:uid="{00000000-0005-0000-0000-0000740C0000}"/>
    <cellStyle name="Note 3 4 3 3" xfId="2320" xr:uid="{00000000-0005-0000-0000-0000750C0000}"/>
    <cellStyle name="Note 3 4 3 4" xfId="3494" xr:uid="{00000000-0005-0000-0000-0000760C0000}"/>
    <cellStyle name="Note 3 4 4" xfId="2321" xr:uid="{00000000-0005-0000-0000-0000770C0000}"/>
    <cellStyle name="Note 3 4 4 2" xfId="3695" xr:uid="{00000000-0005-0000-0000-0000780C0000}"/>
    <cellStyle name="Note 3 4 5" xfId="2322" xr:uid="{00000000-0005-0000-0000-0000790C0000}"/>
    <cellStyle name="Note 3 4 6" xfId="2323" xr:uid="{00000000-0005-0000-0000-00007A0C0000}"/>
    <cellStyle name="Note 3 4 7" xfId="2324" xr:uid="{00000000-0005-0000-0000-00007B0C0000}"/>
    <cellStyle name="Note 3 4 8" xfId="3025" xr:uid="{00000000-0005-0000-0000-00007C0C0000}"/>
    <cellStyle name="Note 3 5" xfId="2325" xr:uid="{00000000-0005-0000-0000-00007D0C0000}"/>
    <cellStyle name="Note 3 5 2" xfId="2326" xr:uid="{00000000-0005-0000-0000-00007E0C0000}"/>
    <cellStyle name="Note 3 5 2 2" xfId="2327" xr:uid="{00000000-0005-0000-0000-00007F0C0000}"/>
    <cellStyle name="Note 3 5 2 3" xfId="2328" xr:uid="{00000000-0005-0000-0000-0000800C0000}"/>
    <cellStyle name="Note 3 5 2 3 2" xfId="3913" xr:uid="{00000000-0005-0000-0000-0000810C0000}"/>
    <cellStyle name="Note 3 5 2 4" xfId="2329" xr:uid="{00000000-0005-0000-0000-0000820C0000}"/>
    <cellStyle name="Note 3 5 2 5" xfId="3307" xr:uid="{00000000-0005-0000-0000-0000830C0000}"/>
    <cellStyle name="Note 3 5 3" xfId="2330" xr:uid="{00000000-0005-0000-0000-0000840C0000}"/>
    <cellStyle name="Note 3 5 3 2" xfId="2331" xr:uid="{00000000-0005-0000-0000-0000850C0000}"/>
    <cellStyle name="Note 3 5 3 3" xfId="2332" xr:uid="{00000000-0005-0000-0000-0000860C0000}"/>
    <cellStyle name="Note 3 5 3 4" xfId="3545" xr:uid="{00000000-0005-0000-0000-0000870C0000}"/>
    <cellStyle name="Note 3 5 4" xfId="2333" xr:uid="{00000000-0005-0000-0000-0000880C0000}"/>
    <cellStyle name="Note 3 5 4 2" xfId="3746" xr:uid="{00000000-0005-0000-0000-0000890C0000}"/>
    <cellStyle name="Note 3 5 5" xfId="2334" xr:uid="{00000000-0005-0000-0000-00008A0C0000}"/>
    <cellStyle name="Note 3 5 6" xfId="2335" xr:uid="{00000000-0005-0000-0000-00008B0C0000}"/>
    <cellStyle name="Note 3 5 7" xfId="2336" xr:uid="{00000000-0005-0000-0000-00008C0C0000}"/>
    <cellStyle name="Note 3 5 7 2" xfId="3994" xr:uid="{00000000-0005-0000-0000-00008D0C0000}"/>
    <cellStyle name="Note 3 5 8" xfId="3067" xr:uid="{00000000-0005-0000-0000-00008E0C0000}"/>
    <cellStyle name="Note 3 6" xfId="2337" xr:uid="{00000000-0005-0000-0000-00008F0C0000}"/>
    <cellStyle name="Note 3 6 2" xfId="2338" xr:uid="{00000000-0005-0000-0000-0000900C0000}"/>
    <cellStyle name="Note 3 6 2 2" xfId="2339" xr:uid="{00000000-0005-0000-0000-0000910C0000}"/>
    <cellStyle name="Note 3 6 2 3" xfId="2340" xr:uid="{00000000-0005-0000-0000-0000920C0000}"/>
    <cellStyle name="Note 3 6 2 3 2" xfId="3914" xr:uid="{00000000-0005-0000-0000-0000930C0000}"/>
    <cellStyle name="Note 3 6 2 4" xfId="2341" xr:uid="{00000000-0005-0000-0000-0000940C0000}"/>
    <cellStyle name="Note 3 6 2 5" xfId="3325" xr:uid="{00000000-0005-0000-0000-0000950C0000}"/>
    <cellStyle name="Note 3 6 3" xfId="2342" xr:uid="{00000000-0005-0000-0000-0000960C0000}"/>
    <cellStyle name="Note 3 6 3 2" xfId="2343" xr:uid="{00000000-0005-0000-0000-0000970C0000}"/>
    <cellStyle name="Note 3 6 3 3" xfId="2344" xr:uid="{00000000-0005-0000-0000-0000980C0000}"/>
    <cellStyle name="Note 3 6 3 4" xfId="3563" xr:uid="{00000000-0005-0000-0000-0000990C0000}"/>
    <cellStyle name="Note 3 6 4" xfId="2345" xr:uid="{00000000-0005-0000-0000-00009A0C0000}"/>
    <cellStyle name="Note 3 6 4 2" xfId="3764" xr:uid="{00000000-0005-0000-0000-00009B0C0000}"/>
    <cellStyle name="Note 3 6 5" xfId="2346" xr:uid="{00000000-0005-0000-0000-00009C0C0000}"/>
    <cellStyle name="Note 3 6 6" xfId="2347" xr:uid="{00000000-0005-0000-0000-00009D0C0000}"/>
    <cellStyle name="Note 3 6 7" xfId="2348" xr:uid="{00000000-0005-0000-0000-00009E0C0000}"/>
    <cellStyle name="Note 3 6 7 2" xfId="4012" xr:uid="{00000000-0005-0000-0000-00009F0C0000}"/>
    <cellStyle name="Note 3 6 8" xfId="3085" xr:uid="{00000000-0005-0000-0000-0000A00C0000}"/>
    <cellStyle name="Note 3 7" xfId="2349" xr:uid="{00000000-0005-0000-0000-0000A10C0000}"/>
    <cellStyle name="Note 3 7 2" xfId="2350" xr:uid="{00000000-0005-0000-0000-0000A20C0000}"/>
    <cellStyle name="Note 3 7 2 2" xfId="2351" xr:uid="{00000000-0005-0000-0000-0000A30C0000}"/>
    <cellStyle name="Note 3 7 2 3" xfId="2352" xr:uid="{00000000-0005-0000-0000-0000A40C0000}"/>
    <cellStyle name="Note 3 7 2 4" xfId="3426" xr:uid="{00000000-0005-0000-0000-0000A50C0000}"/>
    <cellStyle name="Note 3 7 3" xfId="2353" xr:uid="{00000000-0005-0000-0000-0000A60C0000}"/>
    <cellStyle name="Note 3 7 3 2" xfId="3627" xr:uid="{00000000-0005-0000-0000-0000A70C0000}"/>
    <cellStyle name="Note 3 7 4" xfId="2354" xr:uid="{00000000-0005-0000-0000-0000A80C0000}"/>
    <cellStyle name="Note 3 7 5" xfId="2355" xr:uid="{00000000-0005-0000-0000-0000A90C0000}"/>
    <cellStyle name="Note 3 7 6" xfId="3188" xr:uid="{00000000-0005-0000-0000-0000AA0C0000}"/>
    <cellStyle name="Note 3 8" xfId="2356" xr:uid="{00000000-0005-0000-0000-0000AB0C0000}"/>
    <cellStyle name="Note 3 8 2" xfId="2357" xr:uid="{00000000-0005-0000-0000-0000AC0C0000}"/>
    <cellStyle name="Note 3 8 3" xfId="2358" xr:uid="{00000000-0005-0000-0000-0000AD0C0000}"/>
    <cellStyle name="Note 3 8 3 2" xfId="3915" xr:uid="{00000000-0005-0000-0000-0000AE0C0000}"/>
    <cellStyle name="Note 3 8 4" xfId="2359" xr:uid="{00000000-0005-0000-0000-0000AF0C0000}"/>
    <cellStyle name="Note 3 8 5" xfId="3114" xr:uid="{00000000-0005-0000-0000-0000B00C0000}"/>
    <cellStyle name="Note 3 9" xfId="2360" xr:uid="{00000000-0005-0000-0000-0000B10C0000}"/>
    <cellStyle name="Note 3 9 2" xfId="2361" xr:uid="{00000000-0005-0000-0000-0000B20C0000}"/>
    <cellStyle name="Note 3 9 3" xfId="2362" xr:uid="{00000000-0005-0000-0000-0000B30C0000}"/>
    <cellStyle name="Note 3 9 4" xfId="3352" xr:uid="{00000000-0005-0000-0000-0000B40C0000}"/>
    <cellStyle name="Output 2" xfId="2363" xr:uid="{00000000-0005-0000-0000-0000B50C0000}"/>
    <cellStyle name="Output 2 10" xfId="2364" xr:uid="{00000000-0005-0000-0000-0000B60C0000}"/>
    <cellStyle name="Output 2 11" xfId="2365" xr:uid="{00000000-0005-0000-0000-0000B70C0000}"/>
    <cellStyle name="Output 2 12" xfId="2366" xr:uid="{00000000-0005-0000-0000-0000B80C0000}"/>
    <cellStyle name="Output 2 12 2" xfId="3925" xr:uid="{00000000-0005-0000-0000-0000B90C0000}"/>
    <cellStyle name="Output 2 2" xfId="2367" xr:uid="{00000000-0005-0000-0000-0000BA0C0000}"/>
    <cellStyle name="Output 2 2 10" xfId="2368" xr:uid="{00000000-0005-0000-0000-0000BB0C0000}"/>
    <cellStyle name="Output 2 2 10 2" xfId="3937" xr:uid="{00000000-0005-0000-0000-0000BC0C0000}"/>
    <cellStyle name="Output 2 2 2" xfId="2369" xr:uid="{00000000-0005-0000-0000-0000BD0C0000}"/>
    <cellStyle name="Output 2 2 2 2" xfId="2370" xr:uid="{00000000-0005-0000-0000-0000BE0C0000}"/>
    <cellStyle name="Output 2 2 2 2 2" xfId="2371" xr:uid="{00000000-0005-0000-0000-0000BF0C0000}"/>
    <cellStyle name="Output 2 2 2 2 3" xfId="2372" xr:uid="{00000000-0005-0000-0000-0000C00C0000}"/>
    <cellStyle name="Output 2 2 2 2 4" xfId="3387" xr:uid="{00000000-0005-0000-0000-0000C10C0000}"/>
    <cellStyle name="Output 2 2 2 3" xfId="2373" xr:uid="{00000000-0005-0000-0000-0000C20C0000}"/>
    <cellStyle name="Output 2 2 2 4" xfId="2374" xr:uid="{00000000-0005-0000-0000-0000C30C0000}"/>
    <cellStyle name="Output 2 2 2 5" xfId="2375" xr:uid="{00000000-0005-0000-0000-0000C40C0000}"/>
    <cellStyle name="Output 2 2 2 6" xfId="2376" xr:uid="{00000000-0005-0000-0000-0000C50C0000}"/>
    <cellStyle name="Output 2 2 2 7" xfId="3149" xr:uid="{00000000-0005-0000-0000-0000C60C0000}"/>
    <cellStyle name="Output 2 2 3" xfId="2377" xr:uid="{00000000-0005-0000-0000-0000C70C0000}"/>
    <cellStyle name="Output 2 2 3 2" xfId="2378" xr:uid="{00000000-0005-0000-0000-0000C80C0000}"/>
    <cellStyle name="Output 2 2 3 2 2" xfId="2379" xr:uid="{00000000-0005-0000-0000-0000C90C0000}"/>
    <cellStyle name="Output 2 2 3 2 3" xfId="2380" xr:uid="{00000000-0005-0000-0000-0000CA0C0000}"/>
    <cellStyle name="Output 2 2 3 2 4" xfId="3410" xr:uid="{00000000-0005-0000-0000-0000CB0C0000}"/>
    <cellStyle name="Output 2 2 3 3" xfId="2381" xr:uid="{00000000-0005-0000-0000-0000CC0C0000}"/>
    <cellStyle name="Output 2 2 3 4" xfId="2382" xr:uid="{00000000-0005-0000-0000-0000CD0C0000}"/>
    <cellStyle name="Output 2 2 3 5" xfId="2383" xr:uid="{00000000-0005-0000-0000-0000CE0C0000}"/>
    <cellStyle name="Output 2 2 3 6" xfId="2384" xr:uid="{00000000-0005-0000-0000-0000CF0C0000}"/>
    <cellStyle name="Output 2 2 3 7" xfId="3172" xr:uid="{00000000-0005-0000-0000-0000D00C0000}"/>
    <cellStyle name="Output 2 2 4" xfId="2385" xr:uid="{00000000-0005-0000-0000-0000D10C0000}"/>
    <cellStyle name="Output 2 2 4 2" xfId="2386" xr:uid="{00000000-0005-0000-0000-0000D20C0000}"/>
    <cellStyle name="Output 2 2 4 2 2" xfId="2387" xr:uid="{00000000-0005-0000-0000-0000D30C0000}"/>
    <cellStyle name="Output 2 2 4 2 3" xfId="2388" xr:uid="{00000000-0005-0000-0000-0000D40C0000}"/>
    <cellStyle name="Output 2 2 4 2 4" xfId="3442" xr:uid="{00000000-0005-0000-0000-0000D50C0000}"/>
    <cellStyle name="Output 2 2 4 3" xfId="2389" xr:uid="{00000000-0005-0000-0000-0000D60C0000}"/>
    <cellStyle name="Output 2 2 4 3 2" xfId="3643" xr:uid="{00000000-0005-0000-0000-0000D70C0000}"/>
    <cellStyle name="Output 2 2 4 4" xfId="2390" xr:uid="{00000000-0005-0000-0000-0000D80C0000}"/>
    <cellStyle name="Output 2 2 4 5" xfId="2391" xr:uid="{00000000-0005-0000-0000-0000D90C0000}"/>
    <cellStyle name="Output 2 2 4 6" xfId="3204" xr:uid="{00000000-0005-0000-0000-0000DA0C0000}"/>
    <cellStyle name="Output 2 2 5" xfId="2392" xr:uid="{00000000-0005-0000-0000-0000DB0C0000}"/>
    <cellStyle name="Output 2 2 5 2" xfId="2393" xr:uid="{00000000-0005-0000-0000-0000DC0C0000}"/>
    <cellStyle name="Output 2 2 5 3" xfId="2394" xr:uid="{00000000-0005-0000-0000-0000DD0C0000}"/>
    <cellStyle name="Output 2 2 5 4" xfId="3115" xr:uid="{00000000-0005-0000-0000-0000DE0C0000}"/>
    <cellStyle name="Output 2 2 6" xfId="2395" xr:uid="{00000000-0005-0000-0000-0000DF0C0000}"/>
    <cellStyle name="Output 2 2 6 2" xfId="2396" xr:uid="{00000000-0005-0000-0000-0000E00C0000}"/>
    <cellStyle name="Output 2 2 6 3" xfId="2397" xr:uid="{00000000-0005-0000-0000-0000E10C0000}"/>
    <cellStyle name="Output 2 2 6 4" xfId="3353" xr:uid="{00000000-0005-0000-0000-0000E20C0000}"/>
    <cellStyle name="Output 2 2 7" xfId="2398" xr:uid="{00000000-0005-0000-0000-0000E30C0000}"/>
    <cellStyle name="Output 2 2 7 2" xfId="3594" xr:uid="{00000000-0005-0000-0000-0000E40C0000}"/>
    <cellStyle name="Output 2 2 8" xfId="2399" xr:uid="{00000000-0005-0000-0000-0000E50C0000}"/>
    <cellStyle name="Output 2 2 9" xfId="2400" xr:uid="{00000000-0005-0000-0000-0000E60C0000}"/>
    <cellStyle name="Output 2 3" xfId="2401" xr:uid="{00000000-0005-0000-0000-0000E70C0000}"/>
    <cellStyle name="Output 2 3 2" xfId="2402" xr:uid="{00000000-0005-0000-0000-0000E80C0000}"/>
    <cellStyle name="Output 2 3 2 2" xfId="2403" xr:uid="{00000000-0005-0000-0000-0000E90C0000}"/>
    <cellStyle name="Output 2 3 2 2 2" xfId="2404" xr:uid="{00000000-0005-0000-0000-0000EA0C0000}"/>
    <cellStyle name="Output 2 3 2 2 3" xfId="2405" xr:uid="{00000000-0005-0000-0000-0000EB0C0000}"/>
    <cellStyle name="Output 2 3 2 2 4" xfId="3508" xr:uid="{00000000-0005-0000-0000-0000EC0C0000}"/>
    <cellStyle name="Output 2 3 2 3" xfId="2406" xr:uid="{00000000-0005-0000-0000-0000ED0C0000}"/>
    <cellStyle name="Output 2 3 2 3 2" xfId="3709" xr:uid="{00000000-0005-0000-0000-0000EE0C0000}"/>
    <cellStyle name="Output 2 3 2 4" xfId="2407" xr:uid="{00000000-0005-0000-0000-0000EF0C0000}"/>
    <cellStyle name="Output 2 3 2 5" xfId="2408" xr:uid="{00000000-0005-0000-0000-0000F00C0000}"/>
    <cellStyle name="Output 2 3 2 6" xfId="3270" xr:uid="{00000000-0005-0000-0000-0000F10C0000}"/>
    <cellStyle name="Output 2 3 3" xfId="2409" xr:uid="{00000000-0005-0000-0000-0000F20C0000}"/>
    <cellStyle name="Output 2 3 3 2" xfId="2410" xr:uid="{00000000-0005-0000-0000-0000F30C0000}"/>
    <cellStyle name="Output 2 3 3 3" xfId="2411" xr:uid="{00000000-0005-0000-0000-0000F40C0000}"/>
    <cellStyle name="Output 2 3 3 4" xfId="3134" xr:uid="{00000000-0005-0000-0000-0000F50C0000}"/>
    <cellStyle name="Output 2 3 4" xfId="2412" xr:uid="{00000000-0005-0000-0000-0000F60C0000}"/>
    <cellStyle name="Output 2 3 4 2" xfId="2413" xr:uid="{00000000-0005-0000-0000-0000F70C0000}"/>
    <cellStyle name="Output 2 3 4 3" xfId="2414" xr:uid="{00000000-0005-0000-0000-0000F80C0000}"/>
    <cellStyle name="Output 2 3 4 4" xfId="3372" xr:uid="{00000000-0005-0000-0000-0000F90C0000}"/>
    <cellStyle name="Output 2 3 5" xfId="2415" xr:uid="{00000000-0005-0000-0000-0000FA0C0000}"/>
    <cellStyle name="Output 2 3 6" xfId="2416" xr:uid="{00000000-0005-0000-0000-0000FB0C0000}"/>
    <cellStyle name="Output 2 3 7" xfId="2417" xr:uid="{00000000-0005-0000-0000-0000FC0C0000}"/>
    <cellStyle name="Output 2 3 8" xfId="2418" xr:uid="{00000000-0005-0000-0000-0000FD0C0000}"/>
    <cellStyle name="Output 2 3 8 2" xfId="3972" xr:uid="{00000000-0005-0000-0000-0000FE0C0000}"/>
    <cellStyle name="Output 2 4" xfId="2419" xr:uid="{00000000-0005-0000-0000-0000FF0C0000}"/>
    <cellStyle name="Output 2 4 2" xfId="2420" xr:uid="{00000000-0005-0000-0000-0000000D0000}"/>
    <cellStyle name="Output 2 4 2 2" xfId="2421" xr:uid="{00000000-0005-0000-0000-0000010D0000}"/>
    <cellStyle name="Output 2 4 2 2 2" xfId="2422" xr:uid="{00000000-0005-0000-0000-0000020D0000}"/>
    <cellStyle name="Output 2 4 2 2 3" xfId="2423" xr:uid="{00000000-0005-0000-0000-0000030D0000}"/>
    <cellStyle name="Output 2 4 2 2 4" xfId="3523" xr:uid="{00000000-0005-0000-0000-0000040D0000}"/>
    <cellStyle name="Output 2 4 2 3" xfId="2424" xr:uid="{00000000-0005-0000-0000-0000050D0000}"/>
    <cellStyle name="Output 2 4 2 3 2" xfId="3724" xr:uid="{00000000-0005-0000-0000-0000060D0000}"/>
    <cellStyle name="Output 2 4 2 4" xfId="2425" xr:uid="{00000000-0005-0000-0000-0000070D0000}"/>
    <cellStyle name="Output 2 4 2 5" xfId="2426" xr:uid="{00000000-0005-0000-0000-0000080D0000}"/>
    <cellStyle name="Output 2 4 2 6" xfId="3285" xr:uid="{00000000-0005-0000-0000-0000090D0000}"/>
    <cellStyle name="Output 2 4 3" xfId="2427" xr:uid="{00000000-0005-0000-0000-00000A0D0000}"/>
    <cellStyle name="Output 2 4 3 2" xfId="2428" xr:uid="{00000000-0005-0000-0000-00000B0D0000}"/>
    <cellStyle name="Output 2 4 3 3" xfId="2429" xr:uid="{00000000-0005-0000-0000-00000C0D0000}"/>
    <cellStyle name="Output 2 4 3 4" xfId="3160" xr:uid="{00000000-0005-0000-0000-00000D0D0000}"/>
    <cellStyle name="Output 2 4 4" xfId="2430" xr:uid="{00000000-0005-0000-0000-00000E0D0000}"/>
    <cellStyle name="Output 2 4 4 2" xfId="2431" xr:uid="{00000000-0005-0000-0000-00000F0D0000}"/>
    <cellStyle name="Output 2 4 4 3" xfId="2432" xr:uid="{00000000-0005-0000-0000-0000100D0000}"/>
    <cellStyle name="Output 2 4 4 4" xfId="3398" xr:uid="{00000000-0005-0000-0000-0000110D0000}"/>
    <cellStyle name="Output 2 4 5" xfId="2433" xr:uid="{00000000-0005-0000-0000-0000120D0000}"/>
    <cellStyle name="Output 2 4 6" xfId="2434" xr:uid="{00000000-0005-0000-0000-0000130D0000}"/>
    <cellStyle name="Output 2 4 7" xfId="2435" xr:uid="{00000000-0005-0000-0000-0000140D0000}"/>
    <cellStyle name="Output 2 4 8" xfId="2436" xr:uid="{00000000-0005-0000-0000-0000150D0000}"/>
    <cellStyle name="Output 2 4 8 2" xfId="3982" xr:uid="{00000000-0005-0000-0000-0000160D0000}"/>
    <cellStyle name="Output 2 4 9" xfId="3045" xr:uid="{00000000-0005-0000-0000-0000170D0000}"/>
    <cellStyle name="Output 2 5" xfId="2437" xr:uid="{00000000-0005-0000-0000-0000180D0000}"/>
    <cellStyle name="Output 2 5 2" xfId="2438" xr:uid="{00000000-0005-0000-0000-0000190D0000}"/>
    <cellStyle name="Output 2 5 2 2" xfId="2439" xr:uid="{00000000-0005-0000-0000-00001A0D0000}"/>
    <cellStyle name="Output 2 5 2 3" xfId="2440" xr:uid="{00000000-0005-0000-0000-00001B0D0000}"/>
    <cellStyle name="Output 2 5 2 4" xfId="3255" xr:uid="{00000000-0005-0000-0000-00001C0D0000}"/>
    <cellStyle name="Output 2 5 3" xfId="2441" xr:uid="{00000000-0005-0000-0000-00001D0D0000}"/>
    <cellStyle name="Output 2 5 3 2" xfId="2442" xr:uid="{00000000-0005-0000-0000-00001E0D0000}"/>
    <cellStyle name="Output 2 5 3 3" xfId="2443" xr:uid="{00000000-0005-0000-0000-00001F0D0000}"/>
    <cellStyle name="Output 2 5 3 4" xfId="3493" xr:uid="{00000000-0005-0000-0000-0000200D0000}"/>
    <cellStyle name="Output 2 5 4" xfId="2444" xr:uid="{00000000-0005-0000-0000-0000210D0000}"/>
    <cellStyle name="Output 2 5 4 2" xfId="3694" xr:uid="{00000000-0005-0000-0000-0000220D0000}"/>
    <cellStyle name="Output 2 5 5" xfId="2445" xr:uid="{00000000-0005-0000-0000-0000230D0000}"/>
    <cellStyle name="Output 2 5 6" xfId="2446" xr:uid="{00000000-0005-0000-0000-0000240D0000}"/>
    <cellStyle name="Output 2 5 7" xfId="2447" xr:uid="{00000000-0005-0000-0000-0000250D0000}"/>
    <cellStyle name="Output 2 5 8" xfId="3024" xr:uid="{00000000-0005-0000-0000-0000260D0000}"/>
    <cellStyle name="Output 2 6" xfId="2448" xr:uid="{00000000-0005-0000-0000-0000270D0000}"/>
    <cellStyle name="Output 2 6 2" xfId="2449" xr:uid="{00000000-0005-0000-0000-0000280D0000}"/>
    <cellStyle name="Output 2 6 2 2" xfId="2450" xr:uid="{00000000-0005-0000-0000-0000290D0000}"/>
    <cellStyle name="Output 2 6 2 3" xfId="2451" xr:uid="{00000000-0005-0000-0000-00002A0D0000}"/>
    <cellStyle name="Output 2 6 2 4" xfId="3308" xr:uid="{00000000-0005-0000-0000-00002B0D0000}"/>
    <cellStyle name="Output 2 6 3" xfId="2452" xr:uid="{00000000-0005-0000-0000-00002C0D0000}"/>
    <cellStyle name="Output 2 6 3 2" xfId="2453" xr:uid="{00000000-0005-0000-0000-00002D0D0000}"/>
    <cellStyle name="Output 2 6 3 3" xfId="2454" xr:uid="{00000000-0005-0000-0000-00002E0D0000}"/>
    <cellStyle name="Output 2 6 3 4" xfId="3546" xr:uid="{00000000-0005-0000-0000-00002F0D0000}"/>
    <cellStyle name="Output 2 6 4" xfId="2455" xr:uid="{00000000-0005-0000-0000-0000300D0000}"/>
    <cellStyle name="Output 2 6 4 2" xfId="3747" xr:uid="{00000000-0005-0000-0000-0000310D0000}"/>
    <cellStyle name="Output 2 6 5" xfId="2456" xr:uid="{00000000-0005-0000-0000-0000320D0000}"/>
    <cellStyle name="Output 2 6 6" xfId="2457" xr:uid="{00000000-0005-0000-0000-0000330D0000}"/>
    <cellStyle name="Output 2 6 7" xfId="2458" xr:uid="{00000000-0005-0000-0000-0000340D0000}"/>
    <cellStyle name="Output 2 6 7 2" xfId="3995" xr:uid="{00000000-0005-0000-0000-0000350D0000}"/>
    <cellStyle name="Output 2 6 8" xfId="3068" xr:uid="{00000000-0005-0000-0000-0000360D0000}"/>
    <cellStyle name="Output 2 7" xfId="2459" xr:uid="{00000000-0005-0000-0000-0000370D0000}"/>
    <cellStyle name="Output 2 7 2" xfId="2460" xr:uid="{00000000-0005-0000-0000-0000380D0000}"/>
    <cellStyle name="Output 2 7 2 2" xfId="2461" xr:uid="{00000000-0005-0000-0000-0000390D0000}"/>
    <cellStyle name="Output 2 7 2 3" xfId="2462" xr:uid="{00000000-0005-0000-0000-00003A0D0000}"/>
    <cellStyle name="Output 2 7 2 4" xfId="3317" xr:uid="{00000000-0005-0000-0000-00003B0D0000}"/>
    <cellStyle name="Output 2 7 3" xfId="2463" xr:uid="{00000000-0005-0000-0000-00003C0D0000}"/>
    <cellStyle name="Output 2 7 3 2" xfId="2464" xr:uid="{00000000-0005-0000-0000-00003D0D0000}"/>
    <cellStyle name="Output 2 7 3 3" xfId="2465" xr:uid="{00000000-0005-0000-0000-00003E0D0000}"/>
    <cellStyle name="Output 2 7 3 4" xfId="3555" xr:uid="{00000000-0005-0000-0000-00003F0D0000}"/>
    <cellStyle name="Output 2 7 4" xfId="2466" xr:uid="{00000000-0005-0000-0000-0000400D0000}"/>
    <cellStyle name="Output 2 7 4 2" xfId="3756" xr:uid="{00000000-0005-0000-0000-0000410D0000}"/>
    <cellStyle name="Output 2 7 5" xfId="2467" xr:uid="{00000000-0005-0000-0000-0000420D0000}"/>
    <cellStyle name="Output 2 7 6" xfId="2468" xr:uid="{00000000-0005-0000-0000-0000430D0000}"/>
    <cellStyle name="Output 2 7 7" xfId="2469" xr:uid="{00000000-0005-0000-0000-0000440D0000}"/>
    <cellStyle name="Output 2 7 7 2" xfId="4004" xr:uid="{00000000-0005-0000-0000-0000450D0000}"/>
    <cellStyle name="Output 2 7 8" xfId="3077" xr:uid="{00000000-0005-0000-0000-0000460D0000}"/>
    <cellStyle name="Output 2 8" xfId="2470" xr:uid="{00000000-0005-0000-0000-0000470D0000}"/>
    <cellStyle name="Output 2 8 2" xfId="2471" xr:uid="{00000000-0005-0000-0000-0000480D0000}"/>
    <cellStyle name="Output 2 8 2 2" xfId="2472" xr:uid="{00000000-0005-0000-0000-0000490D0000}"/>
    <cellStyle name="Output 2 8 2 3" xfId="2473" xr:uid="{00000000-0005-0000-0000-00004A0D0000}"/>
    <cellStyle name="Output 2 8 2 4" xfId="3326" xr:uid="{00000000-0005-0000-0000-00004B0D0000}"/>
    <cellStyle name="Output 2 8 3" xfId="2474" xr:uid="{00000000-0005-0000-0000-00004C0D0000}"/>
    <cellStyle name="Output 2 8 3 2" xfId="2475" xr:uid="{00000000-0005-0000-0000-00004D0D0000}"/>
    <cellStyle name="Output 2 8 3 3" xfId="2476" xr:uid="{00000000-0005-0000-0000-00004E0D0000}"/>
    <cellStyle name="Output 2 8 3 4" xfId="3564" xr:uid="{00000000-0005-0000-0000-00004F0D0000}"/>
    <cellStyle name="Output 2 8 4" xfId="2477" xr:uid="{00000000-0005-0000-0000-0000500D0000}"/>
    <cellStyle name="Output 2 8 4 2" xfId="3765" xr:uid="{00000000-0005-0000-0000-0000510D0000}"/>
    <cellStyle name="Output 2 8 5" xfId="2478" xr:uid="{00000000-0005-0000-0000-0000520D0000}"/>
    <cellStyle name="Output 2 8 6" xfId="2479" xr:uid="{00000000-0005-0000-0000-0000530D0000}"/>
    <cellStyle name="Output 2 8 7" xfId="2480" xr:uid="{00000000-0005-0000-0000-0000540D0000}"/>
    <cellStyle name="Output 2 8 7 2" xfId="4013" xr:uid="{00000000-0005-0000-0000-0000550D0000}"/>
    <cellStyle name="Output 2 8 8" xfId="3086" xr:uid="{00000000-0005-0000-0000-0000560D0000}"/>
    <cellStyle name="Output 2 9" xfId="2481" xr:uid="{00000000-0005-0000-0000-0000570D0000}"/>
    <cellStyle name="Output 2 9 2" xfId="2482" xr:uid="{00000000-0005-0000-0000-0000580D0000}"/>
    <cellStyle name="Output 2 9 2 2" xfId="2483" xr:uid="{00000000-0005-0000-0000-0000590D0000}"/>
    <cellStyle name="Output 2 9 2 3" xfId="2484" xr:uid="{00000000-0005-0000-0000-00005A0D0000}"/>
    <cellStyle name="Output 2 9 2 4" xfId="3427" xr:uid="{00000000-0005-0000-0000-00005B0D0000}"/>
    <cellStyle name="Output 2 9 3" xfId="2485" xr:uid="{00000000-0005-0000-0000-00005C0D0000}"/>
    <cellStyle name="Output 2 9 3 2" xfId="3628" xr:uid="{00000000-0005-0000-0000-00005D0D0000}"/>
    <cellStyle name="Output 2 9 4" xfId="2486" xr:uid="{00000000-0005-0000-0000-00005E0D0000}"/>
    <cellStyle name="Output 2 9 5" xfId="2487" xr:uid="{00000000-0005-0000-0000-00005F0D0000}"/>
    <cellStyle name="Output 2 9 6" xfId="3189" xr:uid="{00000000-0005-0000-0000-0000600D0000}"/>
    <cellStyle name="Output 3" xfId="2488" xr:uid="{00000000-0005-0000-0000-0000610D0000}"/>
    <cellStyle name="Output 3 10" xfId="2489" xr:uid="{00000000-0005-0000-0000-0000620D0000}"/>
    <cellStyle name="Output 3 10 2" xfId="2490" xr:uid="{00000000-0005-0000-0000-0000630D0000}"/>
    <cellStyle name="Output 3 10 3" xfId="2491" xr:uid="{00000000-0005-0000-0000-0000640D0000}"/>
    <cellStyle name="Output 3 10 4" xfId="3116" xr:uid="{00000000-0005-0000-0000-0000650D0000}"/>
    <cellStyle name="Output 3 11" xfId="2492" xr:uid="{00000000-0005-0000-0000-0000660D0000}"/>
    <cellStyle name="Output 3 11 2" xfId="2493" xr:uid="{00000000-0005-0000-0000-0000670D0000}"/>
    <cellStyle name="Output 3 11 3" xfId="2494" xr:uid="{00000000-0005-0000-0000-0000680D0000}"/>
    <cellStyle name="Output 3 11 4" xfId="3354" xr:uid="{00000000-0005-0000-0000-0000690D0000}"/>
    <cellStyle name="Output 3 12" xfId="2495" xr:uid="{00000000-0005-0000-0000-00006A0D0000}"/>
    <cellStyle name="Output 3 12 2" xfId="3595" xr:uid="{00000000-0005-0000-0000-00006B0D0000}"/>
    <cellStyle name="Output 3 13" xfId="2496" xr:uid="{00000000-0005-0000-0000-00006C0D0000}"/>
    <cellStyle name="Output 3 14" xfId="2497" xr:uid="{00000000-0005-0000-0000-00006D0D0000}"/>
    <cellStyle name="Output 3 15" xfId="2498" xr:uid="{00000000-0005-0000-0000-00006E0D0000}"/>
    <cellStyle name="Output 3 15 2" xfId="3926" xr:uid="{00000000-0005-0000-0000-00006F0D0000}"/>
    <cellStyle name="Output 3 2" xfId="2499" xr:uid="{00000000-0005-0000-0000-0000700D0000}"/>
    <cellStyle name="Output 3 2 10" xfId="2500" xr:uid="{00000000-0005-0000-0000-0000710D0000}"/>
    <cellStyle name="Output 3 2 10 2" xfId="3938" xr:uid="{00000000-0005-0000-0000-0000720D0000}"/>
    <cellStyle name="Output 3 2 2" xfId="2501" xr:uid="{00000000-0005-0000-0000-0000730D0000}"/>
    <cellStyle name="Output 3 2 2 2" xfId="2502" xr:uid="{00000000-0005-0000-0000-0000740D0000}"/>
    <cellStyle name="Output 3 2 2 2 2" xfId="2503" xr:uid="{00000000-0005-0000-0000-0000750D0000}"/>
    <cellStyle name="Output 3 2 2 2 3" xfId="2504" xr:uid="{00000000-0005-0000-0000-0000760D0000}"/>
    <cellStyle name="Output 3 2 2 2 4" xfId="3388" xr:uid="{00000000-0005-0000-0000-0000770D0000}"/>
    <cellStyle name="Output 3 2 2 3" xfId="2505" xr:uid="{00000000-0005-0000-0000-0000780D0000}"/>
    <cellStyle name="Output 3 2 2 4" xfId="2506" xr:uid="{00000000-0005-0000-0000-0000790D0000}"/>
    <cellStyle name="Output 3 2 2 5" xfId="2507" xr:uid="{00000000-0005-0000-0000-00007A0D0000}"/>
    <cellStyle name="Output 3 2 2 6" xfId="2508" xr:uid="{00000000-0005-0000-0000-00007B0D0000}"/>
    <cellStyle name="Output 3 2 2 7" xfId="3150" xr:uid="{00000000-0005-0000-0000-00007C0D0000}"/>
    <cellStyle name="Output 3 2 3" xfId="2509" xr:uid="{00000000-0005-0000-0000-00007D0D0000}"/>
    <cellStyle name="Output 3 2 3 2" xfId="2510" xr:uid="{00000000-0005-0000-0000-00007E0D0000}"/>
    <cellStyle name="Output 3 2 3 2 2" xfId="2511" xr:uid="{00000000-0005-0000-0000-00007F0D0000}"/>
    <cellStyle name="Output 3 2 3 2 3" xfId="2512" xr:uid="{00000000-0005-0000-0000-0000800D0000}"/>
    <cellStyle name="Output 3 2 3 2 4" xfId="3411" xr:uid="{00000000-0005-0000-0000-0000810D0000}"/>
    <cellStyle name="Output 3 2 3 3" xfId="2513" xr:uid="{00000000-0005-0000-0000-0000820D0000}"/>
    <cellStyle name="Output 3 2 3 4" xfId="2514" xr:uid="{00000000-0005-0000-0000-0000830D0000}"/>
    <cellStyle name="Output 3 2 3 5" xfId="2515" xr:uid="{00000000-0005-0000-0000-0000840D0000}"/>
    <cellStyle name="Output 3 2 3 6" xfId="2516" xr:uid="{00000000-0005-0000-0000-0000850D0000}"/>
    <cellStyle name="Output 3 2 3 7" xfId="3173" xr:uid="{00000000-0005-0000-0000-0000860D0000}"/>
    <cellStyle name="Output 3 2 4" xfId="2517" xr:uid="{00000000-0005-0000-0000-0000870D0000}"/>
    <cellStyle name="Output 3 2 4 2" xfId="2518" xr:uid="{00000000-0005-0000-0000-0000880D0000}"/>
    <cellStyle name="Output 3 2 4 2 2" xfId="2519" xr:uid="{00000000-0005-0000-0000-0000890D0000}"/>
    <cellStyle name="Output 3 2 4 2 3" xfId="2520" xr:uid="{00000000-0005-0000-0000-00008A0D0000}"/>
    <cellStyle name="Output 3 2 4 2 4" xfId="3443" xr:uid="{00000000-0005-0000-0000-00008B0D0000}"/>
    <cellStyle name="Output 3 2 4 3" xfId="2521" xr:uid="{00000000-0005-0000-0000-00008C0D0000}"/>
    <cellStyle name="Output 3 2 4 3 2" xfId="3644" xr:uid="{00000000-0005-0000-0000-00008D0D0000}"/>
    <cellStyle name="Output 3 2 4 4" xfId="2522" xr:uid="{00000000-0005-0000-0000-00008E0D0000}"/>
    <cellStyle name="Output 3 2 4 5" xfId="2523" xr:uid="{00000000-0005-0000-0000-00008F0D0000}"/>
    <cellStyle name="Output 3 2 4 6" xfId="3205" xr:uid="{00000000-0005-0000-0000-0000900D0000}"/>
    <cellStyle name="Output 3 2 5" xfId="2524" xr:uid="{00000000-0005-0000-0000-0000910D0000}"/>
    <cellStyle name="Output 3 2 5 2" xfId="2525" xr:uid="{00000000-0005-0000-0000-0000920D0000}"/>
    <cellStyle name="Output 3 2 5 3" xfId="2526" xr:uid="{00000000-0005-0000-0000-0000930D0000}"/>
    <cellStyle name="Output 3 2 5 4" xfId="3117" xr:uid="{00000000-0005-0000-0000-0000940D0000}"/>
    <cellStyle name="Output 3 2 6" xfId="2527" xr:uid="{00000000-0005-0000-0000-0000950D0000}"/>
    <cellStyle name="Output 3 2 6 2" xfId="2528" xr:uid="{00000000-0005-0000-0000-0000960D0000}"/>
    <cellStyle name="Output 3 2 6 3" xfId="2529" xr:uid="{00000000-0005-0000-0000-0000970D0000}"/>
    <cellStyle name="Output 3 2 6 4" xfId="3355" xr:uid="{00000000-0005-0000-0000-0000980D0000}"/>
    <cellStyle name="Output 3 2 7" xfId="2530" xr:uid="{00000000-0005-0000-0000-0000990D0000}"/>
    <cellStyle name="Output 3 2 7 2" xfId="3596" xr:uid="{00000000-0005-0000-0000-00009A0D0000}"/>
    <cellStyle name="Output 3 2 8" xfId="2531" xr:uid="{00000000-0005-0000-0000-00009B0D0000}"/>
    <cellStyle name="Output 3 2 9" xfId="2532" xr:uid="{00000000-0005-0000-0000-00009C0D0000}"/>
    <cellStyle name="Output 3 3" xfId="2533" xr:uid="{00000000-0005-0000-0000-00009D0D0000}"/>
    <cellStyle name="Output 3 3 2" xfId="2534" xr:uid="{00000000-0005-0000-0000-00009E0D0000}"/>
    <cellStyle name="Output 3 3 2 2" xfId="2535" xr:uid="{00000000-0005-0000-0000-00009F0D0000}"/>
    <cellStyle name="Output 3 3 2 2 2" xfId="2536" xr:uid="{00000000-0005-0000-0000-0000A00D0000}"/>
    <cellStyle name="Output 3 3 2 2 3" xfId="2537" xr:uid="{00000000-0005-0000-0000-0000A10D0000}"/>
    <cellStyle name="Output 3 3 2 2 4" xfId="3509" xr:uid="{00000000-0005-0000-0000-0000A20D0000}"/>
    <cellStyle name="Output 3 3 2 3" xfId="2538" xr:uid="{00000000-0005-0000-0000-0000A30D0000}"/>
    <cellStyle name="Output 3 3 2 3 2" xfId="3710" xr:uid="{00000000-0005-0000-0000-0000A40D0000}"/>
    <cellStyle name="Output 3 3 2 4" xfId="2539" xr:uid="{00000000-0005-0000-0000-0000A50D0000}"/>
    <cellStyle name="Output 3 3 2 5" xfId="2540" xr:uid="{00000000-0005-0000-0000-0000A60D0000}"/>
    <cellStyle name="Output 3 3 2 6" xfId="3271" xr:uid="{00000000-0005-0000-0000-0000A70D0000}"/>
    <cellStyle name="Output 3 3 3" xfId="2541" xr:uid="{00000000-0005-0000-0000-0000A80D0000}"/>
    <cellStyle name="Output 3 3 3 2" xfId="2542" xr:uid="{00000000-0005-0000-0000-0000A90D0000}"/>
    <cellStyle name="Output 3 3 3 3" xfId="2543" xr:uid="{00000000-0005-0000-0000-0000AA0D0000}"/>
    <cellStyle name="Output 3 3 3 4" xfId="3135" xr:uid="{00000000-0005-0000-0000-0000AB0D0000}"/>
    <cellStyle name="Output 3 3 4" xfId="2544" xr:uid="{00000000-0005-0000-0000-0000AC0D0000}"/>
    <cellStyle name="Output 3 3 4 2" xfId="2545" xr:uid="{00000000-0005-0000-0000-0000AD0D0000}"/>
    <cellStyle name="Output 3 3 4 3" xfId="2546" xr:uid="{00000000-0005-0000-0000-0000AE0D0000}"/>
    <cellStyle name="Output 3 3 4 4" xfId="3373" xr:uid="{00000000-0005-0000-0000-0000AF0D0000}"/>
    <cellStyle name="Output 3 3 5" xfId="2547" xr:uid="{00000000-0005-0000-0000-0000B00D0000}"/>
    <cellStyle name="Output 3 3 6" xfId="2548" xr:uid="{00000000-0005-0000-0000-0000B10D0000}"/>
    <cellStyle name="Output 3 3 7" xfId="2549" xr:uid="{00000000-0005-0000-0000-0000B20D0000}"/>
    <cellStyle name="Output 3 3 8" xfId="2550" xr:uid="{00000000-0005-0000-0000-0000B30D0000}"/>
    <cellStyle name="Output 3 3 8 2" xfId="3973" xr:uid="{00000000-0005-0000-0000-0000B40D0000}"/>
    <cellStyle name="Output 3 4" xfId="2551" xr:uid="{00000000-0005-0000-0000-0000B50D0000}"/>
    <cellStyle name="Output 3 4 2" xfId="2552" xr:uid="{00000000-0005-0000-0000-0000B60D0000}"/>
    <cellStyle name="Output 3 4 2 2" xfId="2553" xr:uid="{00000000-0005-0000-0000-0000B70D0000}"/>
    <cellStyle name="Output 3 4 2 2 2" xfId="2554" xr:uid="{00000000-0005-0000-0000-0000B80D0000}"/>
    <cellStyle name="Output 3 4 2 2 3" xfId="2555" xr:uid="{00000000-0005-0000-0000-0000B90D0000}"/>
    <cellStyle name="Output 3 4 2 2 4" xfId="3524" xr:uid="{00000000-0005-0000-0000-0000BA0D0000}"/>
    <cellStyle name="Output 3 4 2 3" xfId="2556" xr:uid="{00000000-0005-0000-0000-0000BB0D0000}"/>
    <cellStyle name="Output 3 4 2 3 2" xfId="3725" xr:uid="{00000000-0005-0000-0000-0000BC0D0000}"/>
    <cellStyle name="Output 3 4 2 4" xfId="2557" xr:uid="{00000000-0005-0000-0000-0000BD0D0000}"/>
    <cellStyle name="Output 3 4 2 5" xfId="2558" xr:uid="{00000000-0005-0000-0000-0000BE0D0000}"/>
    <cellStyle name="Output 3 4 2 6" xfId="3286" xr:uid="{00000000-0005-0000-0000-0000BF0D0000}"/>
    <cellStyle name="Output 3 4 3" xfId="2559" xr:uid="{00000000-0005-0000-0000-0000C00D0000}"/>
    <cellStyle name="Output 3 4 3 2" xfId="2560" xr:uid="{00000000-0005-0000-0000-0000C10D0000}"/>
    <cellStyle name="Output 3 4 3 3" xfId="2561" xr:uid="{00000000-0005-0000-0000-0000C20D0000}"/>
    <cellStyle name="Output 3 4 3 4" xfId="3161" xr:uid="{00000000-0005-0000-0000-0000C30D0000}"/>
    <cellStyle name="Output 3 4 4" xfId="2562" xr:uid="{00000000-0005-0000-0000-0000C40D0000}"/>
    <cellStyle name="Output 3 4 4 2" xfId="2563" xr:uid="{00000000-0005-0000-0000-0000C50D0000}"/>
    <cellStyle name="Output 3 4 4 3" xfId="2564" xr:uid="{00000000-0005-0000-0000-0000C60D0000}"/>
    <cellStyle name="Output 3 4 4 4" xfId="3399" xr:uid="{00000000-0005-0000-0000-0000C70D0000}"/>
    <cellStyle name="Output 3 4 5" xfId="2565" xr:uid="{00000000-0005-0000-0000-0000C80D0000}"/>
    <cellStyle name="Output 3 4 6" xfId="2566" xr:uid="{00000000-0005-0000-0000-0000C90D0000}"/>
    <cellStyle name="Output 3 4 7" xfId="2567" xr:uid="{00000000-0005-0000-0000-0000CA0D0000}"/>
    <cellStyle name="Output 3 4 8" xfId="2568" xr:uid="{00000000-0005-0000-0000-0000CB0D0000}"/>
    <cellStyle name="Output 3 4 8 2" xfId="3983" xr:uid="{00000000-0005-0000-0000-0000CC0D0000}"/>
    <cellStyle name="Output 3 4 9" xfId="3046" xr:uid="{00000000-0005-0000-0000-0000CD0D0000}"/>
    <cellStyle name="Output 3 5" xfId="2569" xr:uid="{00000000-0005-0000-0000-0000CE0D0000}"/>
    <cellStyle name="Output 3 5 2" xfId="2570" xr:uid="{00000000-0005-0000-0000-0000CF0D0000}"/>
    <cellStyle name="Output 3 5 2 2" xfId="2571" xr:uid="{00000000-0005-0000-0000-0000D00D0000}"/>
    <cellStyle name="Output 3 5 2 3" xfId="2572" xr:uid="{00000000-0005-0000-0000-0000D10D0000}"/>
    <cellStyle name="Output 3 5 2 4" xfId="3247" xr:uid="{00000000-0005-0000-0000-0000D20D0000}"/>
    <cellStyle name="Output 3 5 3" xfId="2573" xr:uid="{00000000-0005-0000-0000-0000D30D0000}"/>
    <cellStyle name="Output 3 5 3 2" xfId="2574" xr:uid="{00000000-0005-0000-0000-0000D40D0000}"/>
    <cellStyle name="Output 3 5 3 3" xfId="2575" xr:uid="{00000000-0005-0000-0000-0000D50D0000}"/>
    <cellStyle name="Output 3 5 3 4" xfId="3485" xr:uid="{00000000-0005-0000-0000-0000D60D0000}"/>
    <cellStyle name="Output 3 5 4" xfId="2576" xr:uid="{00000000-0005-0000-0000-0000D70D0000}"/>
    <cellStyle name="Output 3 5 4 2" xfId="3686" xr:uid="{00000000-0005-0000-0000-0000D80D0000}"/>
    <cellStyle name="Output 3 5 5" xfId="2577" xr:uid="{00000000-0005-0000-0000-0000D90D0000}"/>
    <cellStyle name="Output 3 5 6" xfId="2578" xr:uid="{00000000-0005-0000-0000-0000DA0D0000}"/>
    <cellStyle name="Output 3 5 7" xfId="2579" xr:uid="{00000000-0005-0000-0000-0000DB0D0000}"/>
    <cellStyle name="Output 3 5 8" xfId="3019" xr:uid="{00000000-0005-0000-0000-0000DC0D0000}"/>
    <cellStyle name="Output 3 6" xfId="2580" xr:uid="{00000000-0005-0000-0000-0000DD0D0000}"/>
    <cellStyle name="Output 3 6 2" xfId="2581" xr:uid="{00000000-0005-0000-0000-0000DE0D0000}"/>
    <cellStyle name="Output 3 6 2 2" xfId="2582" xr:uid="{00000000-0005-0000-0000-0000DF0D0000}"/>
    <cellStyle name="Output 3 6 2 3" xfId="2583" xr:uid="{00000000-0005-0000-0000-0000E00D0000}"/>
    <cellStyle name="Output 3 6 2 4" xfId="3309" xr:uid="{00000000-0005-0000-0000-0000E10D0000}"/>
    <cellStyle name="Output 3 6 3" xfId="2584" xr:uid="{00000000-0005-0000-0000-0000E20D0000}"/>
    <cellStyle name="Output 3 6 3 2" xfId="2585" xr:uid="{00000000-0005-0000-0000-0000E30D0000}"/>
    <cellStyle name="Output 3 6 3 3" xfId="2586" xr:uid="{00000000-0005-0000-0000-0000E40D0000}"/>
    <cellStyle name="Output 3 6 3 4" xfId="3547" xr:uid="{00000000-0005-0000-0000-0000E50D0000}"/>
    <cellStyle name="Output 3 6 4" xfId="2587" xr:uid="{00000000-0005-0000-0000-0000E60D0000}"/>
    <cellStyle name="Output 3 6 4 2" xfId="3748" xr:uid="{00000000-0005-0000-0000-0000E70D0000}"/>
    <cellStyle name="Output 3 6 5" xfId="2588" xr:uid="{00000000-0005-0000-0000-0000E80D0000}"/>
    <cellStyle name="Output 3 6 6" xfId="2589" xr:uid="{00000000-0005-0000-0000-0000E90D0000}"/>
    <cellStyle name="Output 3 6 7" xfId="2590" xr:uid="{00000000-0005-0000-0000-0000EA0D0000}"/>
    <cellStyle name="Output 3 6 7 2" xfId="3996" xr:uid="{00000000-0005-0000-0000-0000EB0D0000}"/>
    <cellStyle name="Output 3 6 8" xfId="3069" xr:uid="{00000000-0005-0000-0000-0000EC0D0000}"/>
    <cellStyle name="Output 3 7" xfId="2591" xr:uid="{00000000-0005-0000-0000-0000ED0D0000}"/>
    <cellStyle name="Output 3 7 2" xfId="2592" xr:uid="{00000000-0005-0000-0000-0000EE0D0000}"/>
    <cellStyle name="Output 3 7 2 2" xfId="2593" xr:uid="{00000000-0005-0000-0000-0000EF0D0000}"/>
    <cellStyle name="Output 3 7 2 3" xfId="2594" xr:uid="{00000000-0005-0000-0000-0000F00D0000}"/>
    <cellStyle name="Output 3 7 2 4" xfId="3318" xr:uid="{00000000-0005-0000-0000-0000F10D0000}"/>
    <cellStyle name="Output 3 7 3" xfId="2595" xr:uid="{00000000-0005-0000-0000-0000F20D0000}"/>
    <cellStyle name="Output 3 7 3 2" xfId="2596" xr:uid="{00000000-0005-0000-0000-0000F30D0000}"/>
    <cellStyle name="Output 3 7 3 3" xfId="2597" xr:uid="{00000000-0005-0000-0000-0000F40D0000}"/>
    <cellStyle name="Output 3 7 3 4" xfId="3556" xr:uid="{00000000-0005-0000-0000-0000F50D0000}"/>
    <cellStyle name="Output 3 7 4" xfId="2598" xr:uid="{00000000-0005-0000-0000-0000F60D0000}"/>
    <cellStyle name="Output 3 7 4 2" xfId="3757" xr:uid="{00000000-0005-0000-0000-0000F70D0000}"/>
    <cellStyle name="Output 3 7 5" xfId="2599" xr:uid="{00000000-0005-0000-0000-0000F80D0000}"/>
    <cellStyle name="Output 3 7 6" xfId="2600" xr:uid="{00000000-0005-0000-0000-0000F90D0000}"/>
    <cellStyle name="Output 3 7 7" xfId="2601" xr:uid="{00000000-0005-0000-0000-0000FA0D0000}"/>
    <cellStyle name="Output 3 7 7 2" xfId="4005" xr:uid="{00000000-0005-0000-0000-0000FB0D0000}"/>
    <cellStyle name="Output 3 7 8" xfId="3078" xr:uid="{00000000-0005-0000-0000-0000FC0D0000}"/>
    <cellStyle name="Output 3 8" xfId="2602" xr:uid="{00000000-0005-0000-0000-0000FD0D0000}"/>
    <cellStyle name="Output 3 8 2" xfId="2603" xr:uid="{00000000-0005-0000-0000-0000FE0D0000}"/>
    <cellStyle name="Output 3 8 2 2" xfId="2604" xr:uid="{00000000-0005-0000-0000-0000FF0D0000}"/>
    <cellStyle name="Output 3 8 2 3" xfId="2605" xr:uid="{00000000-0005-0000-0000-0000000E0000}"/>
    <cellStyle name="Output 3 8 2 4" xfId="3327" xr:uid="{00000000-0005-0000-0000-0000010E0000}"/>
    <cellStyle name="Output 3 8 3" xfId="2606" xr:uid="{00000000-0005-0000-0000-0000020E0000}"/>
    <cellStyle name="Output 3 8 3 2" xfId="2607" xr:uid="{00000000-0005-0000-0000-0000030E0000}"/>
    <cellStyle name="Output 3 8 3 3" xfId="2608" xr:uid="{00000000-0005-0000-0000-0000040E0000}"/>
    <cellStyle name="Output 3 8 3 4" xfId="3565" xr:uid="{00000000-0005-0000-0000-0000050E0000}"/>
    <cellStyle name="Output 3 8 4" xfId="2609" xr:uid="{00000000-0005-0000-0000-0000060E0000}"/>
    <cellStyle name="Output 3 8 4 2" xfId="3766" xr:uid="{00000000-0005-0000-0000-0000070E0000}"/>
    <cellStyle name="Output 3 8 5" xfId="2610" xr:uid="{00000000-0005-0000-0000-0000080E0000}"/>
    <cellStyle name="Output 3 8 6" xfId="2611" xr:uid="{00000000-0005-0000-0000-0000090E0000}"/>
    <cellStyle name="Output 3 8 7" xfId="2612" xr:uid="{00000000-0005-0000-0000-00000A0E0000}"/>
    <cellStyle name="Output 3 8 7 2" xfId="4014" xr:uid="{00000000-0005-0000-0000-00000B0E0000}"/>
    <cellStyle name="Output 3 8 8" xfId="3087" xr:uid="{00000000-0005-0000-0000-00000C0E0000}"/>
    <cellStyle name="Output 3 9" xfId="2613" xr:uid="{00000000-0005-0000-0000-00000D0E0000}"/>
    <cellStyle name="Output 3 9 2" xfId="2614" xr:uid="{00000000-0005-0000-0000-00000E0E0000}"/>
    <cellStyle name="Output 3 9 2 2" xfId="2615" xr:uid="{00000000-0005-0000-0000-00000F0E0000}"/>
    <cellStyle name="Output 3 9 2 3" xfId="2616" xr:uid="{00000000-0005-0000-0000-0000100E0000}"/>
    <cellStyle name="Output 3 9 2 4" xfId="3428" xr:uid="{00000000-0005-0000-0000-0000110E0000}"/>
    <cellStyle name="Output 3 9 3" xfId="2617" xr:uid="{00000000-0005-0000-0000-0000120E0000}"/>
    <cellStyle name="Output 3 9 3 2" xfId="3629" xr:uid="{00000000-0005-0000-0000-0000130E0000}"/>
    <cellStyle name="Output 3 9 4" xfId="2618" xr:uid="{00000000-0005-0000-0000-0000140E0000}"/>
    <cellStyle name="Output 3 9 5" xfId="2619" xr:uid="{00000000-0005-0000-0000-0000150E0000}"/>
    <cellStyle name="Output 3 9 6" xfId="3190" xr:uid="{00000000-0005-0000-0000-0000160E0000}"/>
    <cellStyle name="Percent" xfId="4071" builtinId="5"/>
    <cellStyle name="Percent [0]" xfId="2620" xr:uid="{00000000-0005-0000-0000-0000180E0000}"/>
    <cellStyle name="Percent [00]" xfId="2621" xr:uid="{00000000-0005-0000-0000-0000190E0000}"/>
    <cellStyle name="Percent [2]" xfId="2622" xr:uid="{00000000-0005-0000-0000-00001A0E0000}"/>
    <cellStyle name="Percent 10" xfId="2623" xr:uid="{00000000-0005-0000-0000-00001B0E0000}"/>
    <cellStyle name="Percent 11" xfId="2624" xr:uid="{00000000-0005-0000-0000-00001C0E0000}"/>
    <cellStyle name="Percent 12" xfId="2625" xr:uid="{00000000-0005-0000-0000-00001D0E0000}"/>
    <cellStyle name="Percent 13" xfId="2626" xr:uid="{00000000-0005-0000-0000-00001E0E0000}"/>
    <cellStyle name="Percent 14" xfId="2627" xr:uid="{00000000-0005-0000-0000-00001F0E0000}"/>
    <cellStyle name="Percent 15" xfId="2628" xr:uid="{00000000-0005-0000-0000-0000200E0000}"/>
    <cellStyle name="Percent 16" xfId="2629" xr:uid="{00000000-0005-0000-0000-0000210E0000}"/>
    <cellStyle name="Percent 17" xfId="2630" xr:uid="{00000000-0005-0000-0000-0000220E0000}"/>
    <cellStyle name="Percent 18" xfId="2631" xr:uid="{00000000-0005-0000-0000-0000230E0000}"/>
    <cellStyle name="Percent 19" xfId="2632" xr:uid="{00000000-0005-0000-0000-0000240E0000}"/>
    <cellStyle name="Percent 2" xfId="2633" xr:uid="{00000000-0005-0000-0000-0000250E0000}"/>
    <cellStyle name="Percent 2 2" xfId="2634" xr:uid="{00000000-0005-0000-0000-0000260E0000}"/>
    <cellStyle name="Percent 2 2 2" xfId="4057" xr:uid="{00000000-0005-0000-0000-0000270E0000}"/>
    <cellStyle name="Percent 2 3" xfId="2635" xr:uid="{00000000-0005-0000-0000-0000280E0000}"/>
    <cellStyle name="Percent 20" xfId="2636" xr:uid="{00000000-0005-0000-0000-0000290E0000}"/>
    <cellStyle name="Percent 21" xfId="2637" xr:uid="{00000000-0005-0000-0000-00002A0E0000}"/>
    <cellStyle name="Percent 22" xfId="2638" xr:uid="{00000000-0005-0000-0000-00002B0E0000}"/>
    <cellStyle name="Percent 23" xfId="2639" xr:uid="{00000000-0005-0000-0000-00002C0E0000}"/>
    <cellStyle name="Percent 24" xfId="2984" xr:uid="{00000000-0005-0000-0000-00002D0E0000}"/>
    <cellStyle name="Percent 3" xfId="2640" xr:uid="{00000000-0005-0000-0000-00002E0E0000}"/>
    <cellStyle name="Percent 4" xfId="2641" xr:uid="{00000000-0005-0000-0000-00002F0E0000}"/>
    <cellStyle name="Percent 5" xfId="2642" xr:uid="{00000000-0005-0000-0000-0000300E0000}"/>
    <cellStyle name="Percent 6" xfId="2643" xr:uid="{00000000-0005-0000-0000-0000310E0000}"/>
    <cellStyle name="Percent 6 2" xfId="2644" xr:uid="{00000000-0005-0000-0000-0000320E0000}"/>
    <cellStyle name="Percent 6 3" xfId="2645" xr:uid="{00000000-0005-0000-0000-0000330E0000}"/>
    <cellStyle name="Percent 7" xfId="2646" xr:uid="{00000000-0005-0000-0000-0000340E0000}"/>
    <cellStyle name="Percent 8" xfId="2647" xr:uid="{00000000-0005-0000-0000-0000350E0000}"/>
    <cellStyle name="Percent 9" xfId="2648" xr:uid="{00000000-0005-0000-0000-0000360E0000}"/>
    <cellStyle name="PrePop Currency (0)" xfId="2649" xr:uid="{00000000-0005-0000-0000-0000370E0000}"/>
    <cellStyle name="PrePop Currency (2)" xfId="2650" xr:uid="{00000000-0005-0000-0000-0000380E0000}"/>
    <cellStyle name="PrePop Units (0)" xfId="2651" xr:uid="{00000000-0005-0000-0000-0000390E0000}"/>
    <cellStyle name="PrePop Units (1)" xfId="2652" xr:uid="{00000000-0005-0000-0000-00003A0E0000}"/>
    <cellStyle name="PrePop Units (2)" xfId="2653" xr:uid="{00000000-0005-0000-0000-00003B0E0000}"/>
    <cellStyle name="Result" xfId="2654" xr:uid="{00000000-0005-0000-0000-00003C0E0000}"/>
    <cellStyle name="Result2" xfId="2655" xr:uid="{00000000-0005-0000-0000-00003D0E0000}"/>
    <cellStyle name="Style 1" xfId="2656" xr:uid="{00000000-0005-0000-0000-00003E0E0000}"/>
    <cellStyle name="Text Indent A" xfId="2657" xr:uid="{00000000-0005-0000-0000-00003F0E0000}"/>
    <cellStyle name="Text Indent B" xfId="2658" xr:uid="{00000000-0005-0000-0000-0000400E0000}"/>
    <cellStyle name="Text Indent C" xfId="2659" xr:uid="{00000000-0005-0000-0000-0000410E0000}"/>
    <cellStyle name="Title 2" xfId="2660" xr:uid="{00000000-0005-0000-0000-0000420E0000}"/>
    <cellStyle name="Title 2 2" xfId="2661" xr:uid="{00000000-0005-0000-0000-0000430E0000}"/>
    <cellStyle name="Title 2 3" xfId="2662" xr:uid="{00000000-0005-0000-0000-0000440E0000}"/>
    <cellStyle name="Total 2" xfId="2663" xr:uid="{00000000-0005-0000-0000-0000450E0000}"/>
    <cellStyle name="Total 2 10" xfId="2664" xr:uid="{00000000-0005-0000-0000-0000460E0000}"/>
    <cellStyle name="Total 2 11" xfId="2665" xr:uid="{00000000-0005-0000-0000-0000470E0000}"/>
    <cellStyle name="Total 2 12" xfId="2666" xr:uid="{00000000-0005-0000-0000-0000480E0000}"/>
    <cellStyle name="Total 2 12 2" xfId="3927" xr:uid="{00000000-0005-0000-0000-0000490E0000}"/>
    <cellStyle name="Total 2 2" xfId="2667" xr:uid="{00000000-0005-0000-0000-00004A0E0000}"/>
    <cellStyle name="Total 2 2 10" xfId="2668" xr:uid="{00000000-0005-0000-0000-00004B0E0000}"/>
    <cellStyle name="Total 2 2 10 2" xfId="3939" xr:uid="{00000000-0005-0000-0000-00004C0E0000}"/>
    <cellStyle name="Total 2 2 2" xfId="2669" xr:uid="{00000000-0005-0000-0000-00004D0E0000}"/>
    <cellStyle name="Total 2 2 2 2" xfId="2670" xr:uid="{00000000-0005-0000-0000-00004E0E0000}"/>
    <cellStyle name="Total 2 2 2 2 2" xfId="2671" xr:uid="{00000000-0005-0000-0000-00004F0E0000}"/>
    <cellStyle name="Total 2 2 2 2 3" xfId="2672" xr:uid="{00000000-0005-0000-0000-0000500E0000}"/>
    <cellStyle name="Total 2 2 2 2 4" xfId="2673" xr:uid="{00000000-0005-0000-0000-0000510E0000}"/>
    <cellStyle name="Total 2 2 2 2 5" xfId="3389" xr:uid="{00000000-0005-0000-0000-0000520E0000}"/>
    <cellStyle name="Total 2 2 2 3" xfId="2674" xr:uid="{00000000-0005-0000-0000-0000530E0000}"/>
    <cellStyle name="Total 2 2 2 4" xfId="2675" xr:uid="{00000000-0005-0000-0000-0000540E0000}"/>
    <cellStyle name="Total 2 2 2 5" xfId="2676" xr:uid="{00000000-0005-0000-0000-0000550E0000}"/>
    <cellStyle name="Total 2 2 2 6" xfId="2677" xr:uid="{00000000-0005-0000-0000-0000560E0000}"/>
    <cellStyle name="Total 2 2 2 7" xfId="3151" xr:uid="{00000000-0005-0000-0000-0000570E0000}"/>
    <cellStyle name="Total 2 2 3" xfId="2678" xr:uid="{00000000-0005-0000-0000-0000580E0000}"/>
    <cellStyle name="Total 2 2 3 2" xfId="2679" xr:uid="{00000000-0005-0000-0000-0000590E0000}"/>
    <cellStyle name="Total 2 2 3 2 2" xfId="2680" xr:uid="{00000000-0005-0000-0000-00005A0E0000}"/>
    <cellStyle name="Total 2 2 3 2 3" xfId="2681" xr:uid="{00000000-0005-0000-0000-00005B0E0000}"/>
    <cellStyle name="Total 2 2 3 2 4" xfId="2682" xr:uid="{00000000-0005-0000-0000-00005C0E0000}"/>
    <cellStyle name="Total 2 2 3 2 5" xfId="3412" xr:uid="{00000000-0005-0000-0000-00005D0E0000}"/>
    <cellStyle name="Total 2 2 3 3" xfId="2683" xr:uid="{00000000-0005-0000-0000-00005E0E0000}"/>
    <cellStyle name="Total 2 2 3 4" xfId="2684" xr:uid="{00000000-0005-0000-0000-00005F0E0000}"/>
    <cellStyle name="Total 2 2 3 5" xfId="2685" xr:uid="{00000000-0005-0000-0000-0000600E0000}"/>
    <cellStyle name="Total 2 2 3 6" xfId="2686" xr:uid="{00000000-0005-0000-0000-0000610E0000}"/>
    <cellStyle name="Total 2 2 3 7" xfId="3174" xr:uid="{00000000-0005-0000-0000-0000620E0000}"/>
    <cellStyle name="Total 2 2 4" xfId="2687" xr:uid="{00000000-0005-0000-0000-0000630E0000}"/>
    <cellStyle name="Total 2 2 4 2" xfId="2688" xr:uid="{00000000-0005-0000-0000-0000640E0000}"/>
    <cellStyle name="Total 2 2 4 2 2" xfId="2689" xr:uid="{00000000-0005-0000-0000-0000650E0000}"/>
    <cellStyle name="Total 2 2 4 2 3" xfId="2690" xr:uid="{00000000-0005-0000-0000-0000660E0000}"/>
    <cellStyle name="Total 2 2 4 2 4" xfId="2691" xr:uid="{00000000-0005-0000-0000-0000670E0000}"/>
    <cellStyle name="Total 2 2 4 2 5" xfId="3444" xr:uid="{00000000-0005-0000-0000-0000680E0000}"/>
    <cellStyle name="Total 2 2 4 3" xfId="2692" xr:uid="{00000000-0005-0000-0000-0000690E0000}"/>
    <cellStyle name="Total 2 2 4 3 2" xfId="3645" xr:uid="{00000000-0005-0000-0000-00006A0E0000}"/>
    <cellStyle name="Total 2 2 4 4" xfId="2693" xr:uid="{00000000-0005-0000-0000-00006B0E0000}"/>
    <cellStyle name="Total 2 2 4 5" xfId="2694" xr:uid="{00000000-0005-0000-0000-00006C0E0000}"/>
    <cellStyle name="Total 2 2 4 6" xfId="2695" xr:uid="{00000000-0005-0000-0000-00006D0E0000}"/>
    <cellStyle name="Total 2 2 4 7" xfId="3206" xr:uid="{00000000-0005-0000-0000-00006E0E0000}"/>
    <cellStyle name="Total 2 2 5" xfId="2696" xr:uid="{00000000-0005-0000-0000-00006F0E0000}"/>
    <cellStyle name="Total 2 2 5 2" xfId="2697" xr:uid="{00000000-0005-0000-0000-0000700E0000}"/>
    <cellStyle name="Total 2 2 5 3" xfId="2698" xr:uid="{00000000-0005-0000-0000-0000710E0000}"/>
    <cellStyle name="Total 2 2 5 4" xfId="2699" xr:uid="{00000000-0005-0000-0000-0000720E0000}"/>
    <cellStyle name="Total 2 2 5 5" xfId="3118" xr:uid="{00000000-0005-0000-0000-0000730E0000}"/>
    <cellStyle name="Total 2 2 6" xfId="2700" xr:uid="{00000000-0005-0000-0000-0000740E0000}"/>
    <cellStyle name="Total 2 2 6 2" xfId="2701" xr:uid="{00000000-0005-0000-0000-0000750E0000}"/>
    <cellStyle name="Total 2 2 6 3" xfId="2702" xr:uid="{00000000-0005-0000-0000-0000760E0000}"/>
    <cellStyle name="Total 2 2 6 4" xfId="2703" xr:uid="{00000000-0005-0000-0000-0000770E0000}"/>
    <cellStyle name="Total 2 2 6 5" xfId="3356" xr:uid="{00000000-0005-0000-0000-0000780E0000}"/>
    <cellStyle name="Total 2 2 7" xfId="2704" xr:uid="{00000000-0005-0000-0000-0000790E0000}"/>
    <cellStyle name="Total 2 2 7 2" xfId="3597" xr:uid="{00000000-0005-0000-0000-00007A0E0000}"/>
    <cellStyle name="Total 2 2 8" xfId="2705" xr:uid="{00000000-0005-0000-0000-00007B0E0000}"/>
    <cellStyle name="Total 2 2 9" xfId="2706" xr:uid="{00000000-0005-0000-0000-00007C0E0000}"/>
    <cellStyle name="Total 2 3" xfId="2707" xr:uid="{00000000-0005-0000-0000-00007D0E0000}"/>
    <cellStyle name="Total 2 3 2" xfId="2708" xr:uid="{00000000-0005-0000-0000-00007E0E0000}"/>
    <cellStyle name="Total 2 3 2 2" xfId="2709" xr:uid="{00000000-0005-0000-0000-00007F0E0000}"/>
    <cellStyle name="Total 2 3 2 2 2" xfId="2710" xr:uid="{00000000-0005-0000-0000-0000800E0000}"/>
    <cellStyle name="Total 2 3 2 2 3" xfId="2711" xr:uid="{00000000-0005-0000-0000-0000810E0000}"/>
    <cellStyle name="Total 2 3 2 2 4" xfId="2712" xr:uid="{00000000-0005-0000-0000-0000820E0000}"/>
    <cellStyle name="Total 2 3 2 2 5" xfId="3512" xr:uid="{00000000-0005-0000-0000-0000830E0000}"/>
    <cellStyle name="Total 2 3 2 3" xfId="2713" xr:uid="{00000000-0005-0000-0000-0000840E0000}"/>
    <cellStyle name="Total 2 3 2 3 2" xfId="3713" xr:uid="{00000000-0005-0000-0000-0000850E0000}"/>
    <cellStyle name="Total 2 3 2 4" xfId="2714" xr:uid="{00000000-0005-0000-0000-0000860E0000}"/>
    <cellStyle name="Total 2 3 2 5" xfId="2715" xr:uid="{00000000-0005-0000-0000-0000870E0000}"/>
    <cellStyle name="Total 2 3 2 6" xfId="2716" xr:uid="{00000000-0005-0000-0000-0000880E0000}"/>
    <cellStyle name="Total 2 3 2 7" xfId="3274" xr:uid="{00000000-0005-0000-0000-0000890E0000}"/>
    <cellStyle name="Total 2 3 3" xfId="2717" xr:uid="{00000000-0005-0000-0000-00008A0E0000}"/>
    <cellStyle name="Total 2 3 3 2" xfId="2718" xr:uid="{00000000-0005-0000-0000-00008B0E0000}"/>
    <cellStyle name="Total 2 3 3 3" xfId="2719" xr:uid="{00000000-0005-0000-0000-00008C0E0000}"/>
    <cellStyle name="Total 2 3 3 4" xfId="2720" xr:uid="{00000000-0005-0000-0000-00008D0E0000}"/>
    <cellStyle name="Total 2 3 3 5" xfId="3136" xr:uid="{00000000-0005-0000-0000-00008E0E0000}"/>
    <cellStyle name="Total 2 3 4" xfId="2721" xr:uid="{00000000-0005-0000-0000-00008F0E0000}"/>
    <cellStyle name="Total 2 3 4 2" xfId="2722" xr:uid="{00000000-0005-0000-0000-0000900E0000}"/>
    <cellStyle name="Total 2 3 4 3" xfId="2723" xr:uid="{00000000-0005-0000-0000-0000910E0000}"/>
    <cellStyle name="Total 2 3 4 4" xfId="2724" xr:uid="{00000000-0005-0000-0000-0000920E0000}"/>
    <cellStyle name="Total 2 3 4 5" xfId="3374" xr:uid="{00000000-0005-0000-0000-0000930E0000}"/>
    <cellStyle name="Total 2 3 5" xfId="2725" xr:uid="{00000000-0005-0000-0000-0000940E0000}"/>
    <cellStyle name="Total 2 3 6" xfId="2726" xr:uid="{00000000-0005-0000-0000-0000950E0000}"/>
    <cellStyle name="Total 2 3 7" xfId="2727" xr:uid="{00000000-0005-0000-0000-0000960E0000}"/>
    <cellStyle name="Total 2 3 8" xfId="2728" xr:uid="{00000000-0005-0000-0000-0000970E0000}"/>
    <cellStyle name="Total 2 3 8 2" xfId="3975" xr:uid="{00000000-0005-0000-0000-0000980E0000}"/>
    <cellStyle name="Total 2 4" xfId="2729" xr:uid="{00000000-0005-0000-0000-0000990E0000}"/>
    <cellStyle name="Total 2 4 2" xfId="2730" xr:uid="{00000000-0005-0000-0000-00009A0E0000}"/>
    <cellStyle name="Total 2 4 2 2" xfId="2731" xr:uid="{00000000-0005-0000-0000-00009B0E0000}"/>
    <cellStyle name="Total 2 4 2 2 2" xfId="2732" xr:uid="{00000000-0005-0000-0000-00009C0E0000}"/>
    <cellStyle name="Total 2 4 2 2 3" xfId="2733" xr:uid="{00000000-0005-0000-0000-00009D0E0000}"/>
    <cellStyle name="Total 2 4 2 2 4" xfId="2734" xr:uid="{00000000-0005-0000-0000-00009E0E0000}"/>
    <cellStyle name="Total 2 4 2 2 5" xfId="3526" xr:uid="{00000000-0005-0000-0000-00009F0E0000}"/>
    <cellStyle name="Total 2 4 2 3" xfId="2735" xr:uid="{00000000-0005-0000-0000-0000A00E0000}"/>
    <cellStyle name="Total 2 4 2 3 2" xfId="3727" xr:uid="{00000000-0005-0000-0000-0000A10E0000}"/>
    <cellStyle name="Total 2 4 2 4" xfId="2736" xr:uid="{00000000-0005-0000-0000-0000A20E0000}"/>
    <cellStyle name="Total 2 4 2 5" xfId="2737" xr:uid="{00000000-0005-0000-0000-0000A30E0000}"/>
    <cellStyle name="Total 2 4 2 6" xfId="2738" xr:uid="{00000000-0005-0000-0000-0000A40E0000}"/>
    <cellStyle name="Total 2 4 2 7" xfId="3288" xr:uid="{00000000-0005-0000-0000-0000A50E0000}"/>
    <cellStyle name="Total 2 4 3" xfId="2739" xr:uid="{00000000-0005-0000-0000-0000A60E0000}"/>
    <cellStyle name="Total 2 4 3 2" xfId="2740" xr:uid="{00000000-0005-0000-0000-0000A70E0000}"/>
    <cellStyle name="Total 2 4 3 3" xfId="2741" xr:uid="{00000000-0005-0000-0000-0000A80E0000}"/>
    <cellStyle name="Total 2 4 3 4" xfId="2742" xr:uid="{00000000-0005-0000-0000-0000A90E0000}"/>
    <cellStyle name="Total 2 4 3 5" xfId="3162" xr:uid="{00000000-0005-0000-0000-0000AA0E0000}"/>
    <cellStyle name="Total 2 4 4" xfId="2743" xr:uid="{00000000-0005-0000-0000-0000AB0E0000}"/>
    <cellStyle name="Total 2 4 4 2" xfId="2744" xr:uid="{00000000-0005-0000-0000-0000AC0E0000}"/>
    <cellStyle name="Total 2 4 4 3" xfId="2745" xr:uid="{00000000-0005-0000-0000-0000AD0E0000}"/>
    <cellStyle name="Total 2 4 4 4" xfId="2746" xr:uid="{00000000-0005-0000-0000-0000AE0E0000}"/>
    <cellStyle name="Total 2 4 4 5" xfId="3400" xr:uid="{00000000-0005-0000-0000-0000AF0E0000}"/>
    <cellStyle name="Total 2 4 5" xfId="2747" xr:uid="{00000000-0005-0000-0000-0000B00E0000}"/>
    <cellStyle name="Total 2 4 6" xfId="2748" xr:uid="{00000000-0005-0000-0000-0000B10E0000}"/>
    <cellStyle name="Total 2 4 7" xfId="2749" xr:uid="{00000000-0005-0000-0000-0000B20E0000}"/>
    <cellStyle name="Total 2 4 8" xfId="2750" xr:uid="{00000000-0005-0000-0000-0000B30E0000}"/>
    <cellStyle name="Total 2 4 8 2" xfId="3984" xr:uid="{00000000-0005-0000-0000-0000B40E0000}"/>
    <cellStyle name="Total 2 4 9" xfId="3048" xr:uid="{00000000-0005-0000-0000-0000B50E0000}"/>
    <cellStyle name="Total 2 5" xfId="2751" xr:uid="{00000000-0005-0000-0000-0000B60E0000}"/>
    <cellStyle name="Total 2 5 2" xfId="2752" xr:uid="{00000000-0005-0000-0000-0000B70E0000}"/>
    <cellStyle name="Total 2 5 2 2" xfId="2753" xr:uid="{00000000-0005-0000-0000-0000B80E0000}"/>
    <cellStyle name="Total 2 5 2 3" xfId="2754" xr:uid="{00000000-0005-0000-0000-0000B90E0000}"/>
    <cellStyle name="Total 2 5 2 4" xfId="2755" xr:uid="{00000000-0005-0000-0000-0000BA0E0000}"/>
    <cellStyle name="Total 2 5 2 5" xfId="3272" xr:uid="{00000000-0005-0000-0000-0000BB0E0000}"/>
    <cellStyle name="Total 2 5 3" xfId="2756" xr:uid="{00000000-0005-0000-0000-0000BC0E0000}"/>
    <cellStyle name="Total 2 5 3 2" xfId="2757" xr:uid="{00000000-0005-0000-0000-0000BD0E0000}"/>
    <cellStyle name="Total 2 5 3 3" xfId="2758" xr:uid="{00000000-0005-0000-0000-0000BE0E0000}"/>
    <cellStyle name="Total 2 5 3 4" xfId="2759" xr:uid="{00000000-0005-0000-0000-0000BF0E0000}"/>
    <cellStyle name="Total 2 5 3 5" xfId="3510" xr:uid="{00000000-0005-0000-0000-0000C00E0000}"/>
    <cellStyle name="Total 2 5 4" xfId="2760" xr:uid="{00000000-0005-0000-0000-0000C10E0000}"/>
    <cellStyle name="Total 2 5 4 2" xfId="3711" xr:uid="{00000000-0005-0000-0000-0000C20E0000}"/>
    <cellStyle name="Total 2 5 5" xfId="2761" xr:uid="{00000000-0005-0000-0000-0000C30E0000}"/>
    <cellStyle name="Total 2 5 6" xfId="2762" xr:uid="{00000000-0005-0000-0000-0000C40E0000}"/>
    <cellStyle name="Total 2 5 7" xfId="2763" xr:uid="{00000000-0005-0000-0000-0000C50E0000}"/>
    <cellStyle name="Total 2 5 8" xfId="2764" xr:uid="{00000000-0005-0000-0000-0000C60E0000}"/>
    <cellStyle name="Total 2 5 9" xfId="3034" xr:uid="{00000000-0005-0000-0000-0000C70E0000}"/>
    <cellStyle name="Total 2 6" xfId="2765" xr:uid="{00000000-0005-0000-0000-0000C80E0000}"/>
    <cellStyle name="Total 2 6 2" xfId="2766" xr:uid="{00000000-0005-0000-0000-0000C90E0000}"/>
    <cellStyle name="Total 2 6 2 2" xfId="2767" xr:uid="{00000000-0005-0000-0000-0000CA0E0000}"/>
    <cellStyle name="Total 2 6 2 3" xfId="2768" xr:uid="{00000000-0005-0000-0000-0000CB0E0000}"/>
    <cellStyle name="Total 2 6 2 4" xfId="2769" xr:uid="{00000000-0005-0000-0000-0000CC0E0000}"/>
    <cellStyle name="Total 2 6 2 5" xfId="3310" xr:uid="{00000000-0005-0000-0000-0000CD0E0000}"/>
    <cellStyle name="Total 2 6 3" xfId="2770" xr:uid="{00000000-0005-0000-0000-0000CE0E0000}"/>
    <cellStyle name="Total 2 6 3 2" xfId="2771" xr:uid="{00000000-0005-0000-0000-0000CF0E0000}"/>
    <cellStyle name="Total 2 6 3 3" xfId="2772" xr:uid="{00000000-0005-0000-0000-0000D00E0000}"/>
    <cellStyle name="Total 2 6 3 4" xfId="2773" xr:uid="{00000000-0005-0000-0000-0000D10E0000}"/>
    <cellStyle name="Total 2 6 3 5" xfId="3548" xr:uid="{00000000-0005-0000-0000-0000D20E0000}"/>
    <cellStyle name="Total 2 6 4" xfId="2774" xr:uid="{00000000-0005-0000-0000-0000D30E0000}"/>
    <cellStyle name="Total 2 6 4 2" xfId="3749" xr:uid="{00000000-0005-0000-0000-0000D40E0000}"/>
    <cellStyle name="Total 2 6 5" xfId="2775" xr:uid="{00000000-0005-0000-0000-0000D50E0000}"/>
    <cellStyle name="Total 2 6 6" xfId="2776" xr:uid="{00000000-0005-0000-0000-0000D60E0000}"/>
    <cellStyle name="Total 2 6 7" xfId="2777" xr:uid="{00000000-0005-0000-0000-0000D70E0000}"/>
    <cellStyle name="Total 2 6 8" xfId="2778" xr:uid="{00000000-0005-0000-0000-0000D80E0000}"/>
    <cellStyle name="Total 2 6 8 2" xfId="3997" xr:uid="{00000000-0005-0000-0000-0000D90E0000}"/>
    <cellStyle name="Total 2 6 9" xfId="3070" xr:uid="{00000000-0005-0000-0000-0000DA0E0000}"/>
    <cellStyle name="Total 2 7" xfId="2779" xr:uid="{00000000-0005-0000-0000-0000DB0E0000}"/>
    <cellStyle name="Total 2 7 2" xfId="2780" xr:uid="{00000000-0005-0000-0000-0000DC0E0000}"/>
    <cellStyle name="Total 2 7 2 2" xfId="2781" xr:uid="{00000000-0005-0000-0000-0000DD0E0000}"/>
    <cellStyle name="Total 2 7 2 3" xfId="2782" xr:uid="{00000000-0005-0000-0000-0000DE0E0000}"/>
    <cellStyle name="Total 2 7 2 4" xfId="2783" xr:uid="{00000000-0005-0000-0000-0000DF0E0000}"/>
    <cellStyle name="Total 2 7 2 5" xfId="3319" xr:uid="{00000000-0005-0000-0000-0000E00E0000}"/>
    <cellStyle name="Total 2 7 3" xfId="2784" xr:uid="{00000000-0005-0000-0000-0000E10E0000}"/>
    <cellStyle name="Total 2 7 3 2" xfId="2785" xr:uid="{00000000-0005-0000-0000-0000E20E0000}"/>
    <cellStyle name="Total 2 7 3 3" xfId="2786" xr:uid="{00000000-0005-0000-0000-0000E30E0000}"/>
    <cellStyle name="Total 2 7 3 4" xfId="2787" xr:uid="{00000000-0005-0000-0000-0000E40E0000}"/>
    <cellStyle name="Total 2 7 3 5" xfId="3557" xr:uid="{00000000-0005-0000-0000-0000E50E0000}"/>
    <cellStyle name="Total 2 7 4" xfId="2788" xr:uid="{00000000-0005-0000-0000-0000E60E0000}"/>
    <cellStyle name="Total 2 7 4 2" xfId="3758" xr:uid="{00000000-0005-0000-0000-0000E70E0000}"/>
    <cellStyle name="Total 2 7 5" xfId="2789" xr:uid="{00000000-0005-0000-0000-0000E80E0000}"/>
    <cellStyle name="Total 2 7 6" xfId="2790" xr:uid="{00000000-0005-0000-0000-0000E90E0000}"/>
    <cellStyle name="Total 2 7 7" xfId="2791" xr:uid="{00000000-0005-0000-0000-0000EA0E0000}"/>
    <cellStyle name="Total 2 7 8" xfId="2792" xr:uid="{00000000-0005-0000-0000-0000EB0E0000}"/>
    <cellStyle name="Total 2 7 8 2" xfId="4006" xr:uid="{00000000-0005-0000-0000-0000EC0E0000}"/>
    <cellStyle name="Total 2 7 9" xfId="3079" xr:uid="{00000000-0005-0000-0000-0000ED0E0000}"/>
    <cellStyle name="Total 2 8" xfId="2793" xr:uid="{00000000-0005-0000-0000-0000EE0E0000}"/>
    <cellStyle name="Total 2 8 2" xfId="2794" xr:uid="{00000000-0005-0000-0000-0000EF0E0000}"/>
    <cellStyle name="Total 2 8 2 2" xfId="2795" xr:uid="{00000000-0005-0000-0000-0000F00E0000}"/>
    <cellStyle name="Total 2 8 2 3" xfId="2796" xr:uid="{00000000-0005-0000-0000-0000F10E0000}"/>
    <cellStyle name="Total 2 8 2 4" xfId="2797" xr:uid="{00000000-0005-0000-0000-0000F20E0000}"/>
    <cellStyle name="Total 2 8 2 5" xfId="3328" xr:uid="{00000000-0005-0000-0000-0000F30E0000}"/>
    <cellStyle name="Total 2 8 3" xfId="2798" xr:uid="{00000000-0005-0000-0000-0000F40E0000}"/>
    <cellStyle name="Total 2 8 3 2" xfId="2799" xr:uid="{00000000-0005-0000-0000-0000F50E0000}"/>
    <cellStyle name="Total 2 8 3 3" xfId="2800" xr:uid="{00000000-0005-0000-0000-0000F60E0000}"/>
    <cellStyle name="Total 2 8 3 4" xfId="2801" xr:uid="{00000000-0005-0000-0000-0000F70E0000}"/>
    <cellStyle name="Total 2 8 3 5" xfId="3566" xr:uid="{00000000-0005-0000-0000-0000F80E0000}"/>
    <cellStyle name="Total 2 8 4" xfId="2802" xr:uid="{00000000-0005-0000-0000-0000F90E0000}"/>
    <cellStyle name="Total 2 8 4 2" xfId="3767" xr:uid="{00000000-0005-0000-0000-0000FA0E0000}"/>
    <cellStyle name="Total 2 8 5" xfId="2803" xr:uid="{00000000-0005-0000-0000-0000FB0E0000}"/>
    <cellStyle name="Total 2 8 6" xfId="2804" xr:uid="{00000000-0005-0000-0000-0000FC0E0000}"/>
    <cellStyle name="Total 2 8 7" xfId="2805" xr:uid="{00000000-0005-0000-0000-0000FD0E0000}"/>
    <cellStyle name="Total 2 8 8" xfId="2806" xr:uid="{00000000-0005-0000-0000-0000FE0E0000}"/>
    <cellStyle name="Total 2 8 8 2" xfId="4015" xr:uid="{00000000-0005-0000-0000-0000FF0E0000}"/>
    <cellStyle name="Total 2 8 9" xfId="3088" xr:uid="{00000000-0005-0000-0000-0000000F0000}"/>
    <cellStyle name="Total 2 9" xfId="2807" xr:uid="{00000000-0005-0000-0000-0000010F0000}"/>
    <cellStyle name="Total 2 9 2" xfId="2808" xr:uid="{00000000-0005-0000-0000-0000020F0000}"/>
    <cellStyle name="Total 2 9 2 2" xfId="2809" xr:uid="{00000000-0005-0000-0000-0000030F0000}"/>
    <cellStyle name="Total 2 9 2 3" xfId="2810" xr:uid="{00000000-0005-0000-0000-0000040F0000}"/>
    <cellStyle name="Total 2 9 2 4" xfId="2811" xr:uid="{00000000-0005-0000-0000-0000050F0000}"/>
    <cellStyle name="Total 2 9 2 5" xfId="3429" xr:uid="{00000000-0005-0000-0000-0000060F0000}"/>
    <cellStyle name="Total 2 9 3" xfId="2812" xr:uid="{00000000-0005-0000-0000-0000070F0000}"/>
    <cellStyle name="Total 2 9 3 2" xfId="3630" xr:uid="{00000000-0005-0000-0000-0000080F0000}"/>
    <cellStyle name="Total 2 9 4" xfId="2813" xr:uid="{00000000-0005-0000-0000-0000090F0000}"/>
    <cellStyle name="Total 2 9 5" xfId="2814" xr:uid="{00000000-0005-0000-0000-00000A0F0000}"/>
    <cellStyle name="Total 2 9 6" xfId="2815" xr:uid="{00000000-0005-0000-0000-00000B0F0000}"/>
    <cellStyle name="Total 2 9 7" xfId="3191" xr:uid="{00000000-0005-0000-0000-00000C0F0000}"/>
    <cellStyle name="Total 3" xfId="2816" xr:uid="{00000000-0005-0000-0000-00000D0F0000}"/>
    <cellStyle name="Total 3 10" xfId="2817" xr:uid="{00000000-0005-0000-0000-00000E0F0000}"/>
    <cellStyle name="Total 3 10 2" xfId="2818" xr:uid="{00000000-0005-0000-0000-00000F0F0000}"/>
    <cellStyle name="Total 3 10 3" xfId="2819" xr:uid="{00000000-0005-0000-0000-0000100F0000}"/>
    <cellStyle name="Total 3 10 4" xfId="2820" xr:uid="{00000000-0005-0000-0000-0000110F0000}"/>
    <cellStyle name="Total 3 10 5" xfId="3119" xr:uid="{00000000-0005-0000-0000-0000120F0000}"/>
    <cellStyle name="Total 3 11" xfId="2821" xr:uid="{00000000-0005-0000-0000-0000130F0000}"/>
    <cellStyle name="Total 3 11 2" xfId="2822" xr:uid="{00000000-0005-0000-0000-0000140F0000}"/>
    <cellStyle name="Total 3 11 3" xfId="2823" xr:uid="{00000000-0005-0000-0000-0000150F0000}"/>
    <cellStyle name="Total 3 11 4" xfId="2824" xr:uid="{00000000-0005-0000-0000-0000160F0000}"/>
    <cellStyle name="Total 3 11 5" xfId="3357" xr:uid="{00000000-0005-0000-0000-0000170F0000}"/>
    <cellStyle name="Total 3 12" xfId="2825" xr:uid="{00000000-0005-0000-0000-0000180F0000}"/>
    <cellStyle name="Total 3 12 2" xfId="3598" xr:uid="{00000000-0005-0000-0000-0000190F0000}"/>
    <cellStyle name="Total 3 13" xfId="2826" xr:uid="{00000000-0005-0000-0000-00001A0F0000}"/>
    <cellStyle name="Total 3 14" xfId="2827" xr:uid="{00000000-0005-0000-0000-00001B0F0000}"/>
    <cellStyle name="Total 3 15" xfId="2828" xr:uid="{00000000-0005-0000-0000-00001C0F0000}"/>
    <cellStyle name="Total 3 15 2" xfId="3928" xr:uid="{00000000-0005-0000-0000-00001D0F0000}"/>
    <cellStyle name="Total 3 2" xfId="2829" xr:uid="{00000000-0005-0000-0000-00001E0F0000}"/>
    <cellStyle name="Total 3 2 10" xfId="2830" xr:uid="{00000000-0005-0000-0000-00001F0F0000}"/>
    <cellStyle name="Total 3 2 10 2" xfId="3940" xr:uid="{00000000-0005-0000-0000-0000200F0000}"/>
    <cellStyle name="Total 3 2 2" xfId="2831" xr:uid="{00000000-0005-0000-0000-0000210F0000}"/>
    <cellStyle name="Total 3 2 2 2" xfId="2832" xr:uid="{00000000-0005-0000-0000-0000220F0000}"/>
    <cellStyle name="Total 3 2 2 2 2" xfId="2833" xr:uid="{00000000-0005-0000-0000-0000230F0000}"/>
    <cellStyle name="Total 3 2 2 2 3" xfId="2834" xr:uid="{00000000-0005-0000-0000-0000240F0000}"/>
    <cellStyle name="Total 3 2 2 2 4" xfId="2835" xr:uid="{00000000-0005-0000-0000-0000250F0000}"/>
    <cellStyle name="Total 3 2 2 2 5" xfId="3390" xr:uid="{00000000-0005-0000-0000-0000260F0000}"/>
    <cellStyle name="Total 3 2 2 3" xfId="2836" xr:uid="{00000000-0005-0000-0000-0000270F0000}"/>
    <cellStyle name="Total 3 2 2 4" xfId="2837" xr:uid="{00000000-0005-0000-0000-0000280F0000}"/>
    <cellStyle name="Total 3 2 2 5" xfId="2838" xr:uid="{00000000-0005-0000-0000-0000290F0000}"/>
    <cellStyle name="Total 3 2 2 6" xfId="2839" xr:uid="{00000000-0005-0000-0000-00002A0F0000}"/>
    <cellStyle name="Total 3 2 2 7" xfId="3152" xr:uid="{00000000-0005-0000-0000-00002B0F0000}"/>
    <cellStyle name="Total 3 2 3" xfId="2840" xr:uid="{00000000-0005-0000-0000-00002C0F0000}"/>
    <cellStyle name="Total 3 2 3 2" xfId="2841" xr:uid="{00000000-0005-0000-0000-00002D0F0000}"/>
    <cellStyle name="Total 3 2 3 2 2" xfId="2842" xr:uid="{00000000-0005-0000-0000-00002E0F0000}"/>
    <cellStyle name="Total 3 2 3 2 3" xfId="2843" xr:uid="{00000000-0005-0000-0000-00002F0F0000}"/>
    <cellStyle name="Total 3 2 3 2 4" xfId="2844" xr:uid="{00000000-0005-0000-0000-0000300F0000}"/>
    <cellStyle name="Total 3 2 3 2 5" xfId="3413" xr:uid="{00000000-0005-0000-0000-0000310F0000}"/>
    <cellStyle name="Total 3 2 3 3" xfId="2845" xr:uid="{00000000-0005-0000-0000-0000320F0000}"/>
    <cellStyle name="Total 3 2 3 4" xfId="2846" xr:uid="{00000000-0005-0000-0000-0000330F0000}"/>
    <cellStyle name="Total 3 2 3 5" xfId="2847" xr:uid="{00000000-0005-0000-0000-0000340F0000}"/>
    <cellStyle name="Total 3 2 3 6" xfId="2848" xr:uid="{00000000-0005-0000-0000-0000350F0000}"/>
    <cellStyle name="Total 3 2 3 7" xfId="3175" xr:uid="{00000000-0005-0000-0000-0000360F0000}"/>
    <cellStyle name="Total 3 2 4" xfId="2849" xr:uid="{00000000-0005-0000-0000-0000370F0000}"/>
    <cellStyle name="Total 3 2 4 2" xfId="2850" xr:uid="{00000000-0005-0000-0000-0000380F0000}"/>
    <cellStyle name="Total 3 2 4 2 2" xfId="2851" xr:uid="{00000000-0005-0000-0000-0000390F0000}"/>
    <cellStyle name="Total 3 2 4 2 3" xfId="2852" xr:uid="{00000000-0005-0000-0000-00003A0F0000}"/>
    <cellStyle name="Total 3 2 4 2 4" xfId="2853" xr:uid="{00000000-0005-0000-0000-00003B0F0000}"/>
    <cellStyle name="Total 3 2 4 2 5" xfId="3445" xr:uid="{00000000-0005-0000-0000-00003C0F0000}"/>
    <cellStyle name="Total 3 2 4 3" xfId="2854" xr:uid="{00000000-0005-0000-0000-00003D0F0000}"/>
    <cellStyle name="Total 3 2 4 3 2" xfId="3646" xr:uid="{00000000-0005-0000-0000-00003E0F0000}"/>
    <cellStyle name="Total 3 2 4 4" xfId="2855" xr:uid="{00000000-0005-0000-0000-00003F0F0000}"/>
    <cellStyle name="Total 3 2 4 5" xfId="2856" xr:uid="{00000000-0005-0000-0000-0000400F0000}"/>
    <cellStyle name="Total 3 2 4 6" xfId="2857" xr:uid="{00000000-0005-0000-0000-0000410F0000}"/>
    <cellStyle name="Total 3 2 4 7" xfId="3207" xr:uid="{00000000-0005-0000-0000-0000420F0000}"/>
    <cellStyle name="Total 3 2 5" xfId="2858" xr:uid="{00000000-0005-0000-0000-0000430F0000}"/>
    <cellStyle name="Total 3 2 5 2" xfId="2859" xr:uid="{00000000-0005-0000-0000-0000440F0000}"/>
    <cellStyle name="Total 3 2 5 3" xfId="2860" xr:uid="{00000000-0005-0000-0000-0000450F0000}"/>
    <cellStyle name="Total 3 2 5 4" xfId="2861" xr:uid="{00000000-0005-0000-0000-0000460F0000}"/>
    <cellStyle name="Total 3 2 5 5" xfId="3120" xr:uid="{00000000-0005-0000-0000-0000470F0000}"/>
    <cellStyle name="Total 3 2 6" xfId="2862" xr:uid="{00000000-0005-0000-0000-0000480F0000}"/>
    <cellStyle name="Total 3 2 6 2" xfId="2863" xr:uid="{00000000-0005-0000-0000-0000490F0000}"/>
    <cellStyle name="Total 3 2 6 3" xfId="2864" xr:uid="{00000000-0005-0000-0000-00004A0F0000}"/>
    <cellStyle name="Total 3 2 6 4" xfId="2865" xr:uid="{00000000-0005-0000-0000-00004B0F0000}"/>
    <cellStyle name="Total 3 2 6 5" xfId="3358" xr:uid="{00000000-0005-0000-0000-00004C0F0000}"/>
    <cellStyle name="Total 3 2 7" xfId="2866" xr:uid="{00000000-0005-0000-0000-00004D0F0000}"/>
    <cellStyle name="Total 3 2 7 2" xfId="3599" xr:uid="{00000000-0005-0000-0000-00004E0F0000}"/>
    <cellStyle name="Total 3 2 8" xfId="2867" xr:uid="{00000000-0005-0000-0000-00004F0F0000}"/>
    <cellStyle name="Total 3 2 9" xfId="2868" xr:uid="{00000000-0005-0000-0000-0000500F0000}"/>
    <cellStyle name="Total 3 3" xfId="2869" xr:uid="{00000000-0005-0000-0000-0000510F0000}"/>
    <cellStyle name="Total 3 3 2" xfId="2870" xr:uid="{00000000-0005-0000-0000-0000520F0000}"/>
    <cellStyle name="Total 3 3 2 2" xfId="2871" xr:uid="{00000000-0005-0000-0000-0000530F0000}"/>
    <cellStyle name="Total 3 3 2 2 2" xfId="2872" xr:uid="{00000000-0005-0000-0000-0000540F0000}"/>
    <cellStyle name="Total 3 3 2 2 3" xfId="2873" xr:uid="{00000000-0005-0000-0000-0000550F0000}"/>
    <cellStyle name="Total 3 3 2 2 4" xfId="2874" xr:uid="{00000000-0005-0000-0000-0000560F0000}"/>
    <cellStyle name="Total 3 3 2 2 5" xfId="3513" xr:uid="{00000000-0005-0000-0000-0000570F0000}"/>
    <cellStyle name="Total 3 3 2 3" xfId="2875" xr:uid="{00000000-0005-0000-0000-0000580F0000}"/>
    <cellStyle name="Total 3 3 2 3 2" xfId="3714" xr:uid="{00000000-0005-0000-0000-0000590F0000}"/>
    <cellStyle name="Total 3 3 2 4" xfId="2876" xr:uid="{00000000-0005-0000-0000-00005A0F0000}"/>
    <cellStyle name="Total 3 3 2 5" xfId="2877" xr:uid="{00000000-0005-0000-0000-00005B0F0000}"/>
    <cellStyle name="Total 3 3 2 6" xfId="2878" xr:uid="{00000000-0005-0000-0000-00005C0F0000}"/>
    <cellStyle name="Total 3 3 2 7" xfId="3275" xr:uid="{00000000-0005-0000-0000-00005D0F0000}"/>
    <cellStyle name="Total 3 3 3" xfId="2879" xr:uid="{00000000-0005-0000-0000-00005E0F0000}"/>
    <cellStyle name="Total 3 3 3 2" xfId="2880" xr:uid="{00000000-0005-0000-0000-00005F0F0000}"/>
    <cellStyle name="Total 3 3 3 3" xfId="2881" xr:uid="{00000000-0005-0000-0000-0000600F0000}"/>
    <cellStyle name="Total 3 3 3 4" xfId="2882" xr:uid="{00000000-0005-0000-0000-0000610F0000}"/>
    <cellStyle name="Total 3 3 3 5" xfId="3137" xr:uid="{00000000-0005-0000-0000-0000620F0000}"/>
    <cellStyle name="Total 3 3 4" xfId="2883" xr:uid="{00000000-0005-0000-0000-0000630F0000}"/>
    <cellStyle name="Total 3 3 4 2" xfId="2884" xr:uid="{00000000-0005-0000-0000-0000640F0000}"/>
    <cellStyle name="Total 3 3 4 3" xfId="2885" xr:uid="{00000000-0005-0000-0000-0000650F0000}"/>
    <cellStyle name="Total 3 3 4 4" xfId="2886" xr:uid="{00000000-0005-0000-0000-0000660F0000}"/>
    <cellStyle name="Total 3 3 4 5" xfId="3375" xr:uid="{00000000-0005-0000-0000-0000670F0000}"/>
    <cellStyle name="Total 3 3 5" xfId="2887" xr:uid="{00000000-0005-0000-0000-0000680F0000}"/>
    <cellStyle name="Total 3 3 6" xfId="2888" xr:uid="{00000000-0005-0000-0000-0000690F0000}"/>
    <cellStyle name="Total 3 3 7" xfId="2889" xr:uid="{00000000-0005-0000-0000-00006A0F0000}"/>
    <cellStyle name="Total 3 3 8" xfId="2890" xr:uid="{00000000-0005-0000-0000-00006B0F0000}"/>
    <cellStyle name="Total 3 3 8 2" xfId="3976" xr:uid="{00000000-0005-0000-0000-00006C0F0000}"/>
    <cellStyle name="Total 3 4" xfId="2891" xr:uid="{00000000-0005-0000-0000-00006D0F0000}"/>
    <cellStyle name="Total 3 4 2" xfId="2892" xr:uid="{00000000-0005-0000-0000-00006E0F0000}"/>
    <cellStyle name="Total 3 4 2 2" xfId="2893" xr:uid="{00000000-0005-0000-0000-00006F0F0000}"/>
    <cellStyle name="Total 3 4 2 2 2" xfId="2894" xr:uid="{00000000-0005-0000-0000-0000700F0000}"/>
    <cellStyle name="Total 3 4 2 2 3" xfId="2895" xr:uid="{00000000-0005-0000-0000-0000710F0000}"/>
    <cellStyle name="Total 3 4 2 2 4" xfId="2896" xr:uid="{00000000-0005-0000-0000-0000720F0000}"/>
    <cellStyle name="Total 3 4 2 2 5" xfId="3527" xr:uid="{00000000-0005-0000-0000-0000730F0000}"/>
    <cellStyle name="Total 3 4 2 3" xfId="2897" xr:uid="{00000000-0005-0000-0000-0000740F0000}"/>
    <cellStyle name="Total 3 4 2 3 2" xfId="3728" xr:uid="{00000000-0005-0000-0000-0000750F0000}"/>
    <cellStyle name="Total 3 4 2 4" xfId="2898" xr:uid="{00000000-0005-0000-0000-0000760F0000}"/>
    <cellStyle name="Total 3 4 2 5" xfId="2899" xr:uid="{00000000-0005-0000-0000-0000770F0000}"/>
    <cellStyle name="Total 3 4 2 6" xfId="2900" xr:uid="{00000000-0005-0000-0000-0000780F0000}"/>
    <cellStyle name="Total 3 4 2 7" xfId="3289" xr:uid="{00000000-0005-0000-0000-0000790F0000}"/>
    <cellStyle name="Total 3 4 3" xfId="2901" xr:uid="{00000000-0005-0000-0000-00007A0F0000}"/>
    <cellStyle name="Total 3 4 3 2" xfId="2902" xr:uid="{00000000-0005-0000-0000-00007B0F0000}"/>
    <cellStyle name="Total 3 4 3 3" xfId="2903" xr:uid="{00000000-0005-0000-0000-00007C0F0000}"/>
    <cellStyle name="Total 3 4 3 4" xfId="2904" xr:uid="{00000000-0005-0000-0000-00007D0F0000}"/>
    <cellStyle name="Total 3 4 3 5" xfId="3163" xr:uid="{00000000-0005-0000-0000-00007E0F0000}"/>
    <cellStyle name="Total 3 4 4" xfId="2905" xr:uid="{00000000-0005-0000-0000-00007F0F0000}"/>
    <cellStyle name="Total 3 4 4 2" xfId="2906" xr:uid="{00000000-0005-0000-0000-0000800F0000}"/>
    <cellStyle name="Total 3 4 4 3" xfId="2907" xr:uid="{00000000-0005-0000-0000-0000810F0000}"/>
    <cellStyle name="Total 3 4 4 4" xfId="2908" xr:uid="{00000000-0005-0000-0000-0000820F0000}"/>
    <cellStyle name="Total 3 4 4 5" xfId="3401" xr:uid="{00000000-0005-0000-0000-0000830F0000}"/>
    <cellStyle name="Total 3 4 5" xfId="2909" xr:uid="{00000000-0005-0000-0000-0000840F0000}"/>
    <cellStyle name="Total 3 4 6" xfId="2910" xr:uid="{00000000-0005-0000-0000-0000850F0000}"/>
    <cellStyle name="Total 3 4 7" xfId="2911" xr:uid="{00000000-0005-0000-0000-0000860F0000}"/>
    <cellStyle name="Total 3 4 8" xfId="2912" xr:uid="{00000000-0005-0000-0000-0000870F0000}"/>
    <cellStyle name="Total 3 4 8 2" xfId="3985" xr:uid="{00000000-0005-0000-0000-0000880F0000}"/>
    <cellStyle name="Total 3 4 9" xfId="3049" xr:uid="{00000000-0005-0000-0000-0000890F0000}"/>
    <cellStyle name="Total 3 5" xfId="2913" xr:uid="{00000000-0005-0000-0000-00008A0F0000}"/>
    <cellStyle name="Total 3 5 2" xfId="2914" xr:uid="{00000000-0005-0000-0000-00008B0F0000}"/>
    <cellStyle name="Total 3 5 2 2" xfId="2915" xr:uid="{00000000-0005-0000-0000-00008C0F0000}"/>
    <cellStyle name="Total 3 5 2 3" xfId="2916" xr:uid="{00000000-0005-0000-0000-00008D0F0000}"/>
    <cellStyle name="Total 3 5 2 4" xfId="2917" xr:uid="{00000000-0005-0000-0000-00008E0F0000}"/>
    <cellStyle name="Total 3 5 2 5" xfId="3301" xr:uid="{00000000-0005-0000-0000-00008F0F0000}"/>
    <cellStyle name="Total 3 5 3" xfId="2918" xr:uid="{00000000-0005-0000-0000-0000900F0000}"/>
    <cellStyle name="Total 3 5 3 2" xfId="2919" xr:uid="{00000000-0005-0000-0000-0000910F0000}"/>
    <cellStyle name="Total 3 5 3 3" xfId="2920" xr:uid="{00000000-0005-0000-0000-0000920F0000}"/>
    <cellStyle name="Total 3 5 3 4" xfId="2921" xr:uid="{00000000-0005-0000-0000-0000930F0000}"/>
    <cellStyle name="Total 3 5 3 5" xfId="3539" xr:uid="{00000000-0005-0000-0000-0000940F0000}"/>
    <cellStyle name="Total 3 5 4" xfId="2922" xr:uid="{00000000-0005-0000-0000-0000950F0000}"/>
    <cellStyle name="Total 3 5 4 2" xfId="3740" xr:uid="{00000000-0005-0000-0000-0000960F0000}"/>
    <cellStyle name="Total 3 5 5" xfId="2923" xr:uid="{00000000-0005-0000-0000-0000970F0000}"/>
    <cellStyle name="Total 3 5 6" xfId="2924" xr:uid="{00000000-0005-0000-0000-0000980F0000}"/>
    <cellStyle name="Total 3 5 7" xfId="2925" xr:uid="{00000000-0005-0000-0000-0000990F0000}"/>
    <cellStyle name="Total 3 5 8" xfId="2926" xr:uid="{00000000-0005-0000-0000-00009A0F0000}"/>
    <cellStyle name="Total 3 5 9" xfId="3061" xr:uid="{00000000-0005-0000-0000-00009B0F0000}"/>
    <cellStyle name="Total 3 6" xfId="2927" xr:uid="{00000000-0005-0000-0000-00009C0F0000}"/>
    <cellStyle name="Total 3 6 2" xfId="2928" xr:uid="{00000000-0005-0000-0000-00009D0F0000}"/>
    <cellStyle name="Total 3 6 2 2" xfId="2929" xr:uid="{00000000-0005-0000-0000-00009E0F0000}"/>
    <cellStyle name="Total 3 6 2 3" xfId="2930" xr:uid="{00000000-0005-0000-0000-00009F0F0000}"/>
    <cellStyle name="Total 3 6 2 4" xfId="2931" xr:uid="{00000000-0005-0000-0000-0000A00F0000}"/>
    <cellStyle name="Total 3 6 2 5" xfId="3311" xr:uid="{00000000-0005-0000-0000-0000A10F0000}"/>
    <cellStyle name="Total 3 6 3" xfId="2932" xr:uid="{00000000-0005-0000-0000-0000A20F0000}"/>
    <cellStyle name="Total 3 6 3 2" xfId="2933" xr:uid="{00000000-0005-0000-0000-0000A30F0000}"/>
    <cellStyle name="Total 3 6 3 3" xfId="2934" xr:uid="{00000000-0005-0000-0000-0000A40F0000}"/>
    <cellStyle name="Total 3 6 3 4" xfId="2935" xr:uid="{00000000-0005-0000-0000-0000A50F0000}"/>
    <cellStyle name="Total 3 6 3 5" xfId="3549" xr:uid="{00000000-0005-0000-0000-0000A60F0000}"/>
    <cellStyle name="Total 3 6 4" xfId="2936" xr:uid="{00000000-0005-0000-0000-0000A70F0000}"/>
    <cellStyle name="Total 3 6 4 2" xfId="3750" xr:uid="{00000000-0005-0000-0000-0000A80F0000}"/>
    <cellStyle name="Total 3 6 5" xfId="2937" xr:uid="{00000000-0005-0000-0000-0000A90F0000}"/>
    <cellStyle name="Total 3 6 6" xfId="2938" xr:uid="{00000000-0005-0000-0000-0000AA0F0000}"/>
    <cellStyle name="Total 3 6 7" xfId="2939" xr:uid="{00000000-0005-0000-0000-0000AB0F0000}"/>
    <cellStyle name="Total 3 6 8" xfId="2940" xr:uid="{00000000-0005-0000-0000-0000AC0F0000}"/>
    <cellStyle name="Total 3 6 8 2" xfId="3998" xr:uid="{00000000-0005-0000-0000-0000AD0F0000}"/>
    <cellStyle name="Total 3 6 9" xfId="3071" xr:uid="{00000000-0005-0000-0000-0000AE0F0000}"/>
    <cellStyle name="Total 3 7" xfId="2941" xr:uid="{00000000-0005-0000-0000-0000AF0F0000}"/>
    <cellStyle name="Total 3 7 2" xfId="2942" xr:uid="{00000000-0005-0000-0000-0000B00F0000}"/>
    <cellStyle name="Total 3 7 2 2" xfId="2943" xr:uid="{00000000-0005-0000-0000-0000B10F0000}"/>
    <cellStyle name="Total 3 7 2 3" xfId="2944" xr:uid="{00000000-0005-0000-0000-0000B20F0000}"/>
    <cellStyle name="Total 3 7 2 4" xfId="2945" xr:uid="{00000000-0005-0000-0000-0000B30F0000}"/>
    <cellStyle name="Total 3 7 2 5" xfId="3320" xr:uid="{00000000-0005-0000-0000-0000B40F0000}"/>
    <cellStyle name="Total 3 7 3" xfId="2946" xr:uid="{00000000-0005-0000-0000-0000B50F0000}"/>
    <cellStyle name="Total 3 7 3 2" xfId="2947" xr:uid="{00000000-0005-0000-0000-0000B60F0000}"/>
    <cellStyle name="Total 3 7 3 3" xfId="2948" xr:uid="{00000000-0005-0000-0000-0000B70F0000}"/>
    <cellStyle name="Total 3 7 3 4" xfId="2949" xr:uid="{00000000-0005-0000-0000-0000B80F0000}"/>
    <cellStyle name="Total 3 7 3 5" xfId="3558" xr:uid="{00000000-0005-0000-0000-0000B90F0000}"/>
    <cellStyle name="Total 3 7 4" xfId="2950" xr:uid="{00000000-0005-0000-0000-0000BA0F0000}"/>
    <cellStyle name="Total 3 7 4 2" xfId="3759" xr:uid="{00000000-0005-0000-0000-0000BB0F0000}"/>
    <cellStyle name="Total 3 7 5" xfId="2951" xr:uid="{00000000-0005-0000-0000-0000BC0F0000}"/>
    <cellStyle name="Total 3 7 6" xfId="2952" xr:uid="{00000000-0005-0000-0000-0000BD0F0000}"/>
    <cellStyle name="Total 3 7 7" xfId="2953" xr:uid="{00000000-0005-0000-0000-0000BE0F0000}"/>
    <cellStyle name="Total 3 7 8" xfId="2954" xr:uid="{00000000-0005-0000-0000-0000BF0F0000}"/>
    <cellStyle name="Total 3 7 8 2" xfId="4007" xr:uid="{00000000-0005-0000-0000-0000C00F0000}"/>
    <cellStyle name="Total 3 7 9" xfId="3080" xr:uid="{00000000-0005-0000-0000-0000C10F0000}"/>
    <cellStyle name="Total 3 8" xfId="2955" xr:uid="{00000000-0005-0000-0000-0000C20F0000}"/>
    <cellStyle name="Total 3 8 2" xfId="2956" xr:uid="{00000000-0005-0000-0000-0000C30F0000}"/>
    <cellStyle name="Total 3 8 2 2" xfId="2957" xr:uid="{00000000-0005-0000-0000-0000C40F0000}"/>
    <cellStyle name="Total 3 8 2 3" xfId="2958" xr:uid="{00000000-0005-0000-0000-0000C50F0000}"/>
    <cellStyle name="Total 3 8 2 4" xfId="2959" xr:uid="{00000000-0005-0000-0000-0000C60F0000}"/>
    <cellStyle name="Total 3 8 2 5" xfId="3329" xr:uid="{00000000-0005-0000-0000-0000C70F0000}"/>
    <cellStyle name="Total 3 8 3" xfId="2960" xr:uid="{00000000-0005-0000-0000-0000C80F0000}"/>
    <cellStyle name="Total 3 8 3 2" xfId="2961" xr:uid="{00000000-0005-0000-0000-0000C90F0000}"/>
    <cellStyle name="Total 3 8 3 3" xfId="2962" xr:uid="{00000000-0005-0000-0000-0000CA0F0000}"/>
    <cellStyle name="Total 3 8 3 4" xfId="2963" xr:uid="{00000000-0005-0000-0000-0000CB0F0000}"/>
    <cellStyle name="Total 3 8 3 5" xfId="3567" xr:uid="{00000000-0005-0000-0000-0000CC0F0000}"/>
    <cellStyle name="Total 3 8 4" xfId="2964" xr:uid="{00000000-0005-0000-0000-0000CD0F0000}"/>
    <cellStyle name="Total 3 8 4 2" xfId="3768" xr:uid="{00000000-0005-0000-0000-0000CE0F0000}"/>
    <cellStyle name="Total 3 8 5" xfId="2965" xr:uid="{00000000-0005-0000-0000-0000CF0F0000}"/>
    <cellStyle name="Total 3 8 6" xfId="2966" xr:uid="{00000000-0005-0000-0000-0000D00F0000}"/>
    <cellStyle name="Total 3 8 7" xfId="2967" xr:uid="{00000000-0005-0000-0000-0000D10F0000}"/>
    <cellStyle name="Total 3 8 8" xfId="2968" xr:uid="{00000000-0005-0000-0000-0000D20F0000}"/>
    <cellStyle name="Total 3 8 8 2" xfId="4016" xr:uid="{00000000-0005-0000-0000-0000D30F0000}"/>
    <cellStyle name="Total 3 8 9" xfId="3089" xr:uid="{00000000-0005-0000-0000-0000D40F0000}"/>
    <cellStyle name="Total 3 9" xfId="2969" xr:uid="{00000000-0005-0000-0000-0000D50F0000}"/>
    <cellStyle name="Total 3 9 2" xfId="2970" xr:uid="{00000000-0005-0000-0000-0000D60F0000}"/>
    <cellStyle name="Total 3 9 2 2" xfId="2971" xr:uid="{00000000-0005-0000-0000-0000D70F0000}"/>
    <cellStyle name="Total 3 9 2 3" xfId="2972" xr:uid="{00000000-0005-0000-0000-0000D80F0000}"/>
    <cellStyle name="Total 3 9 2 4" xfId="2973" xr:uid="{00000000-0005-0000-0000-0000D90F0000}"/>
    <cellStyle name="Total 3 9 2 5" xfId="3430" xr:uid="{00000000-0005-0000-0000-0000DA0F0000}"/>
    <cellStyle name="Total 3 9 3" xfId="2974" xr:uid="{00000000-0005-0000-0000-0000DB0F0000}"/>
    <cellStyle name="Total 3 9 3 2" xfId="3631" xr:uid="{00000000-0005-0000-0000-0000DC0F0000}"/>
    <cellStyle name="Total 3 9 4" xfId="2975" xr:uid="{00000000-0005-0000-0000-0000DD0F0000}"/>
    <cellStyle name="Total 3 9 5" xfId="2976" xr:uid="{00000000-0005-0000-0000-0000DE0F0000}"/>
    <cellStyle name="Total 3 9 6" xfId="2977" xr:uid="{00000000-0005-0000-0000-0000DF0F0000}"/>
    <cellStyle name="Total 3 9 7" xfId="3192" xr:uid="{00000000-0005-0000-0000-0000E00F0000}"/>
    <cellStyle name="Warning Text 2" xfId="2978" xr:uid="{00000000-0005-0000-0000-0000E10F0000}"/>
    <cellStyle name="Warning Text 2 2" xfId="2979" xr:uid="{00000000-0005-0000-0000-0000E20F0000}"/>
    <cellStyle name="Warning Text 2 3" xfId="2980" xr:uid="{00000000-0005-0000-0000-0000E30F0000}"/>
    <cellStyle name="Yellow" xfId="2981" xr:uid="{00000000-0005-0000-0000-0000E40F0000}"/>
    <cellStyle name="Yellow 2" xfId="2982" xr:uid="{00000000-0005-0000-0000-0000E50F0000}"/>
  </cellStyles>
  <dxfs count="8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s>
  <tableStyles count="0" defaultTableStyle="TableStyleMedium2" defaultPivotStyle="PivotStyleLight16"/>
  <colors>
    <mruColors>
      <color rgb="FFCC00C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styles" Target="styles.xml"/><Relationship Id="rId7" Type="http://schemas.openxmlformats.org/officeDocument/2006/relationships/worksheet" Target="worksheets/sheet7.xml"/><Relationship Id="rId71"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pivotCacheDefinition" Target="pivotCache/pivotCacheDefinition1.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107951</xdr:colOff>
      <xdr:row>48</xdr:row>
      <xdr:rowOff>6351</xdr:rowOff>
    </xdr:from>
    <xdr:to>
      <xdr:col>5</xdr:col>
      <xdr:colOff>1282701</xdr:colOff>
      <xdr:row>49</xdr:row>
      <xdr:rowOff>44451</xdr:rowOff>
    </xdr:to>
    <xdr:pic>
      <xdr:nvPicPr>
        <xdr:cNvPr id="2" name="Picture 1">
          <a:extLst>
            <a:ext uri="{FF2B5EF4-FFF2-40B4-BE49-F238E27FC236}">
              <a16:creationId xmlns:a16="http://schemas.microsoft.com/office/drawing/2014/main" id="{F63B3B62-E735-4B92-85DA-35E02AA3DBB7}"/>
            </a:ext>
          </a:extLst>
        </xdr:cNvPr>
        <xdr:cNvPicPr>
          <a:picLocks noChangeAspect="1"/>
        </xdr:cNvPicPr>
      </xdr:nvPicPr>
      <xdr:blipFill>
        <a:blip xmlns:r="http://schemas.openxmlformats.org/officeDocument/2006/relationships" r:embed="rId1"/>
        <a:stretch>
          <a:fillRect/>
        </a:stretch>
      </xdr:blipFill>
      <xdr:spPr>
        <a:xfrm>
          <a:off x="6438901" y="7353301"/>
          <a:ext cx="2724150" cy="806450"/>
        </a:xfrm>
        <a:prstGeom prst="rect">
          <a:avLst/>
        </a:prstGeom>
      </xdr:spPr>
    </xdr:pic>
    <xdr:clientData/>
  </xdr:twoCellAnchor>
  <xdr:twoCellAnchor editAs="oneCell">
    <xdr:from>
      <xdr:col>2</xdr:col>
      <xdr:colOff>215901</xdr:colOff>
      <xdr:row>47</xdr:row>
      <xdr:rowOff>165101</xdr:rowOff>
    </xdr:from>
    <xdr:to>
      <xdr:col>3</xdr:col>
      <xdr:colOff>1460501</xdr:colOff>
      <xdr:row>49</xdr:row>
      <xdr:rowOff>19051</xdr:rowOff>
    </xdr:to>
    <xdr:pic>
      <xdr:nvPicPr>
        <xdr:cNvPr id="3" name="Picture 2">
          <a:extLst>
            <a:ext uri="{FF2B5EF4-FFF2-40B4-BE49-F238E27FC236}">
              <a16:creationId xmlns:a16="http://schemas.microsoft.com/office/drawing/2014/main" id="{41692FD0-BA81-49D1-BE29-8D3B3AEF0E39}"/>
            </a:ext>
          </a:extLst>
        </xdr:cNvPr>
        <xdr:cNvPicPr>
          <a:picLocks noChangeAspect="1"/>
        </xdr:cNvPicPr>
      </xdr:nvPicPr>
      <xdr:blipFill>
        <a:blip xmlns:r="http://schemas.openxmlformats.org/officeDocument/2006/relationships" r:embed="rId1"/>
        <a:stretch>
          <a:fillRect/>
        </a:stretch>
      </xdr:blipFill>
      <xdr:spPr>
        <a:xfrm>
          <a:off x="3517901" y="7327901"/>
          <a:ext cx="2724150" cy="806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bvc-my.sharepoint.com/personal/nijasth_jb_bestvaluechem_com/Documents/Nijasth%20BHIMJIYANI/5.%20MIS%20and%20Presentations/2.%20MIS_Monthly/FY%202023-24/12.%20March-24/1.%20BVC%20-%20Ind-AS%20Financials%202023-24/BVC%20-%20Ind-AS%20Financials%202023-24.xlsx" TargetMode="External"/><Relationship Id="rId2" Type="http://schemas.microsoft.com/office/2019/04/relationships/externalLinkLongPath" Target="https://bvc-my.sharepoint.com/personal/nijasth_jb_bestvaluechem_com/Documents/Nijasth%20BHIMJIYANI/5.%20MIS%20and%20Presentations/2.%20MIS_Monthly/FY%202023-24/12.%20March-24/1.%20BVC%20-%20Ind-AS%20Financials%202023-24/BVC%20-%20Ind-AS%20Financials%202023-24.xlsx?E869A5E8" TargetMode="External"/><Relationship Id="rId1" Type="http://schemas.openxmlformats.org/officeDocument/2006/relationships/externalLinkPath" Target="file:///\\E869A5E8\BVC%20-%20Ind-AS%20Financials%202023-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rthiv.rd\AppData\Local\Microsoft\Windows\INetCache\Content.Outlook\CXALFWYJ\FR%20Structure_BVC.xlsx" TargetMode="External"/><Relationship Id="rId1" Type="http://schemas.openxmlformats.org/officeDocument/2006/relationships/externalLinkPath" Target="https://bvc-my.sharepoint.com/Users/parthiv.rd/AppData/Local/Microsoft/Windows/INetCache/Content.Outlook/CXALFWYJ/FR%20Structure_BVC.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vc-my.sharepoint.com/personal/nijasth_jb_bestvaluechem_com/Documents/Nijasth%20BHIMJIYANI/1.%20Financials/3.%20Signed%20Audited%20Reports/6.%20FY%202022-23/BVO%20-%20Ind-AS%20Financials%202022-23%20v4.xlsx" TargetMode="External"/><Relationship Id="rId1" Type="http://schemas.openxmlformats.org/officeDocument/2006/relationships/externalLinkPath" Target="https://bvc-my.sharepoint.com/personal/nijasth_jb_bestvaluechem_com/Documents/Nijasth%20BHIMJIYANI/5.%20MIS%20and%20Presentations/2.%20MIS_Monthly/FY%202023-24/12.%20March-24/BVO%20-%20Ind-AS%20Financials%202022-23%20v4.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bvc-my.sharepoint.com/personal/parthiv_rd_bvcspl_com/Documents/Financial%20-%20BVO%20&amp;%20BVS/BVS%20-%20FY%202023-24/BVS%20-%20Ind-AS%20Financials%202023-24%20-%20Draft%20-%20150524%20-%20With%20Entry%20-%20Copy.xlsx" TargetMode="External"/><Relationship Id="rId2" Type="http://schemas.microsoft.com/office/2019/04/relationships/externalLinkLongPath" Target="https://bvc-my.sharepoint.com/personal/nijasth_jb_bestvaluechem_com/Documents/Nijasth%20BHIMJIYANI/1.%20Financials/3.%20Signed%20Audited%20Reports/7.%20FY%202023-24/BVS%20-%20Ind-AS%20Financials%202023-24%20-%20Draft%20-%20150524%20-%20With%20Entry%20-%20Copy.xlsx?CD66EEA5" TargetMode="External"/><Relationship Id="rId1" Type="http://schemas.openxmlformats.org/officeDocument/2006/relationships/externalLinkPath" Target="file:///\\CD66EEA5\BVS%20-%20Ind-AS%20Financials%202023-24%20-%20Draft%20-%20150524%20-%20With%20Entry%20-%20Copy.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Mar-26/BVCS/Draft%20Financials/TB%2026.06.2026.xlsx" TargetMode="External"/><Relationship Id="rId1" Type="http://schemas.openxmlformats.org/officeDocument/2006/relationships/externalLinkPath" Target="https://bvc-my.sharepoint.com/personal/costing1_bestvaluechem_com/Documents/Documents/FY27/Cost%20Audit/Cost%20Audit%20FY%202025-26/BVCS/Draft%20Financials/TB%2026.06.2026.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June-25/2.%2024072025/V-1%20TB%20BVS.xlsx" TargetMode="External"/><Relationship Id="rId1" Type="http://schemas.openxmlformats.org/officeDocument/2006/relationships/externalLinkPath" Target="https://bvc-my.sharepoint.com/personal/saakshi_rs_bestvaluechem_com/Documents/Desktop/V-1%20TB%20BV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saakshi.rs\AppData\Local\Microsoft\Windows\INetCache\Content.Outlook\TFKDPUVV\GL%20Mapping%20Data.xlsx" TargetMode="External"/><Relationship Id="rId1" Type="http://schemas.openxmlformats.org/officeDocument/2006/relationships/externalLinkPath" Target="https://bvc-my.sharepoint.com/Users/saakshi.rs/AppData/Local/Microsoft/Windows/INetCache/Content.Outlook/TFKDPUVV/GL%20Mapping%20Data.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saakshi.rs\AppData\Local\Microsoft\Windows\INetCache\Content.Outlook\TFKDPUVV\BVC%20Sale%20To%20BVCSPL%20Purchase%2008-09.XLSX" TargetMode="External"/><Relationship Id="rId1" Type="http://schemas.openxmlformats.org/officeDocument/2006/relationships/externalLinkPath" Target="https://bvc-my.sharepoint.com/Users/saakshi.rs/AppData/Local/Microsoft/Windows/INetCache/Content.Outlook/TFKDPUVV/BVC%20Sale%20To%20BVCSPL%20Purchase%2008-09.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Nov-25/BVCS/Draft%20Financials/V-1%20BVS%20-%20Ind-AS%20Financials%20Nov-25.xlsx" TargetMode="External"/><Relationship Id="rId1" Type="http://schemas.openxmlformats.org/officeDocument/2006/relationships/externalLinkPath" Target="https://bvc-my.sharepoint.com/personal/asmani_s_bestvaluechem_com/Documents/Asmani%20Shah/2025-26/Accounts/Nov-25/BVCS/Draft%20Financials/V-1%20BVS%20-%20Ind-AS%20Financials%20Nov-25.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June-25/2.%2024072025/V-1%20BVS%20-%20Ind-AS%20Financials%20June-25.xlsx" TargetMode="External"/><Relationship Id="rId1" Type="http://schemas.openxmlformats.org/officeDocument/2006/relationships/externalLinkPath" Target="https://bvc-my.sharepoint.com/personal/asmani_s_bestvaluechem_com/Documents/Asmani%20Shah/2025-26/Accounts/June-25/2.%2024072025/V-1%20BVS%20-%20Ind-AS%20Financials%20June-25.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Audit%20Report_Last%20three%20years/FY%202024-25/BVC%20-%20Ind-AS%20Financials%202024-25%20-%20V5.xlsb" TargetMode="External"/><Relationship Id="rId1" Type="http://schemas.openxmlformats.org/officeDocument/2006/relationships/externalLinkPath" Target="https://bvc-my.sharepoint.com/personal/asmani_s_bestvaluechem_com/Documents/Asmani%20Shah/Audit%20Report_Last%20three%20years/FY%202024-25/BVC%20-%20Ind-AS%20Financials%202024-25%20-%20V5.xlsb"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parthiv.rd\Desktop\BVS%20-%20Ind-AS%20Financials%202023-24%20-%20Krishna.xlsx" TargetMode="External"/><Relationship Id="rId1" Type="http://schemas.openxmlformats.org/officeDocument/2006/relationships/externalLinkPath" Target="https://bvc-my.sharepoint.com/Users/parthiv.rd/Desktop/BVS%20-%20Ind-AS%20Financials%202023-24%20-%20Krishna.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Audited%20Financial/FY%202024-25/BVS%20-%20Ind-AS%20Financials%202024-25.xlsx" TargetMode="External"/><Relationship Id="rId1" Type="http://schemas.openxmlformats.org/officeDocument/2006/relationships/externalLinkPath" Target="https://bvc-my.sharepoint.com/personal/asmani_s_bestvaluechem_com/Documents/Asmani%20Shah/Audited%20Financial/FY%202024-25/BVS%20-%20Ind-AS%20Financials%202024-25.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saakshi.rs\Downloads\BVS%20DT.xlsx" TargetMode="External"/><Relationship Id="rId1" Type="http://schemas.openxmlformats.org/officeDocument/2006/relationships/externalLinkPath" Target="https://bvc-my.sharepoint.com/Users/saakshi.rs/Downloads/BVS%20DT.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bvc-my.sharepoint.com/personal/rahul_s_bestvaluechem_com/Documents/RAHUL%20SHAH/F.Y.%202025-26/Statutory%20Audit/DT%20and%20Tax%20working/BVCS/V-5%20BVS%20-%20Ind-AS%20Financials%20Mar-26-KMRK.xlsx" TargetMode="External"/><Relationship Id="rId1" Type="http://schemas.openxmlformats.org/officeDocument/2006/relationships/externalLinkPath" Target="https://bvc-my.sharepoint.com/personal/rahul_s_bestvaluechem_com/Documents/RAHUL%20SHAH/F.Y.%202025-26/Statutory%20Audit/DT%20and%20Tax%20working/BVCS/V-5%20BVS%20-%20Ind-AS%20Financials%20Mar-26-KMRK.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bvc-my.sharepoint.com/personal/rahul_s_bestvaluechem_com/Documents/Microsoft%20Teams%20Chat%20Files/V-6%20BVS%20-%20Ind-AS%20Financials%20Mar-26%201.xlsx" TargetMode="External"/><Relationship Id="rId1" Type="http://schemas.openxmlformats.org/officeDocument/2006/relationships/externalLinkPath" Target="https://bvc-my.sharepoint.com/personal/rahul_s_bestvaluechem_com/Documents/Microsoft%20Teams%20Chat%20Files/V-6%20BVS%20-%20Ind-AS%20Financials%20Mar-26%201.xlsx"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Users/saakshi.rs/Downloads/BVS%20DT.xlsx" TargetMode="External"/><Relationship Id="rId2" Type="http://schemas.openxmlformats.org/officeDocument/2006/relationships/externalLinkPath" Target="file:///C:\Users\saakshi.rs\Downloads\BVS%20DT.xlsx" TargetMode="External"/><Relationship Id="rId1" Type="http://schemas.openxmlformats.org/officeDocument/2006/relationships/externalLinkPath" Target="/Users/saakshi.rs/Downloads/BVS%20DT.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bvc-my.sharepoint.com/personal/rahul_s_bestvaluechem_com/Documents/RAHUL%20SHAH/F.Y.%202025-26/Advance%20Tax/Tax%20Working-BVS/BVS%20-%20Ind-AS%20Financials%202024-25%20with%20IT%20(FINAL)%20Actual%20Nos-%2018Nov2025-Final.xlsx" TargetMode="External"/><Relationship Id="rId1" Type="http://schemas.openxmlformats.org/officeDocument/2006/relationships/externalLinkPath" Target="https://bvc-my.sharepoint.com/personal/rahul_s_bestvaluechem_com/Documents/RAHUL%20SHAH/F.Y.%202025-26/Advance%20Tax/Tax%20Working-BVS/BVS%20-%20Ind-AS%20Financials%202024-25%20with%20IT%20(FINAL)%20Actual%20Nos-%2018Nov2025-Final.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bvc-my.sharepoint.com/Users/nijasth.jb/Desktop/BVS%20Financial_FY2022-23.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parthiv.rd\Downloads\BVC%20-%20Ind-AS%20Financials%202023-24%20(1).xlsx" TargetMode="External"/><Relationship Id="rId1" Type="http://schemas.openxmlformats.org/officeDocument/2006/relationships/externalLinkPath" Target="https://bvc-my.sharepoint.com/Users/parthiv.rd/Downloads/BVC%20-%20Ind-AS%20Financials%202023-24%20(1).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kpmgindia365-my.sharepoint.com/personal/rahulrathod_bsraffiliates_com/Documents/Desktop/BVC/2024-25/Substantive/Tax/BVS%20-%20Ind-AS%20Financials%202024-25-Final%20Tax.xlsx" TargetMode="External"/><Relationship Id="rId1" Type="http://schemas.openxmlformats.org/officeDocument/2006/relationships/externalLinkPath" Target="https://bvc-my.sharepoint.com/personal/rahulrathod_bsraffiliates_com/Documents/Desktop/BVC/2024-25/Substantive/Tax/BVS%20-%20Ind-AS%20Financials%202024-25-Final%20Tax.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rahulrathod\AppData\Local\Microsoft\Windows\INetCache\Content.Outlook\XBAN408L\BVS%20-%20Ind-AS%20Financials%202024-25%20(004).xlsx" TargetMode="External"/><Relationship Id="rId1" Type="http://schemas.openxmlformats.org/officeDocument/2006/relationships/externalLinkPath" Target="https://bvc-my.sharepoint.com/Users/rahulrathod/AppData/Local/Microsoft/Windows/INetCache/Content.Outlook/XBAN408L/BVS%20-%20Ind-AS%20Financials%202024-25%20(004).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rahulrathod\AppData\Local\Microsoft\Windows\INetCache\Content.Outlook\XBAN408L\DT%20working%20Final.xlsx" TargetMode="External"/><Relationship Id="rId1" Type="http://schemas.openxmlformats.org/officeDocument/2006/relationships/externalLinkPath" Target="https://bvc-my.sharepoint.com/Users/rahulrathod/AppData/Local/Microsoft/Windows/INetCache/Content.Outlook/XBAN408L/DT%20working%20Final.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bvc-my.sharepoint.com/personal/parthiv_rd_bvcspl_com/Documents/Financial%20-%20BVO%20&amp;%20BVS/BVS%20-%20FY%202023-24/TB%20-%20BVS%2011062024.xlsx" TargetMode="External"/><Relationship Id="rId1" Type="http://schemas.openxmlformats.org/officeDocument/2006/relationships/externalLinkPath" Target="https://bvc-my.sharepoint.com/personal/nijasth_jb_bestvaluechem_com/Documents/Nijasth%20BHIMJIYANI/1.%20Financials/3.%20Signed%20Audited%20Reports/7.%20FY%202023-24/TB%20-%20BVS%2011062024.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bvc-my.sharepoint.com/personal/nijasth_jb_bestvaluechem_com/Documents/Nijasth%20BHIMJIYANI/IND%20AS/Draft%20Financials%20as%20per%20Ind%20AS/7.%20Updated_18.07.2023/Trail%20Balances/TB_BVS_FY23.xlsx" TargetMode="External"/><Relationship Id="rId1" Type="http://schemas.openxmlformats.org/officeDocument/2006/relationships/externalLinkPath" Target="https://bvc-my.sharepoint.com/personal/nijasth_jb_bestvaluechem_com/Documents/Nijasth%20BHIMJIYANI/5.%20MIS%20and%20Presentations/2.%20MIS_Monthly/FY%202023-24/12.%20March-24/Trail%20Balances/TB_BVS_FY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README"/>
      <sheetName val="IRL"/>
      <sheetName val="EPS"/>
      <sheetName val="Input"/>
      <sheetName val="reserve movement"/>
      <sheetName val="BS"/>
      <sheetName val="TB Pivot"/>
      <sheetName val="PL"/>
      <sheetName val="TB - SNS - 31.3.24"/>
      <sheetName val="Cash Flow"/>
      <sheetName val="CFS Working"/>
      <sheetName val="SOCIE"/>
      <sheetName val="PPE- note 3"/>
      <sheetName val="BS  Notes  4-18"/>
      <sheetName val="Borrowings - note 15"/>
      <sheetName val="PL Notes 19-26"/>
      <sheetName val="Note 27-31"/>
      <sheetName val="Derivative Instrument - Note 32"/>
      <sheetName val="Related party - Note 33"/>
      <sheetName val="Share based payments - Note 34"/>
      <sheetName val="Note 35 -36"/>
      <sheetName val="FI -37"/>
      <sheetName val="Ratios &amp; Capital Manage-38 - 39"/>
      <sheetName val="Ind AS 101 - Note 40 &amp; 41"/>
      <sheetName val="IT WDV from Akash"/>
      <sheetName val="IT_FY24"/>
      <sheetName val="TB - SNS - 31.3.23"/>
      <sheetName val="DT"/>
      <sheetName val="Transactions costs summary"/>
      <sheetName val="Assets Block_FY24"/>
      <sheetName val="SAP TB 24"/>
      <sheetName val="Lease Liability Movement_FY24"/>
      <sheetName val="TB - SNS - 31.3.22"/>
      <sheetName val="TB - SNS - 31.3.21"/>
      <sheetName val="Client TB 23"/>
      <sheetName val="Change in Policy - FIFO to WAM"/>
      <sheetName val="FA_Book_FY23"/>
      <sheetName val="Employee Car_FY23"/>
      <sheetName val="OCPS - BVO"/>
      <sheetName val="OCPS - BVS"/>
      <sheetName val="MTM in USD FY 2022"/>
      <sheetName val="MTM in USD FY 2021"/>
      <sheetName val="FAR Summary_FY23"/>
      <sheetName val="CFH Reserve Movement_FY24"/>
      <sheetName val="Employee Car Receivable_FY24"/>
      <sheetName val="R&amp;D Exp_FY24"/>
      <sheetName val="Share based Payment Res_FY24"/>
      <sheetName val="TL and WC Movement_FY24"/>
      <sheetName val="Other Receivable - GST Interest"/>
      <sheetName val="Transactions costs summary_FY24"/>
      <sheetName val="Updated FAR_31-March-2023"/>
      <sheetName val="IT"/>
      <sheetName val="MTM 2023"/>
      <sheetName val="Borrowings - note 14"/>
      <sheetName val="Note 35 -37"/>
      <sheetName val="FI -38"/>
      <sheetName val="Ratios -39"/>
      <sheetName val="Client TB 24"/>
      <sheetName val="PL Notes 19-27"/>
      <sheetName val="Note 27-32"/>
      <sheetName val="Interest on EMI Car"/>
      <sheetName val="Derivative Instrument - Note 33"/>
      <sheetName val="Related party - Note 34"/>
      <sheetName val="Share based payments - Note 35"/>
      <sheetName val="Note 36 -37"/>
      <sheetName val="Ratios &amp; Capital Manage-39 - 40"/>
    </sheetNames>
    <sheetDataSet>
      <sheetData sheetId="0"/>
      <sheetData sheetId="1"/>
      <sheetData sheetId="2"/>
      <sheetData sheetId="3">
        <row r="1">
          <cell r="B1" t="str">
            <v>Best Value Chem Private Limited</v>
          </cell>
        </row>
        <row r="2">
          <cell r="C2">
            <v>100000</v>
          </cell>
          <cell r="D2" t="str">
            <v>(₹ in Lakh)</v>
          </cell>
          <cell r="E2">
            <v>0</v>
          </cell>
        </row>
        <row r="4">
          <cell r="H4" t="str">
            <v>2023-24</v>
          </cell>
        </row>
        <row r="5">
          <cell r="C5" t="str">
            <v>31 March 2023</v>
          </cell>
          <cell r="H5" t="str">
            <v>2022-23</v>
          </cell>
        </row>
        <row r="6">
          <cell r="C6" t="str">
            <v>31 March 2022</v>
          </cell>
          <cell r="H6" t="str">
            <v>2021-22</v>
          </cell>
        </row>
      </sheetData>
      <sheetData sheetId="4"/>
      <sheetData sheetId="5">
        <row r="5">
          <cell r="D5" t="str">
            <v>31 March 2024</v>
          </cell>
          <cell r="E5" t="str">
            <v>31 March 2023</v>
          </cell>
        </row>
      </sheetData>
      <sheetData sheetId="6"/>
      <sheetData sheetId="7">
        <row r="1">
          <cell r="A1" t="str">
            <v>Best Value Chem Private Limited</v>
          </cell>
        </row>
      </sheetData>
      <sheetData sheetId="8">
        <row r="1">
          <cell r="G1" t="str">
            <v>BS</v>
          </cell>
        </row>
      </sheetData>
      <sheetData sheetId="9"/>
      <sheetData sheetId="10"/>
      <sheetData sheetId="11"/>
      <sheetData sheetId="12">
        <row r="10">
          <cell r="J10">
            <v>1924</v>
          </cell>
        </row>
      </sheetData>
      <sheetData sheetId="13">
        <row r="2">
          <cell r="A2" t="str">
            <v>Notes to Standalone Financial Statements for the year ended 31 March 2024</v>
          </cell>
        </row>
        <row r="361">
          <cell r="H361">
            <v>126</v>
          </cell>
          <cell r="I361">
            <v>111</v>
          </cell>
        </row>
        <row r="362">
          <cell r="I362">
            <v>47</v>
          </cell>
        </row>
        <row r="366">
          <cell r="H366">
            <v>29</v>
          </cell>
          <cell r="I366">
            <v>13</v>
          </cell>
        </row>
        <row r="367">
          <cell r="I367">
            <v>42</v>
          </cell>
        </row>
      </sheetData>
      <sheetData sheetId="14"/>
      <sheetData sheetId="15">
        <row r="98">
          <cell r="C98">
            <v>24</v>
          </cell>
        </row>
      </sheetData>
      <sheetData sheetId="16"/>
      <sheetData sheetId="17"/>
      <sheetData sheetId="18"/>
      <sheetData sheetId="19"/>
      <sheetData sheetId="20"/>
      <sheetData sheetId="21"/>
      <sheetData sheetId="22"/>
      <sheetData sheetId="23"/>
      <sheetData sheetId="24">
        <row r="34">
          <cell r="J34">
            <v>2023820503.6342514</v>
          </cell>
        </row>
      </sheetData>
      <sheetData sheetId="25"/>
      <sheetData sheetId="26">
        <row r="2">
          <cell r="I2">
            <v>-1.0055447816848755</v>
          </cell>
        </row>
      </sheetData>
      <sheetData sheetId="27"/>
      <sheetData sheetId="28">
        <row r="18">
          <cell r="H18">
            <v>448476.80555555556</v>
          </cell>
        </row>
      </sheetData>
      <sheetData sheetId="29">
        <row r="4">
          <cell r="K4">
            <v>362950513.28999996</v>
          </cell>
        </row>
      </sheetData>
      <sheetData sheetId="30">
        <row r="1">
          <cell r="A1" t="str">
            <v>Account Number</v>
          </cell>
        </row>
      </sheetData>
      <sheetData sheetId="31">
        <row r="1">
          <cell r="H1" t="str">
            <v>Amount in Local Currency</v>
          </cell>
        </row>
      </sheetData>
      <sheetData sheetId="32">
        <row r="2">
          <cell r="L2">
            <v>1330.2950011193752</v>
          </cell>
          <cell r="M2">
            <v>-142735395.81387275</v>
          </cell>
          <cell r="N2">
            <v>321328575.73565811</v>
          </cell>
        </row>
        <row r="4">
          <cell r="E4" t="str">
            <v>Ind AS Sub Head</v>
          </cell>
          <cell r="L4" t="str">
            <v>Total</v>
          </cell>
          <cell r="M4" t="str">
            <v>Current</v>
          </cell>
          <cell r="N4" t="str">
            <v>Non-Current</v>
          </cell>
        </row>
        <row r="5">
          <cell r="E5" t="str">
            <v>315,940 (previous year: 315,940) equity shares of Rs 10 each fully paid up</v>
          </cell>
          <cell r="L5">
            <v>-3159400</v>
          </cell>
          <cell r="M5">
            <v>0</v>
          </cell>
          <cell r="N5">
            <v>-3159400</v>
          </cell>
        </row>
        <row r="6">
          <cell r="E6" t="str">
            <v>At the commencement of the year - Securities premium</v>
          </cell>
          <cell r="L6">
            <v>-35607600</v>
          </cell>
          <cell r="M6">
            <v>0</v>
          </cell>
          <cell r="N6">
            <v>-35607600</v>
          </cell>
        </row>
        <row r="7">
          <cell r="E7" t="str">
            <v>Opening Balance - Retained Earnings</v>
          </cell>
          <cell r="L7">
            <v>-789589441.63999999</v>
          </cell>
          <cell r="M7">
            <v>0</v>
          </cell>
          <cell r="N7">
            <v>-789589441.63999999</v>
          </cell>
        </row>
        <row r="8">
          <cell r="E8" t="str">
            <v>Opening Balance - Retained Earnings</v>
          </cell>
          <cell r="L8">
            <v>-286218313.44</v>
          </cell>
          <cell r="M8">
            <v>0</v>
          </cell>
          <cell r="N8">
            <v>-286218313.44</v>
          </cell>
        </row>
        <row r="9">
          <cell r="E9" t="str">
            <v>At the commencement of the year - CRR</v>
          </cell>
          <cell r="L9">
            <v>-10000000</v>
          </cell>
          <cell r="M9">
            <v>0</v>
          </cell>
          <cell r="N9">
            <v>-10000000</v>
          </cell>
        </row>
        <row r="10">
          <cell r="E10" t="str">
            <v>Closing balance - Cashflow hedge reserve</v>
          </cell>
          <cell r="L10">
            <v>-15805657</v>
          </cell>
          <cell r="M10">
            <v>0</v>
          </cell>
          <cell r="N10">
            <v>-15805657</v>
          </cell>
        </row>
        <row r="11">
          <cell r="E11" t="str">
            <v>Balance with banks</v>
          </cell>
          <cell r="L11">
            <v>3766397.3</v>
          </cell>
          <cell r="M11">
            <v>3766397.3</v>
          </cell>
          <cell r="N11">
            <v>0</v>
          </cell>
        </row>
        <row r="12">
          <cell r="E12" t="str">
            <v>Working Capital Loans from Bank</v>
          </cell>
          <cell r="L12">
            <v>-19991128.52</v>
          </cell>
          <cell r="M12">
            <v>-19991128.52</v>
          </cell>
          <cell r="N12">
            <v>0</v>
          </cell>
        </row>
        <row r="13">
          <cell r="E13" t="str">
            <v>Working Capital Loans from Bank</v>
          </cell>
          <cell r="L13">
            <v>-100000000</v>
          </cell>
          <cell r="M13">
            <v>-100000000</v>
          </cell>
          <cell r="N13">
            <v>0</v>
          </cell>
        </row>
        <row r="14">
          <cell r="E14" t="str">
            <v>Term Loan from Bank</v>
          </cell>
          <cell r="L14">
            <v>-12426803.029999999</v>
          </cell>
          <cell r="M14">
            <v>0</v>
          </cell>
          <cell r="N14">
            <v>-12426803.029999999</v>
          </cell>
        </row>
        <row r="15">
          <cell r="E15" t="str">
            <v>Term Loan from Bank</v>
          </cell>
          <cell r="L15">
            <v>-36207798.130000003</v>
          </cell>
          <cell r="M15">
            <v>0</v>
          </cell>
          <cell r="N15">
            <v>-36207798.130000003</v>
          </cell>
        </row>
        <row r="16">
          <cell r="E16" t="str">
            <v>Working Capital Loans from Bank</v>
          </cell>
          <cell r="L16">
            <v>-260000000</v>
          </cell>
          <cell r="M16">
            <v>-260000000</v>
          </cell>
          <cell r="N16">
            <v>0</v>
          </cell>
        </row>
        <row r="17">
          <cell r="E17" t="str">
            <v>Term Loan from Bank</v>
          </cell>
          <cell r="L17">
            <v>-186112695</v>
          </cell>
          <cell r="M17">
            <v>0</v>
          </cell>
          <cell r="N17">
            <v>-186112695</v>
          </cell>
        </row>
        <row r="18">
          <cell r="E18" t="str">
            <v>Term Loan from Bank</v>
          </cell>
          <cell r="L18">
            <v>-234014863.44999999</v>
          </cell>
          <cell r="M18">
            <v>-226984404.73280001</v>
          </cell>
          <cell r="N18">
            <v>-7030458.7171999812</v>
          </cell>
        </row>
        <row r="19">
          <cell r="E19" t="str">
            <v>Term Loan from Bank</v>
          </cell>
          <cell r="L19">
            <v>-348895369.13</v>
          </cell>
          <cell r="M19">
            <v>0</v>
          </cell>
          <cell r="N19">
            <v>-348895369.13</v>
          </cell>
        </row>
        <row r="20">
          <cell r="E20" t="str">
            <v>Non Convertible Debentures @6% from Related Party</v>
          </cell>
          <cell r="L20">
            <v>-250000000</v>
          </cell>
          <cell r="M20">
            <v>-250000000</v>
          </cell>
          <cell r="N20">
            <v>0</v>
          </cell>
        </row>
        <row r="21">
          <cell r="E21" t="str">
            <v>Term Loan from Bank</v>
          </cell>
          <cell r="L21">
            <v>-124000000</v>
          </cell>
          <cell r="M21">
            <v>0</v>
          </cell>
          <cell r="N21">
            <v>-124000000</v>
          </cell>
        </row>
        <row r="22">
          <cell r="E22" t="str">
            <v>Working Capital Loans from Bank</v>
          </cell>
          <cell r="L22">
            <v>-100000000</v>
          </cell>
          <cell r="M22">
            <v>-100000000</v>
          </cell>
          <cell r="N22">
            <v>0</v>
          </cell>
        </row>
        <row r="23">
          <cell r="E23" t="str">
            <v>Balance with banks</v>
          </cell>
          <cell r="L23">
            <v>28297.89</v>
          </cell>
          <cell r="M23">
            <v>28297.89</v>
          </cell>
          <cell r="N23">
            <v>0</v>
          </cell>
        </row>
        <row r="24">
          <cell r="E24" t="str">
            <v>Balance with banks</v>
          </cell>
          <cell r="L24">
            <v>9534368.4100000001</v>
          </cell>
          <cell r="M24">
            <v>9534368.4100000001</v>
          </cell>
          <cell r="N24">
            <v>0</v>
          </cell>
        </row>
        <row r="25">
          <cell r="E25" t="str">
            <v>Working Capital Loans from Bank</v>
          </cell>
          <cell r="L25">
            <v>-49450.39</v>
          </cell>
          <cell r="M25">
            <v>-49450.39</v>
          </cell>
          <cell r="N25">
            <v>0</v>
          </cell>
        </row>
        <row r="26">
          <cell r="E26" t="str">
            <v xml:space="preserve">Statutory liabilities </v>
          </cell>
          <cell r="L26">
            <v>-143064</v>
          </cell>
          <cell r="M26">
            <v>-143064</v>
          </cell>
          <cell r="N26">
            <v>0</v>
          </cell>
        </row>
        <row r="27">
          <cell r="E27" t="str">
            <v xml:space="preserve">Statutory liabilities </v>
          </cell>
          <cell r="L27">
            <v>-2684477.2</v>
          </cell>
          <cell r="M27">
            <v>-2684477.2</v>
          </cell>
          <cell r="N27">
            <v>0</v>
          </cell>
        </row>
        <row r="28">
          <cell r="E28" t="str">
            <v xml:space="preserve">Statutory liabilities </v>
          </cell>
          <cell r="L28">
            <v>-2295286.31</v>
          </cell>
          <cell r="M28">
            <v>-2295286.31</v>
          </cell>
          <cell r="N28">
            <v>0</v>
          </cell>
        </row>
        <row r="29">
          <cell r="E29" t="str">
            <v xml:space="preserve">Statutory liabilities </v>
          </cell>
          <cell r="L29">
            <v>15394</v>
          </cell>
          <cell r="M29">
            <v>15394</v>
          </cell>
          <cell r="N29">
            <v>0</v>
          </cell>
        </row>
        <row r="30">
          <cell r="E30" t="str">
            <v xml:space="preserve">Statutory liabilities </v>
          </cell>
          <cell r="L30">
            <v>-100200</v>
          </cell>
          <cell r="M30">
            <v>-100200</v>
          </cell>
          <cell r="N30">
            <v>0</v>
          </cell>
        </row>
        <row r="31">
          <cell r="E31" t="str">
            <v xml:space="preserve">Statutory liabilities </v>
          </cell>
          <cell r="L31">
            <v>-136131.26999999999</v>
          </cell>
          <cell r="M31">
            <v>-136131.26999999999</v>
          </cell>
          <cell r="N31">
            <v>0</v>
          </cell>
        </row>
        <row r="32">
          <cell r="E32" t="str">
            <v xml:space="preserve">Statutory liabilities </v>
          </cell>
          <cell r="L32">
            <v>-1914062</v>
          </cell>
          <cell r="M32">
            <v>-1914062</v>
          </cell>
          <cell r="N32">
            <v>0</v>
          </cell>
        </row>
        <row r="33">
          <cell r="E33" t="str">
            <v xml:space="preserve">Statutory liabilities </v>
          </cell>
          <cell r="L33">
            <v>-64913</v>
          </cell>
          <cell r="M33">
            <v>-64913</v>
          </cell>
          <cell r="N33">
            <v>0</v>
          </cell>
        </row>
        <row r="34">
          <cell r="E34" t="str">
            <v xml:space="preserve">Statutory liabilities </v>
          </cell>
          <cell r="L34">
            <v>-1066.1400000000001</v>
          </cell>
          <cell r="M34">
            <v>-1066.1400000000001</v>
          </cell>
          <cell r="N34">
            <v>0</v>
          </cell>
        </row>
        <row r="35">
          <cell r="E35" t="str">
            <v>Total outstanding dues of creditors other than micro enterprises and small enterprises</v>
          </cell>
          <cell r="L35">
            <v>-19918910</v>
          </cell>
          <cell r="M35">
            <v>-19918910</v>
          </cell>
          <cell r="N35">
            <v>0</v>
          </cell>
        </row>
        <row r="36">
          <cell r="E36" t="str">
            <v>Total outstanding dues of creditors other than micro enterprises and small enterprises</v>
          </cell>
          <cell r="L36">
            <v>-2000000</v>
          </cell>
          <cell r="M36">
            <v>-2000000</v>
          </cell>
          <cell r="N36">
            <v>0</v>
          </cell>
        </row>
        <row r="37">
          <cell r="E37" t="str">
            <v>Total outstanding dues of creditors other than micro enterprises and small enterprises</v>
          </cell>
          <cell r="L37">
            <v>-580001</v>
          </cell>
          <cell r="M37">
            <v>-580001</v>
          </cell>
          <cell r="N37">
            <v>0</v>
          </cell>
        </row>
        <row r="38">
          <cell r="E38" t="str">
            <v>Employee benefits payable</v>
          </cell>
          <cell r="L38">
            <v>-11175000</v>
          </cell>
          <cell r="M38">
            <v>-11175000</v>
          </cell>
          <cell r="N38">
            <v>0</v>
          </cell>
        </row>
        <row r="39">
          <cell r="E39" t="str">
            <v>Employee benefits payable</v>
          </cell>
          <cell r="L39">
            <v>-2791152</v>
          </cell>
          <cell r="M39">
            <v>-2791152</v>
          </cell>
          <cell r="N39">
            <v>0</v>
          </cell>
        </row>
        <row r="40">
          <cell r="E40" t="str">
            <v>Total outstanding dues of creditors other than micro enterprises and small enterprises</v>
          </cell>
          <cell r="L40">
            <v>-14922595.779999999</v>
          </cell>
          <cell r="M40">
            <v>-14922595.779999999</v>
          </cell>
          <cell r="N40">
            <v>0</v>
          </cell>
        </row>
        <row r="41">
          <cell r="E41" t="str">
            <v>Total outstanding dues of creditors other than micro enterprises and small enterprises</v>
          </cell>
          <cell r="L41">
            <v>-1363867</v>
          </cell>
          <cell r="M41">
            <v>-1363867</v>
          </cell>
          <cell r="N41">
            <v>0</v>
          </cell>
        </row>
        <row r="42">
          <cell r="E42" t="str">
            <v>Total outstanding dues of creditors other than micro enterprises and small enterprises</v>
          </cell>
          <cell r="L42">
            <v>-417226</v>
          </cell>
          <cell r="M42">
            <v>-417226</v>
          </cell>
          <cell r="N42">
            <v>0</v>
          </cell>
        </row>
        <row r="43">
          <cell r="E43" t="str">
            <v>Provision for employee benefits - Gratuity</v>
          </cell>
          <cell r="L43">
            <v>-8847347</v>
          </cell>
          <cell r="M43">
            <v>-4179686</v>
          </cell>
          <cell r="N43">
            <v>-4667661</v>
          </cell>
        </row>
        <row r="44">
          <cell r="E44" t="str">
            <v>Provision for compensated absences</v>
          </cell>
          <cell r="L44">
            <v>-18189341</v>
          </cell>
          <cell r="M44">
            <v>-2745586</v>
          </cell>
          <cell r="N44">
            <v>-15443755</v>
          </cell>
        </row>
        <row r="45">
          <cell r="E45" t="str">
            <v>Total outstanding dues of creditors other than micro enterprises and small enterprises</v>
          </cell>
          <cell r="L45">
            <v>-18805711.57</v>
          </cell>
          <cell r="M45">
            <v>-18805711.57</v>
          </cell>
          <cell r="N45">
            <v>0</v>
          </cell>
        </row>
        <row r="46">
          <cell r="E46" t="str">
            <v>Total outstanding dues of creditors other than micro enterprises and small enterprises</v>
          </cell>
          <cell r="L46">
            <v>-3348612</v>
          </cell>
          <cell r="M46">
            <v>-3348612</v>
          </cell>
          <cell r="N46">
            <v>0</v>
          </cell>
        </row>
        <row r="47">
          <cell r="E47" t="str">
            <v>Total outstanding dues of creditors other than micro enterprises and small enterprises</v>
          </cell>
          <cell r="L47">
            <v>-390578</v>
          </cell>
          <cell r="M47">
            <v>-390578</v>
          </cell>
          <cell r="N47">
            <v>0</v>
          </cell>
        </row>
        <row r="48">
          <cell r="E48" t="str">
            <v>Total outstanding dues of creditors other than micro enterprises and small enterprises</v>
          </cell>
          <cell r="L48">
            <v>-2389137</v>
          </cell>
          <cell r="M48">
            <v>-2389137</v>
          </cell>
          <cell r="N48">
            <v>0</v>
          </cell>
        </row>
        <row r="49">
          <cell r="E49" t="str">
            <v>Working Capital Loans from Bank</v>
          </cell>
          <cell r="L49">
            <v>-4145424</v>
          </cell>
          <cell r="M49">
            <v>-4145424</v>
          </cell>
          <cell r="N49">
            <v>0</v>
          </cell>
        </row>
        <row r="50">
          <cell r="E50" t="str">
            <v>Total outstanding dues of creditors other than micro enterprises and small enterprises</v>
          </cell>
          <cell r="L50">
            <v>-6390444.1799999997</v>
          </cell>
          <cell r="M50">
            <v>-6390444.1799999997</v>
          </cell>
          <cell r="N50">
            <v>0</v>
          </cell>
        </row>
        <row r="51">
          <cell r="E51" t="str">
            <v>Other Tax Assets (Net)</v>
          </cell>
          <cell r="L51">
            <v>7.0000000000000007E-2</v>
          </cell>
          <cell r="M51">
            <v>0</v>
          </cell>
          <cell r="N51">
            <v>7.0000000000000007E-2</v>
          </cell>
        </row>
        <row r="52">
          <cell r="E52" t="str">
            <v>Total outstanding dues of creditors other than micro enterprises and small enterprises</v>
          </cell>
          <cell r="L52">
            <v>-7100423</v>
          </cell>
          <cell r="M52">
            <v>-7100423</v>
          </cell>
          <cell r="N52">
            <v>0</v>
          </cell>
        </row>
        <row r="53">
          <cell r="E53" t="str">
            <v>Total outstanding dues of creditors other than micro enterprises and small enterprises</v>
          </cell>
          <cell r="L53">
            <v>-55788033.969999999</v>
          </cell>
          <cell r="M53">
            <v>-55788033.969999999</v>
          </cell>
          <cell r="N53">
            <v>0</v>
          </cell>
        </row>
        <row r="54">
          <cell r="E54" t="str">
            <v>Total outstanding dues of creditors other than micro enterprises and small enterprises</v>
          </cell>
          <cell r="L54">
            <v>-2835370.54</v>
          </cell>
          <cell r="M54">
            <v>-2835370.54</v>
          </cell>
          <cell r="N54">
            <v>0</v>
          </cell>
        </row>
        <row r="55">
          <cell r="E55" t="str">
            <v>Total outstanding dues of creditors other than micro enterprises and small enterprises</v>
          </cell>
          <cell r="L55">
            <v>535964.68000000005</v>
          </cell>
          <cell r="M55">
            <v>535964.68000000005</v>
          </cell>
          <cell r="N55">
            <v>0</v>
          </cell>
        </row>
        <row r="56">
          <cell r="E56" t="str">
            <v>Total outstanding dues of creditors other than micro enterprises and small enterprises</v>
          </cell>
          <cell r="L56">
            <v>-623038295.96000004</v>
          </cell>
          <cell r="M56">
            <v>-623038295.96000004</v>
          </cell>
          <cell r="N56">
            <v>0</v>
          </cell>
        </row>
        <row r="57">
          <cell r="E57" t="str">
            <v>Total outstanding dues of creditors other than micro enterprises and small enterprises</v>
          </cell>
          <cell r="L57">
            <v>-206854357.94999999</v>
          </cell>
          <cell r="M57">
            <v>-206854357.94999999</v>
          </cell>
          <cell r="N57">
            <v>0</v>
          </cell>
        </row>
        <row r="58">
          <cell r="E58" t="str">
            <v>Total outstanding dues of creditors other than micro enterprises and small enterprises</v>
          </cell>
          <cell r="L58">
            <v>-44050</v>
          </cell>
          <cell r="M58">
            <v>-44050</v>
          </cell>
          <cell r="N58">
            <v>0</v>
          </cell>
        </row>
        <row r="59">
          <cell r="E59" t="str">
            <v>Total outstanding dues of creditors other than micro enterprises and small enterprises</v>
          </cell>
          <cell r="L59">
            <v>-3271650.72</v>
          </cell>
          <cell r="M59">
            <v>-3271650.72</v>
          </cell>
          <cell r="N59">
            <v>0</v>
          </cell>
        </row>
        <row r="60">
          <cell r="E60" t="str">
            <v>Total outstanding dues of creditors other than micro enterprises and small enterprises</v>
          </cell>
          <cell r="L60">
            <v>1030903</v>
          </cell>
          <cell r="M60">
            <v>1030903</v>
          </cell>
          <cell r="N60">
            <v>0</v>
          </cell>
        </row>
        <row r="61">
          <cell r="E61" t="str">
            <v>Balances with Government Authorities</v>
          </cell>
          <cell r="L61">
            <v>-228743.99</v>
          </cell>
          <cell r="M61">
            <v>-228743.99</v>
          </cell>
          <cell r="N61">
            <v>0</v>
          </cell>
        </row>
        <row r="62">
          <cell r="E62" t="str">
            <v>Balances with Government Authorities</v>
          </cell>
          <cell r="L62">
            <v>-281628.82</v>
          </cell>
          <cell r="M62">
            <v>-281628.82</v>
          </cell>
          <cell r="N62">
            <v>0</v>
          </cell>
        </row>
        <row r="63">
          <cell r="E63" t="str">
            <v>Balances with Government Authorities</v>
          </cell>
          <cell r="L63">
            <v>-228743.99</v>
          </cell>
          <cell r="M63">
            <v>-228743.99</v>
          </cell>
          <cell r="N63">
            <v>0</v>
          </cell>
        </row>
        <row r="64">
          <cell r="E64" t="str">
            <v>Balances with Government Authorities</v>
          </cell>
          <cell r="L64">
            <v>118263.21</v>
          </cell>
          <cell r="M64">
            <v>118263.21</v>
          </cell>
          <cell r="N64">
            <v>0</v>
          </cell>
        </row>
        <row r="65">
          <cell r="E65" t="str">
            <v>Balances with Government Authorities</v>
          </cell>
          <cell r="L65">
            <v>94161.08</v>
          </cell>
          <cell r="M65">
            <v>94161.08</v>
          </cell>
          <cell r="N65">
            <v>0</v>
          </cell>
        </row>
        <row r="66">
          <cell r="E66" t="str">
            <v>Balances with Government Authorities</v>
          </cell>
          <cell r="L66">
            <v>118263.21</v>
          </cell>
          <cell r="M66">
            <v>118263.21</v>
          </cell>
          <cell r="N66">
            <v>0</v>
          </cell>
        </row>
        <row r="67">
          <cell r="E67" t="str">
            <v xml:space="preserve">Statutory liabilities </v>
          </cell>
          <cell r="L67">
            <v>-1930088</v>
          </cell>
          <cell r="M67">
            <v>-1930088</v>
          </cell>
          <cell r="N67">
            <v>0</v>
          </cell>
        </row>
        <row r="68">
          <cell r="E68" t="str">
            <v xml:space="preserve">Statutory liabilities </v>
          </cell>
          <cell r="L68">
            <v>-70610</v>
          </cell>
          <cell r="M68">
            <v>-70610</v>
          </cell>
          <cell r="N68">
            <v>0</v>
          </cell>
        </row>
        <row r="69">
          <cell r="E69" t="str">
            <v xml:space="preserve">Statutory liabilities </v>
          </cell>
          <cell r="L69">
            <v>-16187.23</v>
          </cell>
          <cell r="M69">
            <v>-16187.23</v>
          </cell>
          <cell r="N69">
            <v>0</v>
          </cell>
        </row>
        <row r="70">
          <cell r="E70" t="str">
            <v>Property Plant &amp; Equipment, Right of Use Assets &amp; Intangible Assets</v>
          </cell>
          <cell r="L70">
            <v>-3153723</v>
          </cell>
          <cell r="M70">
            <v>0</v>
          </cell>
          <cell r="N70">
            <v>-3153723</v>
          </cell>
        </row>
        <row r="71">
          <cell r="E71" t="str">
            <v>Payable for capital goods</v>
          </cell>
          <cell r="L71">
            <v>-7096487.1500000004</v>
          </cell>
          <cell r="M71">
            <v>-7096487.1500000004</v>
          </cell>
          <cell r="N71">
            <v>0</v>
          </cell>
        </row>
        <row r="72">
          <cell r="E72" t="str">
            <v>Employee benefits payable</v>
          </cell>
          <cell r="L72">
            <v>-11619508.33</v>
          </cell>
          <cell r="M72">
            <v>-11619508.33</v>
          </cell>
          <cell r="N72">
            <v>0</v>
          </cell>
        </row>
        <row r="73">
          <cell r="E73" t="str">
            <v>Property, plant &amp; equipment</v>
          </cell>
          <cell r="L73">
            <v>42609230</v>
          </cell>
          <cell r="M73">
            <v>0</v>
          </cell>
          <cell r="N73">
            <v>42609230</v>
          </cell>
        </row>
        <row r="74">
          <cell r="E74" t="str">
            <v>Property, plant &amp; equipment</v>
          </cell>
          <cell r="L74">
            <v>22759856</v>
          </cell>
          <cell r="M74">
            <v>0</v>
          </cell>
          <cell r="N74">
            <v>22759856</v>
          </cell>
        </row>
        <row r="75">
          <cell r="E75" t="str">
            <v>Property, plant &amp; equipment</v>
          </cell>
          <cell r="L75">
            <v>82041650.75</v>
          </cell>
          <cell r="M75">
            <v>0</v>
          </cell>
          <cell r="N75">
            <v>82041650.75</v>
          </cell>
        </row>
        <row r="76">
          <cell r="E76" t="str">
            <v>Property, plant &amp; equipment</v>
          </cell>
          <cell r="L76">
            <v>-62835106.979999997</v>
          </cell>
          <cell r="M76">
            <v>0</v>
          </cell>
          <cell r="N76">
            <v>-62835106.979999997</v>
          </cell>
        </row>
        <row r="77">
          <cell r="E77" t="str">
            <v>Property, plant &amp; equipment</v>
          </cell>
          <cell r="L77">
            <v>162682004.96000001</v>
          </cell>
          <cell r="M77">
            <v>0</v>
          </cell>
          <cell r="N77">
            <v>162682004.96000001</v>
          </cell>
        </row>
        <row r="78">
          <cell r="E78" t="str">
            <v>Property, plant &amp; equipment</v>
          </cell>
          <cell r="L78">
            <v>926756849.34000003</v>
          </cell>
          <cell r="M78">
            <v>0</v>
          </cell>
          <cell r="N78">
            <v>926756849.34000003</v>
          </cell>
        </row>
        <row r="79">
          <cell r="E79" t="str">
            <v>Property, plant &amp; equipment</v>
          </cell>
          <cell r="L79">
            <v>-519771193.54000002</v>
          </cell>
          <cell r="M79">
            <v>0</v>
          </cell>
          <cell r="N79">
            <v>-519771193.54000002</v>
          </cell>
        </row>
        <row r="80">
          <cell r="E80" t="str">
            <v>Property, plant &amp; equipment</v>
          </cell>
          <cell r="L80">
            <v>4971898.33</v>
          </cell>
          <cell r="M80">
            <v>0</v>
          </cell>
          <cell r="N80">
            <v>4971898.33</v>
          </cell>
        </row>
        <row r="81">
          <cell r="E81" t="str">
            <v>Property, plant &amp; equipment</v>
          </cell>
          <cell r="L81">
            <v>-1785395.77</v>
          </cell>
          <cell r="M81">
            <v>0</v>
          </cell>
          <cell r="N81">
            <v>-1785395.77</v>
          </cell>
        </row>
        <row r="82">
          <cell r="E82" t="str">
            <v>Property, plant &amp; equipment</v>
          </cell>
          <cell r="L82">
            <v>55177489.43</v>
          </cell>
          <cell r="M82">
            <v>0</v>
          </cell>
          <cell r="N82">
            <v>55177489.43</v>
          </cell>
        </row>
        <row r="83">
          <cell r="E83" t="str">
            <v>Property, plant &amp; equipment</v>
          </cell>
          <cell r="L83">
            <v>-16552405.300000001</v>
          </cell>
          <cell r="M83">
            <v>0</v>
          </cell>
          <cell r="N83">
            <v>-16552405.300000001</v>
          </cell>
        </row>
        <row r="84">
          <cell r="E84" t="str">
            <v>Property, plant &amp; equipment</v>
          </cell>
          <cell r="L84">
            <v>3097080.1</v>
          </cell>
          <cell r="M84">
            <v>0</v>
          </cell>
          <cell r="N84">
            <v>3097080.1</v>
          </cell>
        </row>
        <row r="85">
          <cell r="E85" t="str">
            <v>Property, plant &amp; equipment</v>
          </cell>
          <cell r="L85">
            <v>-1989706.72</v>
          </cell>
          <cell r="M85">
            <v>0</v>
          </cell>
          <cell r="N85">
            <v>-1989706.72</v>
          </cell>
        </row>
        <row r="86">
          <cell r="E86" t="str">
            <v>Property, plant &amp; equipment</v>
          </cell>
          <cell r="L86">
            <v>5954159</v>
          </cell>
          <cell r="M86">
            <v>0</v>
          </cell>
          <cell r="N86">
            <v>5954159</v>
          </cell>
        </row>
        <row r="87">
          <cell r="E87" t="str">
            <v>Property, plant &amp; equipment</v>
          </cell>
          <cell r="L87">
            <v>-4807199.5199999996</v>
          </cell>
          <cell r="M87">
            <v>0</v>
          </cell>
          <cell r="N87">
            <v>-4807199.5199999996</v>
          </cell>
        </row>
        <row r="88">
          <cell r="E88" t="str">
            <v>Property, plant &amp; equipment</v>
          </cell>
          <cell r="L88">
            <v>14286362.34</v>
          </cell>
          <cell r="M88">
            <v>0</v>
          </cell>
          <cell r="N88">
            <v>14286362.34</v>
          </cell>
        </row>
        <row r="89">
          <cell r="E89" t="str">
            <v>Property, plant &amp; equipment</v>
          </cell>
          <cell r="L89">
            <v>-15596555.48</v>
          </cell>
          <cell r="M89">
            <v>0</v>
          </cell>
          <cell r="N89">
            <v>-15596555.48</v>
          </cell>
        </row>
        <row r="90">
          <cell r="E90" t="str">
            <v>Property, plant &amp; equipment</v>
          </cell>
          <cell r="L90">
            <v>2693048.58</v>
          </cell>
          <cell r="M90">
            <v>0</v>
          </cell>
          <cell r="N90">
            <v>2693048.58</v>
          </cell>
        </row>
        <row r="91">
          <cell r="E91" t="str">
            <v>Property, plant &amp; equipment</v>
          </cell>
          <cell r="L91">
            <v>-2440953.48</v>
          </cell>
          <cell r="M91">
            <v>0</v>
          </cell>
          <cell r="N91">
            <v>-2440953.48</v>
          </cell>
        </row>
        <row r="92">
          <cell r="E92" t="str">
            <v>Property, plant &amp; equipment</v>
          </cell>
          <cell r="L92">
            <v>9425718</v>
          </cell>
          <cell r="M92">
            <v>0</v>
          </cell>
          <cell r="N92">
            <v>9425718</v>
          </cell>
        </row>
        <row r="93">
          <cell r="E93" t="str">
            <v>Property, plant &amp; equipment</v>
          </cell>
          <cell r="L93">
            <v>12612700</v>
          </cell>
          <cell r="M93">
            <v>0</v>
          </cell>
          <cell r="N93">
            <v>12612700</v>
          </cell>
        </row>
        <row r="94">
          <cell r="E94" t="str">
            <v>Property, plant &amp; equipment</v>
          </cell>
          <cell r="L94">
            <v>-4635339.12</v>
          </cell>
          <cell r="M94">
            <v>0</v>
          </cell>
          <cell r="N94">
            <v>-4635339.12</v>
          </cell>
        </row>
        <row r="95">
          <cell r="E95" t="str">
            <v>Property, plant &amp; equipment</v>
          </cell>
          <cell r="L95">
            <v>5139550.5</v>
          </cell>
          <cell r="M95">
            <v>0</v>
          </cell>
          <cell r="N95">
            <v>5139550.5</v>
          </cell>
        </row>
        <row r="96">
          <cell r="E96" t="str">
            <v>Property, plant &amp; equipment</v>
          </cell>
          <cell r="L96">
            <v>-4140749.04</v>
          </cell>
          <cell r="M96">
            <v>0</v>
          </cell>
          <cell r="N96">
            <v>-4140749.04</v>
          </cell>
        </row>
        <row r="97">
          <cell r="E97" t="str">
            <v>Property, plant &amp; equipment</v>
          </cell>
          <cell r="L97">
            <v>910945965.77999997</v>
          </cell>
          <cell r="M97">
            <v>0</v>
          </cell>
          <cell r="N97">
            <v>910945965.77999997</v>
          </cell>
        </row>
        <row r="98">
          <cell r="E98" t="str">
            <v>Property, plant &amp; equipment</v>
          </cell>
          <cell r="L98">
            <v>739610.68</v>
          </cell>
          <cell r="M98">
            <v>0</v>
          </cell>
          <cell r="N98">
            <v>739610.68</v>
          </cell>
        </row>
        <row r="99">
          <cell r="E99" t="str">
            <v>Property, plant &amp; equipment</v>
          </cell>
          <cell r="L99">
            <v>16877607</v>
          </cell>
          <cell r="M99">
            <v>0</v>
          </cell>
          <cell r="N99">
            <v>16877607</v>
          </cell>
        </row>
        <row r="100">
          <cell r="E100" t="str">
            <v>10,000 (31 March 2022: 10,000; 1 April 2021: 10,000) fully paid up equity shares of par value of ₹ 10 each of Best Value Organics Private Limited (wholly owned subsidiary)</v>
          </cell>
          <cell r="L100">
            <v>100000</v>
          </cell>
          <cell r="M100">
            <v>0</v>
          </cell>
          <cell r="N100">
            <v>100000</v>
          </cell>
        </row>
        <row r="101">
          <cell r="E101" t="str">
            <v>10,000 (31 March 2022: NIL; 1 April 2021: NIL) fully paid up equity shares of par value of ₹ 10 each of Best Value Specialities Private Limited (wholly owned subsidiary)</v>
          </cell>
          <cell r="L101">
            <v>100000</v>
          </cell>
          <cell r="M101">
            <v>0</v>
          </cell>
          <cell r="N101">
            <v>100000</v>
          </cell>
        </row>
        <row r="102">
          <cell r="E102" t="str">
            <v>96,061 (31 March 2022: 96,061; 31 March 2021: NIL) fully paid up OCPS of par value of ₹ 10 each issued at premium of ₹ 2072 of Best Value Organics Private Limited (wholly owned subsidiary)</v>
          </cell>
          <cell r="L102">
            <v>199999002</v>
          </cell>
          <cell r="M102">
            <v>0</v>
          </cell>
          <cell r="N102">
            <v>199999002</v>
          </cell>
        </row>
        <row r="103">
          <cell r="E103" t="str">
            <v>97,276 (31 March 2022: 97,276; 31 March 2021: NIL) fully paid up OCPS of par value of ₹ 10 each issued at premium of ₹ 2046 of Best Value Specialities Private Limited (wholly owned subsidiary)</v>
          </cell>
          <cell r="L103">
            <v>199999456</v>
          </cell>
          <cell r="M103">
            <v>0</v>
          </cell>
          <cell r="N103">
            <v>199999456</v>
          </cell>
        </row>
        <row r="104">
          <cell r="E104" t="str">
            <v>Loans to related party - subsidiaries (Considered good - unsecured)</v>
          </cell>
          <cell r="L104">
            <v>9398295.9299999997</v>
          </cell>
          <cell r="M104">
            <v>9398295.9299999997</v>
          </cell>
          <cell r="N104">
            <v>0</v>
          </cell>
        </row>
        <row r="105">
          <cell r="E105" t="str">
            <v>Loans to related party - subsidiaries (Considered good - unsecured)</v>
          </cell>
          <cell r="L105">
            <v>3366399</v>
          </cell>
          <cell r="M105">
            <v>3366399</v>
          </cell>
          <cell r="N105">
            <v>0</v>
          </cell>
        </row>
        <row r="106">
          <cell r="E106" t="str">
            <v>Duty drawback receivable and Merchandise Export Incentive Scheme receivable</v>
          </cell>
          <cell r="L106">
            <v>31064126.620000001</v>
          </cell>
          <cell r="M106">
            <v>31064126.620000001</v>
          </cell>
          <cell r="N106">
            <v>0</v>
          </cell>
        </row>
        <row r="107">
          <cell r="E107" t="str">
            <v>Duty drawback receivable and Merchandise Export Incentive Scheme receivable</v>
          </cell>
          <cell r="L107">
            <v>1637896</v>
          </cell>
          <cell r="M107">
            <v>1637896</v>
          </cell>
          <cell r="N107">
            <v>0</v>
          </cell>
        </row>
        <row r="108">
          <cell r="E108" t="str">
            <v>Duty drawback receivable and Merchandise Export Incentive Scheme receivable</v>
          </cell>
          <cell r="L108">
            <v>54379</v>
          </cell>
          <cell r="M108">
            <v>54379</v>
          </cell>
          <cell r="N108">
            <v>0</v>
          </cell>
        </row>
        <row r="109">
          <cell r="E109" t="str">
            <v>Forward contract receivables</v>
          </cell>
          <cell r="L109">
            <v>12776554</v>
          </cell>
          <cell r="M109">
            <v>12776554</v>
          </cell>
          <cell r="N109">
            <v>0</v>
          </cell>
        </row>
        <row r="110">
          <cell r="E110" t="str">
            <v>Raw materials*</v>
          </cell>
          <cell r="L110">
            <v>519464316.17000002</v>
          </cell>
          <cell r="M110">
            <v>519464316.17000002</v>
          </cell>
          <cell r="N110">
            <v>0</v>
          </cell>
        </row>
        <row r="111">
          <cell r="E111" t="str">
            <v>Packing material</v>
          </cell>
          <cell r="L111">
            <v>3687087.02</v>
          </cell>
          <cell r="M111">
            <v>3687087.02</v>
          </cell>
          <cell r="N111">
            <v>0</v>
          </cell>
        </row>
        <row r="112">
          <cell r="E112" t="str">
            <v>Stores and spares</v>
          </cell>
          <cell r="L112">
            <v>1325333.49</v>
          </cell>
          <cell r="M112">
            <v>1325333.49</v>
          </cell>
          <cell r="N112">
            <v>0</v>
          </cell>
        </row>
        <row r="113">
          <cell r="E113" t="str">
            <v>Work-in-progress</v>
          </cell>
          <cell r="L113">
            <v>319989055.08999997</v>
          </cell>
          <cell r="M113">
            <v>319989055.08999997</v>
          </cell>
          <cell r="N113">
            <v>0</v>
          </cell>
        </row>
        <row r="114">
          <cell r="E114" t="str">
            <v>Finished goods**</v>
          </cell>
          <cell r="L114">
            <v>10692300.76</v>
          </cell>
          <cell r="M114">
            <v>10692300.76</v>
          </cell>
          <cell r="N114">
            <v>0</v>
          </cell>
        </row>
        <row r="115">
          <cell r="E115" t="str">
            <v>Stores and spares</v>
          </cell>
          <cell r="L115">
            <v>152309645.83000001</v>
          </cell>
          <cell r="M115">
            <v>152309645.83000001</v>
          </cell>
          <cell r="N115">
            <v>0</v>
          </cell>
        </row>
        <row r="116">
          <cell r="E116" t="str">
            <v>Stores and spares</v>
          </cell>
          <cell r="L116">
            <v>59012056.009999998</v>
          </cell>
          <cell r="M116">
            <v>59012056.009999998</v>
          </cell>
          <cell r="N116">
            <v>0</v>
          </cell>
        </row>
        <row r="117">
          <cell r="E117" t="str">
            <v>Finished goods**</v>
          </cell>
          <cell r="L117">
            <v>476208715.87</v>
          </cell>
          <cell r="M117">
            <v>476208715.87</v>
          </cell>
          <cell r="N117">
            <v>0</v>
          </cell>
        </row>
        <row r="118">
          <cell r="E118" t="str">
            <v>Raw materials*</v>
          </cell>
          <cell r="L118">
            <v>55788033.969999999</v>
          </cell>
          <cell r="M118">
            <v>55788033.969999999</v>
          </cell>
          <cell r="N118">
            <v>0</v>
          </cell>
        </row>
        <row r="119">
          <cell r="E119" t="str">
            <v>Stores and spares</v>
          </cell>
          <cell r="L119">
            <v>-200226.23</v>
          </cell>
          <cell r="M119">
            <v>-200226.23</v>
          </cell>
          <cell r="N119">
            <v>0</v>
          </cell>
        </row>
        <row r="120">
          <cell r="E120" t="str">
            <v>Work-in-progress</v>
          </cell>
          <cell r="L120">
            <v>-754457.72</v>
          </cell>
          <cell r="M120">
            <v>-754457.72</v>
          </cell>
          <cell r="N120">
            <v>0</v>
          </cell>
        </row>
        <row r="121">
          <cell r="E121" t="str">
            <v>Work-in-progress</v>
          </cell>
          <cell r="L121">
            <v>-1364755.67</v>
          </cell>
          <cell r="M121">
            <v>-1364755.67</v>
          </cell>
          <cell r="N121">
            <v>0</v>
          </cell>
        </row>
        <row r="122">
          <cell r="E122" t="str">
            <v>Work-in-progress</v>
          </cell>
          <cell r="L122">
            <v>119570.24000000001</v>
          </cell>
          <cell r="M122">
            <v>119570.24000000001</v>
          </cell>
          <cell r="N122">
            <v>0</v>
          </cell>
        </row>
        <row r="123">
          <cell r="E123" t="str">
            <v>Considered good - unsecured</v>
          </cell>
          <cell r="L123">
            <v>178726141.97</v>
          </cell>
          <cell r="M123">
            <v>178726141.97</v>
          </cell>
          <cell r="N123">
            <v>0</v>
          </cell>
        </row>
        <row r="124">
          <cell r="E124" t="str">
            <v>Considered good - unsecured</v>
          </cell>
          <cell r="L124">
            <v>1518311305.49</v>
          </cell>
          <cell r="M124">
            <v>1518311305.49</v>
          </cell>
          <cell r="N124">
            <v>0</v>
          </cell>
        </row>
        <row r="125">
          <cell r="E125" t="str">
            <v>Considered good - unsecured</v>
          </cell>
          <cell r="L125">
            <v>660660</v>
          </cell>
          <cell r="M125">
            <v>660660</v>
          </cell>
          <cell r="N125">
            <v>0</v>
          </cell>
        </row>
        <row r="126">
          <cell r="E126" t="str">
            <v>Considered good - unsecured</v>
          </cell>
          <cell r="L126">
            <v>-597286390.38999999</v>
          </cell>
          <cell r="M126">
            <v>-597286390.38999999</v>
          </cell>
          <cell r="N126">
            <v>0</v>
          </cell>
        </row>
        <row r="127">
          <cell r="E127" t="str">
            <v>Considered good - unsecured</v>
          </cell>
          <cell r="L127">
            <v>20130463.77999996</v>
          </cell>
          <cell r="M127">
            <v>20130463.77999996</v>
          </cell>
          <cell r="N127">
            <v>0</v>
          </cell>
        </row>
        <row r="128">
          <cell r="E128" t="str">
            <v>Deposits with original maturity for more than 3 months and less than 12 Months</v>
          </cell>
          <cell r="L128">
            <v>557509</v>
          </cell>
          <cell r="M128">
            <v>557509</v>
          </cell>
          <cell r="N128">
            <v>0</v>
          </cell>
        </row>
        <row r="129">
          <cell r="E129" t="str">
            <v>Balance with banks</v>
          </cell>
          <cell r="L129">
            <v>1945657.58</v>
          </cell>
          <cell r="M129">
            <v>1945657.58</v>
          </cell>
          <cell r="N129">
            <v>0</v>
          </cell>
        </row>
        <row r="130">
          <cell r="E130" t="str">
            <v>Balance with banks</v>
          </cell>
          <cell r="L130">
            <v>7948550.0599999996</v>
          </cell>
          <cell r="M130">
            <v>7948550.0599999996</v>
          </cell>
          <cell r="N130">
            <v>0</v>
          </cell>
        </row>
        <row r="131">
          <cell r="E131" t="str">
            <v>Balance with banks</v>
          </cell>
          <cell r="L131">
            <v>15463318.84</v>
          </cell>
          <cell r="M131">
            <v>15463318.84</v>
          </cell>
          <cell r="N131">
            <v>0</v>
          </cell>
        </row>
        <row r="132">
          <cell r="E132" t="str">
            <v>Balance with banks</v>
          </cell>
          <cell r="L132">
            <v>1126272.31</v>
          </cell>
          <cell r="M132">
            <v>1126272.31</v>
          </cell>
          <cell r="N132">
            <v>0</v>
          </cell>
        </row>
        <row r="133">
          <cell r="E133" t="str">
            <v>Working Capital Loans from Bank</v>
          </cell>
          <cell r="L133">
            <v>-611462203</v>
          </cell>
          <cell r="M133">
            <v>-611462203</v>
          </cell>
          <cell r="N133">
            <v>0</v>
          </cell>
        </row>
        <row r="134">
          <cell r="E134" t="str">
            <v>Working Capital Loans from Bank</v>
          </cell>
          <cell r="L134">
            <v>-360000000</v>
          </cell>
          <cell r="M134">
            <v>-360000000</v>
          </cell>
          <cell r="N134">
            <v>0</v>
          </cell>
        </row>
        <row r="135">
          <cell r="E135" t="str">
            <v>Balance with banks</v>
          </cell>
          <cell r="L135">
            <v>-7.0000000000000007E-2</v>
          </cell>
          <cell r="M135">
            <v>-7.0000000000000007E-2</v>
          </cell>
          <cell r="N135">
            <v>0</v>
          </cell>
        </row>
        <row r="136">
          <cell r="E136" t="str">
            <v>Cash on hand</v>
          </cell>
          <cell r="L136">
            <v>78989.91</v>
          </cell>
          <cell r="M136">
            <v>78989.91</v>
          </cell>
          <cell r="N136">
            <v>0</v>
          </cell>
        </row>
        <row r="137">
          <cell r="E137" t="str">
            <v>Cash on hand</v>
          </cell>
          <cell r="L137">
            <v>8199</v>
          </cell>
          <cell r="M137">
            <v>8199</v>
          </cell>
          <cell r="N137">
            <v>0</v>
          </cell>
        </row>
        <row r="138">
          <cell r="E138" t="str">
            <v>Cash on hand</v>
          </cell>
          <cell r="L138">
            <v>2129</v>
          </cell>
          <cell r="M138">
            <v>2129</v>
          </cell>
          <cell r="N138">
            <v>0</v>
          </cell>
        </row>
        <row r="139">
          <cell r="E139" t="str">
            <v>Cash on hand</v>
          </cell>
          <cell r="L139">
            <v>157540</v>
          </cell>
          <cell r="M139">
            <v>157540</v>
          </cell>
          <cell r="N139">
            <v>0</v>
          </cell>
        </row>
        <row r="140">
          <cell r="E140" t="str">
            <v>Deposits with original maturity for more than 3 months and less than 12 Months</v>
          </cell>
          <cell r="L140">
            <v>10000</v>
          </cell>
          <cell r="M140">
            <v>10000</v>
          </cell>
          <cell r="N140">
            <v>0</v>
          </cell>
        </row>
        <row r="141">
          <cell r="E141" t="str">
            <v>Advance to employees</v>
          </cell>
          <cell r="L141">
            <v>19948</v>
          </cell>
          <cell r="M141">
            <v>19948</v>
          </cell>
          <cell r="N141">
            <v>0</v>
          </cell>
        </row>
        <row r="142">
          <cell r="E142" t="str">
            <v>Advance to employees</v>
          </cell>
          <cell r="L142">
            <v>15000</v>
          </cell>
          <cell r="M142">
            <v>15000</v>
          </cell>
          <cell r="N142">
            <v>0</v>
          </cell>
        </row>
        <row r="143">
          <cell r="E143" t="str">
            <v>Advance to employees</v>
          </cell>
          <cell r="L143">
            <v>33080</v>
          </cell>
          <cell r="M143">
            <v>33080</v>
          </cell>
          <cell r="N143">
            <v>0</v>
          </cell>
        </row>
        <row r="144">
          <cell r="E144" t="str">
            <v>Advances for expenses</v>
          </cell>
          <cell r="L144">
            <v>-7053.21</v>
          </cell>
          <cell r="M144">
            <v>-7053.21</v>
          </cell>
          <cell r="N144">
            <v>0</v>
          </cell>
        </row>
        <row r="145">
          <cell r="E145" t="str">
            <v>Security deposits</v>
          </cell>
          <cell r="L145">
            <v>50000</v>
          </cell>
          <cell r="M145">
            <v>0</v>
          </cell>
          <cell r="N145">
            <v>50000</v>
          </cell>
        </row>
        <row r="146">
          <cell r="E146" t="str">
            <v>Security deposits</v>
          </cell>
          <cell r="L146">
            <v>12472569</v>
          </cell>
          <cell r="M146">
            <v>410106</v>
          </cell>
          <cell r="N146">
            <v>12062463</v>
          </cell>
        </row>
        <row r="147">
          <cell r="E147" t="str">
            <v>Security deposits</v>
          </cell>
          <cell r="L147">
            <v>2508450</v>
          </cell>
          <cell r="M147">
            <v>0</v>
          </cell>
          <cell r="N147">
            <v>2508450</v>
          </cell>
        </row>
        <row r="148">
          <cell r="E148" t="str">
            <v>Security deposits</v>
          </cell>
          <cell r="L148">
            <v>32625</v>
          </cell>
          <cell r="M148">
            <v>0</v>
          </cell>
          <cell r="N148">
            <v>32625</v>
          </cell>
        </row>
        <row r="149">
          <cell r="E149" t="str">
            <v>Security deposits</v>
          </cell>
          <cell r="L149">
            <v>5000</v>
          </cell>
          <cell r="M149">
            <v>0</v>
          </cell>
          <cell r="N149">
            <v>5000</v>
          </cell>
        </row>
        <row r="150">
          <cell r="E150" t="str">
            <v>Security deposits</v>
          </cell>
          <cell r="L150">
            <v>750000</v>
          </cell>
          <cell r="M150">
            <v>0</v>
          </cell>
          <cell r="N150">
            <v>750000</v>
          </cell>
        </row>
        <row r="151">
          <cell r="E151" t="str">
            <v>Deposits with original maturity for more than 3 months and less than 12 Months</v>
          </cell>
          <cell r="L151">
            <v>13226</v>
          </cell>
          <cell r="M151">
            <v>13226</v>
          </cell>
          <cell r="N151">
            <v>0</v>
          </cell>
        </row>
        <row r="152">
          <cell r="E152" t="str">
            <v>Security deposits</v>
          </cell>
          <cell r="L152">
            <v>15156.38</v>
          </cell>
          <cell r="M152">
            <v>0</v>
          </cell>
          <cell r="N152">
            <v>15156.38</v>
          </cell>
        </row>
        <row r="153">
          <cell r="E153" t="str">
            <v>Security deposits</v>
          </cell>
          <cell r="L153">
            <v>300000</v>
          </cell>
          <cell r="M153">
            <v>0</v>
          </cell>
          <cell r="N153">
            <v>300000</v>
          </cell>
        </row>
        <row r="154">
          <cell r="E154" t="str">
            <v>Security deposits</v>
          </cell>
          <cell r="L154">
            <v>255000</v>
          </cell>
          <cell r="M154">
            <v>0</v>
          </cell>
          <cell r="N154">
            <v>255000</v>
          </cell>
        </row>
        <row r="155">
          <cell r="E155" t="str">
            <v>Balances with Government Authorities</v>
          </cell>
          <cell r="L155">
            <v>7357091.4699999997</v>
          </cell>
          <cell r="M155">
            <v>7357091.4699999997</v>
          </cell>
          <cell r="N155">
            <v>0</v>
          </cell>
        </row>
        <row r="156">
          <cell r="E156" t="str">
            <v>Balances with Government Authorities</v>
          </cell>
          <cell r="L156">
            <v>-2.38</v>
          </cell>
          <cell r="M156">
            <v>-2.38</v>
          </cell>
          <cell r="N156">
            <v>0</v>
          </cell>
        </row>
        <row r="157">
          <cell r="E157" t="str">
            <v>Balances with Government Authorities</v>
          </cell>
          <cell r="L157">
            <v>24141156.469999999</v>
          </cell>
          <cell r="M157">
            <v>24141156.469999999</v>
          </cell>
          <cell r="N157">
            <v>0</v>
          </cell>
        </row>
        <row r="158">
          <cell r="E158" t="str">
            <v>Balances with Government Authorities</v>
          </cell>
          <cell r="L158">
            <v>-110938.84</v>
          </cell>
          <cell r="M158">
            <v>-110938.84</v>
          </cell>
          <cell r="N158">
            <v>0</v>
          </cell>
        </row>
        <row r="159">
          <cell r="E159" t="str">
            <v>Balances with Government Authorities</v>
          </cell>
          <cell r="L159">
            <v>-94052.72</v>
          </cell>
          <cell r="M159">
            <v>-94052.72</v>
          </cell>
          <cell r="N159">
            <v>0</v>
          </cell>
        </row>
        <row r="160">
          <cell r="E160" t="str">
            <v>Balances with Government Authorities</v>
          </cell>
          <cell r="L160">
            <v>-110938.84</v>
          </cell>
          <cell r="M160">
            <v>-110938.84</v>
          </cell>
          <cell r="N160">
            <v>0</v>
          </cell>
        </row>
        <row r="161">
          <cell r="E161" t="str">
            <v>Balances with Government Authorities</v>
          </cell>
          <cell r="L161">
            <v>16008768</v>
          </cell>
          <cell r="M161">
            <v>16008768</v>
          </cell>
          <cell r="N161">
            <v>0</v>
          </cell>
        </row>
        <row r="162">
          <cell r="E162" t="str">
            <v>Balances with Government Authorities</v>
          </cell>
          <cell r="L162">
            <v>11264530</v>
          </cell>
          <cell r="M162">
            <v>11264530</v>
          </cell>
          <cell r="N162">
            <v>0</v>
          </cell>
        </row>
        <row r="163">
          <cell r="E163" t="str">
            <v>Balances with Government Authorities</v>
          </cell>
          <cell r="L163">
            <v>897833.24</v>
          </cell>
          <cell r="M163">
            <v>897833.24</v>
          </cell>
          <cell r="N163">
            <v>0</v>
          </cell>
        </row>
        <row r="164">
          <cell r="E164" t="str">
            <v>Security deposits</v>
          </cell>
          <cell r="L164">
            <v>-3</v>
          </cell>
          <cell r="M164">
            <v>-3</v>
          </cell>
          <cell r="N164">
            <v>0</v>
          </cell>
        </row>
        <row r="165">
          <cell r="E165" t="str">
            <v>Advances for expenses</v>
          </cell>
          <cell r="L165">
            <v>37450</v>
          </cell>
          <cell r="M165">
            <v>37450</v>
          </cell>
          <cell r="N165">
            <v>0</v>
          </cell>
        </row>
        <row r="166">
          <cell r="E166" t="str">
            <v>Taxes paid under protest</v>
          </cell>
          <cell r="L166">
            <v>2397958</v>
          </cell>
          <cell r="M166">
            <v>2397958</v>
          </cell>
          <cell r="N166">
            <v>0</v>
          </cell>
        </row>
        <row r="167">
          <cell r="E167" t="str">
            <v xml:space="preserve">Statutory liabilities </v>
          </cell>
          <cell r="L167">
            <v>496886.46</v>
          </cell>
          <cell r="M167">
            <v>496886.46</v>
          </cell>
          <cell r="N167">
            <v>0</v>
          </cell>
        </row>
        <row r="168">
          <cell r="E168" t="str">
            <v>Other Tax Assets (Net)</v>
          </cell>
          <cell r="L168">
            <v>26738053</v>
          </cell>
          <cell r="M168">
            <v>0</v>
          </cell>
          <cell r="N168">
            <v>26738053</v>
          </cell>
        </row>
        <row r="169">
          <cell r="E169" t="str">
            <v>Other Tax Assets (Net)</v>
          </cell>
          <cell r="L169">
            <v>58500000</v>
          </cell>
          <cell r="M169">
            <v>0</v>
          </cell>
          <cell r="N169">
            <v>58500000</v>
          </cell>
        </row>
        <row r="170">
          <cell r="E170" t="str">
            <v>Other Tax Assets (Net)</v>
          </cell>
          <cell r="L170">
            <v>745862.03</v>
          </cell>
          <cell r="M170">
            <v>0</v>
          </cell>
          <cell r="N170">
            <v>745862.03</v>
          </cell>
        </row>
        <row r="171">
          <cell r="E171" t="str">
            <v>Interest accrued on GEB deposits</v>
          </cell>
          <cell r="L171">
            <v>0</v>
          </cell>
          <cell r="M171">
            <v>0</v>
          </cell>
          <cell r="N171">
            <v>0</v>
          </cell>
        </row>
        <row r="172">
          <cell r="E172" t="str">
            <v>Prepaid expenses</v>
          </cell>
          <cell r="L172">
            <v>23800019.149999999</v>
          </cell>
          <cell r="M172">
            <v>23800019.149999999</v>
          </cell>
          <cell r="N172">
            <v>0</v>
          </cell>
        </row>
        <row r="173">
          <cell r="E173" t="str">
            <v>Employee Benefits - Provisions for Gratuity and Compensated absences</v>
          </cell>
          <cell r="L173">
            <v>4828759</v>
          </cell>
          <cell r="M173">
            <v>0</v>
          </cell>
          <cell r="N173">
            <v>4828759</v>
          </cell>
        </row>
        <row r="174">
          <cell r="E174" t="str">
            <v>Balances with Government Authorities</v>
          </cell>
          <cell r="L174">
            <v>61791184.399999999</v>
          </cell>
          <cell r="M174">
            <v>61791184.399999999</v>
          </cell>
          <cell r="N174">
            <v>0</v>
          </cell>
        </row>
        <row r="175">
          <cell r="E175" t="str">
            <v>Total outstanding dues of creditors other than micro enterprises and small enterprises</v>
          </cell>
          <cell r="L175">
            <v>86300</v>
          </cell>
          <cell r="M175">
            <v>86300</v>
          </cell>
          <cell r="N175">
            <v>0</v>
          </cell>
        </row>
        <row r="176">
          <cell r="E176" t="str">
            <v>Other receivable</v>
          </cell>
          <cell r="L176">
            <v>16841176</v>
          </cell>
          <cell r="M176">
            <v>16841176</v>
          </cell>
          <cell r="N176">
            <v>0</v>
          </cell>
        </row>
        <row r="177">
          <cell r="E177" t="str">
            <v>Addition during the year - DRR</v>
          </cell>
          <cell r="L177">
            <v>-37500000</v>
          </cell>
          <cell r="M177">
            <v>0</v>
          </cell>
          <cell r="N177">
            <v>-37500000</v>
          </cell>
        </row>
        <row r="178">
          <cell r="E178" t="str">
            <v>Derivative Receivable (Interest Rate Swap)</v>
          </cell>
          <cell r="L178">
            <v>5909417</v>
          </cell>
          <cell r="M178">
            <v>0</v>
          </cell>
          <cell r="N178">
            <v>5909417</v>
          </cell>
        </row>
        <row r="179">
          <cell r="E179" t="str">
            <v>Other Tax Assets (Net)</v>
          </cell>
          <cell r="L179">
            <v>-73417023</v>
          </cell>
          <cell r="M179">
            <v>0</v>
          </cell>
          <cell r="N179">
            <v>-73417023</v>
          </cell>
        </row>
        <row r="180">
          <cell r="E180" t="str">
            <v>Addition during the year - Share based payment</v>
          </cell>
          <cell r="L180">
            <v>-5648102</v>
          </cell>
          <cell r="M180">
            <v>0</v>
          </cell>
          <cell r="N180">
            <v>-5648102</v>
          </cell>
        </row>
        <row r="181">
          <cell r="E181" t="str">
            <v>Sales of Products</v>
          </cell>
          <cell r="L181">
            <v>-4863271488.6800003</v>
          </cell>
          <cell r="M181">
            <v>0</v>
          </cell>
          <cell r="N181">
            <v>0</v>
          </cell>
        </row>
        <row r="182">
          <cell r="E182" t="str">
            <v>Sales of Products</v>
          </cell>
          <cell r="L182">
            <v>90732916</v>
          </cell>
          <cell r="M182">
            <v>0</v>
          </cell>
          <cell r="N182">
            <v>0</v>
          </cell>
        </row>
        <row r="183">
          <cell r="E183" t="str">
            <v>Sales of Products</v>
          </cell>
          <cell r="L183">
            <v>-1214101813.53</v>
          </cell>
          <cell r="M183">
            <v>0</v>
          </cell>
          <cell r="N183">
            <v>0</v>
          </cell>
        </row>
        <row r="184">
          <cell r="E184" t="str">
            <v>Scrap sales</v>
          </cell>
          <cell r="L184">
            <v>-12264030</v>
          </cell>
          <cell r="M184">
            <v>0</v>
          </cell>
          <cell r="N184">
            <v>0</v>
          </cell>
        </row>
        <row r="185">
          <cell r="E185" t="str">
            <v>Sales of Products</v>
          </cell>
          <cell r="L185">
            <v>-7090232.0199999996</v>
          </cell>
          <cell r="M185">
            <v>0</v>
          </cell>
          <cell r="N185">
            <v>0</v>
          </cell>
        </row>
        <row r="186">
          <cell r="E186" t="str">
            <v>Foreign exchange gain (net)</v>
          </cell>
          <cell r="L186">
            <v>2245741</v>
          </cell>
          <cell r="M186">
            <v>0</v>
          </cell>
          <cell r="N186">
            <v>0</v>
          </cell>
        </row>
        <row r="187">
          <cell r="E187" t="str">
            <v>Foreign exchange gain (net)</v>
          </cell>
          <cell r="L187">
            <v>-133379432.12</v>
          </cell>
          <cell r="M187">
            <v>0</v>
          </cell>
          <cell r="N187">
            <v>0</v>
          </cell>
        </row>
        <row r="188">
          <cell r="E188" t="str">
            <v>- From others</v>
          </cell>
          <cell r="L188">
            <v>-69533.100000000006</v>
          </cell>
          <cell r="M188">
            <v>0</v>
          </cell>
          <cell r="N188">
            <v>0</v>
          </cell>
        </row>
        <row r="189">
          <cell r="E189" t="str">
            <v>- From banks</v>
          </cell>
          <cell r="L189">
            <v>-55508.7</v>
          </cell>
          <cell r="M189">
            <v>0</v>
          </cell>
          <cell r="N189">
            <v>0</v>
          </cell>
        </row>
        <row r="190">
          <cell r="E190" t="str">
            <v>- From others</v>
          </cell>
          <cell r="L190">
            <v>-8536539.6600000001</v>
          </cell>
          <cell r="M190">
            <v>0</v>
          </cell>
          <cell r="N190">
            <v>0</v>
          </cell>
        </row>
        <row r="191">
          <cell r="E191" t="str">
            <v>Foreign exchange gain (net)</v>
          </cell>
          <cell r="L191">
            <v>417.97</v>
          </cell>
          <cell r="M191">
            <v>0</v>
          </cell>
          <cell r="N191">
            <v>0</v>
          </cell>
        </row>
        <row r="192">
          <cell r="E192" t="str">
            <v>Foreign exchange gain (net)</v>
          </cell>
          <cell r="L192">
            <v>-7025365.7799999602</v>
          </cell>
          <cell r="M192">
            <v>0</v>
          </cell>
          <cell r="N192">
            <v>0</v>
          </cell>
        </row>
        <row r="193">
          <cell r="E193" t="str">
            <v>Duty drawback income</v>
          </cell>
          <cell r="L193">
            <v>-11429544.24</v>
          </cell>
          <cell r="M193">
            <v>0</v>
          </cell>
          <cell r="N193">
            <v>0</v>
          </cell>
        </row>
        <row r="194">
          <cell r="E194" t="str">
            <v>Foreign exchange gain (net)</v>
          </cell>
          <cell r="L194">
            <v>26652189.579999998</v>
          </cell>
          <cell r="M194">
            <v>0</v>
          </cell>
          <cell r="N194">
            <v>0</v>
          </cell>
        </row>
        <row r="195">
          <cell r="E195" t="str">
            <v>Other receivable written off</v>
          </cell>
          <cell r="L195">
            <v>1692072</v>
          </cell>
          <cell r="M195">
            <v>0</v>
          </cell>
          <cell r="N195">
            <v>0</v>
          </cell>
        </row>
        <row r="196">
          <cell r="E196" t="str">
            <v>Foreign exchange gain (net)</v>
          </cell>
          <cell r="L196">
            <v>2131940</v>
          </cell>
          <cell r="M196">
            <v>0</v>
          </cell>
          <cell r="N196">
            <v>0</v>
          </cell>
        </row>
        <row r="197">
          <cell r="E197" t="str">
            <v>Add : Purchases -RM</v>
          </cell>
          <cell r="L197">
            <v>2846078384.6700001</v>
          </cell>
          <cell r="M197">
            <v>0</v>
          </cell>
          <cell r="N197">
            <v>0</v>
          </cell>
        </row>
        <row r="198">
          <cell r="E198" t="str">
            <v>Add : Purchases -RM</v>
          </cell>
          <cell r="L198">
            <v>1193341092.6099999</v>
          </cell>
          <cell r="M198">
            <v>0</v>
          </cell>
          <cell r="N198">
            <v>0</v>
          </cell>
        </row>
        <row r="199">
          <cell r="E199" t="str">
            <v>Add : Purchases -PM</v>
          </cell>
          <cell r="L199">
            <v>118402866.7</v>
          </cell>
          <cell r="M199">
            <v>0</v>
          </cell>
          <cell r="N199">
            <v>0</v>
          </cell>
        </row>
        <row r="200">
          <cell r="E200" t="str">
            <v>Power and fuel</v>
          </cell>
          <cell r="L200">
            <v>71065303.799999997</v>
          </cell>
          <cell r="M200">
            <v>0</v>
          </cell>
          <cell r="N200">
            <v>0</v>
          </cell>
        </row>
        <row r="201">
          <cell r="E201" t="str">
            <v>Add : Purchases -RM</v>
          </cell>
          <cell r="L201">
            <v>2050920</v>
          </cell>
          <cell r="M201">
            <v>0</v>
          </cell>
          <cell r="N201">
            <v>0</v>
          </cell>
        </row>
        <row r="202">
          <cell r="E202" t="str">
            <v>Consumption of stores and spares</v>
          </cell>
          <cell r="L202">
            <v>115889402.73999999</v>
          </cell>
          <cell r="M202">
            <v>0</v>
          </cell>
          <cell r="N202">
            <v>0</v>
          </cell>
        </row>
        <row r="203">
          <cell r="E203" t="str">
            <v>Add : Purchases -RM</v>
          </cell>
          <cell r="L203">
            <v>-4043784.75</v>
          </cell>
          <cell r="M203">
            <v>0</v>
          </cell>
          <cell r="N203">
            <v>0</v>
          </cell>
        </row>
        <row r="204">
          <cell r="E204" t="str">
            <v>Add : Purchases -RM</v>
          </cell>
          <cell r="L204">
            <v>54455123.640000001</v>
          </cell>
          <cell r="M204">
            <v>0</v>
          </cell>
          <cell r="N204">
            <v>0</v>
          </cell>
        </row>
        <row r="205">
          <cell r="E205" t="str">
            <v>Foreign exchange gain (net)</v>
          </cell>
          <cell r="L205">
            <v>8933496.0800000001</v>
          </cell>
          <cell r="M205">
            <v>0</v>
          </cell>
          <cell r="N205">
            <v>0</v>
          </cell>
        </row>
        <row r="206">
          <cell r="E206" t="str">
            <v>Add : Purchases -RM</v>
          </cell>
          <cell r="L206">
            <v>31461758.030000001</v>
          </cell>
          <cell r="M206">
            <v>0</v>
          </cell>
          <cell r="N206">
            <v>0</v>
          </cell>
        </row>
        <row r="207">
          <cell r="E207" t="str">
            <v>Add : Purchases -RM</v>
          </cell>
          <cell r="L207">
            <v>4549251.3</v>
          </cell>
          <cell r="M207">
            <v>0</v>
          </cell>
          <cell r="N207">
            <v>0</v>
          </cell>
        </row>
        <row r="208">
          <cell r="E208" t="str">
            <v>Add : Purchases -RM</v>
          </cell>
          <cell r="L208">
            <v>19645459.579999998</v>
          </cell>
          <cell r="M208">
            <v>0</v>
          </cell>
          <cell r="N208">
            <v>0</v>
          </cell>
        </row>
        <row r="209">
          <cell r="E209" t="str">
            <v>Add : Purchases -RM</v>
          </cell>
          <cell r="L209">
            <v>2952.78</v>
          </cell>
          <cell r="M209">
            <v>0</v>
          </cell>
          <cell r="N209">
            <v>0</v>
          </cell>
        </row>
        <row r="210">
          <cell r="E210" t="str">
            <v>Add : Purchases -RM</v>
          </cell>
          <cell r="L210">
            <v>48290131.399999999</v>
          </cell>
          <cell r="M210">
            <v>0</v>
          </cell>
          <cell r="N210">
            <v>0</v>
          </cell>
        </row>
        <row r="211">
          <cell r="E211" t="str">
            <v>Add : Purchases -RM</v>
          </cell>
          <cell r="L211">
            <v>11740729.199999999</v>
          </cell>
          <cell r="M211">
            <v>0</v>
          </cell>
          <cell r="N211">
            <v>0</v>
          </cell>
        </row>
        <row r="212">
          <cell r="E212" t="str">
            <v>Power and fuel</v>
          </cell>
          <cell r="L212">
            <v>49700476.340000004</v>
          </cell>
          <cell r="M212">
            <v>0</v>
          </cell>
          <cell r="N212">
            <v>0</v>
          </cell>
        </row>
        <row r="213">
          <cell r="E213" t="str">
            <v>Job work and labour charges</v>
          </cell>
          <cell r="L213">
            <v>51956910.590000004</v>
          </cell>
          <cell r="M213">
            <v>0</v>
          </cell>
          <cell r="N213">
            <v>0</v>
          </cell>
        </row>
        <row r="214">
          <cell r="E214" t="str">
            <v>Job work and labour charges</v>
          </cell>
          <cell r="L214">
            <v>720244</v>
          </cell>
          <cell r="M214">
            <v>0</v>
          </cell>
          <cell r="N214">
            <v>0</v>
          </cell>
        </row>
        <row r="215">
          <cell r="E215" t="str">
            <v>Job work and labour charges</v>
          </cell>
          <cell r="L215">
            <v>161310.12</v>
          </cell>
          <cell r="M215">
            <v>0</v>
          </cell>
          <cell r="N215">
            <v>0</v>
          </cell>
        </row>
        <row r="216">
          <cell r="E216" t="str">
            <v>Job work and labour charges</v>
          </cell>
          <cell r="L216">
            <v>4192357.36</v>
          </cell>
          <cell r="M216">
            <v>0</v>
          </cell>
          <cell r="N216">
            <v>0</v>
          </cell>
        </row>
        <row r="217">
          <cell r="E217" t="str">
            <v>Selling and distribution expenses</v>
          </cell>
          <cell r="L217">
            <v>1740328.35</v>
          </cell>
          <cell r="M217">
            <v>0</v>
          </cell>
          <cell r="N217">
            <v>0</v>
          </cell>
        </row>
        <row r="218">
          <cell r="E218" t="str">
            <v>Job work and labour charges</v>
          </cell>
          <cell r="L218">
            <v>488513036.30000001</v>
          </cell>
          <cell r="M218">
            <v>0</v>
          </cell>
          <cell r="N218">
            <v>0</v>
          </cell>
        </row>
        <row r="219">
          <cell r="E219" t="str">
            <v>- Buildings</v>
          </cell>
          <cell r="L219">
            <v>422873.04</v>
          </cell>
          <cell r="M219">
            <v>0</v>
          </cell>
          <cell r="N219">
            <v>0</v>
          </cell>
        </row>
        <row r="220">
          <cell r="E220" t="str">
            <v>- Plant and machinery</v>
          </cell>
          <cell r="L220">
            <v>13283373.619999999</v>
          </cell>
          <cell r="M220">
            <v>0</v>
          </cell>
          <cell r="N220">
            <v>0</v>
          </cell>
        </row>
        <row r="221">
          <cell r="E221" t="str">
            <v>- Plant and machinery</v>
          </cell>
          <cell r="L221">
            <v>10177869.470000001</v>
          </cell>
          <cell r="M221">
            <v>0</v>
          </cell>
          <cell r="N221">
            <v>0</v>
          </cell>
        </row>
        <row r="222">
          <cell r="E222" t="str">
            <v>Consumption of stores and spares</v>
          </cell>
          <cell r="L222">
            <v>17946136.32</v>
          </cell>
          <cell r="M222">
            <v>0</v>
          </cell>
          <cell r="N222">
            <v>0</v>
          </cell>
        </row>
        <row r="223">
          <cell r="E223" t="str">
            <v>Job work and labour charges</v>
          </cell>
          <cell r="L223">
            <v>2657037.5</v>
          </cell>
          <cell r="M223">
            <v>0</v>
          </cell>
          <cell r="N223">
            <v>0</v>
          </cell>
        </row>
        <row r="224">
          <cell r="E224" t="str">
            <v>Job work and labour charges</v>
          </cell>
          <cell r="L224">
            <v>1033999.48</v>
          </cell>
          <cell r="M224">
            <v>0</v>
          </cell>
          <cell r="N224">
            <v>0</v>
          </cell>
        </row>
        <row r="225">
          <cell r="E225" t="str">
            <v>- Plant and machinery</v>
          </cell>
          <cell r="L225">
            <v>400487.46</v>
          </cell>
          <cell r="M225">
            <v>0</v>
          </cell>
          <cell r="N225">
            <v>0</v>
          </cell>
        </row>
        <row r="226">
          <cell r="E226" t="str">
            <v>- Others</v>
          </cell>
          <cell r="L226">
            <v>13549966.52</v>
          </cell>
          <cell r="M226">
            <v>0</v>
          </cell>
          <cell r="N226">
            <v>0</v>
          </cell>
        </row>
        <row r="227">
          <cell r="E227" t="str">
            <v>Job work and labour charges</v>
          </cell>
          <cell r="L227">
            <v>5067620</v>
          </cell>
          <cell r="M227">
            <v>0</v>
          </cell>
          <cell r="N227">
            <v>0</v>
          </cell>
        </row>
        <row r="228">
          <cell r="E228" t="str">
            <v>Job work and labour charges</v>
          </cell>
          <cell r="L228">
            <v>1836784.9</v>
          </cell>
          <cell r="M228">
            <v>0</v>
          </cell>
          <cell r="N228">
            <v>0</v>
          </cell>
        </row>
        <row r="229">
          <cell r="E229" t="str">
            <v>Security charges</v>
          </cell>
          <cell r="L229">
            <v>6542432.0899999999</v>
          </cell>
          <cell r="M229">
            <v>0</v>
          </cell>
          <cell r="N229">
            <v>0</v>
          </cell>
        </row>
        <row r="230">
          <cell r="E230" t="str">
            <v>Add : Purchases -RM</v>
          </cell>
          <cell r="L230">
            <v>425842</v>
          </cell>
          <cell r="M230">
            <v>0</v>
          </cell>
          <cell r="N230">
            <v>0</v>
          </cell>
        </row>
        <row r="231">
          <cell r="E231" t="str">
            <v>Add : Purchases -RM</v>
          </cell>
          <cell r="L231">
            <v>113720</v>
          </cell>
          <cell r="M231">
            <v>0</v>
          </cell>
          <cell r="N231">
            <v>0</v>
          </cell>
        </row>
        <row r="232">
          <cell r="E232" t="str">
            <v>Miscellaneous expenses</v>
          </cell>
          <cell r="L232">
            <v>205000</v>
          </cell>
          <cell r="M232">
            <v>0</v>
          </cell>
          <cell r="N232">
            <v>0</v>
          </cell>
        </row>
        <row r="233">
          <cell r="E233" t="str">
            <v>Travelling and conveyance</v>
          </cell>
          <cell r="L233">
            <v>994602.35</v>
          </cell>
          <cell r="M233">
            <v>0</v>
          </cell>
          <cell r="N233">
            <v>0</v>
          </cell>
        </row>
        <row r="234">
          <cell r="E234" t="str">
            <v>Miscellaneous expenses</v>
          </cell>
          <cell r="L234">
            <v>1124000</v>
          </cell>
          <cell r="M234">
            <v>0</v>
          </cell>
          <cell r="N234">
            <v>0</v>
          </cell>
        </row>
        <row r="235">
          <cell r="E235" t="str">
            <v>Consumption of stores and spares</v>
          </cell>
          <cell r="L235">
            <v>3423282.43</v>
          </cell>
          <cell r="M235">
            <v>0</v>
          </cell>
          <cell r="N235">
            <v>0</v>
          </cell>
        </row>
        <row r="236">
          <cell r="E236" t="str">
            <v>Miscellaneous expenses</v>
          </cell>
          <cell r="L236">
            <v>1452068.35</v>
          </cell>
          <cell r="M236">
            <v>0</v>
          </cell>
          <cell r="N236">
            <v>0</v>
          </cell>
        </row>
        <row r="237">
          <cell r="E237" t="str">
            <v>Staff welfare expenses</v>
          </cell>
          <cell r="L237">
            <v>10372449.710000001</v>
          </cell>
          <cell r="M237">
            <v>0</v>
          </cell>
          <cell r="N237">
            <v>0</v>
          </cell>
        </row>
        <row r="238">
          <cell r="E238" t="str">
            <v>Staff welfare expenses</v>
          </cell>
          <cell r="L238">
            <v>1708247.36</v>
          </cell>
          <cell r="M238">
            <v>0</v>
          </cell>
          <cell r="N238">
            <v>0</v>
          </cell>
        </row>
        <row r="239">
          <cell r="E239" t="str">
            <v>Miscellaneous expenses</v>
          </cell>
          <cell r="L239">
            <v>581448.24</v>
          </cell>
          <cell r="M239">
            <v>0</v>
          </cell>
          <cell r="N239">
            <v>0</v>
          </cell>
        </row>
        <row r="240">
          <cell r="E240" t="str">
            <v>Travelling and conveyance</v>
          </cell>
          <cell r="L240">
            <v>571183</v>
          </cell>
          <cell r="M240">
            <v>0</v>
          </cell>
          <cell r="N240">
            <v>0</v>
          </cell>
        </row>
        <row r="241">
          <cell r="E241" t="str">
            <v>Travelling and conveyance</v>
          </cell>
          <cell r="L241">
            <v>550775</v>
          </cell>
          <cell r="M241">
            <v>0</v>
          </cell>
          <cell r="N241">
            <v>0</v>
          </cell>
        </row>
        <row r="242">
          <cell r="E242" t="str">
            <v>- Others</v>
          </cell>
          <cell r="L242">
            <v>3806507.7</v>
          </cell>
          <cell r="M242">
            <v>0</v>
          </cell>
          <cell r="N242">
            <v>0</v>
          </cell>
        </row>
        <row r="243">
          <cell r="E243" t="str">
            <v>Travelling and conveyance</v>
          </cell>
          <cell r="L243">
            <v>337917.11</v>
          </cell>
          <cell r="M243">
            <v>0</v>
          </cell>
          <cell r="N243">
            <v>0</v>
          </cell>
        </row>
        <row r="244">
          <cell r="E244" t="str">
            <v>Miscellaneous expenses</v>
          </cell>
          <cell r="L244">
            <v>6545949.6200000001</v>
          </cell>
          <cell r="M244">
            <v>0</v>
          </cell>
          <cell r="N244">
            <v>0</v>
          </cell>
        </row>
        <row r="245">
          <cell r="E245" t="str">
            <v>Donation</v>
          </cell>
          <cell r="L245">
            <v>301700</v>
          </cell>
          <cell r="M245">
            <v>0</v>
          </cell>
          <cell r="N245">
            <v>0</v>
          </cell>
        </row>
        <row r="246">
          <cell r="E246" t="str">
            <v>Power and fuel</v>
          </cell>
          <cell r="L246">
            <v>597401.77</v>
          </cell>
          <cell r="M246">
            <v>0</v>
          </cell>
          <cell r="N246">
            <v>0</v>
          </cell>
        </row>
        <row r="247">
          <cell r="E247" t="str">
            <v>Power and fuel</v>
          </cell>
          <cell r="L247">
            <v>9677761.8900000006</v>
          </cell>
          <cell r="M247">
            <v>0</v>
          </cell>
          <cell r="N247">
            <v>0</v>
          </cell>
        </row>
        <row r="248">
          <cell r="E248" t="str">
            <v>Selling and distribution expenses</v>
          </cell>
          <cell r="L248">
            <v>238395</v>
          </cell>
          <cell r="M248">
            <v>0</v>
          </cell>
          <cell r="N248">
            <v>0</v>
          </cell>
        </row>
        <row r="249">
          <cell r="E249" t="str">
            <v>Rent expenses</v>
          </cell>
          <cell r="L249">
            <v>6750000</v>
          </cell>
          <cell r="M249">
            <v>0</v>
          </cell>
          <cell r="N249">
            <v>0</v>
          </cell>
        </row>
        <row r="250">
          <cell r="E250" t="str">
            <v>Membership and subscription</v>
          </cell>
          <cell r="L250">
            <v>2350496.87</v>
          </cell>
          <cell r="M250">
            <v>0</v>
          </cell>
          <cell r="N250">
            <v>0</v>
          </cell>
        </row>
        <row r="251">
          <cell r="E251" t="str">
            <v>Miscellaneous expenses</v>
          </cell>
          <cell r="L251">
            <v>1374478.14</v>
          </cell>
          <cell r="M251">
            <v>0</v>
          </cell>
          <cell r="N251">
            <v>0</v>
          </cell>
        </row>
        <row r="252">
          <cell r="E252" t="str">
            <v>Miscellaneous expenses</v>
          </cell>
          <cell r="L252">
            <v>764521.09</v>
          </cell>
          <cell r="M252">
            <v>0</v>
          </cell>
          <cell r="N252">
            <v>0</v>
          </cell>
        </row>
        <row r="253">
          <cell r="E253" t="str">
            <v>Legal &amp; Professional Fees</v>
          </cell>
          <cell r="L253">
            <v>86450510.390000001</v>
          </cell>
          <cell r="M253">
            <v>0</v>
          </cell>
          <cell r="N253">
            <v>0</v>
          </cell>
        </row>
        <row r="254">
          <cell r="E254" t="str">
            <v>Rates &amp; Taxes</v>
          </cell>
          <cell r="L254">
            <v>6002443.3700000001</v>
          </cell>
          <cell r="M254">
            <v>0</v>
          </cell>
          <cell r="N254">
            <v>0</v>
          </cell>
        </row>
        <row r="255">
          <cell r="E255" t="str">
            <v>Rent expenses</v>
          </cell>
          <cell r="L255">
            <v>2686866</v>
          </cell>
          <cell r="M255">
            <v>0</v>
          </cell>
          <cell r="N255">
            <v>0</v>
          </cell>
        </row>
        <row r="256">
          <cell r="E256" t="str">
            <v>Staff welfare expenses</v>
          </cell>
          <cell r="L256">
            <v>1569569.8</v>
          </cell>
          <cell r="M256">
            <v>0</v>
          </cell>
          <cell r="N256">
            <v>0</v>
          </cell>
        </row>
        <row r="257">
          <cell r="E257" t="str">
            <v>Staff welfare expenses</v>
          </cell>
          <cell r="L257">
            <v>2186804</v>
          </cell>
          <cell r="M257">
            <v>0</v>
          </cell>
          <cell r="N257">
            <v>0</v>
          </cell>
        </row>
        <row r="258">
          <cell r="E258" t="str">
            <v>Staff welfare expenses</v>
          </cell>
          <cell r="L258">
            <v>12908035.32</v>
          </cell>
          <cell r="M258">
            <v>0</v>
          </cell>
          <cell r="N258">
            <v>0</v>
          </cell>
        </row>
        <row r="259">
          <cell r="E259" t="str">
            <v>Contribution to Provident and Other funds</v>
          </cell>
          <cell r="L259">
            <v>446782</v>
          </cell>
          <cell r="M259">
            <v>0</v>
          </cell>
          <cell r="N259">
            <v>0</v>
          </cell>
        </row>
        <row r="260">
          <cell r="E260" t="str">
            <v xml:space="preserve">Salary, Wages, Allowances and Bonus etc. </v>
          </cell>
          <cell r="L260">
            <v>79296052.849999994</v>
          </cell>
          <cell r="M260">
            <v>0</v>
          </cell>
          <cell r="N260">
            <v>0</v>
          </cell>
        </row>
        <row r="261">
          <cell r="E261" t="str">
            <v xml:space="preserve">Salary, Wages, Allowances and Bonus etc. </v>
          </cell>
          <cell r="L261">
            <v>5880495</v>
          </cell>
          <cell r="M261">
            <v>0</v>
          </cell>
          <cell r="N261">
            <v>0</v>
          </cell>
        </row>
        <row r="262">
          <cell r="E262" t="str">
            <v>Contribution to Provident and Other funds</v>
          </cell>
          <cell r="L262">
            <v>10723743</v>
          </cell>
          <cell r="M262">
            <v>0</v>
          </cell>
          <cell r="N262">
            <v>0</v>
          </cell>
        </row>
        <row r="263">
          <cell r="E263" t="str">
            <v xml:space="preserve">Salary, Wages, Allowances and Bonus etc. </v>
          </cell>
          <cell r="L263">
            <v>4022673.37</v>
          </cell>
          <cell r="M263">
            <v>0</v>
          </cell>
          <cell r="N263">
            <v>0</v>
          </cell>
        </row>
        <row r="264">
          <cell r="E264" t="str">
            <v xml:space="preserve">Salary, Wages, Allowances and Bonus etc. </v>
          </cell>
          <cell r="L264">
            <v>39576.080000000002</v>
          </cell>
          <cell r="M264">
            <v>0</v>
          </cell>
          <cell r="N264">
            <v>0</v>
          </cell>
        </row>
        <row r="265">
          <cell r="E265" t="str">
            <v>Contribution to Provident and Other funds</v>
          </cell>
          <cell r="L265">
            <v>803472</v>
          </cell>
          <cell r="M265">
            <v>0</v>
          </cell>
          <cell r="N265">
            <v>0</v>
          </cell>
        </row>
        <row r="266">
          <cell r="E266" t="str">
            <v xml:space="preserve">Salary, Wages, Allowances and Bonus etc. </v>
          </cell>
          <cell r="L266">
            <v>4082877</v>
          </cell>
          <cell r="M266">
            <v>0</v>
          </cell>
          <cell r="N266">
            <v>0</v>
          </cell>
        </row>
        <row r="267">
          <cell r="E267" t="str">
            <v xml:space="preserve">Salary, Wages, Allowances and Bonus etc. </v>
          </cell>
          <cell r="L267">
            <v>28142146.640000001</v>
          </cell>
          <cell r="M267">
            <v>0</v>
          </cell>
          <cell r="N267">
            <v>0</v>
          </cell>
        </row>
        <row r="268">
          <cell r="E268" t="str">
            <v xml:space="preserve">Salary, Wages, Allowances and Bonus etc. </v>
          </cell>
          <cell r="L268">
            <v>5445449</v>
          </cell>
          <cell r="M268">
            <v>0</v>
          </cell>
          <cell r="N268">
            <v>0</v>
          </cell>
        </row>
        <row r="269">
          <cell r="E269" t="str">
            <v xml:space="preserve">Salary, Wages, Allowances and Bonus etc. </v>
          </cell>
          <cell r="L269">
            <v>133650</v>
          </cell>
          <cell r="M269">
            <v>0</v>
          </cell>
          <cell r="N269">
            <v>0</v>
          </cell>
        </row>
        <row r="270">
          <cell r="E270" t="str">
            <v>Staff welfare expenses</v>
          </cell>
          <cell r="L270">
            <v>3711852.75</v>
          </cell>
          <cell r="M270">
            <v>0</v>
          </cell>
          <cell r="N270">
            <v>0</v>
          </cell>
        </row>
        <row r="271">
          <cell r="E271" t="str">
            <v xml:space="preserve">Salary, Wages, Allowances and Bonus etc. </v>
          </cell>
          <cell r="L271">
            <v>25915513.84</v>
          </cell>
          <cell r="M271">
            <v>0</v>
          </cell>
          <cell r="N271">
            <v>0</v>
          </cell>
        </row>
        <row r="272">
          <cell r="E272" t="str">
            <v>Other Interest Expenses</v>
          </cell>
          <cell r="L272">
            <v>7092080</v>
          </cell>
          <cell r="M272">
            <v>0</v>
          </cell>
          <cell r="N272">
            <v>0</v>
          </cell>
        </row>
        <row r="273">
          <cell r="E273" t="str">
            <v xml:space="preserve">Salary, Wages, Allowances and Bonus etc. </v>
          </cell>
          <cell r="L273">
            <v>10336247</v>
          </cell>
          <cell r="M273">
            <v>0</v>
          </cell>
          <cell r="N273">
            <v>0</v>
          </cell>
        </row>
        <row r="274">
          <cell r="E274" t="str">
            <v xml:space="preserve">Salary, Wages, Allowances and Bonus etc. </v>
          </cell>
          <cell r="L274">
            <v>855914</v>
          </cell>
          <cell r="M274">
            <v>0</v>
          </cell>
          <cell r="N274">
            <v>0</v>
          </cell>
        </row>
        <row r="275">
          <cell r="E275" t="str">
            <v>Bank charges</v>
          </cell>
          <cell r="L275">
            <v>2198305.91</v>
          </cell>
          <cell r="M275">
            <v>0</v>
          </cell>
          <cell r="N275">
            <v>0</v>
          </cell>
        </row>
        <row r="276">
          <cell r="E276" t="str">
            <v>Bank charges</v>
          </cell>
          <cell r="L276">
            <v>826511.72</v>
          </cell>
          <cell r="M276">
            <v>0</v>
          </cell>
          <cell r="N276">
            <v>0</v>
          </cell>
        </row>
        <row r="277">
          <cell r="E277" t="str">
            <v>Job work and labour charges</v>
          </cell>
          <cell r="L277">
            <v>48554004.850000001</v>
          </cell>
          <cell r="M277">
            <v>0</v>
          </cell>
          <cell r="N277">
            <v>0</v>
          </cell>
        </row>
        <row r="278">
          <cell r="E278" t="str">
            <v>Legal &amp; Professional Fees</v>
          </cell>
          <cell r="L278">
            <v>20647753</v>
          </cell>
          <cell r="M278">
            <v>0</v>
          </cell>
          <cell r="N278">
            <v>0</v>
          </cell>
        </row>
        <row r="279">
          <cell r="E279" t="str">
            <v xml:space="preserve">Salary, Wages, Allowances and Bonus etc. </v>
          </cell>
          <cell r="L279">
            <v>858133.64</v>
          </cell>
          <cell r="M279">
            <v>0</v>
          </cell>
          <cell r="N279">
            <v>0</v>
          </cell>
        </row>
        <row r="280">
          <cell r="E280" t="str">
            <v xml:space="preserve">Salary, Wages, Allowances and Bonus etc. </v>
          </cell>
          <cell r="L280">
            <v>120000</v>
          </cell>
          <cell r="M280">
            <v>0</v>
          </cell>
          <cell r="N280">
            <v>0</v>
          </cell>
        </row>
        <row r="281">
          <cell r="E281" t="str">
            <v>Miscellaneous expenses</v>
          </cell>
          <cell r="L281">
            <v>177600</v>
          </cell>
          <cell r="M281">
            <v>0</v>
          </cell>
          <cell r="N281">
            <v>0</v>
          </cell>
        </row>
        <row r="282">
          <cell r="E282" t="str">
            <v>Legal &amp; Professional Fees</v>
          </cell>
          <cell r="L282">
            <v>120000</v>
          </cell>
          <cell r="M282">
            <v>0</v>
          </cell>
          <cell r="N282">
            <v>0</v>
          </cell>
        </row>
        <row r="283">
          <cell r="E283" t="str">
            <v>Bank charges</v>
          </cell>
          <cell r="L283">
            <v>240144.14</v>
          </cell>
          <cell r="M283">
            <v>0</v>
          </cell>
          <cell r="N283">
            <v>0</v>
          </cell>
        </row>
        <row r="284">
          <cell r="E284" t="str">
            <v>Bank charges</v>
          </cell>
          <cell r="L284">
            <v>1009284.97</v>
          </cell>
          <cell r="M284">
            <v>0</v>
          </cell>
          <cell r="N284">
            <v>0</v>
          </cell>
        </row>
        <row r="285">
          <cell r="E285" t="str">
            <v xml:space="preserve">Salary, Wages, Allowances and Bonus etc. </v>
          </cell>
          <cell r="L285">
            <v>4888212</v>
          </cell>
          <cell r="M285">
            <v>0</v>
          </cell>
          <cell r="N285">
            <v>0</v>
          </cell>
        </row>
        <row r="286">
          <cell r="E286" t="str">
            <v>Directors' sitting fees</v>
          </cell>
          <cell r="L286">
            <v>2500000</v>
          </cell>
          <cell r="M286">
            <v>0</v>
          </cell>
          <cell r="N286">
            <v>0</v>
          </cell>
        </row>
        <row r="287">
          <cell r="E287" t="str">
            <v>Corporate Social Responsibility Expenses</v>
          </cell>
          <cell r="L287">
            <v>7822581.54</v>
          </cell>
          <cell r="M287">
            <v>0</v>
          </cell>
          <cell r="N287">
            <v>0</v>
          </cell>
        </row>
        <row r="288">
          <cell r="E288" t="str">
            <v>Rates &amp; Taxes</v>
          </cell>
          <cell r="L288">
            <v>220000</v>
          </cell>
          <cell r="M288">
            <v>0</v>
          </cell>
          <cell r="N288">
            <v>0</v>
          </cell>
        </row>
        <row r="289">
          <cell r="E289" t="str">
            <v>Rent expenses</v>
          </cell>
          <cell r="L289">
            <v>5348045</v>
          </cell>
          <cell r="M289">
            <v>0</v>
          </cell>
          <cell r="N289">
            <v>0</v>
          </cell>
        </row>
        <row r="290">
          <cell r="E290" t="str">
            <v>Power and fuel</v>
          </cell>
          <cell r="L290">
            <v>290437.23</v>
          </cell>
          <cell r="M290">
            <v>0</v>
          </cell>
          <cell r="N290">
            <v>0</v>
          </cell>
        </row>
        <row r="291">
          <cell r="E291" t="str">
            <v>Miscellaneous expenses</v>
          </cell>
          <cell r="L291">
            <v>32990.47</v>
          </cell>
          <cell r="M291">
            <v>0</v>
          </cell>
          <cell r="N291">
            <v>0</v>
          </cell>
        </row>
        <row r="292">
          <cell r="E292" t="str">
            <v>Miscellaneous expenses</v>
          </cell>
          <cell r="L292">
            <v>629085</v>
          </cell>
          <cell r="M292">
            <v>0</v>
          </cell>
          <cell r="N292">
            <v>0</v>
          </cell>
        </row>
        <row r="293">
          <cell r="E293" t="str">
            <v>Insurance Expenses</v>
          </cell>
          <cell r="L293">
            <v>16192537.41</v>
          </cell>
          <cell r="M293">
            <v>0</v>
          </cell>
          <cell r="N293">
            <v>0</v>
          </cell>
        </row>
        <row r="294">
          <cell r="E294" t="str">
            <v>Laboratory expenses</v>
          </cell>
          <cell r="L294">
            <v>358551</v>
          </cell>
          <cell r="M294">
            <v>0</v>
          </cell>
          <cell r="N294">
            <v>0</v>
          </cell>
        </row>
        <row r="295">
          <cell r="E295" t="str">
            <v>Miscellaneous expenses</v>
          </cell>
          <cell r="L295">
            <v>7669.41</v>
          </cell>
          <cell r="M295">
            <v>0</v>
          </cell>
          <cell r="N295">
            <v>0</v>
          </cell>
        </row>
        <row r="296">
          <cell r="E296" t="str">
            <v>- From Bank (Secured Loan)</v>
          </cell>
          <cell r="L296">
            <v>3253219.11</v>
          </cell>
          <cell r="M296">
            <v>0</v>
          </cell>
          <cell r="N296">
            <v>0</v>
          </cell>
        </row>
        <row r="297">
          <cell r="E297" t="str">
            <v>Bank charges</v>
          </cell>
          <cell r="L297">
            <v>-26582.69</v>
          </cell>
          <cell r="M297">
            <v>0</v>
          </cell>
          <cell r="N297">
            <v>0</v>
          </cell>
        </row>
        <row r="298">
          <cell r="E298" t="str">
            <v>Rates &amp; Taxes</v>
          </cell>
          <cell r="L298">
            <v>458357</v>
          </cell>
          <cell r="M298">
            <v>0</v>
          </cell>
          <cell r="N298">
            <v>0</v>
          </cell>
        </row>
        <row r="299">
          <cell r="E299" t="str">
            <v>- From Others (Unsecured Loan)</v>
          </cell>
          <cell r="L299">
            <v>2583116</v>
          </cell>
          <cell r="M299">
            <v>0</v>
          </cell>
          <cell r="N299">
            <v>0</v>
          </cell>
        </row>
        <row r="300">
          <cell r="E300" t="str">
            <v>- From Bank (Secured Loan)</v>
          </cell>
          <cell r="L300">
            <v>12936</v>
          </cell>
          <cell r="M300">
            <v>0</v>
          </cell>
          <cell r="N300">
            <v>0</v>
          </cell>
        </row>
        <row r="301">
          <cell r="E301" t="str">
            <v>- From Bank (Secured Loan)</v>
          </cell>
          <cell r="L301">
            <v>13584348.720000001</v>
          </cell>
          <cell r="M301">
            <v>0</v>
          </cell>
          <cell r="N301">
            <v>0</v>
          </cell>
        </row>
        <row r="302">
          <cell r="E302" t="str">
            <v>- From Bank (Secured Loan)</v>
          </cell>
          <cell r="L302">
            <v>-13083</v>
          </cell>
          <cell r="M302">
            <v>0</v>
          </cell>
          <cell r="N302">
            <v>0</v>
          </cell>
        </row>
        <row r="303">
          <cell r="E303" t="str">
            <v>- From Bank (Secured Loan)</v>
          </cell>
          <cell r="L303">
            <v>5245119.5488684494</v>
          </cell>
          <cell r="M303">
            <v>0</v>
          </cell>
          <cell r="N303">
            <v>0</v>
          </cell>
        </row>
        <row r="304">
          <cell r="E304" t="str">
            <v>Add : Purchases -RM</v>
          </cell>
          <cell r="L304">
            <v>1205206</v>
          </cell>
          <cell r="M304">
            <v>0</v>
          </cell>
          <cell r="N304">
            <v>0</v>
          </cell>
        </row>
        <row r="305">
          <cell r="E305" t="str">
            <v>- From Bank (Secured Loan)</v>
          </cell>
          <cell r="L305">
            <v>11281229</v>
          </cell>
          <cell r="M305">
            <v>0</v>
          </cell>
          <cell r="N305">
            <v>0</v>
          </cell>
        </row>
        <row r="306">
          <cell r="E306" t="str">
            <v>Rates &amp; Taxes</v>
          </cell>
          <cell r="L306">
            <v>240880.59</v>
          </cell>
          <cell r="M306">
            <v>0</v>
          </cell>
          <cell r="N306">
            <v>0</v>
          </cell>
        </row>
        <row r="307">
          <cell r="E307" t="str">
            <v>Laboratory expenses</v>
          </cell>
          <cell r="L307">
            <v>9242431.4299999997</v>
          </cell>
          <cell r="M307">
            <v>0</v>
          </cell>
          <cell r="N307">
            <v>0</v>
          </cell>
        </row>
        <row r="308">
          <cell r="E308" t="str">
            <v>- From Bank (Secured Loan)</v>
          </cell>
          <cell r="L308">
            <v>16345530.18</v>
          </cell>
          <cell r="M308">
            <v>0</v>
          </cell>
          <cell r="N308">
            <v>0</v>
          </cell>
        </row>
        <row r="309">
          <cell r="E309" t="str">
            <v>Selling and distribution expenses</v>
          </cell>
          <cell r="L309">
            <v>20433887.59</v>
          </cell>
          <cell r="M309">
            <v>0</v>
          </cell>
          <cell r="N309">
            <v>0</v>
          </cell>
        </row>
        <row r="310">
          <cell r="E310" t="str">
            <v>Selling and distribution expenses</v>
          </cell>
          <cell r="L310">
            <v>15542151.119999999</v>
          </cell>
          <cell r="M310">
            <v>0</v>
          </cell>
          <cell r="N310">
            <v>0</v>
          </cell>
        </row>
        <row r="311">
          <cell r="E311" t="str">
            <v>Selling and distribution expenses</v>
          </cell>
          <cell r="L311">
            <v>11794455.220000001</v>
          </cell>
          <cell r="M311">
            <v>0</v>
          </cell>
          <cell r="N311">
            <v>0</v>
          </cell>
        </row>
        <row r="312">
          <cell r="E312" t="str">
            <v>Selling and distribution expenses</v>
          </cell>
          <cell r="L312">
            <v>241882698.75999999</v>
          </cell>
          <cell r="M312">
            <v>0</v>
          </cell>
          <cell r="N312">
            <v>0</v>
          </cell>
        </row>
        <row r="313">
          <cell r="E313" t="str">
            <v>Selling and distribution expenses</v>
          </cell>
          <cell r="L313">
            <v>57530465</v>
          </cell>
          <cell r="M313">
            <v>0</v>
          </cell>
          <cell r="N313">
            <v>0</v>
          </cell>
        </row>
        <row r="314">
          <cell r="E314" t="str">
            <v>Selling and distribution expenses</v>
          </cell>
          <cell r="L314">
            <v>16589075.1</v>
          </cell>
          <cell r="M314">
            <v>0</v>
          </cell>
          <cell r="N314">
            <v>0</v>
          </cell>
        </row>
        <row r="315">
          <cell r="E315" t="str">
            <v>Selling and distribution expenses</v>
          </cell>
          <cell r="L315">
            <v>8321117.0199999996</v>
          </cell>
          <cell r="M315">
            <v>0</v>
          </cell>
          <cell r="N315">
            <v>0</v>
          </cell>
        </row>
        <row r="316">
          <cell r="E316" t="str">
            <v>Sales commission</v>
          </cell>
          <cell r="L316">
            <v>32094524.98</v>
          </cell>
          <cell r="M316">
            <v>0</v>
          </cell>
          <cell r="N316">
            <v>0</v>
          </cell>
        </row>
        <row r="317">
          <cell r="E317" t="str">
            <v>Selling and distribution expenses</v>
          </cell>
          <cell r="L317">
            <v>59524422.539999999</v>
          </cell>
          <cell r="M317">
            <v>0</v>
          </cell>
          <cell r="N317">
            <v>0</v>
          </cell>
        </row>
        <row r="318">
          <cell r="E318" t="str">
            <v>Depreciation and Amortization Expense</v>
          </cell>
          <cell r="L318">
            <v>4258214</v>
          </cell>
          <cell r="M318">
            <v>0</v>
          </cell>
          <cell r="N318">
            <v>0</v>
          </cell>
        </row>
        <row r="319">
          <cell r="E319" t="str">
            <v>Depreciation and Amortization Expense</v>
          </cell>
          <cell r="L319">
            <v>76801256</v>
          </cell>
          <cell r="M319">
            <v>0</v>
          </cell>
          <cell r="N319">
            <v>0</v>
          </cell>
        </row>
        <row r="320">
          <cell r="E320" t="str">
            <v>Depreciation and Amortization Expense</v>
          </cell>
          <cell r="L320">
            <v>15099845</v>
          </cell>
          <cell r="M320">
            <v>0</v>
          </cell>
          <cell r="N320">
            <v>0</v>
          </cell>
        </row>
        <row r="321">
          <cell r="E321" t="str">
            <v>Depreciation and Amortization Expense</v>
          </cell>
          <cell r="L321">
            <v>8167552</v>
          </cell>
          <cell r="M321">
            <v>0</v>
          </cell>
          <cell r="N321">
            <v>0</v>
          </cell>
        </row>
        <row r="322">
          <cell r="E322" t="str">
            <v>Depreciation and Amortization Expense</v>
          </cell>
          <cell r="L322">
            <v>1969190</v>
          </cell>
          <cell r="M322">
            <v>0</v>
          </cell>
          <cell r="N322">
            <v>0</v>
          </cell>
        </row>
        <row r="323">
          <cell r="E323" t="str">
            <v>Depreciation and Amortization Expense</v>
          </cell>
          <cell r="L323">
            <v>520862</v>
          </cell>
          <cell r="M323">
            <v>0</v>
          </cell>
          <cell r="N323">
            <v>0</v>
          </cell>
        </row>
        <row r="324">
          <cell r="E324" t="str">
            <v>Depreciation and Amortization Expense</v>
          </cell>
          <cell r="L324">
            <v>609837</v>
          </cell>
          <cell r="M324">
            <v>0</v>
          </cell>
          <cell r="N324">
            <v>0</v>
          </cell>
        </row>
        <row r="325">
          <cell r="E325" t="str">
            <v>Depreciation and Amortization Expense</v>
          </cell>
          <cell r="L325">
            <v>333120</v>
          </cell>
          <cell r="M325">
            <v>0</v>
          </cell>
          <cell r="N325">
            <v>0</v>
          </cell>
        </row>
        <row r="326">
          <cell r="E326" t="str">
            <v>Depreciation and Amortization Expense</v>
          </cell>
          <cell r="L326">
            <v>1639860</v>
          </cell>
          <cell r="M326">
            <v>0</v>
          </cell>
          <cell r="N326">
            <v>0</v>
          </cell>
        </row>
        <row r="327">
          <cell r="E327" t="str">
            <v>(b) Deferred Tax</v>
          </cell>
          <cell r="L327">
            <v>-2001938</v>
          </cell>
          <cell r="M327">
            <v>0</v>
          </cell>
          <cell r="N327">
            <v>0</v>
          </cell>
        </row>
        <row r="328">
          <cell r="E328" t="str">
            <v>Current income tax</v>
          </cell>
          <cell r="L328">
            <v>76929025.382798582</v>
          </cell>
          <cell r="M328">
            <v>0</v>
          </cell>
          <cell r="N328">
            <v>0</v>
          </cell>
        </row>
        <row r="329">
          <cell r="E329" t="str">
            <v>Employee share based payment expense</v>
          </cell>
          <cell r="L329">
            <v>5648101.6833333336</v>
          </cell>
          <cell r="M329">
            <v>0</v>
          </cell>
          <cell r="N329">
            <v>0</v>
          </cell>
        </row>
        <row r="331">
          <cell r="E331" t="str">
            <v>Remeasurement of defined benefit plans</v>
          </cell>
          <cell r="L331">
            <v>126039</v>
          </cell>
        </row>
        <row r="332">
          <cell r="E332" t="str">
            <v>Income tax relating to items that will not be reclassified to profit or loss</v>
          </cell>
          <cell r="L332">
            <v>-31721.49552</v>
          </cell>
        </row>
        <row r="333">
          <cell r="E333" t="str">
            <v xml:space="preserve">Salary, Wages, Allowances and Bonus etc. </v>
          </cell>
          <cell r="L333">
            <v>-126039</v>
          </cell>
        </row>
        <row r="334">
          <cell r="E334" t="str">
            <v>(b) Deferred Tax</v>
          </cell>
          <cell r="L334">
            <v>31721.49552</v>
          </cell>
        </row>
        <row r="335">
          <cell r="E335" t="str">
            <v>Property, plant &amp; equipment</v>
          </cell>
          <cell r="L335">
            <v>98461989</v>
          </cell>
          <cell r="M335">
            <v>0</v>
          </cell>
          <cell r="N335">
            <v>98461989</v>
          </cell>
        </row>
        <row r="336">
          <cell r="E336" t="str">
            <v>Property, plant &amp; equipment</v>
          </cell>
          <cell r="L336">
            <v>55797871.701419115</v>
          </cell>
          <cell r="M336">
            <v>0</v>
          </cell>
          <cell r="N336">
            <v>55797871.701419115</v>
          </cell>
        </row>
        <row r="337">
          <cell r="E337" t="str">
            <v>Property, plant &amp; equipment</v>
          </cell>
          <cell r="L337">
            <v>-7408648.2603465915</v>
          </cell>
          <cell r="M337">
            <v>0</v>
          </cell>
          <cell r="N337">
            <v>-7408648.2603465915</v>
          </cell>
        </row>
        <row r="338">
          <cell r="E338" t="str">
            <v>Property, plant &amp; equipment</v>
          </cell>
          <cell r="L338">
            <v>-34188.531698050909</v>
          </cell>
          <cell r="M338">
            <v>0</v>
          </cell>
          <cell r="N338">
            <v>-34188.531698050909</v>
          </cell>
        </row>
        <row r="339">
          <cell r="E339" t="str">
            <v>Property, plant &amp; equipment</v>
          </cell>
          <cell r="L339">
            <v>-207276.32231888827</v>
          </cell>
          <cell r="M339">
            <v>0</v>
          </cell>
          <cell r="N339">
            <v>-207276.32231888827</v>
          </cell>
        </row>
        <row r="340">
          <cell r="E340" t="str">
            <v>Property, plant &amp; equipment</v>
          </cell>
          <cell r="L340">
            <v>2770927.3652000679</v>
          </cell>
          <cell r="M340">
            <v>0</v>
          </cell>
          <cell r="N340">
            <v>2770927.3652000679</v>
          </cell>
        </row>
        <row r="341">
          <cell r="E341" t="str">
            <v>Property Plant &amp; Equipment, Right of Use Assets &amp; Intangible Assets</v>
          </cell>
          <cell r="L341">
            <v>-12815214.880463721</v>
          </cell>
          <cell r="M341">
            <v>0</v>
          </cell>
          <cell r="N341">
            <v>-12815214.880463721</v>
          </cell>
        </row>
        <row r="342">
          <cell r="E342" t="str">
            <v>Opening Balance - Retained Earnings</v>
          </cell>
          <cell r="L342">
            <v>-136565460.07179201</v>
          </cell>
          <cell r="M342">
            <v>0</v>
          </cell>
          <cell r="N342">
            <v>-136565460.07179201</v>
          </cell>
        </row>
        <row r="343">
          <cell r="E343" t="str">
            <v>Depreciation and Amortization Expense</v>
          </cell>
          <cell r="L343">
            <v>4864950.4901047572</v>
          </cell>
        </row>
        <row r="344">
          <cell r="E344" t="str">
            <v>Depreciation and Amortization Expense</v>
          </cell>
          <cell r="L344">
            <v>-3558229.3562617749</v>
          </cell>
        </row>
        <row r="345">
          <cell r="E345" t="str">
            <v>Depreciation and Amortization Expense</v>
          </cell>
          <cell r="L345">
            <v>-15223.930445531849</v>
          </cell>
        </row>
        <row r="346">
          <cell r="E346" t="str">
            <v>Depreciation and Amortization Expense</v>
          </cell>
          <cell r="L346">
            <v>-125879.27450378926</v>
          </cell>
        </row>
        <row r="347">
          <cell r="E347" t="str">
            <v>Depreciation and Amortization Expense</v>
          </cell>
          <cell r="L347">
            <v>3506714.9194759633</v>
          </cell>
        </row>
        <row r="348">
          <cell r="E348" t="str">
            <v>Property, plant &amp; equipment</v>
          </cell>
          <cell r="L348">
            <v>-4864950.4901047572</v>
          </cell>
          <cell r="M348">
            <v>0</v>
          </cell>
          <cell r="N348">
            <v>-4864950.4901047572</v>
          </cell>
        </row>
        <row r="349">
          <cell r="E349" t="str">
            <v>Property, plant &amp; equipment</v>
          </cell>
          <cell r="L349">
            <v>3558229.3562617749</v>
          </cell>
          <cell r="M349">
            <v>0</v>
          </cell>
          <cell r="N349">
            <v>3558229.3562617749</v>
          </cell>
        </row>
        <row r="350">
          <cell r="E350" t="str">
            <v>Property, plant &amp; equipment</v>
          </cell>
          <cell r="L350">
            <v>15223.930445531849</v>
          </cell>
          <cell r="M350">
            <v>0</v>
          </cell>
          <cell r="N350">
            <v>15223.930445531849</v>
          </cell>
        </row>
        <row r="351">
          <cell r="E351" t="str">
            <v>Property, plant &amp; equipment</v>
          </cell>
          <cell r="L351">
            <v>125879.27450378926</v>
          </cell>
          <cell r="M351">
            <v>0</v>
          </cell>
          <cell r="N351">
            <v>125879.27450378926</v>
          </cell>
        </row>
        <row r="352">
          <cell r="E352" t="str">
            <v>Property, plant &amp; equipment</v>
          </cell>
          <cell r="L352">
            <v>-3506714.9194759633</v>
          </cell>
          <cell r="M352">
            <v>0</v>
          </cell>
          <cell r="N352">
            <v>-3506714.9194759633</v>
          </cell>
        </row>
        <row r="353">
          <cell r="E353" t="str">
            <v>Property Plant &amp; Equipment, Right of Use Assets &amp; Intangible Assets</v>
          </cell>
          <cell r="L353">
            <v>1175932.7613286339</v>
          </cell>
          <cell r="N353">
            <v>1175932.7613286339</v>
          </cell>
        </row>
        <row r="354">
          <cell r="E354" t="str">
            <v>(b) Deferred Tax</v>
          </cell>
          <cell r="L354">
            <v>-1175932.7613286339</v>
          </cell>
        </row>
        <row r="355">
          <cell r="E355" t="str">
            <v>Property, Plant &amp; Equipment</v>
          </cell>
          <cell r="L355">
            <v>37563033.435198292</v>
          </cell>
          <cell r="N355">
            <v>37563033.435198292</v>
          </cell>
        </row>
        <row r="356">
          <cell r="E356" t="str">
            <v>(ii) Lease Liabilities</v>
          </cell>
          <cell r="L356">
            <v>-37032916.534730621</v>
          </cell>
          <cell r="M356">
            <v>-12925354.911072601</v>
          </cell>
          <cell r="N356">
            <v>-24107561.62365802</v>
          </cell>
        </row>
        <row r="357">
          <cell r="E357" t="str">
            <v>Security deposits</v>
          </cell>
          <cell r="L357">
            <v>-530116.9004676718</v>
          </cell>
          <cell r="N357">
            <v>-530116.9004676718</v>
          </cell>
        </row>
        <row r="358">
          <cell r="E358" t="str">
            <v>Interest on Lease Liabilities</v>
          </cell>
          <cell r="L358">
            <v>1881243.3846437801</v>
          </cell>
        </row>
        <row r="359">
          <cell r="E359" t="str">
            <v>(ii) Lease Liabilities</v>
          </cell>
          <cell r="L359">
            <v>-1881243.3846437801</v>
          </cell>
          <cell r="N359">
            <v>-1881243.3846437801</v>
          </cell>
        </row>
        <row r="360">
          <cell r="E360" t="str">
            <v>Depreciation and Amortization Expense</v>
          </cell>
          <cell r="L360">
            <v>12827941.550711304</v>
          </cell>
        </row>
        <row r="361">
          <cell r="E361" t="str">
            <v>Property, Plant &amp; Equipment</v>
          </cell>
          <cell r="L361">
            <v>-12827941.550711304</v>
          </cell>
          <cell r="N361">
            <v>-12827941.550711304</v>
          </cell>
        </row>
        <row r="362">
          <cell r="E362" t="str">
            <v>(ii) Lease Liabilities</v>
          </cell>
          <cell r="L362">
            <v>13451266</v>
          </cell>
          <cell r="N362">
            <v>13451266</v>
          </cell>
        </row>
        <row r="363">
          <cell r="E363" t="str">
            <v>Rent expenses</v>
          </cell>
          <cell r="L363">
            <v>-13451266</v>
          </cell>
        </row>
        <row r="364">
          <cell r="E364" t="str">
            <v>Security deposits</v>
          </cell>
          <cell r="L364">
            <v>151561.64011727</v>
          </cell>
          <cell r="N364">
            <v>151561.64011727</v>
          </cell>
        </row>
        <row r="365">
          <cell r="E365" t="str">
            <v>- From others</v>
          </cell>
          <cell r="L365">
            <v>-151561.64011727</v>
          </cell>
        </row>
        <row r="367">
          <cell r="E367" t="str">
            <v>Term Loan from Bank</v>
          </cell>
          <cell r="L367">
            <v>1288700</v>
          </cell>
          <cell r="M367">
            <v>0</v>
          </cell>
          <cell r="N367">
            <v>1288700</v>
          </cell>
        </row>
        <row r="368">
          <cell r="E368" t="str">
            <v>Term Loan from Bank</v>
          </cell>
          <cell r="L368">
            <v>841133.33333333337</v>
          </cell>
          <cell r="M368">
            <v>0</v>
          </cell>
          <cell r="N368">
            <v>841133.33333333337</v>
          </cell>
        </row>
        <row r="369">
          <cell r="E369" t="str">
            <v>Term Loan from Bank</v>
          </cell>
          <cell r="L369">
            <v>1145850</v>
          </cell>
          <cell r="M369">
            <v>0</v>
          </cell>
          <cell r="N369">
            <v>1145850</v>
          </cell>
        </row>
        <row r="370">
          <cell r="E370" t="str">
            <v>Prepaid expenses</v>
          </cell>
          <cell r="L370">
            <v>236000</v>
          </cell>
          <cell r="M370">
            <v>236000</v>
          </cell>
          <cell r="N370">
            <v>0</v>
          </cell>
        </row>
        <row r="371">
          <cell r="E371" t="str">
            <v>Prepaid expenses</v>
          </cell>
          <cell r="L371">
            <v>1145850</v>
          </cell>
          <cell r="M371">
            <v>1145850</v>
          </cell>
          <cell r="N371">
            <v>0</v>
          </cell>
        </row>
        <row r="372">
          <cell r="E372" t="str">
            <v>- From Bank (Secured Loan)</v>
          </cell>
          <cell r="L372">
            <v>-4657533.333333334</v>
          </cell>
          <cell r="M372">
            <v>0</v>
          </cell>
          <cell r="N372">
            <v>0</v>
          </cell>
        </row>
        <row r="373">
          <cell r="E373" t="str">
            <v>- From Bank (Secured Loan)</v>
          </cell>
          <cell r="L373">
            <v>212983.33333333334</v>
          </cell>
          <cell r="M373">
            <v>0</v>
          </cell>
          <cell r="N373">
            <v>0</v>
          </cell>
        </row>
        <row r="374">
          <cell r="E374" t="str">
            <v>Term Loan from Bank</v>
          </cell>
          <cell r="L374">
            <v>-128870</v>
          </cell>
          <cell r="M374">
            <v>0</v>
          </cell>
          <cell r="N374">
            <v>-128870</v>
          </cell>
        </row>
        <row r="375">
          <cell r="E375" t="str">
            <v>Term Loan from Bank</v>
          </cell>
          <cell r="L375">
            <v>-84113.333333333343</v>
          </cell>
          <cell r="M375">
            <v>0</v>
          </cell>
          <cell r="N375">
            <v>-84113.333333333343</v>
          </cell>
        </row>
        <row r="377">
          <cell r="E377" t="str">
            <v>Unamortised transaction cost</v>
          </cell>
          <cell r="L377">
            <v>-6353270.8334901528</v>
          </cell>
          <cell r="N377">
            <v>-6353270.8334901528</v>
          </cell>
        </row>
        <row r="378">
          <cell r="E378" t="str">
            <v>Property Plant &amp; Equipment, Right of Use Assets &amp; Intangible Assets</v>
          </cell>
          <cell r="L378">
            <v>-6225327.9254876859</v>
          </cell>
          <cell r="N378">
            <v>-6225327.9254876859</v>
          </cell>
        </row>
        <row r="379">
          <cell r="E379" t="str">
            <v>Lease liabilities - deferred tax assets</v>
          </cell>
          <cell r="L379">
            <v>6408501.141628149</v>
          </cell>
          <cell r="N379">
            <v>6408501.141628149</v>
          </cell>
        </row>
        <row r="380">
          <cell r="E380" t="str">
            <v>Security Deposits - deferred tax assets</v>
          </cell>
          <cell r="L380">
            <v>95274.787924989127</v>
          </cell>
          <cell r="N380">
            <v>95274.787924989127</v>
          </cell>
        </row>
        <row r="381">
          <cell r="E381" t="str">
            <v>Opening Balance - Retained Earnings</v>
          </cell>
          <cell r="L381">
            <v>4557079.2734896075</v>
          </cell>
          <cell r="N381">
            <v>4557079.2734896075</v>
          </cell>
        </row>
        <row r="382">
          <cell r="E382" t="str">
            <v>(b) Deferred Tax</v>
          </cell>
          <cell r="L382">
            <v>1517743.5559350932</v>
          </cell>
        </row>
        <row r="384">
          <cell r="E384" t="str">
            <v>Interest accrued on Loan given to related party</v>
          </cell>
          <cell r="L384">
            <v>0</v>
          </cell>
          <cell r="M384">
            <v>0</v>
          </cell>
        </row>
        <row r="385">
          <cell r="E385" t="str">
            <v>Loans to related party - subsidiaries (Considered good - unsecured)</v>
          </cell>
          <cell r="L385">
            <v>0</v>
          </cell>
          <cell r="M385">
            <v>0</v>
          </cell>
        </row>
        <row r="386">
          <cell r="E386" t="str">
            <v xml:space="preserve">Changes in inventories of finished goods and work-in-progress </v>
          </cell>
          <cell r="L386">
            <v>5753598.4700000286</v>
          </cell>
        </row>
        <row r="387">
          <cell r="E387" t="str">
            <v xml:space="preserve">Changes in inventories of finished goods and work-in-progress </v>
          </cell>
          <cell r="L387">
            <v>4115128</v>
          </cell>
        </row>
        <row r="388">
          <cell r="E388" t="str">
            <v xml:space="preserve">Changes in inventories of finished goods and work-in-progress </v>
          </cell>
          <cell r="L388">
            <v>8090231</v>
          </cell>
        </row>
        <row r="389">
          <cell r="E389" t="str">
            <v xml:space="preserve">Changes in inventories of finished goods and work-in-progress </v>
          </cell>
          <cell r="L389">
            <v>147683</v>
          </cell>
        </row>
        <row r="390">
          <cell r="E390" t="str">
            <v>Opening Balance - Retained Earnings</v>
          </cell>
          <cell r="L390">
            <v>-18106640.470000029</v>
          </cell>
          <cell r="N390">
            <v>-18106640.470000029</v>
          </cell>
        </row>
        <row r="391">
          <cell r="E391" t="str">
            <v>Work-in-progress</v>
          </cell>
          <cell r="L391">
            <v>1020789</v>
          </cell>
          <cell r="M391">
            <v>1020789</v>
          </cell>
        </row>
        <row r="392">
          <cell r="E392" t="str">
            <v xml:space="preserve">Changes in inventories of finished goods and work-in-progress </v>
          </cell>
          <cell r="L392">
            <v>-1020789</v>
          </cell>
        </row>
        <row r="393">
          <cell r="E393" t="str">
            <v>Finished goods**</v>
          </cell>
          <cell r="L393">
            <v>1563017</v>
          </cell>
          <cell r="M393">
            <v>1563017</v>
          </cell>
        </row>
        <row r="394">
          <cell r="E394" t="str">
            <v xml:space="preserve">Changes in inventories of finished goods and work-in-progress </v>
          </cell>
          <cell r="L394">
            <v>-1563017</v>
          </cell>
        </row>
        <row r="395">
          <cell r="E395" t="str">
            <v>Packing material</v>
          </cell>
          <cell r="L395">
            <v>64848</v>
          </cell>
          <cell r="M395">
            <v>64848</v>
          </cell>
        </row>
        <row r="396">
          <cell r="E396" t="str">
            <v>Cost of material consumed</v>
          </cell>
          <cell r="L396">
            <v>-64848</v>
          </cell>
        </row>
        <row r="397">
          <cell r="E397" t="str">
            <v>Raw materials*</v>
          </cell>
          <cell r="L397">
            <v>2344586</v>
          </cell>
          <cell r="M397">
            <v>2344586</v>
          </cell>
        </row>
        <row r="398">
          <cell r="E398" t="str">
            <v>Cost of material consumed</v>
          </cell>
          <cell r="L398">
            <v>-2344586</v>
          </cell>
        </row>
        <row r="399">
          <cell r="E399" t="str">
            <v>Provision for compensated absences</v>
          </cell>
          <cell r="L399">
            <v>2817115</v>
          </cell>
          <cell r="M399">
            <v>1480803</v>
          </cell>
          <cell r="N399">
            <v>1336312</v>
          </cell>
        </row>
        <row r="400">
          <cell r="E400" t="str">
            <v>Employee benefits payable</v>
          </cell>
          <cell r="L400">
            <v>-2817115</v>
          </cell>
          <cell r="M400">
            <v>-2817115</v>
          </cell>
        </row>
        <row r="401">
          <cell r="E401" t="str">
            <v>Raw materials*</v>
          </cell>
          <cell r="L401">
            <v>-519464316.17000002</v>
          </cell>
        </row>
        <row r="402">
          <cell r="E402" t="str">
            <v>Packing material</v>
          </cell>
          <cell r="L402">
            <v>-3687087.02</v>
          </cell>
        </row>
        <row r="403">
          <cell r="E403" t="str">
            <v>Work-in-progress</v>
          </cell>
          <cell r="L403">
            <v>-319989055.08999997</v>
          </cell>
        </row>
        <row r="404">
          <cell r="E404" t="str">
            <v>Finished goods**</v>
          </cell>
          <cell r="L404">
            <v>-10692300.76</v>
          </cell>
        </row>
        <row r="405">
          <cell r="E405" t="str">
            <v>Finished goods**</v>
          </cell>
          <cell r="L405">
            <v>-476208715.87</v>
          </cell>
        </row>
        <row r="406">
          <cell r="E406" t="str">
            <v>Raw materials*</v>
          </cell>
          <cell r="L406">
            <v>-55788033.969999999</v>
          </cell>
        </row>
        <row r="407">
          <cell r="E407" t="str">
            <v>Work-in-progress</v>
          </cell>
          <cell r="L407">
            <v>754457.72</v>
          </cell>
        </row>
        <row r="408">
          <cell r="E408" t="str">
            <v>Work-in-progress</v>
          </cell>
          <cell r="L408">
            <v>1364755.67</v>
          </cell>
        </row>
        <row r="409">
          <cell r="E409" t="str">
            <v>Work-in-progress</v>
          </cell>
          <cell r="L409">
            <v>-119570.24000000001</v>
          </cell>
        </row>
        <row r="410">
          <cell r="E410" t="str">
            <v>Raw materials*</v>
          </cell>
          <cell r="L410">
            <v>349770648.52999997</v>
          </cell>
        </row>
        <row r="411">
          <cell r="E411" t="str">
            <v>Packing material</v>
          </cell>
          <cell r="L411">
            <v>6362056</v>
          </cell>
        </row>
        <row r="412">
          <cell r="E412" t="str">
            <v>Work-in-progress</v>
          </cell>
          <cell r="L412">
            <v>210368136.40000001</v>
          </cell>
        </row>
        <row r="413">
          <cell r="E413" t="str">
            <v>Finished goods**</v>
          </cell>
          <cell r="L413">
            <v>4490288</v>
          </cell>
        </row>
        <row r="414">
          <cell r="E414" t="str">
            <v>Finished goods**</v>
          </cell>
          <cell r="L414">
            <v>409087800.87</v>
          </cell>
        </row>
        <row r="415">
          <cell r="E415" t="str">
            <v>Raw materials*</v>
          </cell>
          <cell r="L415">
            <v>50870747.969999999</v>
          </cell>
        </row>
        <row r="416">
          <cell r="E416" t="str">
            <v>Consumption of stores and spares</v>
          </cell>
          <cell r="L416">
            <v>200226.23</v>
          </cell>
          <cell r="M416">
            <v>0</v>
          </cell>
          <cell r="N416">
            <v>0</v>
          </cell>
        </row>
        <row r="417">
          <cell r="E417" t="str">
            <v>Consumption of stores and spares</v>
          </cell>
          <cell r="L417">
            <v>105336716.65000001</v>
          </cell>
          <cell r="M417">
            <v>0</v>
          </cell>
          <cell r="N417">
            <v>0</v>
          </cell>
        </row>
        <row r="418">
          <cell r="E418" t="str">
            <v>Consumption of stores and spares</v>
          </cell>
          <cell r="L418">
            <v>-152309645.83000001</v>
          </cell>
          <cell r="M418">
            <v>0</v>
          </cell>
          <cell r="N418">
            <v>0</v>
          </cell>
        </row>
        <row r="419">
          <cell r="E419" t="str">
            <v>Consumption of stores and spares</v>
          </cell>
          <cell r="L419">
            <v>25029757.960000001</v>
          </cell>
          <cell r="M419">
            <v>0</v>
          </cell>
          <cell r="N419">
            <v>0</v>
          </cell>
        </row>
        <row r="420">
          <cell r="E420" t="str">
            <v>Consumption of stores and spares</v>
          </cell>
          <cell r="L420">
            <v>-59012056.009999998</v>
          </cell>
          <cell r="M420">
            <v>0</v>
          </cell>
          <cell r="N420">
            <v>0</v>
          </cell>
        </row>
        <row r="421">
          <cell r="E421" t="str">
            <v>Power and Fuel</v>
          </cell>
          <cell r="L421">
            <v>-1325333.49</v>
          </cell>
          <cell r="M421">
            <v>0</v>
          </cell>
          <cell r="N421">
            <v>0</v>
          </cell>
        </row>
        <row r="422">
          <cell r="E422" t="str">
            <v>Power and Fuel</v>
          </cell>
          <cell r="L422">
            <v>438422.84</v>
          </cell>
          <cell r="M422">
            <v>0</v>
          </cell>
          <cell r="N422">
            <v>0</v>
          </cell>
        </row>
        <row r="423">
          <cell r="E423" t="str">
            <v>Payment to Auditors</v>
          </cell>
          <cell r="L423">
            <v>1515500</v>
          </cell>
          <cell r="M423">
            <v>0</v>
          </cell>
          <cell r="N423">
            <v>0</v>
          </cell>
        </row>
        <row r="424">
          <cell r="E424" t="str">
            <v>Research &amp; Development Cost</v>
          </cell>
          <cell r="L424">
            <v>2579550.9700000002</v>
          </cell>
          <cell r="M424">
            <v>0</v>
          </cell>
          <cell r="N424">
            <v>0</v>
          </cell>
        </row>
        <row r="425">
          <cell r="E425" t="str">
            <v>Less : Research and development expenses shown separately</v>
          </cell>
          <cell r="L425">
            <v>-2579550.9700000002</v>
          </cell>
          <cell r="M425">
            <v>0</v>
          </cell>
          <cell r="N425">
            <v>0</v>
          </cell>
        </row>
        <row r="426">
          <cell r="E426" t="str">
            <v>Legal &amp; Professional Fees</v>
          </cell>
          <cell r="L426">
            <v>-1515500</v>
          </cell>
          <cell r="M426">
            <v>0</v>
          </cell>
          <cell r="N426">
            <v>0</v>
          </cell>
        </row>
        <row r="427">
          <cell r="E427" t="str">
            <v>Less : Expenses in relation to research and development shown separately</v>
          </cell>
          <cell r="L427">
            <v>-12563404.24</v>
          </cell>
          <cell r="M427">
            <v>0</v>
          </cell>
          <cell r="N427">
            <v>0</v>
          </cell>
        </row>
        <row r="428">
          <cell r="E428" t="str">
            <v>Research &amp; Development Cost</v>
          </cell>
          <cell r="L428">
            <v>12563404.24</v>
          </cell>
          <cell r="M428">
            <v>0</v>
          </cell>
          <cell r="N428">
            <v>0</v>
          </cell>
        </row>
        <row r="429">
          <cell r="E429" t="str">
            <v>Freight and Insurance recovered</v>
          </cell>
          <cell r="L429">
            <v>-268241859.10999998</v>
          </cell>
          <cell r="M429">
            <v>0</v>
          </cell>
          <cell r="N429">
            <v>0</v>
          </cell>
        </row>
        <row r="430">
          <cell r="E430" t="str">
            <v>Sales of Products</v>
          </cell>
          <cell r="L430">
            <v>268241859.10999998</v>
          </cell>
          <cell r="M430">
            <v>0</v>
          </cell>
          <cell r="N430">
            <v>0</v>
          </cell>
        </row>
        <row r="431">
          <cell r="E431" t="str">
            <v>Foreign exchange gain (net)</v>
          </cell>
          <cell r="L431">
            <v>-23941447</v>
          </cell>
          <cell r="M431">
            <v>0</v>
          </cell>
          <cell r="N431">
            <v>0</v>
          </cell>
        </row>
        <row r="432">
          <cell r="E432" t="str">
            <v>Exchange difference to the extent considered as an adjustment to borrowing cost</v>
          </cell>
          <cell r="L432">
            <v>23941447</v>
          </cell>
          <cell r="M432">
            <v>0</v>
          </cell>
          <cell r="N432">
            <v>0</v>
          </cell>
        </row>
        <row r="433">
          <cell r="E433" t="str">
            <v>Capital advances</v>
          </cell>
          <cell r="L433">
            <v>12644190</v>
          </cell>
          <cell r="M433">
            <v>0</v>
          </cell>
          <cell r="N433">
            <v>12644190</v>
          </cell>
        </row>
        <row r="434">
          <cell r="E434" t="str">
            <v>Total outstanding dues of creditors other than micro enterprises and small enterprises</v>
          </cell>
          <cell r="L434">
            <v>-12644190</v>
          </cell>
          <cell r="M434">
            <v>-12644190</v>
          </cell>
          <cell r="N434">
            <v>0</v>
          </cell>
        </row>
        <row r="435">
          <cell r="E435" t="str">
            <v>Advances paid to Creditors</v>
          </cell>
          <cell r="L435">
            <v>37315120</v>
          </cell>
          <cell r="M435">
            <v>37315120</v>
          </cell>
          <cell r="N435">
            <v>0</v>
          </cell>
        </row>
        <row r="436">
          <cell r="E436" t="str">
            <v>Advances paid to Creditors</v>
          </cell>
          <cell r="L436">
            <v>-20625129</v>
          </cell>
          <cell r="M436">
            <v>-20625129</v>
          </cell>
          <cell r="N436">
            <v>0</v>
          </cell>
        </row>
        <row r="437">
          <cell r="E437" t="str">
            <v>Total outstanding dues of creditors other than micro enterprises and small enterprises</v>
          </cell>
          <cell r="L437">
            <v>-16689991</v>
          </cell>
          <cell r="M437">
            <v>-16689991</v>
          </cell>
          <cell r="N437">
            <v>0</v>
          </cell>
        </row>
        <row r="438">
          <cell r="E438" t="str">
            <v>Prepaid expenses</v>
          </cell>
          <cell r="L438">
            <v>20625129</v>
          </cell>
          <cell r="M438">
            <v>20625129</v>
          </cell>
          <cell r="N438">
            <v>0</v>
          </cell>
        </row>
        <row r="439">
          <cell r="E439" t="str">
            <v>Prepaid expenses</v>
          </cell>
          <cell r="L439">
            <v>-20922400</v>
          </cell>
          <cell r="M439">
            <v>-20922400</v>
          </cell>
          <cell r="N439">
            <v>0</v>
          </cell>
        </row>
        <row r="440">
          <cell r="E440" t="str">
            <v>Total outstanding dues of creditors other than micro enterprises and small enterprises</v>
          </cell>
          <cell r="L440">
            <v>297271</v>
          </cell>
          <cell r="M440">
            <v>297271</v>
          </cell>
          <cell r="N440">
            <v>0</v>
          </cell>
        </row>
        <row r="441">
          <cell r="E441" t="str">
            <v>Provision for compensated absences</v>
          </cell>
          <cell r="L441">
            <v>2978053</v>
          </cell>
          <cell r="M441">
            <v>0</v>
          </cell>
          <cell r="N441">
            <v>2978053</v>
          </cell>
        </row>
        <row r="442">
          <cell r="E442" t="str">
            <v>Employee benefits payable</v>
          </cell>
          <cell r="L442">
            <v>-2978053</v>
          </cell>
          <cell r="M442">
            <v>-2978053</v>
          </cell>
          <cell r="N442">
            <v>0</v>
          </cell>
        </row>
        <row r="443">
          <cell r="E443" t="str">
            <v>Payable for capital goods</v>
          </cell>
          <cell r="L443">
            <v>-145809148</v>
          </cell>
          <cell r="M443">
            <v>-145809148</v>
          </cell>
          <cell r="N443">
            <v>0</v>
          </cell>
        </row>
        <row r="444">
          <cell r="E444" t="str">
            <v>Total outstanding dues of creditors other than micro enterprises and small enterprises</v>
          </cell>
          <cell r="L444">
            <v>145809148</v>
          </cell>
          <cell r="M444">
            <v>145809148</v>
          </cell>
          <cell r="N444">
            <v>0</v>
          </cell>
        </row>
        <row r="445">
          <cell r="E445" t="str">
            <v>Closing balance - Cashflow hedge reserve</v>
          </cell>
          <cell r="L445">
            <v>13703138.367649999</v>
          </cell>
          <cell r="M445">
            <v>0</v>
          </cell>
          <cell r="N445">
            <v>13703138.367649999</v>
          </cell>
        </row>
        <row r="446">
          <cell r="E446" t="str">
            <v>Addition during the year - Cashflow hedge reserve</v>
          </cell>
          <cell r="L446">
            <v>-17937597.367649999</v>
          </cell>
          <cell r="M446">
            <v>0</v>
          </cell>
          <cell r="N446">
            <v>-17937597.367649999</v>
          </cell>
        </row>
        <row r="447">
          <cell r="E447" t="str">
            <v>Utilisation/ reversed during the year  - Cashflow hedge reserve</v>
          </cell>
          <cell r="L447">
            <v>4234459</v>
          </cell>
          <cell r="M447">
            <v>0</v>
          </cell>
          <cell r="N447">
            <v>4234459</v>
          </cell>
        </row>
        <row r="448">
          <cell r="E448" t="str">
            <v>Property, plant &amp; equipment</v>
          </cell>
          <cell r="L448">
            <v>150377488</v>
          </cell>
          <cell r="M448">
            <v>0</v>
          </cell>
          <cell r="N448">
            <v>150377488</v>
          </cell>
        </row>
        <row r="449">
          <cell r="E449" t="str">
            <v>Stores and spares</v>
          </cell>
          <cell r="L449">
            <v>-150377488</v>
          </cell>
          <cell r="M449">
            <v>-150377488</v>
          </cell>
          <cell r="N449">
            <v>0</v>
          </cell>
        </row>
      </sheetData>
      <sheetData sheetId="33">
        <row r="2">
          <cell r="L2">
            <v>37.52153092622757</v>
          </cell>
          <cell r="M2">
            <v>152570808.17950931</v>
          </cell>
          <cell r="N2">
            <v>-152570770.65797791</v>
          </cell>
        </row>
        <row r="4">
          <cell r="E4" t="str">
            <v>Ind AS Sub Head</v>
          </cell>
          <cell r="M4" t="str">
            <v>Current</v>
          </cell>
          <cell r="N4" t="str">
            <v>Non-Current</v>
          </cell>
        </row>
        <row r="5">
          <cell r="E5" t="str">
            <v>315,940 (previous year: 315,940) equity shares of Rs 10 each fully paid up</v>
          </cell>
          <cell r="M5">
            <v>0</v>
          </cell>
          <cell r="N5">
            <v>-3159400</v>
          </cell>
        </row>
        <row r="6">
          <cell r="E6" t="str">
            <v>At the commencement of the year - Securities premium</v>
          </cell>
          <cell r="M6">
            <v>0</v>
          </cell>
          <cell r="N6">
            <v>-35607600</v>
          </cell>
        </row>
        <row r="7">
          <cell r="E7" t="str">
            <v>Opening Balance - Retained Earnings</v>
          </cell>
          <cell r="M7">
            <v>0</v>
          </cell>
          <cell r="N7">
            <v>-484596891.63999999</v>
          </cell>
        </row>
        <row r="8">
          <cell r="E8" t="str">
            <v>Opening Balance - Retained Earnings</v>
          </cell>
          <cell r="M8">
            <v>0</v>
          </cell>
          <cell r="N8">
            <v>-304992509.24000001</v>
          </cell>
        </row>
        <row r="9">
          <cell r="E9" t="str">
            <v>At the commencement of the year - CRR</v>
          </cell>
          <cell r="M9">
            <v>0</v>
          </cell>
          <cell r="N9">
            <v>-10000000</v>
          </cell>
        </row>
        <row r="10">
          <cell r="E10" t="str">
            <v>Balance with banks</v>
          </cell>
          <cell r="M10">
            <v>8102385.9800000004</v>
          </cell>
          <cell r="N10">
            <v>0</v>
          </cell>
        </row>
        <row r="11">
          <cell r="E11" t="str">
            <v>Balance with banks</v>
          </cell>
          <cell r="M11">
            <v>104954.79</v>
          </cell>
          <cell r="N11">
            <v>0</v>
          </cell>
        </row>
        <row r="12">
          <cell r="E12" t="str">
            <v>Working Capital Loans from Bank</v>
          </cell>
          <cell r="M12">
            <v>-50000000</v>
          </cell>
          <cell r="N12">
            <v>0</v>
          </cell>
        </row>
        <row r="13">
          <cell r="E13" t="str">
            <v>Working Capital Loans from Bank</v>
          </cell>
          <cell r="M13">
            <v>-189231</v>
          </cell>
          <cell r="N13">
            <v>0</v>
          </cell>
        </row>
        <row r="14">
          <cell r="E14" t="str">
            <v>Term Loan from Bank</v>
          </cell>
          <cell r="M14">
            <v>0</v>
          </cell>
          <cell r="N14">
            <v>0.17</v>
          </cell>
        </row>
        <row r="15">
          <cell r="E15" t="str">
            <v>Loan from Bank (Vehicle Loan)</v>
          </cell>
          <cell r="M15">
            <v>-546543</v>
          </cell>
          <cell r="N15">
            <v>0</v>
          </cell>
        </row>
        <row r="16">
          <cell r="E16" t="str">
            <v>Term Loan from Bank</v>
          </cell>
          <cell r="M16">
            <v>-3396617.92</v>
          </cell>
          <cell r="N16">
            <v>0</v>
          </cell>
        </row>
        <row r="17">
          <cell r="E17" t="str">
            <v>Term Loan from Bank</v>
          </cell>
          <cell r="M17">
            <v>-15461887.68</v>
          </cell>
          <cell r="N17">
            <v>-10737714.75</v>
          </cell>
        </row>
        <row r="18">
          <cell r="E18" t="str">
            <v>Term Loan from Bank</v>
          </cell>
          <cell r="M18">
            <v>-41777101.079999998</v>
          </cell>
          <cell r="N18">
            <v>-31562443.100000009</v>
          </cell>
        </row>
        <row r="19">
          <cell r="E19" t="str">
            <v>Working Capital Loans from Bank</v>
          </cell>
          <cell r="M19">
            <v>-200000000</v>
          </cell>
          <cell r="N19">
            <v>0</v>
          </cell>
        </row>
        <row r="20">
          <cell r="E20" t="str">
            <v>Balance with banks</v>
          </cell>
          <cell r="M20">
            <v>34044.99</v>
          </cell>
          <cell r="N20">
            <v>0</v>
          </cell>
        </row>
        <row r="21">
          <cell r="E21" t="str">
            <v>Balance with banks</v>
          </cell>
          <cell r="M21">
            <v>758638.34</v>
          </cell>
          <cell r="N21">
            <v>0</v>
          </cell>
        </row>
        <row r="22">
          <cell r="E22" t="str">
            <v xml:space="preserve">Statutory liabilities </v>
          </cell>
          <cell r="M22">
            <v>-243985</v>
          </cell>
          <cell r="N22">
            <v>0</v>
          </cell>
        </row>
        <row r="23">
          <cell r="E23" t="str">
            <v xml:space="preserve">Statutory liabilities </v>
          </cell>
          <cell r="M23">
            <v>-1052939.2</v>
          </cell>
          <cell r="N23">
            <v>0</v>
          </cell>
        </row>
        <row r="24">
          <cell r="E24" t="str">
            <v xml:space="preserve">Statutory liabilities </v>
          </cell>
          <cell r="M24">
            <v>-1595650.31</v>
          </cell>
          <cell r="N24">
            <v>0</v>
          </cell>
        </row>
        <row r="25">
          <cell r="E25" t="str">
            <v xml:space="preserve">Statutory liabilities </v>
          </cell>
          <cell r="M25">
            <v>-119810</v>
          </cell>
          <cell r="N25">
            <v>0</v>
          </cell>
        </row>
        <row r="26">
          <cell r="E26" t="str">
            <v xml:space="preserve">Statutory liabilities </v>
          </cell>
          <cell r="M26">
            <v>-22971866</v>
          </cell>
          <cell r="N26">
            <v>0</v>
          </cell>
        </row>
        <row r="27">
          <cell r="E27" t="str">
            <v xml:space="preserve">Statutory liabilities </v>
          </cell>
          <cell r="M27">
            <v>-955825</v>
          </cell>
          <cell r="N27">
            <v>0</v>
          </cell>
        </row>
        <row r="28">
          <cell r="E28" t="str">
            <v xml:space="preserve">Statutory liabilities </v>
          </cell>
          <cell r="M28">
            <v>-79101</v>
          </cell>
          <cell r="N28">
            <v>0</v>
          </cell>
        </row>
        <row r="29">
          <cell r="E29" t="str">
            <v>Total outstanding dues of creditors other than micro enterprises and small enterprises</v>
          </cell>
          <cell r="M29">
            <v>-12602025.130000001</v>
          </cell>
          <cell r="N29">
            <v>0</v>
          </cell>
        </row>
        <row r="30">
          <cell r="E30" t="str">
            <v>Total outstanding dues of creditors other than micro enterprises and small enterprises</v>
          </cell>
          <cell r="M30">
            <v>-50000</v>
          </cell>
          <cell r="N30">
            <v>0</v>
          </cell>
        </row>
        <row r="31">
          <cell r="E31" t="str">
            <v xml:space="preserve">Statutory liabilities </v>
          </cell>
          <cell r="M31">
            <v>-580001</v>
          </cell>
          <cell r="N31">
            <v>0</v>
          </cell>
        </row>
        <row r="32">
          <cell r="E32" t="str">
            <v>Employee benefits payable</v>
          </cell>
          <cell r="M32">
            <v>-17428250</v>
          </cell>
          <cell r="N32">
            <v>0</v>
          </cell>
        </row>
        <row r="33">
          <cell r="E33" t="str">
            <v>Employee benefits payable</v>
          </cell>
          <cell r="M33">
            <v>-1946229</v>
          </cell>
          <cell r="N33">
            <v>0</v>
          </cell>
        </row>
        <row r="34">
          <cell r="E34" t="str">
            <v>Total outstanding dues of creditors other than micro enterprises and small enterprises</v>
          </cell>
          <cell r="M34">
            <v>-27566772.780000001</v>
          </cell>
          <cell r="N34">
            <v>0</v>
          </cell>
        </row>
        <row r="35">
          <cell r="E35" t="str">
            <v>Total outstanding dues of creditors other than micro enterprises and small enterprises</v>
          </cell>
          <cell r="M35">
            <v>-853125</v>
          </cell>
          <cell r="N35">
            <v>0</v>
          </cell>
        </row>
        <row r="36">
          <cell r="E36" t="str">
            <v>Total outstanding dues of creditors other than micro enterprises and small enterprises</v>
          </cell>
          <cell r="M36">
            <v>-257864</v>
          </cell>
          <cell r="N36">
            <v>0</v>
          </cell>
        </row>
        <row r="37">
          <cell r="E37" t="str">
            <v>Provision for employee benefits - Gratuity</v>
          </cell>
          <cell r="M37">
            <v>-3405305</v>
          </cell>
          <cell r="N37">
            <v>-3868356</v>
          </cell>
        </row>
        <row r="38">
          <cell r="E38" t="str">
            <v>Provision for compensated absences</v>
          </cell>
          <cell r="M38">
            <v>-3823287</v>
          </cell>
          <cell r="N38">
            <v>-12550159</v>
          </cell>
        </row>
        <row r="39">
          <cell r="E39" t="str">
            <v>Total outstanding dues of creditors other than micro enterprises and small enterprises</v>
          </cell>
          <cell r="M39">
            <v>-7389006.5700000003</v>
          </cell>
          <cell r="N39">
            <v>0</v>
          </cell>
        </row>
        <row r="40">
          <cell r="E40" t="str">
            <v>Total outstanding dues of creditors other than micro enterprises and small enterprises</v>
          </cell>
          <cell r="M40">
            <v>-1284935</v>
          </cell>
          <cell r="N40">
            <v>0</v>
          </cell>
        </row>
        <row r="41">
          <cell r="E41" t="str">
            <v>Total outstanding dues of creditors other than micro enterprises and small enterprises</v>
          </cell>
          <cell r="M41">
            <v>-300000</v>
          </cell>
          <cell r="N41">
            <v>0</v>
          </cell>
        </row>
        <row r="42">
          <cell r="E42" t="str">
            <v>Total outstanding dues of creditors other than micro enterprises and small enterprises</v>
          </cell>
          <cell r="M42">
            <v>-850000</v>
          </cell>
          <cell r="N42">
            <v>0</v>
          </cell>
        </row>
        <row r="43">
          <cell r="E43" t="str">
            <v>Total outstanding dues of creditors other than micro enterprises and small enterprises</v>
          </cell>
          <cell r="M43">
            <v>-15410250</v>
          </cell>
          <cell r="N43">
            <v>0</v>
          </cell>
        </row>
        <row r="44">
          <cell r="E44" t="str">
            <v>Other Tax Assets (Net)</v>
          </cell>
          <cell r="M44">
            <v>0</v>
          </cell>
          <cell r="N44">
            <v>7.0000000000000007E-2</v>
          </cell>
        </row>
        <row r="45">
          <cell r="E45" t="str">
            <v>Total outstanding dues of creditors other than micro enterprises and small enterprises</v>
          </cell>
          <cell r="M45">
            <v>-14658135</v>
          </cell>
          <cell r="N45">
            <v>0</v>
          </cell>
        </row>
        <row r="46">
          <cell r="E46" t="str">
            <v>Total outstanding dues of creditors other than micro enterprises and small enterprises</v>
          </cell>
          <cell r="M46">
            <v>-50870747.969999999</v>
          </cell>
          <cell r="N46">
            <v>0</v>
          </cell>
        </row>
        <row r="47">
          <cell r="E47" t="str">
            <v>Total outstanding dues of creditors other than micro enterprises and small enterprises</v>
          </cell>
          <cell r="M47">
            <v>-2930556.02</v>
          </cell>
          <cell r="N47">
            <v>0</v>
          </cell>
        </row>
        <row r="48">
          <cell r="E48" t="str">
            <v>Total outstanding dues of creditors other than micro enterprises and small enterprises</v>
          </cell>
          <cell r="M48">
            <v>-941059.32</v>
          </cell>
          <cell r="N48">
            <v>0</v>
          </cell>
        </row>
        <row r="49">
          <cell r="E49" t="str">
            <v>Total outstanding dues of creditors other than micro enterprises and small enterprises</v>
          </cell>
          <cell r="M49">
            <v>-507246906.93000001</v>
          </cell>
          <cell r="N49">
            <v>0</v>
          </cell>
        </row>
        <row r="50">
          <cell r="E50" t="str">
            <v>Total outstanding dues of creditors other than micro enterprises and small enterprises</v>
          </cell>
          <cell r="M50">
            <v>-130815452.08</v>
          </cell>
          <cell r="N50">
            <v>0</v>
          </cell>
        </row>
        <row r="51">
          <cell r="E51" t="str">
            <v>Total outstanding dues of creditors other than micro enterprises and small enterprises</v>
          </cell>
          <cell r="M51">
            <v>-44050</v>
          </cell>
          <cell r="N51">
            <v>0</v>
          </cell>
        </row>
        <row r="52">
          <cell r="E52" t="str">
            <v>Total outstanding dues of creditors other than micro enterprises and small enterprises</v>
          </cell>
          <cell r="M52">
            <v>-3716388.06</v>
          </cell>
          <cell r="N52">
            <v>0</v>
          </cell>
        </row>
        <row r="53">
          <cell r="E53" t="str">
            <v>Total outstanding dues of creditors other than micro enterprises and small enterprises</v>
          </cell>
          <cell r="M53">
            <v>3276644</v>
          </cell>
          <cell r="N53">
            <v>0</v>
          </cell>
        </row>
        <row r="54">
          <cell r="E54" t="str">
            <v>Interim equity dividend</v>
          </cell>
          <cell r="M54">
            <v>0</v>
          </cell>
          <cell r="N54">
            <v>19904219.52</v>
          </cell>
        </row>
        <row r="55">
          <cell r="E55" t="str">
            <v>Balances with Government Authorities</v>
          </cell>
          <cell r="M55">
            <v>-275883.75</v>
          </cell>
          <cell r="N55">
            <v>0</v>
          </cell>
        </row>
        <row r="56">
          <cell r="E56" t="str">
            <v>Balances with Government Authorities</v>
          </cell>
          <cell r="M56">
            <v>-583946</v>
          </cell>
          <cell r="N56">
            <v>0</v>
          </cell>
        </row>
        <row r="57">
          <cell r="E57" t="str">
            <v>Balances with Government Authorities</v>
          </cell>
          <cell r="M57">
            <v>-275883.75</v>
          </cell>
          <cell r="N57">
            <v>0</v>
          </cell>
        </row>
        <row r="58">
          <cell r="E58" t="str">
            <v>Balances with Government Authorities</v>
          </cell>
          <cell r="M58">
            <v>125136.71</v>
          </cell>
          <cell r="N58">
            <v>0</v>
          </cell>
        </row>
        <row r="59">
          <cell r="E59" t="str">
            <v>Balances with Government Authorities</v>
          </cell>
          <cell r="M59">
            <v>92881.58</v>
          </cell>
          <cell r="N59">
            <v>0</v>
          </cell>
        </row>
        <row r="60">
          <cell r="E60" t="str">
            <v>Balances with Government Authorities</v>
          </cell>
          <cell r="M60">
            <v>125136.71</v>
          </cell>
          <cell r="N60">
            <v>0</v>
          </cell>
        </row>
        <row r="61">
          <cell r="E61" t="str">
            <v xml:space="preserve">Statutory liabilities </v>
          </cell>
          <cell r="M61">
            <v>-663894</v>
          </cell>
          <cell r="N61">
            <v>0</v>
          </cell>
        </row>
        <row r="62">
          <cell r="E62" t="str">
            <v xml:space="preserve">Statutory liabilities </v>
          </cell>
          <cell r="M62">
            <v>-48440</v>
          </cell>
          <cell r="N62">
            <v>0</v>
          </cell>
        </row>
        <row r="63">
          <cell r="E63" t="str">
            <v xml:space="preserve">Statutory liabilities </v>
          </cell>
          <cell r="M63">
            <v>-12722.69</v>
          </cell>
          <cell r="N63">
            <v>0</v>
          </cell>
        </row>
        <row r="64">
          <cell r="E64" t="str">
            <v>Property Plant &amp; Equipment, Right of Use Assets &amp; Intangible Assets</v>
          </cell>
          <cell r="M64">
            <v>0</v>
          </cell>
          <cell r="N64">
            <v>-6278409.3205285799</v>
          </cell>
        </row>
        <row r="65">
          <cell r="E65" t="str">
            <v>Payable for capital goods</v>
          </cell>
          <cell r="M65">
            <v>-3310548</v>
          </cell>
          <cell r="N65">
            <v>0</v>
          </cell>
        </row>
        <row r="66">
          <cell r="E66" t="str">
            <v>Employee benefits payable</v>
          </cell>
          <cell r="M66">
            <v>-8767233.8699999992</v>
          </cell>
          <cell r="N66">
            <v>0</v>
          </cell>
        </row>
        <row r="67">
          <cell r="E67" t="str">
            <v>Payable for capital goods</v>
          </cell>
          <cell r="M67">
            <v>-725880</v>
          </cell>
          <cell r="N67">
            <v>0</v>
          </cell>
        </row>
        <row r="68">
          <cell r="E68" t="str">
            <v>Property, Plant &amp; Equipment</v>
          </cell>
          <cell r="M68">
            <v>0</v>
          </cell>
          <cell r="N68">
            <v>22138294</v>
          </cell>
        </row>
        <row r="69">
          <cell r="E69" t="str">
            <v>Property, Plant &amp; Equipment</v>
          </cell>
          <cell r="M69">
            <v>0</v>
          </cell>
          <cell r="N69">
            <v>13275084</v>
          </cell>
        </row>
        <row r="70">
          <cell r="E70" t="str">
            <v>Property, Plant &amp; Equipment</v>
          </cell>
          <cell r="M70">
            <v>0</v>
          </cell>
          <cell r="N70">
            <v>82041650.75</v>
          </cell>
        </row>
        <row r="71">
          <cell r="E71" t="str">
            <v>Property, Plant &amp; Equipment</v>
          </cell>
          <cell r="M71">
            <v>0</v>
          </cell>
          <cell r="N71">
            <v>-47735261.979999997</v>
          </cell>
        </row>
        <row r="72">
          <cell r="E72" t="str">
            <v>Property, Plant &amp; Equipment</v>
          </cell>
          <cell r="M72">
            <v>0</v>
          </cell>
          <cell r="N72">
            <v>96562678.959999993</v>
          </cell>
        </row>
        <row r="73">
          <cell r="E73" t="str">
            <v>Property, Plant &amp; Equipment</v>
          </cell>
          <cell r="M73">
            <v>0</v>
          </cell>
          <cell r="N73">
            <v>841257537.34000003</v>
          </cell>
        </row>
        <row r="74">
          <cell r="E74" t="str">
            <v>Property, Plant &amp; Equipment</v>
          </cell>
          <cell r="M74">
            <v>0</v>
          </cell>
          <cell r="N74">
            <v>-443879200.54000002</v>
          </cell>
        </row>
        <row r="75">
          <cell r="E75" t="str">
            <v>Property, Plant &amp; Equipment</v>
          </cell>
          <cell r="M75">
            <v>0</v>
          </cell>
          <cell r="N75">
            <v>4971898.33</v>
          </cell>
        </row>
        <row r="76">
          <cell r="E76" t="str">
            <v>Property, Plant &amp; Equipment</v>
          </cell>
          <cell r="M76">
            <v>0</v>
          </cell>
          <cell r="N76">
            <v>-1452275.77</v>
          </cell>
        </row>
        <row r="77">
          <cell r="E77" t="str">
            <v>Property, Plant &amp; Equipment</v>
          </cell>
          <cell r="M77">
            <v>0</v>
          </cell>
          <cell r="N77">
            <v>31300659.43</v>
          </cell>
        </row>
        <row r="78">
          <cell r="E78" t="str">
            <v>Property, Plant &amp; Equipment</v>
          </cell>
          <cell r="M78">
            <v>0</v>
          </cell>
          <cell r="N78">
            <v>-8384853.2999999998</v>
          </cell>
        </row>
        <row r="79">
          <cell r="E79" t="str">
            <v>Property, Plant &amp; Equipment</v>
          </cell>
          <cell r="M79">
            <v>0</v>
          </cell>
          <cell r="N79">
            <v>2227227.1</v>
          </cell>
        </row>
        <row r="80">
          <cell r="E80" t="str">
            <v>Property, Plant &amp; Equipment</v>
          </cell>
          <cell r="M80">
            <v>0</v>
          </cell>
          <cell r="N80">
            <v>-1379869.72</v>
          </cell>
        </row>
        <row r="81">
          <cell r="E81" t="str">
            <v>Property, Plant &amp; Equipment</v>
          </cell>
          <cell r="M81">
            <v>0</v>
          </cell>
          <cell r="N81">
            <v>5954159</v>
          </cell>
        </row>
        <row r="82">
          <cell r="E82" t="str">
            <v>Property, Plant &amp; Equipment</v>
          </cell>
          <cell r="M82">
            <v>0</v>
          </cell>
          <cell r="N82">
            <v>-4286337.5199999996</v>
          </cell>
        </row>
        <row r="83">
          <cell r="E83" t="str">
            <v>Property, Plant &amp; Equipment</v>
          </cell>
          <cell r="M83">
            <v>0</v>
          </cell>
          <cell r="N83">
            <v>11822084.34</v>
          </cell>
        </row>
        <row r="84">
          <cell r="E84" t="str">
            <v>Property, Plant &amp; Equipment</v>
          </cell>
          <cell r="M84">
            <v>0</v>
          </cell>
          <cell r="N84">
            <v>-11338341.48</v>
          </cell>
        </row>
        <row r="85">
          <cell r="E85" t="str">
            <v>Property, Plant &amp; Equipment</v>
          </cell>
          <cell r="M85">
            <v>0</v>
          </cell>
          <cell r="N85">
            <v>2076000.58</v>
          </cell>
        </row>
        <row r="86">
          <cell r="E86" t="str">
            <v>Property, Plant &amp; Equipment</v>
          </cell>
          <cell r="M86">
            <v>0</v>
          </cell>
          <cell r="N86">
            <v>-1531690.48</v>
          </cell>
        </row>
        <row r="87">
          <cell r="E87" t="str">
            <v>Property, Plant &amp; Equipment</v>
          </cell>
          <cell r="M87">
            <v>0</v>
          </cell>
          <cell r="N87">
            <v>7124032</v>
          </cell>
        </row>
        <row r="88">
          <cell r="E88" t="str">
            <v>Property, Plant &amp; Equipment</v>
          </cell>
          <cell r="M88">
            <v>0</v>
          </cell>
          <cell r="N88">
            <v>8285963</v>
          </cell>
        </row>
        <row r="89">
          <cell r="E89" t="str">
            <v>Property, Plant &amp; Equipment</v>
          </cell>
          <cell r="M89">
            <v>0</v>
          </cell>
          <cell r="N89">
            <v>-2666149.12</v>
          </cell>
        </row>
        <row r="90">
          <cell r="E90" t="str">
            <v>Property, Plant &amp; Equipment</v>
          </cell>
          <cell r="M90">
            <v>0</v>
          </cell>
          <cell r="N90">
            <v>5139550.5</v>
          </cell>
        </row>
        <row r="91">
          <cell r="E91" t="str">
            <v>Property, Plant &amp; Equipment</v>
          </cell>
          <cell r="M91">
            <v>0</v>
          </cell>
          <cell r="N91">
            <v>-2500889.04</v>
          </cell>
        </row>
        <row r="92">
          <cell r="E92" t="str">
            <v>Property, Plant &amp; Equipment</v>
          </cell>
          <cell r="M92">
            <v>0</v>
          </cell>
          <cell r="N92">
            <v>314608597.86000001</v>
          </cell>
        </row>
        <row r="93">
          <cell r="E93" t="str">
            <v>Property, Plant &amp; Equipment</v>
          </cell>
          <cell r="M93">
            <v>0</v>
          </cell>
          <cell r="N93">
            <v>14465195</v>
          </cell>
        </row>
        <row r="94">
          <cell r="E94" t="str">
            <v>10,000 (31 March 2022: 10,000; 1 April 2021: 10,000) fully paid up equity shares of par value of ₹ 10 each of Best Value Organics Private Limited (wholly owned subsidiary)</v>
          </cell>
          <cell r="M94">
            <v>0</v>
          </cell>
          <cell r="N94">
            <v>100000</v>
          </cell>
        </row>
        <row r="95">
          <cell r="E95" t="str">
            <v>Duty drawback receivable and Merchandise Export Incentive Scheme receivable</v>
          </cell>
          <cell r="M95">
            <v>3057760.76</v>
          </cell>
          <cell r="N95">
            <v>0</v>
          </cell>
        </row>
        <row r="96">
          <cell r="E96" t="str">
            <v>Duty drawback receivable and Merchandise Export Incentive Scheme receivable</v>
          </cell>
          <cell r="M96">
            <v>53028824</v>
          </cell>
          <cell r="N96">
            <v>0</v>
          </cell>
        </row>
        <row r="97">
          <cell r="E97" t="str">
            <v>Other receivable</v>
          </cell>
          <cell r="M97">
            <v>2293166</v>
          </cell>
          <cell r="N97">
            <v>0</v>
          </cell>
        </row>
        <row r="98">
          <cell r="E98" t="str">
            <v>Raw materials*</v>
          </cell>
          <cell r="M98">
            <v>349770648.52999997</v>
          </cell>
          <cell r="N98">
            <v>0</v>
          </cell>
        </row>
        <row r="99">
          <cell r="E99" t="str">
            <v>Packing material</v>
          </cell>
          <cell r="M99">
            <v>6362056</v>
          </cell>
          <cell r="N99">
            <v>0</v>
          </cell>
        </row>
        <row r="100">
          <cell r="E100" t="str">
            <v>Stores and spares</v>
          </cell>
          <cell r="M100">
            <v>438422.84</v>
          </cell>
          <cell r="N100">
            <v>0</v>
          </cell>
        </row>
        <row r="101">
          <cell r="E101" t="str">
            <v>Work-in-progress</v>
          </cell>
          <cell r="M101">
            <v>210368136.40000001</v>
          </cell>
          <cell r="N101">
            <v>0</v>
          </cell>
        </row>
        <row r="102">
          <cell r="E102" t="str">
            <v>Finished goods**</v>
          </cell>
          <cell r="M102">
            <v>4490288</v>
          </cell>
          <cell r="N102">
            <v>0</v>
          </cell>
        </row>
        <row r="103">
          <cell r="E103" t="str">
            <v>Stores and spares</v>
          </cell>
          <cell r="M103">
            <v>105336716.65000001</v>
          </cell>
          <cell r="N103">
            <v>0</v>
          </cell>
        </row>
        <row r="104">
          <cell r="E104" t="str">
            <v>Stores and spares</v>
          </cell>
          <cell r="M104">
            <v>25029757.960000001</v>
          </cell>
          <cell r="N104">
            <v>0</v>
          </cell>
        </row>
        <row r="105">
          <cell r="E105" t="str">
            <v>Finished goods**</v>
          </cell>
          <cell r="M105">
            <v>409087800.87</v>
          </cell>
          <cell r="N105">
            <v>0</v>
          </cell>
        </row>
        <row r="106">
          <cell r="E106" t="str">
            <v>Raw materials*</v>
          </cell>
          <cell r="M106">
            <v>50870747.969999999</v>
          </cell>
          <cell r="N106">
            <v>0</v>
          </cell>
        </row>
        <row r="107">
          <cell r="E107" t="str">
            <v>Considered good - unsecured</v>
          </cell>
          <cell r="M107">
            <v>246030336.55000001</v>
          </cell>
          <cell r="N107">
            <v>0</v>
          </cell>
        </row>
        <row r="108">
          <cell r="E108" t="str">
            <v>Considered good - unsecured</v>
          </cell>
          <cell r="M108">
            <v>1200771083.5</v>
          </cell>
          <cell r="N108">
            <v>0</v>
          </cell>
        </row>
        <row r="109">
          <cell r="E109" t="str">
            <v>Considered good - unsecured</v>
          </cell>
          <cell r="M109">
            <v>-506553474.38999999</v>
          </cell>
          <cell r="N109">
            <v>0</v>
          </cell>
        </row>
        <row r="110">
          <cell r="E110" t="str">
            <v>Considered good - unsecured</v>
          </cell>
          <cell r="M110">
            <v>13105098</v>
          </cell>
          <cell r="N110">
            <v>0</v>
          </cell>
        </row>
        <row r="111">
          <cell r="E111" t="str">
            <v>Balance with banks</v>
          </cell>
          <cell r="M111">
            <v>1607600.18</v>
          </cell>
          <cell r="N111">
            <v>0</v>
          </cell>
        </row>
        <row r="112">
          <cell r="E112" t="str">
            <v>Balance with banks</v>
          </cell>
          <cell r="M112">
            <v>1653449.61</v>
          </cell>
          <cell r="N112">
            <v>0</v>
          </cell>
        </row>
        <row r="113">
          <cell r="E113" t="str">
            <v>Balance with banks</v>
          </cell>
          <cell r="M113">
            <v>4229603.2</v>
          </cell>
          <cell r="N113">
            <v>0</v>
          </cell>
        </row>
        <row r="114">
          <cell r="E114" t="str">
            <v>Balance with banks</v>
          </cell>
          <cell r="M114">
            <v>5220290.22</v>
          </cell>
          <cell r="N114">
            <v>0</v>
          </cell>
        </row>
        <row r="115">
          <cell r="E115" t="str">
            <v>Working Capital Loans from Bank</v>
          </cell>
          <cell r="M115">
            <v>-553018954.08000004</v>
          </cell>
          <cell r="N115">
            <v>0</v>
          </cell>
        </row>
        <row r="116">
          <cell r="E116" t="str">
            <v>Working Capital Loans from Bank</v>
          </cell>
          <cell r="M116">
            <v>-500000000</v>
          </cell>
          <cell r="N116">
            <v>0</v>
          </cell>
        </row>
        <row r="117">
          <cell r="E117" t="str">
            <v>Cash on hand</v>
          </cell>
          <cell r="M117">
            <v>120469.91</v>
          </cell>
          <cell r="N117">
            <v>0</v>
          </cell>
        </row>
        <row r="118">
          <cell r="E118" t="str">
            <v>Cash on hand</v>
          </cell>
          <cell r="M118">
            <v>6133</v>
          </cell>
          <cell r="N118">
            <v>0</v>
          </cell>
        </row>
        <row r="119">
          <cell r="E119" t="str">
            <v>Cash on hand</v>
          </cell>
          <cell r="M119">
            <v>10495</v>
          </cell>
          <cell r="N119">
            <v>0</v>
          </cell>
        </row>
        <row r="120">
          <cell r="E120" t="str">
            <v>Cash on hand</v>
          </cell>
          <cell r="M120">
            <v>164590</v>
          </cell>
          <cell r="N120">
            <v>0</v>
          </cell>
        </row>
        <row r="121">
          <cell r="E121" t="str">
            <v>Deposits with original maturity for more than 3 months and less than 12 Months</v>
          </cell>
          <cell r="M121">
            <v>460000</v>
          </cell>
          <cell r="N121">
            <v>0</v>
          </cell>
        </row>
        <row r="122">
          <cell r="E122" t="str">
            <v>Advance to employees</v>
          </cell>
          <cell r="M122">
            <v>45048</v>
          </cell>
          <cell r="N122">
            <v>0</v>
          </cell>
        </row>
        <row r="123">
          <cell r="E123" t="str">
            <v>Advance to employees</v>
          </cell>
          <cell r="M123">
            <v>14000</v>
          </cell>
          <cell r="N123">
            <v>0</v>
          </cell>
        </row>
        <row r="124">
          <cell r="E124" t="str">
            <v>Advance to employees</v>
          </cell>
          <cell r="M124">
            <v>33080</v>
          </cell>
          <cell r="N124">
            <v>0</v>
          </cell>
        </row>
        <row r="125">
          <cell r="E125" t="str">
            <v>Advance to employees</v>
          </cell>
          <cell r="M125">
            <v>75</v>
          </cell>
          <cell r="N125">
            <v>0</v>
          </cell>
        </row>
        <row r="126">
          <cell r="E126" t="str">
            <v>Loans to related party - subsidiaries (Considered good - unsecured)</v>
          </cell>
          <cell r="M126">
            <v>400000</v>
          </cell>
          <cell r="N126">
            <v>0</v>
          </cell>
        </row>
        <row r="127">
          <cell r="E127" t="str">
            <v>Security deposits</v>
          </cell>
          <cell r="M127">
            <v>636785.9</v>
          </cell>
          <cell r="N127">
            <v>8812340</v>
          </cell>
        </row>
        <row r="128">
          <cell r="E128" t="str">
            <v>Security deposits</v>
          </cell>
          <cell r="M128">
            <v>0</v>
          </cell>
          <cell r="N128">
            <v>2337450</v>
          </cell>
        </row>
        <row r="129">
          <cell r="E129" t="str">
            <v>Security deposits</v>
          </cell>
          <cell r="M129">
            <v>0</v>
          </cell>
          <cell r="N129">
            <v>32625</v>
          </cell>
        </row>
        <row r="130">
          <cell r="E130" t="str">
            <v>Security deposits</v>
          </cell>
          <cell r="M130">
            <v>0</v>
          </cell>
          <cell r="N130">
            <v>5000</v>
          </cell>
        </row>
        <row r="131">
          <cell r="E131" t="str">
            <v>Security deposits</v>
          </cell>
          <cell r="M131">
            <v>0</v>
          </cell>
          <cell r="N131">
            <v>750000</v>
          </cell>
        </row>
        <row r="132">
          <cell r="E132" t="str">
            <v>Deposits with original maturity for more than 3 months and less than 12 Months</v>
          </cell>
          <cell r="M132">
            <v>12352</v>
          </cell>
          <cell r="N132">
            <v>0</v>
          </cell>
        </row>
        <row r="133">
          <cell r="E133" t="str">
            <v>Security deposits</v>
          </cell>
          <cell r="M133">
            <v>0</v>
          </cell>
          <cell r="N133">
            <v>15156.38</v>
          </cell>
        </row>
        <row r="134">
          <cell r="E134" t="str">
            <v>Security deposits</v>
          </cell>
          <cell r="M134">
            <v>0</v>
          </cell>
          <cell r="N134">
            <v>300000</v>
          </cell>
        </row>
        <row r="135">
          <cell r="E135" t="str">
            <v>Security deposits</v>
          </cell>
          <cell r="M135">
            <v>0</v>
          </cell>
          <cell r="N135">
            <v>255000</v>
          </cell>
        </row>
        <row r="136">
          <cell r="E136" t="str">
            <v>Balances with Government Authorities</v>
          </cell>
          <cell r="M136">
            <v>34376252.939999998</v>
          </cell>
          <cell r="N136">
            <v>0</v>
          </cell>
        </row>
        <row r="137">
          <cell r="E137" t="str">
            <v>Balances with Government Authorities</v>
          </cell>
          <cell r="M137">
            <v>8926903.0800000001</v>
          </cell>
          <cell r="N137">
            <v>0</v>
          </cell>
        </row>
        <row r="138">
          <cell r="E138" t="str">
            <v>Balances with Government Authorities</v>
          </cell>
          <cell r="M138">
            <v>25334764.940000001</v>
          </cell>
          <cell r="N138">
            <v>0</v>
          </cell>
        </row>
        <row r="139">
          <cell r="E139" t="str">
            <v>Balances with Government Authorities</v>
          </cell>
          <cell r="M139">
            <v>-117812.34</v>
          </cell>
          <cell r="N139">
            <v>0</v>
          </cell>
        </row>
        <row r="140">
          <cell r="E140" t="str">
            <v>Balances with Government Authorities</v>
          </cell>
          <cell r="M140">
            <v>-92773.22</v>
          </cell>
          <cell r="N140">
            <v>0</v>
          </cell>
        </row>
        <row r="141">
          <cell r="E141" t="str">
            <v>Balances with Government Authorities</v>
          </cell>
          <cell r="M141">
            <v>-117812.34</v>
          </cell>
          <cell r="N141">
            <v>0</v>
          </cell>
        </row>
        <row r="142">
          <cell r="E142" t="str">
            <v>Balances with Government Authorities</v>
          </cell>
          <cell r="M142">
            <v>70080445</v>
          </cell>
          <cell r="N142">
            <v>0</v>
          </cell>
        </row>
        <row r="143">
          <cell r="E143" t="str">
            <v>Balances with Government Authorities</v>
          </cell>
          <cell r="M143">
            <v>9989985</v>
          </cell>
          <cell r="N143">
            <v>0</v>
          </cell>
        </row>
        <row r="144">
          <cell r="E144" t="str">
            <v>Balances with Government Authorities</v>
          </cell>
          <cell r="M144">
            <v>897833.24</v>
          </cell>
          <cell r="N144">
            <v>0</v>
          </cell>
        </row>
        <row r="145">
          <cell r="E145" t="str">
            <v>Other Tax Assets (Net)</v>
          </cell>
          <cell r="M145">
            <v>0</v>
          </cell>
          <cell r="N145">
            <v>-3</v>
          </cell>
        </row>
        <row r="146">
          <cell r="E146" t="str">
            <v>Advances for expenses</v>
          </cell>
          <cell r="M146">
            <v>31438</v>
          </cell>
          <cell r="N146">
            <v>0</v>
          </cell>
        </row>
        <row r="147">
          <cell r="E147" t="str">
            <v>Taxes paid under protest</v>
          </cell>
          <cell r="M147">
            <v>951558</v>
          </cell>
          <cell r="N147">
            <v>0</v>
          </cell>
        </row>
        <row r="148">
          <cell r="E148" t="str">
            <v xml:space="preserve">Statutory liabilities </v>
          </cell>
          <cell r="M148">
            <v>526988.88</v>
          </cell>
          <cell r="N148">
            <v>0</v>
          </cell>
        </row>
        <row r="149">
          <cell r="E149" t="str">
            <v>Other Tax Assets (Net)</v>
          </cell>
          <cell r="M149">
            <v>0</v>
          </cell>
          <cell r="N149">
            <v>13612910</v>
          </cell>
        </row>
        <row r="150">
          <cell r="E150" t="str">
            <v>Other Tax Assets (Net)</v>
          </cell>
          <cell r="M150">
            <v>0</v>
          </cell>
          <cell r="N150">
            <v>130000000</v>
          </cell>
        </row>
        <row r="151">
          <cell r="E151" t="str">
            <v>Interest accrued on GEB deposits</v>
          </cell>
          <cell r="M151">
            <v>0</v>
          </cell>
          <cell r="N151">
            <v>0</v>
          </cell>
        </row>
        <row r="152">
          <cell r="E152" t="str">
            <v>Prepaid expenses</v>
          </cell>
          <cell r="M152">
            <v>11339163.109999999</v>
          </cell>
          <cell r="N152">
            <v>0</v>
          </cell>
        </row>
        <row r="153">
          <cell r="E153" t="str">
            <v>Employee Benefits - Provisions for Gratuity and Compensated absences</v>
          </cell>
          <cell r="M153">
            <v>0</v>
          </cell>
          <cell r="N153">
            <v>5951504</v>
          </cell>
        </row>
        <row r="154">
          <cell r="E154" t="str">
            <v>Balances with Government Authorities</v>
          </cell>
          <cell r="M154">
            <v>66525872.57</v>
          </cell>
          <cell r="N154">
            <v>0</v>
          </cell>
        </row>
        <row r="155">
          <cell r="E155" t="str">
            <v>Total outstanding dues of creditors other than micro enterprises and small enterprises</v>
          </cell>
          <cell r="M155">
            <v>5800</v>
          </cell>
          <cell r="N155">
            <v>0</v>
          </cell>
        </row>
        <row r="157">
          <cell r="E157" t="str">
            <v>Property, Plant &amp; Equipment</v>
          </cell>
          <cell r="M157">
            <v>0</v>
          </cell>
          <cell r="N157">
            <v>98461989</v>
          </cell>
        </row>
        <row r="158">
          <cell r="E158" t="str">
            <v>Property, Plant &amp; Equipment</v>
          </cell>
          <cell r="M158">
            <v>0</v>
          </cell>
          <cell r="N158">
            <v>55797871.701419115</v>
          </cell>
        </row>
        <row r="159">
          <cell r="E159" t="str">
            <v>Property, Plant &amp; Equipment</v>
          </cell>
          <cell r="M159">
            <v>0</v>
          </cell>
          <cell r="N159">
            <v>-7408648.2603465915</v>
          </cell>
        </row>
        <row r="160">
          <cell r="E160" t="str">
            <v>Property, Plant &amp; Equipment</v>
          </cell>
          <cell r="M160">
            <v>0</v>
          </cell>
          <cell r="N160">
            <v>-34188.531698050909</v>
          </cell>
        </row>
        <row r="161">
          <cell r="E161" t="str">
            <v>Property, Plant &amp; Equipment</v>
          </cell>
          <cell r="M161">
            <v>0</v>
          </cell>
          <cell r="N161">
            <v>-207276.32231888827</v>
          </cell>
        </row>
        <row r="162">
          <cell r="E162" t="str">
            <v>Property, Plant &amp; Equipment</v>
          </cell>
          <cell r="M162">
            <v>0</v>
          </cell>
          <cell r="N162">
            <v>2770927.3652000679</v>
          </cell>
        </row>
        <row r="163">
          <cell r="E163" t="str">
            <v>Property Plant &amp; Equipment, Right of Use Assets &amp; Intangible Assets</v>
          </cell>
          <cell r="N163">
            <v>-12815214.880463721</v>
          </cell>
        </row>
        <row r="164">
          <cell r="E164" t="str">
            <v>Opening Balance - Retained Earnings</v>
          </cell>
          <cell r="M164">
            <v>0</v>
          </cell>
          <cell r="N164">
            <v>-136565460.07179201</v>
          </cell>
        </row>
        <row r="165">
          <cell r="E165" t="str">
            <v>Property, Plant &amp; Equipment</v>
          </cell>
          <cell r="N165">
            <v>36336247.315771319</v>
          </cell>
        </row>
        <row r="166">
          <cell r="E166" t="str">
            <v>(ii) Lease Liabilities</v>
          </cell>
          <cell r="M166">
            <v>-11242944.741591001</v>
          </cell>
          <cell r="N166">
            <v>-24580646.491951473</v>
          </cell>
        </row>
        <row r="167">
          <cell r="E167" t="str">
            <v>Security deposits</v>
          </cell>
          <cell r="N167">
            <v>-512656.08222884516</v>
          </cell>
        </row>
        <row r="169">
          <cell r="E169" t="str">
            <v>Property Plant &amp; Equipment, Right of Use Assets &amp; Intangible Assets</v>
          </cell>
          <cell r="N169">
            <v>-13702185.997922933</v>
          </cell>
        </row>
        <row r="170">
          <cell r="E170" t="str">
            <v>Lease liabilities - deferred tax assets</v>
          </cell>
          <cell r="N170">
            <v>9016081.4416579697</v>
          </cell>
        </row>
        <row r="171">
          <cell r="E171" t="str">
            <v>Security Deposits - deferred tax assets</v>
          </cell>
          <cell r="N171">
            <v>129025.28277535575</v>
          </cell>
        </row>
        <row r="172">
          <cell r="E172" t="str">
            <v>Opening Balance - Retained Earnings</v>
          </cell>
          <cell r="N172">
            <v>4557079.2734896075</v>
          </cell>
        </row>
        <row r="174">
          <cell r="E174" t="str">
            <v>Raw materials*</v>
          </cell>
          <cell r="M174">
            <v>5753598.4700000286</v>
          </cell>
          <cell r="N174">
            <v>0</v>
          </cell>
        </row>
        <row r="175">
          <cell r="E175" t="str">
            <v>Opening Balance - Retained Earnings</v>
          </cell>
          <cell r="N175">
            <v>-5753598.4700000286</v>
          </cell>
        </row>
        <row r="176">
          <cell r="E176" t="str">
            <v>Work-in-progress</v>
          </cell>
          <cell r="M176">
            <v>4115128</v>
          </cell>
          <cell r="N176">
            <v>0</v>
          </cell>
        </row>
        <row r="177">
          <cell r="E177" t="str">
            <v>Opening Balance - Retained Earnings</v>
          </cell>
          <cell r="N177">
            <v>-4115128</v>
          </cell>
        </row>
        <row r="178">
          <cell r="E178" t="str">
            <v>Finished goods**</v>
          </cell>
          <cell r="M178">
            <v>8090231</v>
          </cell>
          <cell r="N178">
            <v>0</v>
          </cell>
        </row>
        <row r="179">
          <cell r="E179" t="str">
            <v>Opening Balance - Retained Earnings</v>
          </cell>
          <cell r="N179">
            <v>-8090231</v>
          </cell>
        </row>
        <row r="180">
          <cell r="E180" t="str">
            <v>Packing material</v>
          </cell>
          <cell r="M180">
            <v>147683</v>
          </cell>
          <cell r="N180">
            <v>0</v>
          </cell>
        </row>
        <row r="181">
          <cell r="E181" t="str">
            <v>Opening Balance - Retained Earnings</v>
          </cell>
          <cell r="N181">
            <v>-147683</v>
          </cell>
        </row>
        <row r="182">
          <cell r="E182" t="str">
            <v>Forward contract receivables</v>
          </cell>
          <cell r="M182">
            <v>7114773.4911000011</v>
          </cell>
          <cell r="N182">
            <v>0</v>
          </cell>
        </row>
        <row r="183">
          <cell r="E183" t="str">
            <v>Addition during the year - Cashflow hedge reserve</v>
          </cell>
          <cell r="M183">
            <v>0</v>
          </cell>
          <cell r="N183">
            <v>-7114773.4911000002</v>
          </cell>
        </row>
        <row r="184">
          <cell r="E184" t="str">
            <v>Utilisation/ reversed during the year  - Cashflow hedge reserve</v>
          </cell>
          <cell r="M184">
            <v>0</v>
          </cell>
          <cell r="N184">
            <v>5012254.1781000001</v>
          </cell>
        </row>
        <row r="185">
          <cell r="E185" t="str">
            <v>Capital advances</v>
          </cell>
          <cell r="M185">
            <v>0</v>
          </cell>
          <cell r="N185">
            <v>23639588</v>
          </cell>
        </row>
        <row r="186">
          <cell r="E186" t="str">
            <v>Total outstanding dues of creditors other than micro enterprises and small enterprises</v>
          </cell>
          <cell r="M186">
            <v>-23639588</v>
          </cell>
          <cell r="N186">
            <v>0</v>
          </cell>
        </row>
        <row r="187">
          <cell r="E187" t="str">
            <v>Advances paid to Creditors</v>
          </cell>
          <cell r="M187">
            <v>156984054</v>
          </cell>
          <cell r="N187">
            <v>0</v>
          </cell>
        </row>
        <row r="188">
          <cell r="E188" t="str">
            <v>Total outstanding dues of creditors other than micro enterprises and small enterprises</v>
          </cell>
          <cell r="M188">
            <v>-156984054</v>
          </cell>
          <cell r="N188">
            <v>0</v>
          </cell>
        </row>
        <row r="189">
          <cell r="E189" t="str">
            <v>Working Capital Loans from Bank</v>
          </cell>
          <cell r="M189">
            <v>-632621</v>
          </cell>
          <cell r="N189">
            <v>0</v>
          </cell>
        </row>
        <row r="190">
          <cell r="E190" t="str">
            <v>Total outstanding dues of creditors other than micro enterprises and small enterprises</v>
          </cell>
          <cell r="M190">
            <v>632621</v>
          </cell>
          <cell r="N190">
            <v>0</v>
          </cell>
        </row>
        <row r="191">
          <cell r="E191" t="str">
            <v>Total outstanding dues of creditors other than micro enterprises and small enterprises</v>
          </cell>
          <cell r="M191">
            <v>17368750</v>
          </cell>
          <cell r="N191">
            <v>0</v>
          </cell>
        </row>
        <row r="192">
          <cell r="E192" t="str">
            <v>Other Tax Assets (Net)</v>
          </cell>
          <cell r="M192">
            <v>0</v>
          </cell>
          <cell r="N192">
            <v>-113912380</v>
          </cell>
        </row>
        <row r="193">
          <cell r="E193" t="str">
            <v>Property, Plant &amp; Equipment</v>
          </cell>
          <cell r="M193">
            <v>0</v>
          </cell>
          <cell r="N193">
            <v>73472305.469999999</v>
          </cell>
        </row>
        <row r="194">
          <cell r="E194" t="str">
            <v>Stores and spares</v>
          </cell>
          <cell r="M194">
            <v>-73472305.469999999</v>
          </cell>
          <cell r="N194">
            <v>0</v>
          </cell>
        </row>
        <row r="195">
          <cell r="E195" t="str">
            <v>Opening Balance - Retained Earnings</v>
          </cell>
          <cell r="M195">
            <v>0</v>
          </cell>
          <cell r="N195">
            <v>-343622531.41604</v>
          </cell>
        </row>
      </sheetData>
      <sheetData sheetId="34"/>
      <sheetData sheetId="35">
        <row r="27">
          <cell r="D27">
            <v>18106640.470000029</v>
          </cell>
        </row>
      </sheetData>
      <sheetData sheetId="36">
        <row r="16">
          <cell r="J16">
            <v>1591116109.5991166</v>
          </cell>
        </row>
      </sheetData>
      <sheetData sheetId="37">
        <row r="41">
          <cell r="C41">
            <v>1075793.0199999996</v>
          </cell>
        </row>
      </sheetData>
      <sheetData sheetId="38"/>
      <sheetData sheetId="39"/>
      <sheetData sheetId="40">
        <row r="47">
          <cell r="P47">
            <v>15805657.36765</v>
          </cell>
        </row>
      </sheetData>
      <sheetData sheetId="41"/>
      <sheetData sheetId="42"/>
      <sheetData sheetId="43"/>
      <sheetData sheetId="44">
        <row r="1">
          <cell r="H1" t="str">
            <v>Amount in Local Currency</v>
          </cell>
        </row>
      </sheetData>
      <sheetData sheetId="45"/>
      <sheetData sheetId="46"/>
      <sheetData sheetId="47"/>
      <sheetData sheetId="48"/>
      <sheetData sheetId="49">
        <row r="22">
          <cell r="H22">
            <v>448476.80555555556</v>
          </cell>
        </row>
      </sheetData>
      <sheetData sheetId="50"/>
      <sheetData sheetId="51"/>
      <sheetData sheetId="52">
        <row r="25">
          <cell r="D25">
            <v>3185081</v>
          </cell>
        </row>
      </sheetData>
      <sheetData sheetId="53"/>
      <sheetData sheetId="54" refreshError="1"/>
      <sheetData sheetId="55"/>
      <sheetData sheetId="56" refreshError="1"/>
      <sheetData sheetId="57" refreshError="1"/>
      <sheetData sheetId="58"/>
      <sheetData sheetId="59">
        <row r="38">
          <cell r="E38">
            <v>1101</v>
          </cell>
        </row>
      </sheetData>
      <sheetData sheetId="60"/>
      <sheetData sheetId="61"/>
      <sheetData sheetId="62"/>
      <sheetData sheetId="63"/>
      <sheetData sheetId="64"/>
      <sheetData sheetId="6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S"/>
      <sheetName val="PL"/>
      <sheetName val="TB - SNS - 31.3.24"/>
      <sheetName val="BS  Notes  4-18"/>
      <sheetName val="PPE- note 3"/>
      <sheetName val="Borrowings - note 14"/>
      <sheetName val="PL Notes 19-26"/>
    </sheetNames>
    <sheetDataSet>
      <sheetData sheetId="0" refreshError="1"/>
      <sheetData sheetId="1" refreshError="1"/>
      <sheetData sheetId="2">
        <row r="2">
          <cell r="J2">
            <v>0</v>
          </cell>
        </row>
        <row r="4">
          <cell r="F4" t="str">
            <v>Particulars</v>
          </cell>
          <cell r="J4" t="str">
            <v>Current</v>
          </cell>
        </row>
        <row r="5">
          <cell r="F5" t="str">
            <v>Equity Share Capital</v>
          </cell>
          <cell r="J5">
            <v>0</v>
          </cell>
        </row>
        <row r="6">
          <cell r="F6" t="str">
            <v>0.01% Non-Cumulative Compulsorily Conv Pref Shares</v>
          </cell>
          <cell r="J6">
            <v>0</v>
          </cell>
        </row>
        <row r="7">
          <cell r="F7" t="str">
            <v>Security Premium Account</v>
          </cell>
          <cell r="J7">
            <v>0</v>
          </cell>
        </row>
        <row r="8">
          <cell r="F8" t="str">
            <v>Profit &amp; Loss Account</v>
          </cell>
          <cell r="J8">
            <v>0</v>
          </cell>
        </row>
        <row r="9">
          <cell r="F9" t="str">
            <v>Retained earnings</v>
          </cell>
          <cell r="J9">
            <v>0</v>
          </cell>
        </row>
        <row r="10">
          <cell r="F10" t="str">
            <v>IND AS - Opening Balance - Retained Earnings</v>
          </cell>
          <cell r="J10">
            <v>0</v>
          </cell>
        </row>
        <row r="11">
          <cell r="F11" t="str">
            <v>Capital Redemption Reserve</v>
          </cell>
          <cell r="J11">
            <v>0</v>
          </cell>
        </row>
        <row r="12">
          <cell r="F12" t="str">
            <v>Cashflow Hedge Reserve</v>
          </cell>
          <cell r="J12">
            <v>0</v>
          </cell>
        </row>
        <row r="13">
          <cell r="F13" t="str">
            <v>Debenture Redemption</v>
          </cell>
          <cell r="J13">
            <v>0</v>
          </cell>
        </row>
        <row r="14">
          <cell r="F14" t="str">
            <v>Share based payment reserve</v>
          </cell>
          <cell r="J14">
            <v>0</v>
          </cell>
        </row>
        <row r="15">
          <cell r="F15" t="str">
            <v>FCTL_AXIS_9190600232</v>
          </cell>
          <cell r="J15">
            <v>0</v>
          </cell>
        </row>
        <row r="16">
          <cell r="F16" t="str">
            <v>FCTL_AXIS_9200600056</v>
          </cell>
          <cell r="J16">
            <v>0</v>
          </cell>
        </row>
        <row r="17">
          <cell r="F17" t="str">
            <v>FCTL_CITI_D09LSRR211390001</v>
          </cell>
          <cell r="J17">
            <v>0</v>
          </cell>
        </row>
        <row r="18">
          <cell r="F18" t="str">
            <v>FCTL_Kotak_0958FC0200000151</v>
          </cell>
          <cell r="J18">
            <v>0</v>
          </cell>
        </row>
        <row r="19">
          <cell r="F19" t="str">
            <v>FCTL_AXIS_ 921060057092373</v>
          </cell>
          <cell r="J19">
            <v>0</v>
          </cell>
        </row>
        <row r="20">
          <cell r="F20" t="str">
            <v>ECLGS_Axis_922060050473013</v>
          </cell>
          <cell r="J20">
            <v>0</v>
          </cell>
        </row>
        <row r="21">
          <cell r="F21" t="str">
            <v>FCTL_AXIS_ 922060050705152</v>
          </cell>
          <cell r="J21">
            <v>0</v>
          </cell>
        </row>
        <row r="22">
          <cell r="F22" t="str">
            <v>TL_AXIS_ 922060053769658</v>
          </cell>
          <cell r="J22">
            <v>0</v>
          </cell>
        </row>
        <row r="23">
          <cell r="F23" t="str">
            <v>TL_HDFC_ 429LN06240800001</v>
          </cell>
          <cell r="J23">
            <v>0</v>
          </cell>
        </row>
        <row r="24">
          <cell r="F24" t="str">
            <v>Unrealised Gain/Loss on Borrowing</v>
          </cell>
          <cell r="J24">
            <v>0</v>
          </cell>
        </row>
        <row r="25">
          <cell r="F25" t="str">
            <v>IND AS - Transaction Cost Impact on TL</v>
          </cell>
          <cell r="J25">
            <v>0</v>
          </cell>
        </row>
        <row r="26">
          <cell r="F26" t="str">
            <v>Deffred Tax Liability (FA)</v>
          </cell>
          <cell r="J26">
            <v>0</v>
          </cell>
        </row>
        <row r="27">
          <cell r="F27" t="str">
            <v>IND AS - Deferred Tax Liability</v>
          </cell>
          <cell r="J27">
            <v>0</v>
          </cell>
        </row>
        <row r="28">
          <cell r="F28" t="str">
            <v>Deferred Tax Assets U/s 43B</v>
          </cell>
          <cell r="J28">
            <v>0</v>
          </cell>
        </row>
        <row r="29">
          <cell r="F29" t="str">
            <v>EPC_Kotak</v>
          </cell>
          <cell r="J29">
            <v>0</v>
          </cell>
        </row>
        <row r="30">
          <cell r="F30" t="str">
            <v>WCDL_Kotak</v>
          </cell>
          <cell r="J30">
            <v>0</v>
          </cell>
        </row>
        <row r="31">
          <cell r="F31" t="str">
            <v>WCDL_HDFC</v>
          </cell>
          <cell r="J31">
            <v>0</v>
          </cell>
        </row>
        <row r="32">
          <cell r="F32" t="str">
            <v>TDS_Commission &amp; Brokerage_194H</v>
          </cell>
          <cell r="J32">
            <v>0</v>
          </cell>
        </row>
        <row r="33">
          <cell r="F33" t="str">
            <v>TDS_Professional and Consulting_194J</v>
          </cell>
          <cell r="J33">
            <v>0</v>
          </cell>
        </row>
        <row r="34">
          <cell r="F34" t="str">
            <v>TDS_Contractors_194C</v>
          </cell>
          <cell r="J34">
            <v>0</v>
          </cell>
        </row>
        <row r="35">
          <cell r="F35" t="str">
            <v>TDS_Interest on borrowing_194A</v>
          </cell>
          <cell r="J35">
            <v>0</v>
          </cell>
        </row>
        <row r="36">
          <cell r="F36" t="str">
            <v>TDS_Rent_194I</v>
          </cell>
          <cell r="J36">
            <v>0</v>
          </cell>
        </row>
        <row r="37">
          <cell r="F37" t="str">
            <v>TDS_Purchase on Goods_194Q</v>
          </cell>
          <cell r="J37">
            <v>0</v>
          </cell>
        </row>
        <row r="38">
          <cell r="F38" t="str">
            <v>TDS_Salary_192</v>
          </cell>
          <cell r="J38">
            <v>0</v>
          </cell>
        </row>
        <row r="39">
          <cell r="F39" t="str">
            <v>TDS_Non Resident_195</v>
          </cell>
          <cell r="J39">
            <v>0</v>
          </cell>
        </row>
        <row r="40">
          <cell r="F40" t="str">
            <v>Provision_Other Expenses</v>
          </cell>
          <cell r="J40">
            <v>0</v>
          </cell>
        </row>
        <row r="41">
          <cell r="F41" t="str">
            <v>Provision_C&amp;F Import</v>
          </cell>
          <cell r="J41">
            <v>0</v>
          </cell>
        </row>
        <row r="42">
          <cell r="F42" t="str">
            <v>Provision_PF and ESIC Contribution by Company</v>
          </cell>
          <cell r="J42">
            <v>0</v>
          </cell>
        </row>
        <row r="43">
          <cell r="F43" t="str">
            <v>Provision_Incentive</v>
          </cell>
          <cell r="J43">
            <v>0</v>
          </cell>
        </row>
        <row r="44">
          <cell r="F44" t="str">
            <v>Provision_Bonus</v>
          </cell>
          <cell r="J44">
            <v>0</v>
          </cell>
        </row>
        <row r="45">
          <cell r="F45" t="str">
            <v>Provision_C&amp;F Geneva Cost</v>
          </cell>
          <cell r="J45">
            <v>0</v>
          </cell>
        </row>
        <row r="46">
          <cell r="F46" t="str">
            <v>Provision_Contractor Bonus</v>
          </cell>
          <cell r="J46">
            <v>0</v>
          </cell>
        </row>
        <row r="47">
          <cell r="F47" t="str">
            <v>Provision for Gratuity</v>
          </cell>
          <cell r="J47">
            <v>0</v>
          </cell>
        </row>
        <row r="48">
          <cell r="F48" t="str">
            <v>Provision for Leave Salary</v>
          </cell>
          <cell r="J48">
            <v>0</v>
          </cell>
        </row>
        <row r="49">
          <cell r="F49" t="str">
            <v>Provision_Commission Charges</v>
          </cell>
          <cell r="J49">
            <v>0</v>
          </cell>
        </row>
        <row r="50">
          <cell r="F50" t="str">
            <v>Provision_Freight Ou</v>
          </cell>
          <cell r="J50">
            <v>0</v>
          </cell>
        </row>
        <row r="51">
          <cell r="F51" t="str">
            <v>Provision_Electricit</v>
          </cell>
          <cell r="J51">
            <v>0</v>
          </cell>
        </row>
        <row r="52">
          <cell r="F52" t="str">
            <v>Interest Accrued but not due</v>
          </cell>
          <cell r="J52">
            <v>0</v>
          </cell>
        </row>
        <row r="53">
          <cell r="F53" t="str">
            <v>Provision_C&amp;F Export Cost</v>
          </cell>
          <cell r="J53">
            <v>0</v>
          </cell>
        </row>
        <row r="54">
          <cell r="F54" t="str">
            <v>Provision_MSME Interest</v>
          </cell>
          <cell r="J54">
            <v>0</v>
          </cell>
        </row>
        <row r="55">
          <cell r="F55" t="str">
            <v>Provision_Leave Encashment_Contractors</v>
          </cell>
          <cell r="J55">
            <v>0</v>
          </cell>
        </row>
        <row r="56">
          <cell r="F56" t="str">
            <v>Payable - Raw Material Import</v>
          </cell>
          <cell r="J56">
            <v>0</v>
          </cell>
        </row>
        <row r="57">
          <cell r="F57" t="str">
            <v>Payable - Raw Material Domestic</v>
          </cell>
          <cell r="J57">
            <v>0</v>
          </cell>
        </row>
        <row r="58">
          <cell r="F58" t="str">
            <v>Payable - Packing Material</v>
          </cell>
          <cell r="J58">
            <v>0</v>
          </cell>
        </row>
        <row r="59">
          <cell r="F59" t="str">
            <v>Payable - Fuel</v>
          </cell>
          <cell r="J59">
            <v>0</v>
          </cell>
        </row>
        <row r="60">
          <cell r="F60" t="str">
            <v>Payable - Others</v>
          </cell>
          <cell r="J60">
            <v>0</v>
          </cell>
        </row>
        <row r="61">
          <cell r="F61" t="str">
            <v>Payables - Employees</v>
          </cell>
          <cell r="J61">
            <v>0</v>
          </cell>
        </row>
        <row r="62">
          <cell r="F62" t="str">
            <v>Clearing  SFG and FG</v>
          </cell>
          <cell r="J62">
            <v>0</v>
          </cell>
        </row>
        <row r="63">
          <cell r="F63" t="str">
            <v>Cntrl Stores&amp; Spares</v>
          </cell>
          <cell r="J63">
            <v>0</v>
          </cell>
        </row>
        <row r="64">
          <cell r="F64" t="str">
            <v>Custom Clearing GL</v>
          </cell>
          <cell r="J64">
            <v>0</v>
          </cell>
        </row>
        <row r="65">
          <cell r="F65" t="str">
            <v>Clearing  Services</v>
          </cell>
          <cell r="J65">
            <v>0</v>
          </cell>
        </row>
        <row r="66">
          <cell r="F66" t="str">
            <v>Payable - Bill discounting</v>
          </cell>
          <cell r="J66">
            <v>0</v>
          </cell>
        </row>
        <row r="67">
          <cell r="F67" t="str">
            <v>Payable - GIT</v>
          </cell>
          <cell r="J67">
            <v>0</v>
          </cell>
        </row>
        <row r="68">
          <cell r="F68" t="str">
            <v>Payable - Forex</v>
          </cell>
          <cell r="J68">
            <v>0</v>
          </cell>
        </row>
        <row r="69">
          <cell r="F69" t="str">
            <v>Payable - Advance</v>
          </cell>
          <cell r="J69">
            <v>0</v>
          </cell>
        </row>
        <row r="70">
          <cell r="F70" t="str">
            <v>PF Employee Contribution</v>
          </cell>
          <cell r="J70">
            <v>0</v>
          </cell>
        </row>
        <row r="71">
          <cell r="F71" t="str">
            <v>Professional Tax</v>
          </cell>
          <cell r="J71">
            <v>0</v>
          </cell>
        </row>
        <row r="72">
          <cell r="F72" t="str">
            <v>ESIC Payable</v>
          </cell>
          <cell r="J72">
            <v>0</v>
          </cell>
        </row>
        <row r="73">
          <cell r="F73" t="str">
            <v>Retention Money</v>
          </cell>
          <cell r="J73">
            <v>0</v>
          </cell>
        </row>
        <row r="74">
          <cell r="F74" t="str">
            <v>Salary Payable</v>
          </cell>
          <cell r="J74">
            <v>0</v>
          </cell>
        </row>
        <row r="75">
          <cell r="F75" t="str">
            <v>Capital Advances</v>
          </cell>
          <cell r="J75">
            <v>0</v>
          </cell>
        </row>
        <row r="76">
          <cell r="F76" t="str">
            <v>CC_Citi_0714430009</v>
          </cell>
          <cell r="J76">
            <v>0</v>
          </cell>
        </row>
        <row r="77">
          <cell r="F77" t="str">
            <v>CC_Citi_0714430009</v>
          </cell>
          <cell r="J77">
            <v>0</v>
          </cell>
        </row>
        <row r="78">
          <cell r="F78" t="str">
            <v>CC_Citi_0714430009</v>
          </cell>
          <cell r="J78">
            <v>0</v>
          </cell>
        </row>
        <row r="79">
          <cell r="F79" t="str">
            <v>NCDB_AZIM PREMJI TRU</v>
          </cell>
          <cell r="J79">
            <v>0</v>
          </cell>
        </row>
        <row r="80">
          <cell r="F80" t="str">
            <v>EPC_Citi</v>
          </cell>
          <cell r="J80">
            <v>0</v>
          </cell>
        </row>
        <row r="81">
          <cell r="F81" t="str">
            <v>EPC_HDFC</v>
          </cell>
          <cell r="J81">
            <v>0</v>
          </cell>
        </row>
        <row r="82">
          <cell r="F82" t="str">
            <v>EPC_Axis</v>
          </cell>
          <cell r="J82">
            <v>0</v>
          </cell>
        </row>
        <row r="83">
          <cell r="F83" t="str">
            <v>WCDL_Axis Bank</v>
          </cell>
          <cell r="J83">
            <v>0</v>
          </cell>
        </row>
        <row r="84">
          <cell r="F84" t="str">
            <v>Advance to Vendor</v>
          </cell>
          <cell r="J84">
            <v>0</v>
          </cell>
        </row>
        <row r="85">
          <cell r="F85" t="str">
            <v>Forward contract pay</v>
          </cell>
          <cell r="J85">
            <v>0</v>
          </cell>
        </row>
        <row r="86">
          <cell r="F86" t="str">
            <v>IND AS - Lease Liability</v>
          </cell>
          <cell r="J86">
            <v>0</v>
          </cell>
        </row>
        <row r="87">
          <cell r="F87" t="str">
            <v>CA_HDFC_57500000638830</v>
          </cell>
          <cell r="J87">
            <v>0</v>
          </cell>
        </row>
        <row r="88">
          <cell r="F88" t="str">
            <v>CA_HDFC_57500000638830</v>
          </cell>
          <cell r="J88">
            <v>0</v>
          </cell>
        </row>
        <row r="89">
          <cell r="F89" t="str">
            <v>CA_HDFC_57500000638830</v>
          </cell>
          <cell r="J89">
            <v>0</v>
          </cell>
        </row>
        <row r="90">
          <cell r="F90" t="str">
            <v>CC_Axis_915030047501140</v>
          </cell>
          <cell r="J90">
            <v>0</v>
          </cell>
        </row>
        <row r="91">
          <cell r="F91" t="str">
            <v>CC_Axis_915030047501140</v>
          </cell>
          <cell r="J91">
            <v>0</v>
          </cell>
        </row>
        <row r="92">
          <cell r="F92" t="str">
            <v>CC_Axis_915030047501140</v>
          </cell>
          <cell r="J92">
            <v>0</v>
          </cell>
        </row>
        <row r="93">
          <cell r="F93" t="str">
            <v>CA_Axis_915020011744116</v>
          </cell>
          <cell r="J93">
            <v>0</v>
          </cell>
        </row>
        <row r="94">
          <cell r="F94" t="str">
            <v>CA_Axis_915020011744116</v>
          </cell>
          <cell r="J94">
            <v>0</v>
          </cell>
        </row>
        <row r="95">
          <cell r="F95" t="str">
            <v>CA_Axis_915020011744116</v>
          </cell>
          <cell r="J95">
            <v>0</v>
          </cell>
        </row>
        <row r="96">
          <cell r="F96" t="str">
            <v>EEFC_Axis_917020037730465</v>
          </cell>
          <cell r="J96">
            <v>0</v>
          </cell>
        </row>
        <row r="97">
          <cell r="F97" t="str">
            <v>EEFC_Axis_917020037730465</v>
          </cell>
          <cell r="J97">
            <v>0</v>
          </cell>
        </row>
        <row r="98">
          <cell r="F98" t="str">
            <v>EEFC_Axis_917020037730465</v>
          </cell>
          <cell r="J98">
            <v>0</v>
          </cell>
        </row>
        <row r="99">
          <cell r="F99" t="str">
            <v>EEFC_Citi_0714430017</v>
          </cell>
          <cell r="J99">
            <v>0</v>
          </cell>
        </row>
        <row r="100">
          <cell r="F100" t="str">
            <v>EEFC_Citi_0714430017</v>
          </cell>
          <cell r="J100">
            <v>0</v>
          </cell>
        </row>
        <row r="101">
          <cell r="F101" t="str">
            <v>EEFC_Citi_0714430017</v>
          </cell>
          <cell r="J101">
            <v>0</v>
          </cell>
        </row>
        <row r="102">
          <cell r="F102" t="str">
            <v>EEFC_Kotak_4845916403</v>
          </cell>
          <cell r="J102">
            <v>0</v>
          </cell>
        </row>
        <row r="103">
          <cell r="F103" t="str">
            <v>EEFC_Kotak_4845916403</v>
          </cell>
          <cell r="J103">
            <v>0</v>
          </cell>
        </row>
        <row r="104">
          <cell r="F104" t="str">
            <v>EEFC_Kotak_4845916403</v>
          </cell>
          <cell r="J104">
            <v>0</v>
          </cell>
        </row>
        <row r="105">
          <cell r="F105" t="str">
            <v>EEFC_HDFC_50200058647301</v>
          </cell>
          <cell r="J105">
            <v>0</v>
          </cell>
        </row>
        <row r="106">
          <cell r="F106" t="str">
            <v>EEFC_HDFC_50200058647301</v>
          </cell>
          <cell r="J106">
            <v>0</v>
          </cell>
        </row>
        <row r="107">
          <cell r="F107" t="str">
            <v>EEFC_HDFC_50200058647301</v>
          </cell>
          <cell r="J107">
            <v>0</v>
          </cell>
        </row>
        <row r="108">
          <cell r="F108" t="str">
            <v>CC_Kotak_4845146848</v>
          </cell>
          <cell r="J108">
            <v>0</v>
          </cell>
        </row>
        <row r="109">
          <cell r="F109" t="str">
            <v>CC_Kotak_4845146848</v>
          </cell>
          <cell r="J109">
            <v>0</v>
          </cell>
        </row>
        <row r="110">
          <cell r="F110" t="str">
            <v>CC_Kotak_4845146848</v>
          </cell>
          <cell r="J110">
            <v>0</v>
          </cell>
        </row>
        <row r="111">
          <cell r="F111" t="str">
            <v>CABOB_01890500000065</v>
          </cell>
          <cell r="J111">
            <v>0</v>
          </cell>
        </row>
        <row r="112">
          <cell r="F112" t="str">
            <v>CABOB_01890500000065</v>
          </cell>
          <cell r="J112">
            <v>0</v>
          </cell>
        </row>
        <row r="113">
          <cell r="F113" t="str">
            <v>CABOB_01890500000065</v>
          </cell>
          <cell r="J113">
            <v>0</v>
          </cell>
        </row>
        <row r="114">
          <cell r="F114" t="str">
            <v>Realized Gain/Loss EEFC Bank</v>
          </cell>
          <cell r="J114">
            <v>0</v>
          </cell>
        </row>
        <row r="115">
          <cell r="F115" t="str">
            <v>AXIS Bani_Application Money</v>
          </cell>
          <cell r="J115">
            <v>0</v>
          </cell>
        </row>
        <row r="116">
          <cell r="F116" t="str">
            <v>FD_HDFC_LC Margin</v>
          </cell>
          <cell r="J116">
            <v>0</v>
          </cell>
        </row>
        <row r="117">
          <cell r="F117" t="str">
            <v>FD_BOB</v>
          </cell>
          <cell r="J117">
            <v>0</v>
          </cell>
        </row>
        <row r="118">
          <cell r="F118" t="str">
            <v>FD_IOB</v>
          </cell>
          <cell r="J118">
            <v>0</v>
          </cell>
        </row>
        <row r="119">
          <cell r="F119" t="str">
            <v>FD_Axis</v>
          </cell>
          <cell r="J119">
            <v>0</v>
          </cell>
        </row>
        <row r="120">
          <cell r="F120" t="str">
            <v>Citi_LC Margin</v>
          </cell>
          <cell r="J120">
            <v>0</v>
          </cell>
        </row>
        <row r="121">
          <cell r="F121" t="str">
            <v>TCS_Sales on Goods_260C(1H)</v>
          </cell>
          <cell r="J121">
            <v>0</v>
          </cell>
        </row>
        <row r="122">
          <cell r="F122" t="str">
            <v>Provision_Income Tax</v>
          </cell>
          <cell r="J122">
            <v>0</v>
          </cell>
        </row>
        <row r="123">
          <cell r="F123" t="str">
            <v>GST Refund_Custom Department</v>
          </cell>
          <cell r="J123">
            <v>0</v>
          </cell>
        </row>
        <row r="124">
          <cell r="F124" t="str">
            <v>CGST Payable</v>
          </cell>
          <cell r="J124">
            <v>0</v>
          </cell>
        </row>
        <row r="125">
          <cell r="F125" t="str">
            <v>SGST Payable</v>
          </cell>
          <cell r="J125">
            <v>0</v>
          </cell>
        </row>
        <row r="126">
          <cell r="F126" t="str">
            <v>IGST Payable</v>
          </cell>
          <cell r="J126">
            <v>0</v>
          </cell>
        </row>
        <row r="127">
          <cell r="F127" t="str">
            <v>GST Refund_GST Department</v>
          </cell>
          <cell r="J127">
            <v>0</v>
          </cell>
        </row>
        <row r="128">
          <cell r="F128" t="str">
            <v>Share Application Money</v>
          </cell>
          <cell r="J128">
            <v>0</v>
          </cell>
        </row>
        <row r="129">
          <cell r="F129" t="str">
            <v>Freehold land</v>
          </cell>
          <cell r="J129">
            <v>0</v>
          </cell>
        </row>
        <row r="130">
          <cell r="F130" t="str">
            <v>Building</v>
          </cell>
          <cell r="J130">
            <v>0</v>
          </cell>
        </row>
        <row r="131">
          <cell r="F131" t="str">
            <v>ACC_DEP_Building</v>
          </cell>
          <cell r="J131">
            <v>0</v>
          </cell>
        </row>
        <row r="132">
          <cell r="F132" t="str">
            <v>Plant and machinery</v>
          </cell>
          <cell r="J132">
            <v>0</v>
          </cell>
        </row>
        <row r="133">
          <cell r="F133" t="str">
            <v>ACC_DEP_Plant and machinery</v>
          </cell>
          <cell r="J133">
            <v>0</v>
          </cell>
        </row>
        <row r="134">
          <cell r="F134" t="str">
            <v>Office equiment</v>
          </cell>
          <cell r="J134">
            <v>0</v>
          </cell>
        </row>
        <row r="135">
          <cell r="F135" t="str">
            <v>ACC_DEP_Office equiment</v>
          </cell>
          <cell r="J135">
            <v>0</v>
          </cell>
        </row>
        <row r="136">
          <cell r="F136" t="str">
            <v>Vehicle</v>
          </cell>
          <cell r="J136">
            <v>0</v>
          </cell>
        </row>
        <row r="137">
          <cell r="F137" t="str">
            <v>ACC_DEP_Vehicle</v>
          </cell>
          <cell r="J137">
            <v>0</v>
          </cell>
        </row>
        <row r="138">
          <cell r="F138" t="str">
            <v>Computers</v>
          </cell>
          <cell r="J138">
            <v>0</v>
          </cell>
        </row>
        <row r="139">
          <cell r="F139" t="str">
            <v>ACC_DEP_Computers</v>
          </cell>
          <cell r="J139">
            <v>0</v>
          </cell>
        </row>
        <row r="140">
          <cell r="F140" t="str">
            <v>Furniture and fixtures</v>
          </cell>
          <cell r="J140">
            <v>0</v>
          </cell>
        </row>
        <row r="141">
          <cell r="F141" t="str">
            <v>ACC_DEP_Furniture and fixtures</v>
          </cell>
          <cell r="J141">
            <v>0</v>
          </cell>
        </row>
        <row r="142">
          <cell r="F142" t="str">
            <v>Electrical fittings</v>
          </cell>
          <cell r="J142">
            <v>0</v>
          </cell>
        </row>
        <row r="143">
          <cell r="F143" t="str">
            <v>ACC_DEP_Electrical fittings</v>
          </cell>
          <cell r="J143">
            <v>0</v>
          </cell>
        </row>
        <row r="144">
          <cell r="F144" t="str">
            <v>Computer Software</v>
          </cell>
          <cell r="J144">
            <v>0</v>
          </cell>
        </row>
        <row r="145">
          <cell r="F145" t="str">
            <v>ACC_DEP_Computer Software</v>
          </cell>
          <cell r="J145">
            <v>0</v>
          </cell>
        </row>
        <row r="146">
          <cell r="F146" t="str">
            <v>Capital Work In Progress</v>
          </cell>
          <cell r="J146">
            <v>0</v>
          </cell>
        </row>
        <row r="147">
          <cell r="F147" t="str">
            <v>Capital Work In Progress - Internal Orders</v>
          </cell>
          <cell r="J147">
            <v>0</v>
          </cell>
        </row>
        <row r="148">
          <cell r="F148" t="str">
            <v>Investment in Equity Shares - BVOPL</v>
          </cell>
          <cell r="J148">
            <v>0</v>
          </cell>
        </row>
        <row r="149">
          <cell r="F149" t="str">
            <v>Investment in Equity Shares - BVCSPL</v>
          </cell>
          <cell r="J149">
            <v>0</v>
          </cell>
        </row>
        <row r="150">
          <cell r="F150" t="str">
            <v>Investment in OCPS-</v>
          </cell>
          <cell r="J150">
            <v>0</v>
          </cell>
        </row>
        <row r="151">
          <cell r="F151" t="str">
            <v>Investment in OCPS-</v>
          </cell>
          <cell r="J151">
            <v>0</v>
          </cell>
        </row>
        <row r="152">
          <cell r="F152" t="str">
            <v>Investment in CCPS-BVC Specialities</v>
          </cell>
          <cell r="J152">
            <v>0</v>
          </cell>
        </row>
        <row r="153">
          <cell r="F153" t="str">
            <v>IND AS - Investments in Preference Share</v>
          </cell>
          <cell r="J153">
            <v>0</v>
          </cell>
        </row>
        <row r="154">
          <cell r="F154" t="str">
            <v>Loan to RPT- Best Value Organics Pvt Ltd.</v>
          </cell>
          <cell r="J154">
            <v>0</v>
          </cell>
        </row>
        <row r="155">
          <cell r="F155" t="str">
            <v>Loan to RPT- BVC Specialities Pvt Ltd.</v>
          </cell>
          <cell r="J155">
            <v>0</v>
          </cell>
        </row>
        <row r="156">
          <cell r="F156" t="str">
            <v>MEIS/RODTEP Script</v>
          </cell>
          <cell r="J156">
            <v>0</v>
          </cell>
        </row>
        <row r="157">
          <cell r="F157" t="str">
            <v>Duty Draw Back Receivables</v>
          </cell>
          <cell r="J157">
            <v>0</v>
          </cell>
        </row>
        <row r="158">
          <cell r="F158" t="str">
            <v>ITC not in GSTR 2B</v>
          </cell>
          <cell r="J158">
            <v>0</v>
          </cell>
        </row>
        <row r="159">
          <cell r="F159" t="str">
            <v>Advance Tax_AY_2024-25</v>
          </cell>
          <cell r="J159">
            <v>0</v>
          </cell>
        </row>
        <row r="160">
          <cell r="F160" t="str">
            <v>GST Appeal</v>
          </cell>
          <cell r="J160">
            <v>0</v>
          </cell>
        </row>
        <row r="161">
          <cell r="F161" t="str">
            <v>Forward contract rec</v>
          </cell>
          <cell r="J161">
            <v>0</v>
          </cell>
        </row>
        <row r="162">
          <cell r="F162" t="str">
            <v>Raw Material Stock</v>
          </cell>
          <cell r="J162">
            <v>0</v>
          </cell>
        </row>
        <row r="163">
          <cell r="F163" t="str">
            <v>Packing Material Stock</v>
          </cell>
          <cell r="J163">
            <v>0</v>
          </cell>
        </row>
        <row r="164">
          <cell r="F164" t="str">
            <v>Fuel Stock</v>
          </cell>
          <cell r="J164">
            <v>0</v>
          </cell>
        </row>
        <row r="165">
          <cell r="F165" t="str">
            <v>SFG Stock in Plants</v>
          </cell>
          <cell r="J165">
            <v>0</v>
          </cell>
        </row>
        <row r="166">
          <cell r="F166" t="str">
            <v>Finish Goods Stock</v>
          </cell>
          <cell r="J166">
            <v>0</v>
          </cell>
        </row>
        <row r="167">
          <cell r="F167" t="str">
            <v>Store and Spares -</v>
          </cell>
          <cell r="J167">
            <v>0</v>
          </cell>
        </row>
        <row r="168">
          <cell r="F168" t="str">
            <v>Goods In Transit - S</v>
          </cell>
          <cell r="J168">
            <v>0</v>
          </cell>
        </row>
        <row r="169">
          <cell r="F169" t="str">
            <v>Goods In Transit - P</v>
          </cell>
          <cell r="J169">
            <v>0</v>
          </cell>
        </row>
        <row r="170">
          <cell r="F170" t="str">
            <v>Inventory_Manual Entry</v>
          </cell>
          <cell r="J170">
            <v>0</v>
          </cell>
        </row>
        <row r="171">
          <cell r="F171" t="str">
            <v>WIP Stock</v>
          </cell>
          <cell r="J171">
            <v>0</v>
          </cell>
        </row>
        <row r="172">
          <cell r="F172" t="str">
            <v>Receivables- Export</v>
          </cell>
          <cell r="J172">
            <v>0</v>
          </cell>
        </row>
        <row r="173">
          <cell r="F173" t="str">
            <v>Receivables-Domestic</v>
          </cell>
          <cell r="J173">
            <v>0</v>
          </cell>
        </row>
        <row r="174">
          <cell r="F174" t="str">
            <v>Receivables- SEZ</v>
          </cell>
          <cell r="J174">
            <v>0</v>
          </cell>
        </row>
        <row r="175">
          <cell r="F175" t="str">
            <v>Receivables- Deemed</v>
          </cell>
          <cell r="J175">
            <v>0</v>
          </cell>
        </row>
        <row r="176">
          <cell r="F176" t="str">
            <v>Receivables- Scrap</v>
          </cell>
          <cell r="J176">
            <v>0</v>
          </cell>
        </row>
        <row r="177">
          <cell r="F177" t="str">
            <v>Receivables- GIT</v>
          </cell>
          <cell r="J177">
            <v>0</v>
          </cell>
        </row>
        <row r="178">
          <cell r="F178" t="str">
            <v>Receivables- Forex</v>
          </cell>
          <cell r="J178">
            <v>0</v>
          </cell>
        </row>
        <row r="179">
          <cell r="F179" t="str">
            <v>Receivables- Advance</v>
          </cell>
          <cell r="J179">
            <v>0</v>
          </cell>
        </row>
        <row r="180">
          <cell r="F180" t="str">
            <v>Cash Baroda</v>
          </cell>
          <cell r="J180">
            <v>0</v>
          </cell>
        </row>
        <row r="181">
          <cell r="F181" t="str">
            <v>Cash Karakhadi</v>
          </cell>
          <cell r="J181">
            <v>0</v>
          </cell>
        </row>
        <row r="182">
          <cell r="F182" t="str">
            <v>Cash Moxi</v>
          </cell>
          <cell r="J182">
            <v>0</v>
          </cell>
        </row>
        <row r="183">
          <cell r="F183" t="str">
            <v>Cash_FCY</v>
          </cell>
          <cell r="J183">
            <v>0</v>
          </cell>
        </row>
        <row r="184">
          <cell r="F184" t="str">
            <v>Loan to employees</v>
          </cell>
          <cell r="J184">
            <v>0</v>
          </cell>
        </row>
        <row r="185">
          <cell r="F185" t="str">
            <v>Loan to Others</v>
          </cell>
          <cell r="J185">
            <v>0</v>
          </cell>
        </row>
        <row r="186">
          <cell r="F186" t="str">
            <v>Advances to Employees_IOU</v>
          </cell>
          <cell r="J186">
            <v>0</v>
          </cell>
        </row>
        <row r="187">
          <cell r="F187" t="str">
            <v>Deposit_GEB</v>
          </cell>
          <cell r="J187">
            <v>0</v>
          </cell>
        </row>
        <row r="188">
          <cell r="F188" t="str">
            <v>Deposit_EICL</v>
          </cell>
          <cell r="J188">
            <v>0</v>
          </cell>
        </row>
        <row r="189">
          <cell r="F189" t="str">
            <v>Deposit_Moxi Plant</v>
          </cell>
          <cell r="J189">
            <v>0</v>
          </cell>
        </row>
        <row r="190">
          <cell r="F190" t="str">
            <v>Deposit_Custom Port</v>
          </cell>
          <cell r="J190">
            <v>0</v>
          </cell>
        </row>
        <row r="191">
          <cell r="F191" t="str">
            <v>Deposit_Prohibition and Excise</v>
          </cell>
          <cell r="J191">
            <v>0</v>
          </cell>
        </row>
        <row r="192">
          <cell r="F192" t="str">
            <v>Deposit_Insurance CD</v>
          </cell>
          <cell r="J192">
            <v>0</v>
          </cell>
        </row>
        <row r="193">
          <cell r="F193" t="str">
            <v>Deposit_Other</v>
          </cell>
          <cell r="J193">
            <v>0</v>
          </cell>
        </row>
        <row r="194">
          <cell r="F194" t="str">
            <v>CGST Receivable</v>
          </cell>
          <cell r="J194">
            <v>0</v>
          </cell>
        </row>
        <row r="195">
          <cell r="F195" t="str">
            <v>IGST Receivable</v>
          </cell>
          <cell r="J195">
            <v>0</v>
          </cell>
        </row>
        <row r="196">
          <cell r="F196" t="str">
            <v>SGST Receivable</v>
          </cell>
          <cell r="J196">
            <v>0</v>
          </cell>
        </row>
        <row r="197">
          <cell r="F197" t="str">
            <v>Service Tax Receivable_Under Protest</v>
          </cell>
          <cell r="J197">
            <v>0</v>
          </cell>
        </row>
        <row r="198">
          <cell r="F198" t="str">
            <v>Cenvat Credit Receivable</v>
          </cell>
          <cell r="J198">
            <v>0</v>
          </cell>
        </row>
        <row r="199">
          <cell r="F199" t="str">
            <v>TCS Receivable</v>
          </cell>
          <cell r="J199">
            <v>0</v>
          </cell>
        </row>
        <row r="200">
          <cell r="F200" t="str">
            <v>Income Tax_Refund_AY_2017-18</v>
          </cell>
          <cell r="J200">
            <v>0</v>
          </cell>
        </row>
        <row r="201">
          <cell r="F201" t="str">
            <v>Advance Tax_AY_2023-</v>
          </cell>
          <cell r="J201">
            <v>0</v>
          </cell>
        </row>
        <row r="202">
          <cell r="F202" t="str">
            <v>TDS Receiveable_194Q</v>
          </cell>
          <cell r="J202">
            <v>0</v>
          </cell>
        </row>
        <row r="203">
          <cell r="F203" t="str">
            <v>TDS Receivable_Other</v>
          </cell>
          <cell r="J203">
            <v>0</v>
          </cell>
        </row>
        <row r="204">
          <cell r="F204" t="str">
            <v>Prepaid Expenses</v>
          </cell>
          <cell r="J204">
            <v>0</v>
          </cell>
        </row>
        <row r="205">
          <cell r="F205" t="str">
            <v>Sarju Shah_Reim</v>
          </cell>
          <cell r="J205">
            <v>0</v>
          </cell>
        </row>
        <row r="206">
          <cell r="F206" t="str">
            <v>Other Receivables</v>
          </cell>
          <cell r="J206">
            <v>0</v>
          </cell>
        </row>
        <row r="207">
          <cell r="F207" t="str">
            <v>ROU Asset</v>
          </cell>
          <cell r="J207">
            <v>0</v>
          </cell>
        </row>
        <row r="208">
          <cell r="F208" t="str">
            <v>ACC_DEP_ROU Assets</v>
          </cell>
          <cell r="J208">
            <v>0</v>
          </cell>
        </row>
        <row r="209">
          <cell r="F209" t="str">
            <v>IND AS - Security deposit</v>
          </cell>
          <cell r="J209">
            <v>0</v>
          </cell>
        </row>
        <row r="210">
          <cell r="F210" t="str">
            <v>IND AS - Receivable from employee (Finance Lease)</v>
          </cell>
          <cell r="J210">
            <v>0</v>
          </cell>
        </row>
        <row r="211">
          <cell r="F211" t="str">
            <v>Derivative_IRS</v>
          </cell>
          <cell r="J211">
            <v>0</v>
          </cell>
        </row>
        <row r="212">
          <cell r="F212" t="str">
            <v>Sales Export</v>
          </cell>
          <cell r="J212">
            <v>0</v>
          </cell>
        </row>
        <row r="213">
          <cell r="F213" t="str">
            <v>Domestic Sales</v>
          </cell>
          <cell r="J213">
            <v>0</v>
          </cell>
        </row>
        <row r="214">
          <cell r="F214" t="str">
            <v>Scrap Sales</v>
          </cell>
          <cell r="J214">
            <v>0</v>
          </cell>
        </row>
        <row r="215">
          <cell r="F215" t="str">
            <v>Sales_Rate Difference</v>
          </cell>
          <cell r="J215">
            <v>0</v>
          </cell>
        </row>
        <row r="216">
          <cell r="F216" t="str">
            <v>Realised Forex Gain/loss</v>
          </cell>
          <cell r="J216">
            <v>0</v>
          </cell>
        </row>
        <row r="217">
          <cell r="F217" t="str">
            <v>Interest On Deposit</v>
          </cell>
          <cell r="J217">
            <v>0</v>
          </cell>
        </row>
        <row r="218">
          <cell r="F218" t="str">
            <v>Interest on Bank Deposit</v>
          </cell>
          <cell r="J218">
            <v>0</v>
          </cell>
        </row>
        <row r="219">
          <cell r="F219" t="str">
            <v>Other Income</v>
          </cell>
          <cell r="J219">
            <v>0</v>
          </cell>
        </row>
        <row r="220">
          <cell r="F220" t="str">
            <v>Invoice Rounding Off</v>
          </cell>
          <cell r="J220">
            <v>0</v>
          </cell>
        </row>
        <row r="221">
          <cell r="F221" t="str">
            <v>Interest on Income Tax Refund</v>
          </cell>
          <cell r="J221">
            <v>0</v>
          </cell>
        </row>
        <row r="222">
          <cell r="F222" t="str">
            <v>Gain on Sale of Assets</v>
          </cell>
          <cell r="J222">
            <v>0</v>
          </cell>
        </row>
        <row r="223">
          <cell r="F223" t="str">
            <v>Revenue from Asset Sale</v>
          </cell>
          <cell r="J223">
            <v>0</v>
          </cell>
        </row>
        <row r="224">
          <cell r="F224" t="str">
            <v>IND AS - Fair Value Gain on Pref Share</v>
          </cell>
          <cell r="J224">
            <v>0</v>
          </cell>
        </row>
        <row r="225">
          <cell r="F225" t="str">
            <v>IND AS - Interest Income</v>
          </cell>
          <cell r="J225">
            <v>0</v>
          </cell>
        </row>
        <row r="226">
          <cell r="F226" t="str">
            <v>MEIS/RODTEP Script</v>
          </cell>
          <cell r="J226">
            <v>0</v>
          </cell>
        </row>
        <row r="227">
          <cell r="F227" t="str">
            <v>Unrealised Forex Gain/loss</v>
          </cell>
          <cell r="J227">
            <v>0</v>
          </cell>
        </row>
        <row r="228">
          <cell r="F228" t="str">
            <v>Duty Drawback Received</v>
          </cell>
          <cell r="J228">
            <v>0</v>
          </cell>
        </row>
        <row r="229">
          <cell r="F229" t="str">
            <v>Unrealised Gain/Loss on Borrowing P&amp;L</v>
          </cell>
          <cell r="J229">
            <v>0</v>
          </cell>
        </row>
        <row r="230">
          <cell r="F230" t="str">
            <v>Duty Free Under MEIS</v>
          </cell>
          <cell r="J230">
            <v>0</v>
          </cell>
        </row>
        <row r="231">
          <cell r="F231" t="str">
            <v>Sales In transit</v>
          </cell>
          <cell r="J231">
            <v>0</v>
          </cell>
        </row>
        <row r="232">
          <cell r="F232" t="str">
            <v>Forex Gain &amp; loss on Forward Contract</v>
          </cell>
          <cell r="J232">
            <v>0</v>
          </cell>
        </row>
        <row r="233">
          <cell r="F233" t="str">
            <v>Custom Duty</v>
          </cell>
          <cell r="J233">
            <v>0</v>
          </cell>
        </row>
        <row r="234">
          <cell r="F234" t="str">
            <v>Import Cost on Material</v>
          </cell>
          <cell r="J234">
            <v>0</v>
          </cell>
        </row>
        <row r="235">
          <cell r="F235" t="str">
            <v>Freight Inward Local</v>
          </cell>
          <cell r="J235">
            <v>0</v>
          </cell>
        </row>
        <row r="236">
          <cell r="F236" t="str">
            <v>Consumption of Fuel</v>
          </cell>
          <cell r="J236">
            <v>0</v>
          </cell>
        </row>
        <row r="237">
          <cell r="F237" t="str">
            <v>Consumption of Stores and Spares</v>
          </cell>
          <cell r="J237">
            <v>0</v>
          </cell>
        </row>
        <row r="238">
          <cell r="F238" t="str">
            <v>Consumption of Consumable Item</v>
          </cell>
          <cell r="J238">
            <v>0</v>
          </cell>
        </row>
        <row r="239">
          <cell r="F239" t="str">
            <v>Power Cost_Corporate office</v>
          </cell>
          <cell r="J239">
            <v>0</v>
          </cell>
        </row>
        <row r="240">
          <cell r="F240" t="str">
            <v>Power Cost</v>
          </cell>
          <cell r="J240">
            <v>0</v>
          </cell>
        </row>
        <row r="241">
          <cell r="F241" t="str">
            <v>Labour Charges</v>
          </cell>
          <cell r="J241">
            <v>0</v>
          </cell>
        </row>
        <row r="242">
          <cell r="F242" t="str">
            <v>Jobwork Charges</v>
          </cell>
          <cell r="J242">
            <v>0</v>
          </cell>
        </row>
        <row r="243">
          <cell r="F243" t="str">
            <v>Effluent Treatment Charges</v>
          </cell>
          <cell r="J243">
            <v>0</v>
          </cell>
        </row>
        <row r="244">
          <cell r="F244" t="str">
            <v>Repair and Maintance Labour</v>
          </cell>
          <cell r="J244">
            <v>0</v>
          </cell>
        </row>
        <row r="245">
          <cell r="F245" t="str">
            <v>Consumable Items</v>
          </cell>
          <cell r="J245">
            <v>0</v>
          </cell>
        </row>
        <row r="246">
          <cell r="F246" t="str">
            <v>Contract labour Bonus</v>
          </cell>
          <cell r="J246">
            <v>0</v>
          </cell>
        </row>
        <row r="247">
          <cell r="F247" t="str">
            <v>Security Charges</v>
          </cell>
          <cell r="J247">
            <v>0</v>
          </cell>
        </row>
        <row r="248">
          <cell r="F248" t="str">
            <v>Loading &amp; Unloading Charges</v>
          </cell>
          <cell r="J248">
            <v>0</v>
          </cell>
        </row>
        <row r="249">
          <cell r="F249" t="str">
            <v>Weighbeidge Expense</v>
          </cell>
          <cell r="J249">
            <v>0</v>
          </cell>
        </row>
        <row r="250">
          <cell r="F250" t="str">
            <v>Conveyance Expenses</v>
          </cell>
          <cell r="J250">
            <v>0</v>
          </cell>
        </row>
        <row r="251">
          <cell r="F251" t="str">
            <v>Travelling Expenses_Foreign</v>
          </cell>
          <cell r="J251">
            <v>0</v>
          </cell>
        </row>
        <row r="252">
          <cell r="F252" t="str">
            <v>Travelling Expenses_Domestic</v>
          </cell>
          <cell r="J252">
            <v>0</v>
          </cell>
        </row>
        <row r="253">
          <cell r="F253" t="str">
            <v>Communication Expenses</v>
          </cell>
          <cell r="J253">
            <v>0</v>
          </cell>
        </row>
        <row r="254">
          <cell r="F254" t="str">
            <v>IT Expenses</v>
          </cell>
          <cell r="J254">
            <v>0</v>
          </cell>
        </row>
        <row r="255">
          <cell r="F255" t="str">
            <v>Printing and Stationery</v>
          </cell>
          <cell r="J255">
            <v>0</v>
          </cell>
        </row>
        <row r="256">
          <cell r="F256" t="str">
            <v>Staff Welfare Expenses</v>
          </cell>
          <cell r="J256">
            <v>0</v>
          </cell>
        </row>
        <row r="257">
          <cell r="F257" t="str">
            <v>Staff Recruitment and Other</v>
          </cell>
          <cell r="J257">
            <v>0</v>
          </cell>
        </row>
        <row r="258">
          <cell r="F258" t="str">
            <v>Vehicle Hire Charges</v>
          </cell>
          <cell r="J258">
            <v>0</v>
          </cell>
        </row>
        <row r="259">
          <cell r="F259" t="str">
            <v>Admin Charges on PF</v>
          </cell>
          <cell r="J259">
            <v>0</v>
          </cell>
        </row>
        <row r="260">
          <cell r="F260" t="str">
            <v>Basic Salary</v>
          </cell>
          <cell r="J260">
            <v>0</v>
          </cell>
        </row>
        <row r="261">
          <cell r="F261" t="str">
            <v>Bonus_BVC Employee</v>
          </cell>
          <cell r="J261">
            <v>0</v>
          </cell>
        </row>
        <row r="262">
          <cell r="F262" t="str">
            <v>Company Contribution_PF</v>
          </cell>
          <cell r="J262">
            <v>0</v>
          </cell>
        </row>
        <row r="263">
          <cell r="F263" t="str">
            <v>Conveyance Allowance</v>
          </cell>
          <cell r="J263">
            <v>0</v>
          </cell>
        </row>
        <row r="264">
          <cell r="F264" t="str">
            <v>Education Allowance</v>
          </cell>
          <cell r="J264">
            <v>0</v>
          </cell>
        </row>
        <row r="265">
          <cell r="F265" t="str">
            <v>Company Contribution_ESIC</v>
          </cell>
          <cell r="J265">
            <v>0</v>
          </cell>
        </row>
        <row r="266">
          <cell r="F266" t="str">
            <v>Gratuity Expenses</v>
          </cell>
          <cell r="J266">
            <v>0</v>
          </cell>
        </row>
        <row r="267">
          <cell r="F267" t="str">
            <v>House Rent Allowance</v>
          </cell>
          <cell r="J267">
            <v>0</v>
          </cell>
        </row>
        <row r="268">
          <cell r="F268" t="str">
            <v>Leave Salary- BVCPL</v>
          </cell>
          <cell r="J268">
            <v>0</v>
          </cell>
        </row>
        <row r="269">
          <cell r="F269" t="str">
            <v>Staff Training Expenses</v>
          </cell>
          <cell r="J269">
            <v>0</v>
          </cell>
        </row>
        <row r="270">
          <cell r="F270" t="str">
            <v>Medical Expenses</v>
          </cell>
          <cell r="J270">
            <v>0</v>
          </cell>
        </row>
        <row r="271">
          <cell r="F271" t="str">
            <v>Other Allowance</v>
          </cell>
          <cell r="J271">
            <v>0</v>
          </cell>
        </row>
        <row r="272">
          <cell r="F272" t="str">
            <v>Productivity Incentive</v>
          </cell>
          <cell r="J272">
            <v>0</v>
          </cell>
        </row>
        <row r="273">
          <cell r="F273" t="str">
            <v>Trainee Stipend</v>
          </cell>
          <cell r="J273">
            <v>0</v>
          </cell>
        </row>
        <row r="274">
          <cell r="F274" t="str">
            <v>Helper Allowance</v>
          </cell>
          <cell r="J274">
            <v>0</v>
          </cell>
        </row>
        <row r="275">
          <cell r="F275" t="str">
            <v>Uniform Allowance</v>
          </cell>
          <cell r="J275">
            <v>0</v>
          </cell>
        </row>
        <row r="276">
          <cell r="F276" t="str">
            <v>Monthly Production Incentive</v>
          </cell>
          <cell r="J276">
            <v>0</v>
          </cell>
        </row>
        <row r="277">
          <cell r="F277" t="str">
            <v>Annual Maintainance Contract</v>
          </cell>
          <cell r="J277">
            <v>0</v>
          </cell>
        </row>
        <row r="278">
          <cell r="F278" t="str">
            <v>Donation Expenses</v>
          </cell>
          <cell r="J278">
            <v>0</v>
          </cell>
        </row>
        <row r="279">
          <cell r="F279" t="str">
            <v>Lease Rent_Factory</v>
          </cell>
          <cell r="J279">
            <v>0</v>
          </cell>
        </row>
        <row r="280">
          <cell r="F280" t="str">
            <v>Lease Rent_Office</v>
          </cell>
          <cell r="J280">
            <v>0</v>
          </cell>
        </row>
        <row r="281">
          <cell r="F281" t="str">
            <v>IND AS - Rent Expenses Factory</v>
          </cell>
          <cell r="J281">
            <v>0</v>
          </cell>
        </row>
        <row r="282">
          <cell r="F282" t="str">
            <v>IND AS - Rent Expenses Office</v>
          </cell>
          <cell r="J282">
            <v>0</v>
          </cell>
        </row>
        <row r="283">
          <cell r="F283" t="str">
            <v>Membership and Subscription</v>
          </cell>
          <cell r="J283">
            <v>0</v>
          </cell>
        </row>
        <row r="284">
          <cell r="F284" t="str">
            <v>Office Expenses</v>
          </cell>
          <cell r="J284">
            <v>0</v>
          </cell>
        </row>
        <row r="285">
          <cell r="F285" t="str">
            <v>Professional &amp; Consulting Fees</v>
          </cell>
          <cell r="J285">
            <v>0</v>
          </cell>
        </row>
        <row r="286">
          <cell r="F286" t="str">
            <v>Rates and Taxes</v>
          </cell>
          <cell r="J286">
            <v>0</v>
          </cell>
        </row>
        <row r="287">
          <cell r="F287" t="str">
            <v>Penalty Expense</v>
          </cell>
          <cell r="J287">
            <v>0</v>
          </cell>
        </row>
        <row r="288">
          <cell r="F288" t="str">
            <v>Leave Encashment of Contractors</v>
          </cell>
          <cell r="J288">
            <v>0</v>
          </cell>
        </row>
        <row r="289">
          <cell r="F289" t="str">
            <v>Interest on MSME</v>
          </cell>
          <cell r="J289">
            <v>0</v>
          </cell>
        </row>
        <row r="290">
          <cell r="F290" t="str">
            <v>Prof. Fees for SAP</v>
          </cell>
          <cell r="J290">
            <v>0</v>
          </cell>
        </row>
        <row r="291">
          <cell r="F291" t="str">
            <v>Reach Registration Charges</v>
          </cell>
          <cell r="J291">
            <v>0</v>
          </cell>
        </row>
        <row r="292">
          <cell r="F292" t="str">
            <v>Advertisement Expense</v>
          </cell>
          <cell r="J292">
            <v>0</v>
          </cell>
        </row>
        <row r="293">
          <cell r="F293" t="str">
            <v>Garden Expense</v>
          </cell>
          <cell r="J293">
            <v>0</v>
          </cell>
        </row>
        <row r="294">
          <cell r="F294" t="str">
            <v>Director Sitting Fee</v>
          </cell>
          <cell r="J294">
            <v>0</v>
          </cell>
        </row>
        <row r="295">
          <cell r="F295" t="str">
            <v>CSR Expenses</v>
          </cell>
          <cell r="J295">
            <v>0</v>
          </cell>
        </row>
        <row r="296">
          <cell r="F296" t="str">
            <v>Balance Write Off</v>
          </cell>
          <cell r="J296">
            <v>0</v>
          </cell>
        </row>
        <row r="297">
          <cell r="F297" t="str">
            <v>Insurance Expense</v>
          </cell>
          <cell r="J297">
            <v>0</v>
          </cell>
        </row>
        <row r="298">
          <cell r="F298" t="str">
            <v>Detention Charges</v>
          </cell>
          <cell r="J298">
            <v>0</v>
          </cell>
        </row>
        <row r="299">
          <cell r="F299" t="str">
            <v>Ground Rent and Storage Charges</v>
          </cell>
          <cell r="J299">
            <v>0</v>
          </cell>
        </row>
        <row r="300">
          <cell r="F300" t="str">
            <v>Rounding Adjustment</v>
          </cell>
          <cell r="J300">
            <v>0</v>
          </cell>
        </row>
        <row r="301">
          <cell r="F301" t="str">
            <v>Other expenses</v>
          </cell>
          <cell r="J301">
            <v>0</v>
          </cell>
        </row>
        <row r="302">
          <cell r="F302" t="str">
            <v>Interest On TDS</v>
          </cell>
          <cell r="J302">
            <v>0</v>
          </cell>
        </row>
        <row r="303">
          <cell r="F303" t="str">
            <v>Other Bank Charges</v>
          </cell>
          <cell r="J303">
            <v>0</v>
          </cell>
        </row>
        <row r="304">
          <cell r="F304" t="str">
            <v>Export Collection_Charges</v>
          </cell>
          <cell r="J304">
            <v>0</v>
          </cell>
        </row>
        <row r="305">
          <cell r="F305" t="str">
            <v>Import Payment_Charges</v>
          </cell>
          <cell r="J305">
            <v>0</v>
          </cell>
        </row>
        <row r="306">
          <cell r="F306" t="str">
            <v>International Bank Charges</v>
          </cell>
          <cell r="J306">
            <v>0</v>
          </cell>
        </row>
        <row r="307">
          <cell r="F307" t="str">
            <v>Interest on Cash Credit</v>
          </cell>
          <cell r="J307">
            <v>0</v>
          </cell>
        </row>
        <row r="308">
          <cell r="F308" t="str">
            <v>Interest on Term Loan</v>
          </cell>
          <cell r="J308">
            <v>0</v>
          </cell>
        </row>
        <row r="309">
          <cell r="F309" t="str">
            <v>Interest on WCDL</v>
          </cell>
          <cell r="J309">
            <v>0</v>
          </cell>
        </row>
        <row r="310">
          <cell r="F310" t="str">
            <v>Interest on NCDB</v>
          </cell>
          <cell r="J310">
            <v>0</v>
          </cell>
        </row>
        <row r="311">
          <cell r="F311" t="str">
            <v>Interest on EPC</v>
          </cell>
          <cell r="J311">
            <v>0</v>
          </cell>
        </row>
        <row r="312">
          <cell r="F312" t="str">
            <v>Interest on Custom Duty</v>
          </cell>
          <cell r="J312">
            <v>0</v>
          </cell>
        </row>
        <row r="313">
          <cell r="F313" t="str">
            <v>COGS Packing Material</v>
          </cell>
          <cell r="J313">
            <v>0</v>
          </cell>
        </row>
        <row r="314">
          <cell r="F314" t="str">
            <v>COGS SFG and FG</v>
          </cell>
          <cell r="J314">
            <v>0</v>
          </cell>
        </row>
        <row r="315">
          <cell r="F315" t="str">
            <v>Consumption of Raw Material</v>
          </cell>
          <cell r="J315">
            <v>0</v>
          </cell>
        </row>
        <row r="316">
          <cell r="F316" t="str">
            <v>Consumption of Semi-Finished Goods</v>
          </cell>
          <cell r="J316">
            <v>0</v>
          </cell>
        </row>
        <row r="317">
          <cell r="F317" t="str">
            <v>Consumption of Finished Goods</v>
          </cell>
          <cell r="J317">
            <v>0</v>
          </cell>
        </row>
        <row r="318">
          <cell r="F318" t="str">
            <v>Consumption of Packing Material</v>
          </cell>
          <cell r="J318">
            <v>0</v>
          </cell>
        </row>
        <row r="319">
          <cell r="F319" t="str">
            <v>Freight on Job Work</v>
          </cell>
          <cell r="J319">
            <v>0</v>
          </cell>
        </row>
        <row r="320">
          <cell r="F320" t="str">
            <v>COGS SFG and FG_Manual Entry</v>
          </cell>
          <cell r="J320">
            <v>0</v>
          </cell>
        </row>
        <row r="321">
          <cell r="F321" t="str">
            <v>COGM Material</v>
          </cell>
          <cell r="J321">
            <v>0</v>
          </cell>
        </row>
        <row r="322">
          <cell r="F322" t="str">
            <v>COGM SFG and FG</v>
          </cell>
          <cell r="J322">
            <v>0</v>
          </cell>
        </row>
        <row r="323">
          <cell r="F323" t="str">
            <v>Price Difference Material</v>
          </cell>
          <cell r="J323">
            <v>0</v>
          </cell>
        </row>
        <row r="324">
          <cell r="F324" t="str">
            <v>Price difference SFG and FG</v>
          </cell>
          <cell r="J324">
            <v>0</v>
          </cell>
        </row>
        <row r="325">
          <cell r="F325" t="str">
            <v>Price difference Stores and Spares</v>
          </cell>
          <cell r="J325">
            <v>0</v>
          </cell>
        </row>
        <row r="326">
          <cell r="F326" t="str">
            <v>Month end Adjustment  - Material</v>
          </cell>
          <cell r="J326">
            <v>0</v>
          </cell>
        </row>
        <row r="327">
          <cell r="F327" t="str">
            <v>Month end Adjustment  - SFG and FG</v>
          </cell>
          <cell r="J327">
            <v>0</v>
          </cell>
        </row>
        <row r="328">
          <cell r="F328" t="str">
            <v>Change in Stock</v>
          </cell>
          <cell r="J328">
            <v>0</v>
          </cell>
        </row>
        <row r="329">
          <cell r="F329" t="str">
            <v>COGM Material_Manual Entry</v>
          </cell>
          <cell r="J329">
            <v>0</v>
          </cell>
        </row>
        <row r="330">
          <cell r="F330" t="str">
            <v>Change in WIP Control</v>
          </cell>
          <cell r="J330">
            <v>0</v>
          </cell>
        </row>
        <row r="331">
          <cell r="F331" t="str">
            <v>Processing and Stamp Duty Expense</v>
          </cell>
          <cell r="J331">
            <v>0</v>
          </cell>
        </row>
        <row r="332">
          <cell r="F332" t="str">
            <v>IND AS - Interest on Lease Liabilities</v>
          </cell>
          <cell r="J332">
            <v>0</v>
          </cell>
        </row>
        <row r="333">
          <cell r="F333" t="str">
            <v>IND AS - Interest on TL</v>
          </cell>
          <cell r="J333">
            <v>0</v>
          </cell>
        </row>
        <row r="334">
          <cell r="F334" t="str">
            <v>GST Expense</v>
          </cell>
          <cell r="J334">
            <v>0</v>
          </cell>
        </row>
        <row r="335">
          <cell r="F335" t="str">
            <v>EHS Expense</v>
          </cell>
          <cell r="J335">
            <v>0</v>
          </cell>
        </row>
        <row r="336">
          <cell r="F336" t="str">
            <v>Selling and Distribution Expenses_Warehouse</v>
          </cell>
          <cell r="J336">
            <v>0</v>
          </cell>
        </row>
        <row r="337">
          <cell r="F337" t="str">
            <v>Selling and Distribution Expenses</v>
          </cell>
          <cell r="J337">
            <v>0</v>
          </cell>
        </row>
        <row r="338">
          <cell r="F338" t="str">
            <v>Commission Expense</v>
          </cell>
          <cell r="J338">
            <v>0</v>
          </cell>
        </row>
        <row r="339">
          <cell r="F339" t="str">
            <v>Freight Outward</v>
          </cell>
          <cell r="J339">
            <v>0</v>
          </cell>
        </row>
        <row r="340">
          <cell r="F340" t="str">
            <v>Employee Compensation (ESOP) Expense</v>
          </cell>
          <cell r="J340">
            <v>0</v>
          </cell>
        </row>
        <row r="341">
          <cell r="F341" t="str">
            <v>Project Expenses</v>
          </cell>
          <cell r="J341">
            <v>0</v>
          </cell>
        </row>
        <row r="342">
          <cell r="F342" t="str">
            <v>ACC_DEP_Building</v>
          </cell>
          <cell r="J342">
            <v>0</v>
          </cell>
        </row>
        <row r="343">
          <cell r="F343" t="str">
            <v>ACC_DEP_Plant and machinery</v>
          </cell>
          <cell r="J343">
            <v>0</v>
          </cell>
        </row>
        <row r="344">
          <cell r="F344" t="str">
            <v>ACC_DEP_Office equiment</v>
          </cell>
          <cell r="J344">
            <v>0</v>
          </cell>
        </row>
        <row r="345">
          <cell r="F345" t="str">
            <v>ACC_DEP_Computers</v>
          </cell>
          <cell r="J345">
            <v>0</v>
          </cell>
        </row>
        <row r="346">
          <cell r="F346" t="str">
            <v>ACC_DEP_Furniture and fixtures</v>
          </cell>
          <cell r="J346">
            <v>0</v>
          </cell>
        </row>
        <row r="347">
          <cell r="F347" t="str">
            <v>ACC_DEP_Electrical fittings</v>
          </cell>
          <cell r="J347">
            <v>0</v>
          </cell>
        </row>
        <row r="348">
          <cell r="F348" t="str">
            <v>ACC_DEP_Vehicle</v>
          </cell>
          <cell r="J348">
            <v>0</v>
          </cell>
        </row>
        <row r="349">
          <cell r="F349" t="str">
            <v>ACC_DEP_Computer Software</v>
          </cell>
          <cell r="J349">
            <v>0</v>
          </cell>
        </row>
        <row r="350">
          <cell r="F350" t="str">
            <v>ACC_DEP_ROU Assets</v>
          </cell>
          <cell r="J350">
            <v>0</v>
          </cell>
        </row>
        <row r="351">
          <cell r="F351" t="str">
            <v>Income Tax Expense</v>
          </cell>
          <cell r="J351">
            <v>0</v>
          </cell>
        </row>
        <row r="352">
          <cell r="F352" t="str">
            <v>Remeasurement of defined benefit plans</v>
          </cell>
          <cell r="J352">
            <v>0</v>
          </cell>
        </row>
        <row r="353">
          <cell r="F353" t="str">
            <v>Income tax relating to items that will not be reclassified to profit or loss</v>
          </cell>
          <cell r="J353">
            <v>0</v>
          </cell>
        </row>
        <row r="354">
          <cell r="F354" t="str">
            <v xml:space="preserve">Salary, Wages, Allowances and Bonus etc. </v>
          </cell>
          <cell r="J354">
            <v>0</v>
          </cell>
        </row>
        <row r="355">
          <cell r="J355">
            <v>0</v>
          </cell>
        </row>
        <row r="356">
          <cell r="F356" t="str">
            <v>CWIP</v>
          </cell>
          <cell r="J356">
            <v>0</v>
          </cell>
        </row>
        <row r="357">
          <cell r="F357" t="str">
            <v xml:space="preserve">        To Stores &amp; Spares</v>
          </cell>
          <cell r="J357">
            <v>0</v>
          </cell>
        </row>
        <row r="358">
          <cell r="J358">
            <v>0</v>
          </cell>
        </row>
        <row r="359">
          <cell r="J359">
            <v>0</v>
          </cell>
        </row>
        <row r="360">
          <cell r="J360">
            <v>0</v>
          </cell>
        </row>
        <row r="361">
          <cell r="J361">
            <v>0</v>
          </cell>
        </row>
        <row r="362">
          <cell r="J362">
            <v>0</v>
          </cell>
        </row>
        <row r="363">
          <cell r="J363">
            <v>0</v>
          </cell>
        </row>
        <row r="364">
          <cell r="F364" t="str">
            <v>Payment to Auditors</v>
          </cell>
          <cell r="J364">
            <v>0</v>
          </cell>
        </row>
        <row r="365">
          <cell r="F365" t="str">
            <v>Legal &amp; Professional Fees</v>
          </cell>
          <cell r="J365">
            <v>0</v>
          </cell>
        </row>
        <row r="366">
          <cell r="F366" t="str">
            <v>Sales In transit</v>
          </cell>
          <cell r="J366">
            <v>0</v>
          </cell>
        </row>
        <row r="367">
          <cell r="F367" t="str">
            <v>Receivables- GIT</v>
          </cell>
          <cell r="J367">
            <v>0</v>
          </cell>
        </row>
        <row r="368">
          <cell r="F368" t="str">
            <v>Goods in Transit - FG</v>
          </cell>
          <cell r="J368">
            <v>0</v>
          </cell>
        </row>
        <row r="369">
          <cell r="F369" t="str">
            <v>Month end Adjustment  - Material</v>
          </cell>
          <cell r="J369">
            <v>0</v>
          </cell>
        </row>
        <row r="370">
          <cell r="F370" t="str">
            <v>Professional &amp; Consulting Fees</v>
          </cell>
          <cell r="J370">
            <v>0</v>
          </cell>
        </row>
        <row r="371">
          <cell r="F371" t="str">
            <v>Provision_Other Expenses</v>
          </cell>
          <cell r="J371">
            <v>0</v>
          </cell>
        </row>
        <row r="372">
          <cell r="F372" t="str">
            <v>Inventory_Manual Entry</v>
          </cell>
          <cell r="J372">
            <v>0</v>
          </cell>
        </row>
        <row r="373">
          <cell r="F373" t="str">
            <v>COGM Material_Manual Entry</v>
          </cell>
          <cell r="J373">
            <v>0</v>
          </cell>
        </row>
        <row r="374">
          <cell r="F374" t="str">
            <v>COGM Material_Manual Entry</v>
          </cell>
          <cell r="J374">
            <v>0</v>
          </cell>
        </row>
        <row r="375">
          <cell r="F375" t="str">
            <v>Inventory_Manual Entry</v>
          </cell>
          <cell r="J375">
            <v>0</v>
          </cell>
        </row>
        <row r="376">
          <cell r="F376" t="str">
            <v>Consumption of Raw Material</v>
          </cell>
          <cell r="J376">
            <v>0</v>
          </cell>
        </row>
        <row r="377">
          <cell r="F377" t="str">
            <v>Consumption of Packing Material</v>
          </cell>
          <cell r="J377">
            <v>0</v>
          </cell>
        </row>
        <row r="378">
          <cell r="F378" t="str">
            <v>Exchange Loss on Long term Borrowing - Interest Cost</v>
          </cell>
          <cell r="J378">
            <v>0</v>
          </cell>
        </row>
        <row r="379">
          <cell r="F379" t="str">
            <v>Unrealised Gain/Loss on Borrowing P&amp;L</v>
          </cell>
          <cell r="J379">
            <v>0</v>
          </cell>
        </row>
        <row r="380">
          <cell r="F380" t="str">
            <v>Unrealised Forex Gain/loss</v>
          </cell>
          <cell r="J380">
            <v>0</v>
          </cell>
        </row>
        <row r="381">
          <cell r="F381" t="str">
            <v>Receivables- Forex</v>
          </cell>
          <cell r="J381">
            <v>0</v>
          </cell>
        </row>
        <row r="382">
          <cell r="F382" t="str">
            <v>Gratuity Expenses</v>
          </cell>
          <cell r="J382">
            <v>0</v>
          </cell>
        </row>
        <row r="383">
          <cell r="F383" t="str">
            <v>Provision for Gratuity</v>
          </cell>
          <cell r="J383">
            <v>0</v>
          </cell>
        </row>
        <row r="384">
          <cell r="F384" t="str">
            <v>Provision for Leave Salary</v>
          </cell>
          <cell r="J384">
            <v>0</v>
          </cell>
        </row>
        <row r="385">
          <cell r="F385" t="str">
            <v>Leave Salary- BVCPL</v>
          </cell>
          <cell r="J385">
            <v>0</v>
          </cell>
        </row>
        <row r="386">
          <cell r="F386" t="str">
            <v>Selling and Distribution Expenses_Warehouse</v>
          </cell>
          <cell r="J386">
            <v>0</v>
          </cell>
        </row>
        <row r="387">
          <cell r="F387" t="str">
            <v>Provision_C&amp;F Geneva Cost</v>
          </cell>
          <cell r="J387">
            <v>0</v>
          </cell>
        </row>
        <row r="388">
          <cell r="J388">
            <v>0</v>
          </cell>
        </row>
        <row r="389">
          <cell r="J389">
            <v>0</v>
          </cell>
        </row>
      </sheetData>
      <sheetData sheetId="3">
        <row r="160">
          <cell r="I160" t="str">
            <v>As at</v>
          </cell>
          <cell r="J160" t="str">
            <v>As at</v>
          </cell>
        </row>
        <row r="161">
          <cell r="I161" t="str">
            <v>31 March 2022</v>
          </cell>
          <cell r="J161" t="str">
            <v>1 April 2021</v>
          </cell>
        </row>
        <row r="163">
          <cell r="A163" t="str">
            <v>NOTE 9</v>
          </cell>
        </row>
        <row r="164">
          <cell r="A164" t="str">
            <v>CURRENT FINANCIAL ASSETS : TRADE RECEIVABLES</v>
          </cell>
        </row>
        <row r="165">
          <cell r="A165" t="str">
            <v>Considered good - unsecured</v>
          </cell>
        </row>
        <row r="199">
          <cell r="A199" t="str">
            <v>Deposits with original maturity for more than 3 months and less than 12 Months</v>
          </cell>
        </row>
        <row r="208">
          <cell r="A208" t="str">
            <v>CURRENT FINANCIAL ASSETS : LOANS</v>
          </cell>
        </row>
        <row r="209">
          <cell r="A209" t="str">
            <v>Loans to related party - subsidiaries (Considered good - unsecured)</v>
          </cell>
        </row>
        <row r="215">
          <cell r="A215" t="str">
            <v>Authorised Share Capital</v>
          </cell>
        </row>
        <row r="216">
          <cell r="A216" t="str">
            <v>1,000,000 (as at March 31, 2023 : 1,000,000) Equity shares of  ₹ 10/- each</v>
          </cell>
        </row>
        <row r="237">
          <cell r="A237" t="str">
            <v>PI OPPORTUNITIES FUND-I</v>
          </cell>
        </row>
      </sheetData>
      <sheetData sheetId="4" refreshError="1"/>
      <sheetData sheetId="5" refreshError="1"/>
      <sheetData sheetId="6">
        <row r="10">
          <cell r="A10" t="str">
            <v>Sales of Products</v>
          </cell>
        </row>
        <row r="12">
          <cell r="A12" t="str">
            <v>Scrap sales</v>
          </cell>
        </row>
        <row r="13">
          <cell r="A13" t="str">
            <v>Freight and Insurance recovered</v>
          </cell>
        </row>
        <row r="14">
          <cell r="A14" t="str">
            <v>Duty drawback income</v>
          </cell>
        </row>
        <row r="27">
          <cell r="A27" t="str">
            <v>- From banks</v>
          </cell>
        </row>
        <row r="28">
          <cell r="A28" t="str">
            <v>- From others</v>
          </cell>
        </row>
        <row r="29">
          <cell r="A29" t="str">
            <v>Fair value gain - Instruments measured at FVTPL</v>
          </cell>
        </row>
        <row r="30">
          <cell r="A30" t="str">
            <v>Foreign exchange gain (net)</v>
          </cell>
        </row>
        <row r="51">
          <cell r="A51" t="str">
            <v>CHANGES IN INVENTORIES OF FINISHED GOODS AND WORK IN PROGRESS</v>
          </cell>
        </row>
        <row r="68">
          <cell r="A68" t="str">
            <v>Staff Welfare Expenses</v>
          </cell>
        </row>
        <row r="75">
          <cell r="A75" t="str">
            <v>Interest on borrowings</v>
          </cell>
        </row>
        <row r="76">
          <cell r="A76" t="str">
            <v>- From Bank (Secured Loan)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BS"/>
      <sheetName val="PL"/>
      <sheetName val="SOCIE"/>
      <sheetName val="Cash Flow"/>
      <sheetName val="PPE- note 3"/>
      <sheetName val="BS  Notes  4-14"/>
      <sheetName val="PL Notes 15-20"/>
      <sheetName val="Note 21-26"/>
      <sheetName val="FI -27"/>
      <sheetName val="Ratios -28"/>
      <sheetName val="Ind AS 101 - Note 29-30"/>
      <sheetName val="Workings &gt;&gt;&gt;&gt;"/>
      <sheetName val="TB - BVO - 31.3.23"/>
      <sheetName val="GL Summary"/>
      <sheetName val="TB - BVO - 31.3.22"/>
      <sheetName val="TB - BVO - 31.3.21"/>
      <sheetName val="Client TB 23"/>
      <sheetName val="OCPS - BVO"/>
      <sheetName val="MTM in USD FY 2022"/>
      <sheetName val="IT Computation"/>
      <sheetName val="Vendors Working"/>
      <sheetName val="FAR Summary"/>
    </sheetNames>
    <sheetDataSet>
      <sheetData sheetId="0"/>
      <sheetData sheetId="1"/>
      <sheetData sheetId="2"/>
      <sheetData sheetId="3"/>
      <sheetData sheetId="4"/>
      <sheetData sheetId="5"/>
      <sheetData sheetId="6">
        <row r="83">
          <cell r="F83">
            <v>32486</v>
          </cell>
          <cell r="G83">
            <v>29600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README"/>
      <sheetName val="Input"/>
      <sheetName val="BS"/>
      <sheetName val="PL"/>
      <sheetName val="SOCIE"/>
      <sheetName val="Cash Flow"/>
      <sheetName val="IT Computation"/>
      <sheetName val="PPE- note 3"/>
      <sheetName val="BS  Notes  4-18"/>
      <sheetName val="TB BVS 31.3.24"/>
      <sheetName val="PL Notes 19-26"/>
      <sheetName val="BS  Notes 27-28"/>
      <sheetName val="Note 29-35"/>
      <sheetName val="FI -36"/>
      <sheetName val="Ratios -37"/>
      <sheetName val="Note 38"/>
      <sheetName val="Note 39"/>
      <sheetName val="Note 40"/>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row r="1">
          <cell r="C1" t="str">
            <v>CIN : U24230GJ2021PTC123855</v>
          </cell>
        </row>
        <row r="2">
          <cell r="C2">
            <v>1000</v>
          </cell>
          <cell r="D2" t="str">
            <v>(₹ in '000)</v>
          </cell>
        </row>
        <row r="3">
          <cell r="C3"/>
          <cell r="D3"/>
        </row>
        <row r="4">
          <cell r="C4" t="str">
            <v>31 March 2024</v>
          </cell>
          <cell r="D4" t="str">
            <v>1 April 2024</v>
          </cell>
        </row>
        <row r="5">
          <cell r="C5" t="str">
            <v>31 March 2023</v>
          </cell>
          <cell r="D5" t="str">
            <v>1 April 2023</v>
          </cell>
        </row>
        <row r="6">
          <cell r="C6" t="str">
            <v>31 March 2022</v>
          </cell>
          <cell r="D6" t="str">
            <v>1 April 2022</v>
          </cell>
        </row>
        <row r="7">
          <cell r="C7" t="str">
            <v>31 March 2021</v>
          </cell>
          <cell r="D7"/>
        </row>
        <row r="8">
          <cell r="C8" t="str">
            <v>1 April 2021</v>
          </cell>
          <cell r="D8"/>
        </row>
        <row r="9">
          <cell r="C9"/>
        </row>
        <row r="10">
          <cell r="C10" t="str">
            <v>Corporate Information</v>
          </cell>
          <cell r="D10">
            <v>1</v>
          </cell>
        </row>
        <row r="11">
          <cell r="C11" t="str">
            <v>Significant Accounting Policies</v>
          </cell>
          <cell r="D11">
            <v>2</v>
          </cell>
        </row>
        <row r="12">
          <cell r="C12"/>
        </row>
        <row r="13">
          <cell r="C13" t="str">
            <v>Property, Plant and Equipment</v>
          </cell>
          <cell r="D13">
            <v>3</v>
          </cell>
        </row>
        <row r="14">
          <cell r="C14" t="str">
            <v>Right of Use Assets</v>
          </cell>
        </row>
        <row r="15">
          <cell r="C15" t="str">
            <v>Capital work-in-progress</v>
          </cell>
        </row>
        <row r="16">
          <cell r="C16" t="str">
            <v>Intangible Assets</v>
          </cell>
        </row>
        <row r="17">
          <cell r="C17" t="str">
            <v>Financial Assets</v>
          </cell>
        </row>
        <row r="18">
          <cell r="C18" t="str">
            <v>Loans</v>
          </cell>
          <cell r="D18">
            <v>5</v>
          </cell>
        </row>
        <row r="19">
          <cell r="C19" t="str">
            <v>Other Financial Assets</v>
          </cell>
          <cell r="D19">
            <v>6</v>
          </cell>
        </row>
        <row r="20">
          <cell r="C20" t="str">
            <v>Deferred Tax Assets (Net)</v>
          </cell>
          <cell r="D20">
            <v>4</v>
          </cell>
        </row>
        <row r="21">
          <cell r="C21" t="str">
            <v>Other Non Current Assets</v>
          </cell>
          <cell r="D21">
            <v>5</v>
          </cell>
        </row>
        <row r="22">
          <cell r="C22" t="str">
            <v>Total Non Current Assets</v>
          </cell>
        </row>
        <row r="23">
          <cell r="C23"/>
        </row>
        <row r="24">
          <cell r="C24" t="str">
            <v>Inventories</v>
          </cell>
          <cell r="D24">
            <v>7</v>
          </cell>
        </row>
        <row r="25">
          <cell r="C25" t="str">
            <v>Financial Assets</v>
          </cell>
        </row>
        <row r="26">
          <cell r="C26" t="str">
            <v>Trade Receivables</v>
          </cell>
          <cell r="D26">
            <v>8</v>
          </cell>
        </row>
        <row r="27">
          <cell r="C27" t="str">
            <v>Cash and Cash Equivalents</v>
          </cell>
          <cell r="D27">
            <v>9</v>
          </cell>
        </row>
        <row r="28">
          <cell r="C28" t="str">
            <v>Other Bank Balance</v>
          </cell>
          <cell r="D28">
            <v>10</v>
          </cell>
        </row>
        <row r="29">
          <cell r="C29" t="str">
            <v>Loans</v>
          </cell>
        </row>
        <row r="30">
          <cell r="C30" t="str">
            <v>Other Financial Assets</v>
          </cell>
        </row>
        <row r="31">
          <cell r="C31" t="str">
            <v>Other Current Assets</v>
          </cell>
          <cell r="D31">
            <v>11</v>
          </cell>
        </row>
        <row r="32">
          <cell r="C32" t="str">
            <v>Total Current Assets</v>
          </cell>
        </row>
        <row r="33">
          <cell r="C33" t="str">
            <v>Total Assets</v>
          </cell>
        </row>
        <row r="34">
          <cell r="C34"/>
        </row>
        <row r="35">
          <cell r="C35"/>
        </row>
        <row r="36">
          <cell r="C36" t="str">
            <v>Equity Share Capital</v>
          </cell>
          <cell r="D36">
            <v>12</v>
          </cell>
        </row>
        <row r="37">
          <cell r="C37" t="str">
            <v>Other Equity</v>
          </cell>
          <cell r="D37">
            <v>13</v>
          </cell>
        </row>
        <row r="38">
          <cell r="C38" t="str">
            <v>Total Equity</v>
          </cell>
        </row>
        <row r="39">
          <cell r="C39"/>
        </row>
        <row r="40">
          <cell r="C40"/>
        </row>
        <row r="41">
          <cell r="C41" t="str">
            <v>Financial Liabilities</v>
          </cell>
        </row>
        <row r="42">
          <cell r="C42" t="str">
            <v>Borrowings</v>
          </cell>
          <cell r="D42">
            <v>14</v>
          </cell>
        </row>
        <row r="43">
          <cell r="C43" t="str">
            <v>Lease Liability</v>
          </cell>
        </row>
        <row r="44">
          <cell r="C44" t="str">
            <v>Provisions</v>
          </cell>
        </row>
        <row r="45">
          <cell r="C45" t="str">
            <v>Deferred Tax Liabilities (Net)</v>
          </cell>
          <cell r="D45">
            <v>4</v>
          </cell>
        </row>
        <row r="46">
          <cell r="C46" t="str">
            <v>Total Non Current Liabilities</v>
          </cell>
        </row>
        <row r="47">
          <cell r="C47"/>
        </row>
        <row r="48">
          <cell r="C48" t="str">
            <v>Financial Liabilities</v>
          </cell>
        </row>
        <row r="49">
          <cell r="C49" t="str">
            <v>Borrowings</v>
          </cell>
          <cell r="D49">
            <v>14</v>
          </cell>
        </row>
        <row r="50">
          <cell r="C50" t="str">
            <v>Lease Liability</v>
          </cell>
        </row>
        <row r="51">
          <cell r="C51" t="str">
            <v>Trade Payables</v>
          </cell>
          <cell r="D51">
            <v>15</v>
          </cell>
        </row>
        <row r="52">
          <cell r="C52" t="str">
            <v xml:space="preserve">          -Dues of micro enterprises and small enterprises</v>
          </cell>
        </row>
        <row r="53">
          <cell r="C53" t="str">
            <v xml:space="preserve">          -Dues of creditors other than micro enterprises and small enterprises </v>
          </cell>
        </row>
        <row r="54">
          <cell r="C54" t="str">
            <v>Other Financial Liabilities</v>
          </cell>
          <cell r="D54">
            <v>16</v>
          </cell>
        </row>
        <row r="55">
          <cell r="C55" t="str">
            <v>Provisions</v>
          </cell>
        </row>
        <row r="56">
          <cell r="C56" t="str">
            <v>Other Current Liabilities</v>
          </cell>
          <cell r="D56">
            <v>17</v>
          </cell>
        </row>
        <row r="57">
          <cell r="C57" t="str">
            <v>Total Current Liabilities</v>
          </cell>
        </row>
        <row r="58">
          <cell r="C58" t="str">
            <v>Total Liabilities</v>
          </cell>
        </row>
        <row r="59">
          <cell r="C59" t="str">
            <v>Total Equity and Liabilities</v>
          </cell>
        </row>
        <row r="60">
          <cell r="C60"/>
        </row>
        <row r="61">
          <cell r="C61" t="str">
            <v>Revenue from Operations</v>
          </cell>
          <cell r="D61">
            <v>18</v>
          </cell>
        </row>
        <row r="62">
          <cell r="C62" t="str">
            <v>Other Income</v>
          </cell>
          <cell r="D62">
            <v>19</v>
          </cell>
        </row>
        <row r="63">
          <cell r="C63" t="str">
            <v>Total Income (I+II)</v>
          </cell>
        </row>
        <row r="64">
          <cell r="C64" t="str">
            <v>Expenses:</v>
          </cell>
        </row>
        <row r="65">
          <cell r="C65" t="str">
            <v>Cost of material consumed</v>
          </cell>
          <cell r="D65">
            <v>20</v>
          </cell>
        </row>
        <row r="66">
          <cell r="C66" t="str">
            <v xml:space="preserve">Changes in inventories of finished goods and work-in-progress </v>
          </cell>
          <cell r="D66">
            <v>21</v>
          </cell>
        </row>
        <row r="67">
          <cell r="C67" t="str">
            <v>Employee Benefits Expense</v>
          </cell>
          <cell r="D67">
            <v>22</v>
          </cell>
        </row>
        <row r="68">
          <cell r="C68" t="str">
            <v>Finance Costs</v>
          </cell>
          <cell r="D68">
            <v>23</v>
          </cell>
        </row>
        <row r="69">
          <cell r="C69" t="str">
            <v>Depreciation and Amortization Expenses</v>
          </cell>
          <cell r="D69">
            <v>3</v>
          </cell>
        </row>
        <row r="70">
          <cell r="C70" t="str">
            <v>Other Expenses</v>
          </cell>
          <cell r="D70">
            <v>24</v>
          </cell>
        </row>
        <row r="71">
          <cell r="C71" t="str">
            <v>Total Expense (IV)</v>
          </cell>
        </row>
        <row r="72">
          <cell r="C72" t="str">
            <v>Profit Before Tax (III-IV)</v>
          </cell>
        </row>
        <row r="73">
          <cell r="C73" t="str">
            <v>Tax Expenses</v>
          </cell>
        </row>
        <row r="74">
          <cell r="C74" t="str">
            <v>(a) Current Tax</v>
          </cell>
          <cell r="D74">
            <v>4</v>
          </cell>
        </row>
        <row r="75">
          <cell r="C75" t="str">
            <v>(b) Deferred Tax Expense/(Benefit)</v>
          </cell>
          <cell r="D75">
            <v>4</v>
          </cell>
        </row>
        <row r="76">
          <cell r="C76"/>
        </row>
        <row r="77">
          <cell r="C77" t="str">
            <v>Total Tax Expenses</v>
          </cell>
        </row>
        <row r="78">
          <cell r="C78" t="str">
            <v>Profit for the Year (V-VI)</v>
          </cell>
        </row>
        <row r="79">
          <cell r="C79" t="str">
            <v>Other Comprehensive Income</v>
          </cell>
          <cell r="D79">
            <v>4</v>
          </cell>
        </row>
        <row r="80">
          <cell r="C80" t="str">
            <v>Earnings Per Share (Face Value of ₹ 10 each)</v>
          </cell>
          <cell r="D80">
            <v>25</v>
          </cell>
        </row>
        <row r="81">
          <cell r="C81"/>
        </row>
        <row r="82">
          <cell r="C82"/>
        </row>
        <row r="83">
          <cell r="C83"/>
        </row>
        <row r="84">
          <cell r="C84"/>
        </row>
        <row r="85">
          <cell r="C85"/>
        </row>
        <row r="86">
          <cell r="C86"/>
        </row>
        <row r="87">
          <cell r="C87" t="str">
            <v>Other Statutory Information</v>
          </cell>
          <cell r="D87">
            <v>27</v>
          </cell>
        </row>
        <row r="88">
          <cell r="C88" t="str">
            <v>Segment Reporting</v>
          </cell>
          <cell r="D88">
            <v>28</v>
          </cell>
        </row>
        <row r="89">
          <cell r="C89" t="str">
            <v>Leases</v>
          </cell>
          <cell r="D89">
            <v>29</v>
          </cell>
        </row>
        <row r="90">
          <cell r="C90" t="str">
            <v>BORROWING COSTS CAPITALISATION</v>
          </cell>
          <cell r="D90">
            <v>30</v>
          </cell>
        </row>
        <row r="91">
          <cell r="C91" t="str">
            <v>Revenue from contracts with customers</v>
          </cell>
        </row>
        <row r="92">
          <cell r="C92" t="str">
            <v>Employee Benefits</v>
          </cell>
        </row>
        <row r="93">
          <cell r="C93" t="str">
            <v>Derivative Instrument</v>
          </cell>
        </row>
        <row r="94">
          <cell r="C94" t="str">
            <v>Related party transactions</v>
          </cell>
          <cell r="D94">
            <v>26</v>
          </cell>
        </row>
        <row r="95">
          <cell r="C95" t="str">
            <v>Share based payments</v>
          </cell>
        </row>
        <row r="96">
          <cell r="C96" t="str">
            <v>Contingent Liabilties</v>
          </cell>
        </row>
        <row r="97">
          <cell r="C97" t="str">
            <v>Capital Commitments</v>
          </cell>
        </row>
        <row r="98">
          <cell r="C98" t="str">
            <v>Financial Instruments</v>
          </cell>
          <cell r="D98">
            <v>31</v>
          </cell>
        </row>
        <row r="99">
          <cell r="C99" t="str">
            <v>Financial Ratios</v>
          </cell>
          <cell r="D99">
            <v>32</v>
          </cell>
        </row>
        <row r="100">
          <cell r="C100" t="str">
            <v>Ind AS 101 Note</v>
          </cell>
        </row>
        <row r="101">
          <cell r="C101" t="str">
            <v>Capital Management</v>
          </cell>
          <cell r="D101">
            <v>33</v>
          </cell>
        </row>
        <row r="102">
          <cell r="C102"/>
        </row>
        <row r="103">
          <cell r="C103"/>
        </row>
        <row r="104">
          <cell r="C104"/>
        </row>
        <row r="105">
          <cell r="C105"/>
        </row>
        <row r="106">
          <cell r="C106"/>
        </row>
        <row r="107">
          <cell r="C107"/>
        </row>
        <row r="108">
          <cell r="C108"/>
        </row>
        <row r="109">
          <cell r="C109" t="str">
            <v>Checks</v>
          </cell>
        </row>
        <row r="110">
          <cell r="C110">
            <v>0</v>
          </cell>
        </row>
        <row r="111">
          <cell r="C111">
            <v>0</v>
          </cell>
        </row>
        <row r="112">
          <cell r="C112">
            <v>0</v>
          </cell>
        </row>
        <row r="113">
          <cell r="C113">
            <v>0</v>
          </cell>
        </row>
        <row r="114">
          <cell r="C114" t="e">
            <v>#REF!</v>
          </cell>
        </row>
        <row r="115">
          <cell r="C115">
            <v>0</v>
          </cell>
        </row>
        <row r="116">
          <cell r="C116">
            <v>0</v>
          </cell>
        </row>
        <row r="117">
          <cell r="C117" t="e">
            <v>#REF!</v>
          </cell>
        </row>
        <row r="118">
          <cell r="C118">
            <v>0</v>
          </cell>
        </row>
        <row r="119">
          <cell r="C119">
            <v>0</v>
          </cell>
        </row>
        <row r="120">
          <cell r="C120">
            <v>0</v>
          </cell>
        </row>
        <row r="121">
          <cell r="C121">
            <v>0</v>
          </cell>
        </row>
      </sheetData>
      <sheetData sheetId="2">
        <row r="10">
          <cell r="D10">
            <v>3161393.8170499997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Account Number</v>
          </cell>
        </row>
      </sheetData>
      <sheetData sheetId="19"/>
      <sheetData sheetId="20"/>
      <sheetData sheetId="21"/>
      <sheetData sheetId="22"/>
      <sheetData sheetId="23"/>
      <sheetData sheetId="24"/>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C1"/>
          <cell r="D1"/>
          <cell r="E1" t="str">
            <v>Balance Carryforward</v>
          </cell>
          <cell r="F1" t="str">
            <v>Balance,prev.periods</v>
          </cell>
          <cell r="G1" t="str">
            <v>AccumBal.Prev.Period</v>
          </cell>
          <cell r="H1" t="str">
            <v>Debit   1- 16</v>
          </cell>
          <cell r="I1" t="str">
            <v>Credit   1- 16</v>
          </cell>
          <cell r="J1" t="str">
            <v>Cum. Debit Balance</v>
          </cell>
          <cell r="K1" t="str">
            <v>Cum. Credit Balance</v>
          </cell>
          <cell r="L1" t="str">
            <v>Accumulated balance</v>
          </cell>
        </row>
        <row r="2">
          <cell r="C2" t="str">
            <v>Account Number</v>
          </cell>
          <cell r="D2"/>
          <cell r="E2" t="str">
            <v>1 INR</v>
          </cell>
          <cell r="F2" t="str">
            <v>1 INR</v>
          </cell>
          <cell r="G2" t="str">
            <v>1 INR</v>
          </cell>
          <cell r="H2" t="str">
            <v>1 INR</v>
          </cell>
          <cell r="I2" t="str">
            <v>1 INR</v>
          </cell>
          <cell r="J2" t="str">
            <v>1 INR</v>
          </cell>
          <cell r="K2" t="str">
            <v>1 INR</v>
          </cell>
          <cell r="L2" t="str">
            <v>1 INR</v>
          </cell>
        </row>
        <row r="3">
          <cell r="C3">
            <v>10000000</v>
          </cell>
          <cell r="D3" t="str">
            <v>Equity Share Capital</v>
          </cell>
          <cell r="E3">
            <v>-1365970</v>
          </cell>
          <cell r="F3">
            <v>0</v>
          </cell>
          <cell r="G3">
            <v>-1365970</v>
          </cell>
          <cell r="H3">
            <v>0</v>
          </cell>
          <cell r="I3">
            <v>231920</v>
          </cell>
          <cell r="J3">
            <v>0</v>
          </cell>
          <cell r="K3">
            <v>-1597890</v>
          </cell>
          <cell r="L3">
            <v>-1597890</v>
          </cell>
          <cell r="M3">
            <v>10000000</v>
          </cell>
        </row>
        <row r="4">
          <cell r="C4">
            <v>10000001</v>
          </cell>
          <cell r="D4" t="str">
            <v>Preference Share Cap</v>
          </cell>
          <cell r="E4">
            <v>0</v>
          </cell>
          <cell r="F4">
            <v>0</v>
          </cell>
          <cell r="G4">
            <v>0</v>
          </cell>
          <cell r="H4">
            <v>0</v>
          </cell>
          <cell r="I4">
            <v>0</v>
          </cell>
          <cell r="J4">
            <v>0</v>
          </cell>
          <cell r="K4">
            <v>0</v>
          </cell>
          <cell r="L4">
            <v>0</v>
          </cell>
          <cell r="M4" t="e">
            <v>#N/A</v>
          </cell>
        </row>
        <row r="5">
          <cell r="C5">
            <v>10000004</v>
          </cell>
          <cell r="D5" t="str">
            <v>Pref Shar CCPS-BVCPL</v>
          </cell>
          <cell r="E5">
            <v>-868680</v>
          </cell>
          <cell r="F5">
            <v>0</v>
          </cell>
          <cell r="G5">
            <v>-868680</v>
          </cell>
          <cell r="H5">
            <v>868680</v>
          </cell>
          <cell r="I5">
            <v>1999973649</v>
          </cell>
          <cell r="J5">
            <v>0</v>
          </cell>
          <cell r="K5">
            <v>-1999973649</v>
          </cell>
          <cell r="L5">
            <v>-1999973649</v>
          </cell>
          <cell r="M5">
            <v>10000004</v>
          </cell>
        </row>
        <row r="6">
          <cell r="C6">
            <v>10100000</v>
          </cell>
          <cell r="D6" t="str">
            <v>Security Premium Acc</v>
          </cell>
          <cell r="E6">
            <v>-2888560445.96</v>
          </cell>
          <cell r="F6">
            <v>0</v>
          </cell>
          <cell r="G6">
            <v>-2888560445.96</v>
          </cell>
          <cell r="H6">
            <v>1999104969</v>
          </cell>
          <cell r="I6">
            <v>670782217</v>
          </cell>
          <cell r="J6">
            <v>0</v>
          </cell>
          <cell r="K6">
            <v>-1560237693.96</v>
          </cell>
          <cell r="L6">
            <v>-1560237693.96</v>
          </cell>
          <cell r="M6">
            <v>10100000</v>
          </cell>
        </row>
        <row r="7">
          <cell r="C7">
            <v>10100001</v>
          </cell>
          <cell r="D7" t="str">
            <v>Retained earnings</v>
          </cell>
          <cell r="E7">
            <v>205255407.87</v>
          </cell>
          <cell r="F7">
            <v>0</v>
          </cell>
          <cell r="G7">
            <v>205255407.87</v>
          </cell>
          <cell r="H7">
            <v>0</v>
          </cell>
          <cell r="I7">
            <v>0</v>
          </cell>
          <cell r="J7">
            <v>205255407.87</v>
          </cell>
          <cell r="K7">
            <v>0</v>
          </cell>
          <cell r="L7">
            <v>205255407.87</v>
          </cell>
          <cell r="M7">
            <v>10100001</v>
          </cell>
        </row>
        <row r="8">
          <cell r="C8">
            <v>10100002</v>
          </cell>
          <cell r="D8" t="str">
            <v>Profit &amp; Loss Accoun</v>
          </cell>
          <cell r="E8">
            <v>7941080.54</v>
          </cell>
          <cell r="F8">
            <v>0</v>
          </cell>
          <cell r="G8">
            <v>7941080.54</v>
          </cell>
          <cell r="H8">
            <v>0</v>
          </cell>
          <cell r="I8">
            <v>0</v>
          </cell>
          <cell r="J8">
            <v>7941080.54</v>
          </cell>
          <cell r="K8">
            <v>0</v>
          </cell>
          <cell r="L8">
            <v>7941080.54</v>
          </cell>
          <cell r="M8">
            <v>10100002</v>
          </cell>
        </row>
        <row r="9">
          <cell r="C9">
            <v>10100009</v>
          </cell>
          <cell r="D9" t="str">
            <v>IND AS - Opening RE</v>
          </cell>
          <cell r="E9">
            <v>-38668.9</v>
          </cell>
          <cell r="F9">
            <v>0</v>
          </cell>
          <cell r="G9">
            <v>-38668.9</v>
          </cell>
          <cell r="H9">
            <v>0</v>
          </cell>
          <cell r="I9">
            <v>0</v>
          </cell>
          <cell r="J9">
            <v>0</v>
          </cell>
          <cell r="K9">
            <v>-38668.9</v>
          </cell>
          <cell r="L9">
            <v>-38668.9</v>
          </cell>
          <cell r="M9">
            <v>10100009</v>
          </cell>
        </row>
        <row r="10">
          <cell r="C10">
            <v>10200014</v>
          </cell>
          <cell r="D10" t="str">
            <v>Unrealized Gain/Loss</v>
          </cell>
          <cell r="E10">
            <v>0</v>
          </cell>
          <cell r="F10">
            <v>0</v>
          </cell>
          <cell r="G10">
            <v>0</v>
          </cell>
          <cell r="H10">
            <v>0</v>
          </cell>
          <cell r="I10">
            <v>944485</v>
          </cell>
          <cell r="J10">
            <v>0</v>
          </cell>
          <cell r="K10">
            <v>-944485</v>
          </cell>
          <cell r="L10">
            <v>-944485</v>
          </cell>
          <cell r="M10">
            <v>10200014</v>
          </cell>
        </row>
        <row r="11">
          <cell r="C11">
            <v>10200015</v>
          </cell>
          <cell r="D11" t="str">
            <v>IND AS -Tran Cost TL</v>
          </cell>
          <cell r="E11">
            <v>1284522.4299999899</v>
          </cell>
          <cell r="F11">
            <v>0</v>
          </cell>
          <cell r="G11">
            <v>1284522.4299999899</v>
          </cell>
          <cell r="H11">
            <v>1180000</v>
          </cell>
          <cell r="I11">
            <v>316606</v>
          </cell>
          <cell r="J11">
            <v>2147916.4300000002</v>
          </cell>
          <cell r="K11">
            <v>0</v>
          </cell>
          <cell r="L11">
            <v>2147916.4300000002</v>
          </cell>
          <cell r="M11">
            <v>10200015</v>
          </cell>
        </row>
        <row r="12">
          <cell r="C12">
            <v>10200016</v>
          </cell>
          <cell r="D12" t="str">
            <v>TL_AXIS_ 92306005314</v>
          </cell>
          <cell r="E12">
            <v>-2000000000</v>
          </cell>
          <cell r="F12">
            <v>0</v>
          </cell>
          <cell r="G12">
            <v>-2000000000</v>
          </cell>
          <cell r="H12">
            <v>370303637.88</v>
          </cell>
          <cell r="I12">
            <v>137203637</v>
          </cell>
          <cell r="J12">
            <v>0</v>
          </cell>
          <cell r="K12">
            <v>-1766899999.1199901</v>
          </cell>
          <cell r="L12">
            <v>-1766899999.1199901</v>
          </cell>
          <cell r="M12">
            <v>10200016</v>
          </cell>
        </row>
        <row r="13">
          <cell r="C13">
            <v>10200018</v>
          </cell>
          <cell r="D13" t="str">
            <v>TL_AXIS_– 9240600517</v>
          </cell>
          <cell r="E13">
            <v>-400000000</v>
          </cell>
          <cell r="F13">
            <v>0</v>
          </cell>
          <cell r="G13">
            <v>-400000000</v>
          </cell>
          <cell r="H13">
            <v>67555357</v>
          </cell>
          <cell r="I13">
            <v>29570838</v>
          </cell>
          <cell r="J13">
            <v>0</v>
          </cell>
          <cell r="K13">
            <v>-362015481</v>
          </cell>
          <cell r="L13">
            <v>-362015481</v>
          </cell>
          <cell r="M13">
            <v>10200018</v>
          </cell>
        </row>
        <row r="14">
          <cell r="C14">
            <v>10200019</v>
          </cell>
          <cell r="D14" t="str">
            <v>TL_AXIS_926060049706</v>
          </cell>
          <cell r="E14">
            <v>0</v>
          </cell>
          <cell r="F14">
            <v>0</v>
          </cell>
          <cell r="G14">
            <v>0</v>
          </cell>
          <cell r="H14">
            <v>449897</v>
          </cell>
          <cell r="I14">
            <v>106096438</v>
          </cell>
          <cell r="J14">
            <v>0</v>
          </cell>
          <cell r="K14">
            <v>-105646541</v>
          </cell>
          <cell r="L14">
            <v>-105646541</v>
          </cell>
          <cell r="M14">
            <v>10200019</v>
          </cell>
        </row>
        <row r="15">
          <cell r="C15">
            <v>10300002</v>
          </cell>
          <cell r="D15" t="str">
            <v>TL_HDFC_024009300007</v>
          </cell>
          <cell r="E15">
            <v>-247462601.78999901</v>
          </cell>
          <cell r="F15">
            <v>0</v>
          </cell>
          <cell r="G15">
            <v>-247462601.78999901</v>
          </cell>
          <cell r="H15">
            <v>49999880.439999901</v>
          </cell>
          <cell r="I15">
            <v>152536442</v>
          </cell>
          <cell r="J15">
            <v>0</v>
          </cell>
          <cell r="K15">
            <v>-349999163.35000002</v>
          </cell>
          <cell r="L15">
            <v>-349999163.35000002</v>
          </cell>
          <cell r="M15">
            <v>10300002</v>
          </cell>
        </row>
        <row r="16">
          <cell r="C16">
            <v>10400001</v>
          </cell>
          <cell r="D16" t="str">
            <v>IND AS - DTL</v>
          </cell>
          <cell r="E16">
            <v>-238523.489999999</v>
          </cell>
          <cell r="F16">
            <v>0</v>
          </cell>
          <cell r="G16">
            <v>-238523.489999999</v>
          </cell>
          <cell r="H16">
            <v>0</v>
          </cell>
          <cell r="I16">
            <v>0</v>
          </cell>
          <cell r="J16">
            <v>0</v>
          </cell>
          <cell r="K16">
            <v>-238523.489999999</v>
          </cell>
          <cell r="L16">
            <v>-238523.489999999</v>
          </cell>
          <cell r="M16">
            <v>10400001</v>
          </cell>
        </row>
        <row r="17">
          <cell r="C17">
            <v>10500000</v>
          </cell>
          <cell r="D17" t="str">
            <v>Provision for Gratui</v>
          </cell>
          <cell r="E17">
            <v>-1940219</v>
          </cell>
          <cell r="F17">
            <v>0</v>
          </cell>
          <cell r="G17">
            <v>-1940219</v>
          </cell>
          <cell r="H17">
            <v>1940219</v>
          </cell>
          <cell r="I17">
            <v>4499741</v>
          </cell>
          <cell r="J17">
            <v>0</v>
          </cell>
          <cell r="K17">
            <v>-4499741</v>
          </cell>
          <cell r="L17">
            <v>-4499741</v>
          </cell>
          <cell r="M17">
            <v>10500000</v>
          </cell>
        </row>
        <row r="18">
          <cell r="C18">
            <v>10500001</v>
          </cell>
          <cell r="D18" t="str">
            <v>Provision for Leave</v>
          </cell>
          <cell r="E18">
            <v>-2662538</v>
          </cell>
          <cell r="F18">
            <v>0</v>
          </cell>
          <cell r="G18">
            <v>-2662538</v>
          </cell>
          <cell r="H18">
            <v>2662538</v>
          </cell>
          <cell r="I18">
            <v>4772879</v>
          </cell>
          <cell r="J18">
            <v>0</v>
          </cell>
          <cell r="K18">
            <v>-4772879</v>
          </cell>
          <cell r="L18">
            <v>-4772879</v>
          </cell>
          <cell r="M18">
            <v>10500001</v>
          </cell>
        </row>
        <row r="19">
          <cell r="C19">
            <v>10600005</v>
          </cell>
          <cell r="D19" t="str">
            <v>WCDL_HDFC</v>
          </cell>
          <cell r="E19">
            <v>0</v>
          </cell>
          <cell r="F19">
            <v>0</v>
          </cell>
          <cell r="G19">
            <v>0</v>
          </cell>
          <cell r="H19">
            <v>210000000</v>
          </cell>
          <cell r="I19">
            <v>560000000</v>
          </cell>
          <cell r="J19">
            <v>0</v>
          </cell>
          <cell r="K19">
            <v>-350000000</v>
          </cell>
          <cell r="L19">
            <v>-350000000</v>
          </cell>
          <cell r="M19">
            <v>10600005</v>
          </cell>
        </row>
        <row r="20">
          <cell r="C20">
            <v>10600010</v>
          </cell>
          <cell r="D20" t="str">
            <v>Best Value Chem Pvt</v>
          </cell>
          <cell r="E20">
            <v>-265968343.41</v>
          </cell>
          <cell r="F20">
            <v>0</v>
          </cell>
          <cell r="G20">
            <v>-265968343.41</v>
          </cell>
          <cell r="H20">
            <v>950430139</v>
          </cell>
          <cell r="I20">
            <v>684461796</v>
          </cell>
          <cell r="J20">
            <v>0</v>
          </cell>
          <cell r="K20">
            <v>-0.40999999999999898</v>
          </cell>
          <cell r="L20">
            <v>-0.40999999999999898</v>
          </cell>
          <cell r="M20">
            <v>10600010</v>
          </cell>
        </row>
        <row r="21">
          <cell r="C21">
            <v>10600012</v>
          </cell>
          <cell r="D21" t="str">
            <v>WCDL_Axis Bank</v>
          </cell>
          <cell r="E21">
            <v>0</v>
          </cell>
          <cell r="F21">
            <v>0</v>
          </cell>
          <cell r="G21">
            <v>0</v>
          </cell>
          <cell r="H21">
            <v>0</v>
          </cell>
          <cell r="I21">
            <v>150000000</v>
          </cell>
          <cell r="J21">
            <v>0</v>
          </cell>
          <cell r="K21">
            <v>-150000000</v>
          </cell>
          <cell r="L21">
            <v>-150000000</v>
          </cell>
          <cell r="M21">
            <v>10600012</v>
          </cell>
        </row>
        <row r="22">
          <cell r="C22">
            <v>10600014</v>
          </cell>
          <cell r="D22" t="str">
            <v>HDFC Buyer’s Credit</v>
          </cell>
          <cell r="E22">
            <v>0</v>
          </cell>
          <cell r="F22">
            <v>0</v>
          </cell>
          <cell r="G22">
            <v>0</v>
          </cell>
          <cell r="H22">
            <v>109383434.489999</v>
          </cell>
          <cell r="I22">
            <v>134957191.99000001</v>
          </cell>
          <cell r="J22">
            <v>0</v>
          </cell>
          <cell r="K22">
            <v>-25573757.5</v>
          </cell>
          <cell r="L22">
            <v>-25573757.5</v>
          </cell>
          <cell r="M22">
            <v>10600014</v>
          </cell>
        </row>
        <row r="23">
          <cell r="C23">
            <v>10800000</v>
          </cell>
          <cell r="D23" t="str">
            <v>Payable - RM Import</v>
          </cell>
          <cell r="E23">
            <v>-23799281.010000002</v>
          </cell>
          <cell r="F23">
            <v>0</v>
          </cell>
          <cell r="G23">
            <v>-23799281.010000002</v>
          </cell>
          <cell r="H23">
            <v>384888300.67000002</v>
          </cell>
          <cell r="I23">
            <v>487485523.33999902</v>
          </cell>
          <cell r="J23">
            <v>0</v>
          </cell>
          <cell r="K23">
            <v>-126396503.68000001</v>
          </cell>
          <cell r="L23">
            <v>-126396503.68000001</v>
          </cell>
          <cell r="M23">
            <v>10800000</v>
          </cell>
        </row>
        <row r="24">
          <cell r="C24">
            <v>10800001</v>
          </cell>
          <cell r="D24" t="str">
            <v>Payable - RM Domest</v>
          </cell>
          <cell r="E24">
            <v>-53207755.670000002</v>
          </cell>
          <cell r="F24">
            <v>0</v>
          </cell>
          <cell r="G24">
            <v>-53207755.670000002</v>
          </cell>
          <cell r="H24">
            <v>563666879.36000001</v>
          </cell>
          <cell r="I24">
            <v>664790462</v>
          </cell>
          <cell r="J24">
            <v>0</v>
          </cell>
          <cell r="K24">
            <v>-154331338.31</v>
          </cell>
          <cell r="L24">
            <v>-154331338.31</v>
          </cell>
          <cell r="M24">
            <v>10800001</v>
          </cell>
        </row>
        <row r="25">
          <cell r="C25">
            <v>10800002</v>
          </cell>
          <cell r="D25" t="str">
            <v>Payable -Packing Mat</v>
          </cell>
          <cell r="E25">
            <v>-6382962</v>
          </cell>
          <cell r="F25">
            <v>0</v>
          </cell>
          <cell r="G25">
            <v>-6382962</v>
          </cell>
          <cell r="H25">
            <v>33636834.200000003</v>
          </cell>
          <cell r="I25">
            <v>42239637.509999901</v>
          </cell>
          <cell r="J25">
            <v>0</v>
          </cell>
          <cell r="K25">
            <v>-14985765.310000001</v>
          </cell>
          <cell r="L25">
            <v>-14985765.310000001</v>
          </cell>
          <cell r="M25">
            <v>10800002</v>
          </cell>
        </row>
        <row r="26">
          <cell r="C26">
            <v>10800003</v>
          </cell>
          <cell r="D26" t="str">
            <v>Payable - Fuel</v>
          </cell>
          <cell r="E26">
            <v>-7927826.0199999902</v>
          </cell>
          <cell r="F26">
            <v>0</v>
          </cell>
          <cell r="G26">
            <v>-7927826.0199999902</v>
          </cell>
          <cell r="H26">
            <v>124287622.33</v>
          </cell>
          <cell r="I26">
            <v>134828020.31999901</v>
          </cell>
          <cell r="J26">
            <v>0</v>
          </cell>
          <cell r="K26">
            <v>-18468224.010000002</v>
          </cell>
          <cell r="L26">
            <v>-18468224.010000002</v>
          </cell>
          <cell r="M26">
            <v>10800003</v>
          </cell>
        </row>
        <row r="27">
          <cell r="C27">
            <v>10800004</v>
          </cell>
          <cell r="D27" t="str">
            <v>Payable - Others</v>
          </cell>
          <cell r="E27">
            <v>-167825540.699999</v>
          </cell>
          <cell r="F27">
            <v>0</v>
          </cell>
          <cell r="G27">
            <v>-167825540.699999</v>
          </cell>
          <cell r="H27">
            <v>1854967967.99</v>
          </cell>
          <cell r="I27">
            <v>2361805484.5999899</v>
          </cell>
          <cell r="J27">
            <v>0</v>
          </cell>
          <cell r="K27">
            <v>-674663057.30999899</v>
          </cell>
          <cell r="L27">
            <v>-674663057.30999899</v>
          </cell>
          <cell r="M27">
            <v>10800004</v>
          </cell>
        </row>
        <row r="28">
          <cell r="C28">
            <v>10800005</v>
          </cell>
          <cell r="D28" t="str">
            <v>Payables - Employees</v>
          </cell>
          <cell r="E28">
            <v>-78704.779999999897</v>
          </cell>
          <cell r="F28">
            <v>0</v>
          </cell>
          <cell r="G28">
            <v>-78704.779999999897</v>
          </cell>
          <cell r="H28">
            <v>1346504.5</v>
          </cell>
          <cell r="I28">
            <v>1225748.5</v>
          </cell>
          <cell r="J28">
            <v>42051.22</v>
          </cell>
          <cell r="K28">
            <v>0</v>
          </cell>
          <cell r="L28">
            <v>42051.22</v>
          </cell>
          <cell r="M28">
            <v>10800005</v>
          </cell>
        </row>
        <row r="29">
          <cell r="C29">
            <v>10800007</v>
          </cell>
          <cell r="D29" t="str">
            <v>Payable - Forex</v>
          </cell>
          <cell r="E29">
            <v>179382.89</v>
          </cell>
          <cell r="F29">
            <v>0</v>
          </cell>
          <cell r="G29">
            <v>179382.89</v>
          </cell>
          <cell r="H29">
            <v>-624977.23999999894</v>
          </cell>
          <cell r="I29">
            <v>2390628.1099999901</v>
          </cell>
          <cell r="J29">
            <v>0</v>
          </cell>
          <cell r="K29">
            <v>-2836222.46</v>
          </cell>
          <cell r="L29">
            <v>-2836222.46</v>
          </cell>
          <cell r="M29">
            <v>10800007</v>
          </cell>
        </row>
        <row r="30">
          <cell r="C30">
            <v>10900000</v>
          </cell>
          <cell r="D30" t="str">
            <v>Provision_Other Expe</v>
          </cell>
          <cell r="E30">
            <v>-48270629.700000003</v>
          </cell>
          <cell r="F30">
            <v>0</v>
          </cell>
          <cell r="G30">
            <v>-48270629.700000003</v>
          </cell>
          <cell r="H30">
            <v>43957822.700000003</v>
          </cell>
          <cell r="I30">
            <v>2472921.25999999</v>
          </cell>
          <cell r="J30">
            <v>0</v>
          </cell>
          <cell r="K30">
            <v>-6785728.2599999905</v>
          </cell>
          <cell r="L30">
            <v>-6785728.2599999905</v>
          </cell>
          <cell r="M30">
            <v>10900000</v>
          </cell>
        </row>
        <row r="31">
          <cell r="C31">
            <v>10900003</v>
          </cell>
          <cell r="D31" t="str">
            <v>Provision_PF and ESI</v>
          </cell>
          <cell r="E31">
            <v>-311807</v>
          </cell>
          <cell r="F31">
            <v>0</v>
          </cell>
          <cell r="G31">
            <v>-311807</v>
          </cell>
          <cell r="H31">
            <v>0</v>
          </cell>
          <cell r="I31">
            <v>149340</v>
          </cell>
          <cell r="J31">
            <v>0</v>
          </cell>
          <cell r="K31">
            <v>-461147</v>
          </cell>
          <cell r="L31">
            <v>-461147</v>
          </cell>
          <cell r="M31">
            <v>10900003</v>
          </cell>
        </row>
        <row r="32">
          <cell r="C32">
            <v>10900007</v>
          </cell>
          <cell r="D32" t="str">
            <v>Provision_Commission</v>
          </cell>
          <cell r="E32">
            <v>0</v>
          </cell>
          <cell r="F32">
            <v>0</v>
          </cell>
          <cell r="G32">
            <v>0</v>
          </cell>
          <cell r="H32">
            <v>3475984.93</v>
          </cell>
          <cell r="I32">
            <v>5467486.5999999903</v>
          </cell>
          <cell r="J32">
            <v>0</v>
          </cell>
          <cell r="K32">
            <v>-1991501.6699999899</v>
          </cell>
          <cell r="L32">
            <v>-1991501.6699999899</v>
          </cell>
          <cell r="M32">
            <v>10900007</v>
          </cell>
        </row>
        <row r="33">
          <cell r="C33">
            <v>10900012</v>
          </cell>
          <cell r="D33" t="str">
            <v>Provision_C&amp;F Export</v>
          </cell>
          <cell r="E33">
            <v>0</v>
          </cell>
          <cell r="F33">
            <v>0</v>
          </cell>
          <cell r="G33">
            <v>0</v>
          </cell>
          <cell r="H33">
            <v>7391235.8799999896</v>
          </cell>
          <cell r="I33">
            <v>7500000</v>
          </cell>
          <cell r="J33">
            <v>0</v>
          </cell>
          <cell r="K33">
            <v>-108764.12</v>
          </cell>
          <cell r="L33">
            <v>-108764.12</v>
          </cell>
          <cell r="M33">
            <v>10900012</v>
          </cell>
        </row>
        <row r="34">
          <cell r="C34">
            <v>10900013</v>
          </cell>
          <cell r="D34" t="str">
            <v>Provision_MSME Inter</v>
          </cell>
          <cell r="E34">
            <v>-6369417.54</v>
          </cell>
          <cell r="F34">
            <v>0</v>
          </cell>
          <cell r="G34">
            <v>-6369417.54</v>
          </cell>
          <cell r="H34">
            <v>0</v>
          </cell>
          <cell r="I34">
            <v>0</v>
          </cell>
          <cell r="J34">
            <v>0</v>
          </cell>
          <cell r="K34">
            <v>-6369417.54</v>
          </cell>
          <cell r="L34">
            <v>-6369417.54</v>
          </cell>
          <cell r="M34">
            <v>10900013</v>
          </cell>
        </row>
        <row r="35">
          <cell r="C35">
            <v>10900015</v>
          </cell>
          <cell r="D35" t="str">
            <v>Provision_Income Tax</v>
          </cell>
          <cell r="E35">
            <v>0</v>
          </cell>
          <cell r="F35">
            <v>0</v>
          </cell>
          <cell r="G35">
            <v>0</v>
          </cell>
          <cell r="H35">
            <v>0</v>
          </cell>
          <cell r="I35">
            <v>0</v>
          </cell>
          <cell r="J35">
            <v>0</v>
          </cell>
          <cell r="K35">
            <v>0</v>
          </cell>
          <cell r="L35">
            <v>0</v>
          </cell>
          <cell r="M35">
            <v>10900015</v>
          </cell>
        </row>
        <row r="36">
          <cell r="C36">
            <v>10900016</v>
          </cell>
          <cell r="D36" t="str">
            <v>Provision_Incentive</v>
          </cell>
          <cell r="E36">
            <v>-2295777</v>
          </cell>
          <cell r="F36">
            <v>0</v>
          </cell>
          <cell r="G36">
            <v>-2295777</v>
          </cell>
          <cell r="H36">
            <v>2295777</v>
          </cell>
          <cell r="I36">
            <v>4000000</v>
          </cell>
          <cell r="J36">
            <v>0</v>
          </cell>
          <cell r="K36">
            <v>-4000000</v>
          </cell>
          <cell r="L36">
            <v>-4000000</v>
          </cell>
          <cell r="M36">
            <v>10900016</v>
          </cell>
        </row>
        <row r="37">
          <cell r="C37">
            <v>10900017</v>
          </cell>
          <cell r="D37" t="str">
            <v>Provision_Bonus</v>
          </cell>
          <cell r="E37">
            <v>-1443331.5</v>
          </cell>
          <cell r="F37">
            <v>0</v>
          </cell>
          <cell r="G37">
            <v>-1443331.5</v>
          </cell>
          <cell r="H37">
            <v>3647771</v>
          </cell>
          <cell r="I37">
            <v>3889137</v>
          </cell>
          <cell r="J37">
            <v>0</v>
          </cell>
          <cell r="K37">
            <v>-1684697.5</v>
          </cell>
          <cell r="L37">
            <v>-1684697.5</v>
          </cell>
          <cell r="M37">
            <v>10900017</v>
          </cell>
        </row>
        <row r="38">
          <cell r="C38">
            <v>10900018</v>
          </cell>
          <cell r="D38" t="str">
            <v>Salary Payable</v>
          </cell>
          <cell r="E38">
            <v>-6010925.9900000002</v>
          </cell>
          <cell r="F38">
            <v>0</v>
          </cell>
          <cell r="G38">
            <v>-6010925.9900000002</v>
          </cell>
          <cell r="H38">
            <v>193499362.27000001</v>
          </cell>
          <cell r="I38">
            <v>187608116.28999901</v>
          </cell>
          <cell r="J38">
            <v>0</v>
          </cell>
          <cell r="K38">
            <v>-119680.00999999901</v>
          </cell>
          <cell r="L38">
            <v>-119680.00999999901</v>
          </cell>
          <cell r="M38">
            <v>10900018</v>
          </cell>
        </row>
        <row r="39">
          <cell r="C39">
            <v>11000001</v>
          </cell>
          <cell r="D39" t="str">
            <v>TDS_Professional and</v>
          </cell>
          <cell r="E39">
            <v>-604915.06000000006</v>
          </cell>
          <cell r="F39">
            <v>0</v>
          </cell>
          <cell r="G39">
            <v>-604915.06000000006</v>
          </cell>
          <cell r="H39">
            <v>3741297</v>
          </cell>
          <cell r="I39">
            <v>3518744</v>
          </cell>
          <cell r="J39">
            <v>0</v>
          </cell>
          <cell r="K39">
            <v>-382362.06</v>
          </cell>
          <cell r="L39">
            <v>-382362.06</v>
          </cell>
          <cell r="M39">
            <v>11000001</v>
          </cell>
        </row>
        <row r="40">
          <cell r="C40">
            <v>11000002</v>
          </cell>
          <cell r="D40" t="str">
            <v>TDS_Contractors_194C</v>
          </cell>
          <cell r="E40">
            <v>-1218102.76</v>
          </cell>
          <cell r="F40">
            <v>0</v>
          </cell>
          <cell r="G40">
            <v>-1218102.76</v>
          </cell>
          <cell r="H40">
            <v>7130246.6699999897</v>
          </cell>
          <cell r="I40">
            <v>9170061.3900000006</v>
          </cell>
          <cell r="J40">
            <v>0</v>
          </cell>
          <cell r="K40">
            <v>-3257917.48</v>
          </cell>
          <cell r="L40">
            <v>-3257917.48</v>
          </cell>
          <cell r="M40">
            <v>11000002</v>
          </cell>
        </row>
        <row r="41">
          <cell r="C41">
            <v>11000003</v>
          </cell>
          <cell r="D41" t="str">
            <v>TDS_Interest on borr</v>
          </cell>
          <cell r="E41">
            <v>-995290.17</v>
          </cell>
          <cell r="F41">
            <v>0</v>
          </cell>
          <cell r="G41">
            <v>-995290.17</v>
          </cell>
          <cell r="H41">
            <v>3992802</v>
          </cell>
          <cell r="I41">
            <v>2997512</v>
          </cell>
          <cell r="J41">
            <v>0</v>
          </cell>
          <cell r="K41">
            <v>-0.17</v>
          </cell>
          <cell r="L41">
            <v>-0.17</v>
          </cell>
          <cell r="M41">
            <v>11000003</v>
          </cell>
        </row>
        <row r="42">
          <cell r="C42">
            <v>11000005</v>
          </cell>
          <cell r="D42" t="str">
            <v>TDS_Rent_194I</v>
          </cell>
          <cell r="E42">
            <v>-21113</v>
          </cell>
          <cell r="F42">
            <v>0</v>
          </cell>
          <cell r="G42">
            <v>-21113</v>
          </cell>
          <cell r="H42">
            <v>116173</v>
          </cell>
          <cell r="I42">
            <v>170429</v>
          </cell>
          <cell r="J42">
            <v>0</v>
          </cell>
          <cell r="K42">
            <v>-75369</v>
          </cell>
          <cell r="L42">
            <v>-75369</v>
          </cell>
          <cell r="M42">
            <v>11000005</v>
          </cell>
        </row>
        <row r="43">
          <cell r="C43">
            <v>11000006</v>
          </cell>
          <cell r="D43" t="str">
            <v>TDS_Purchase on Good</v>
          </cell>
          <cell r="E43">
            <v>-64627</v>
          </cell>
          <cell r="F43">
            <v>0</v>
          </cell>
          <cell r="G43">
            <v>-64627</v>
          </cell>
          <cell r="H43">
            <v>2040222</v>
          </cell>
          <cell r="I43">
            <v>2200318.73</v>
          </cell>
          <cell r="J43">
            <v>0</v>
          </cell>
          <cell r="K43">
            <v>-224723.73</v>
          </cell>
          <cell r="L43">
            <v>-224723.73</v>
          </cell>
          <cell r="M43">
            <v>11000006</v>
          </cell>
        </row>
        <row r="44">
          <cell r="C44">
            <v>11000007</v>
          </cell>
          <cell r="D44" t="str">
            <v>TDS_Salary_192</v>
          </cell>
          <cell r="E44">
            <v>-627704</v>
          </cell>
          <cell r="F44">
            <v>0</v>
          </cell>
          <cell r="G44">
            <v>-627704</v>
          </cell>
          <cell r="H44">
            <v>6063058</v>
          </cell>
          <cell r="I44">
            <v>6044015</v>
          </cell>
          <cell r="J44">
            <v>0</v>
          </cell>
          <cell r="K44">
            <v>-608661</v>
          </cell>
          <cell r="L44">
            <v>-608661</v>
          </cell>
          <cell r="M44">
            <v>11000007</v>
          </cell>
        </row>
        <row r="45">
          <cell r="C45">
            <v>11000009</v>
          </cell>
          <cell r="D45" t="str">
            <v>TDS_Land Purchase_19</v>
          </cell>
          <cell r="E45">
            <v>0</v>
          </cell>
          <cell r="F45">
            <v>0</v>
          </cell>
          <cell r="G45">
            <v>0</v>
          </cell>
          <cell r="H45">
            <v>0</v>
          </cell>
          <cell r="I45">
            <v>109350</v>
          </cell>
          <cell r="J45">
            <v>0</v>
          </cell>
          <cell r="K45">
            <v>-109350</v>
          </cell>
          <cell r="L45">
            <v>-109350</v>
          </cell>
          <cell r="M45">
            <v>11000009</v>
          </cell>
        </row>
        <row r="46">
          <cell r="C46">
            <v>11000011</v>
          </cell>
          <cell r="D46" t="str">
            <v>PF Employee Contribu</v>
          </cell>
          <cell r="E46">
            <v>-288873</v>
          </cell>
          <cell r="F46">
            <v>0</v>
          </cell>
          <cell r="G46">
            <v>-288873</v>
          </cell>
          <cell r="H46">
            <v>4598653</v>
          </cell>
          <cell r="I46">
            <v>4740071</v>
          </cell>
          <cell r="J46">
            <v>0</v>
          </cell>
          <cell r="K46">
            <v>-430291</v>
          </cell>
          <cell r="L46">
            <v>-430291</v>
          </cell>
          <cell r="M46">
            <v>11000011</v>
          </cell>
        </row>
        <row r="47">
          <cell r="C47">
            <v>11000012</v>
          </cell>
          <cell r="D47" t="str">
            <v>Professional Tax</v>
          </cell>
          <cell r="E47">
            <v>-31400</v>
          </cell>
          <cell r="F47">
            <v>0</v>
          </cell>
          <cell r="G47">
            <v>-31400</v>
          </cell>
          <cell r="H47">
            <v>428000</v>
          </cell>
          <cell r="I47">
            <v>433400</v>
          </cell>
          <cell r="J47">
            <v>0</v>
          </cell>
          <cell r="K47">
            <v>-36800</v>
          </cell>
          <cell r="L47">
            <v>-36800</v>
          </cell>
          <cell r="M47">
            <v>11000012</v>
          </cell>
        </row>
        <row r="48">
          <cell r="C48">
            <v>11100000</v>
          </cell>
          <cell r="D48" t="str">
            <v>Interest Accrued but</v>
          </cell>
          <cell r="E48">
            <v>-1683162</v>
          </cell>
          <cell r="F48">
            <v>0</v>
          </cell>
          <cell r="G48">
            <v>-1683162</v>
          </cell>
          <cell r="H48">
            <v>1683162</v>
          </cell>
          <cell r="I48">
            <v>4318047</v>
          </cell>
          <cell r="J48">
            <v>0</v>
          </cell>
          <cell r="K48">
            <v>-4318047</v>
          </cell>
          <cell r="L48">
            <v>-4318047</v>
          </cell>
          <cell r="M48">
            <v>11100000</v>
          </cell>
        </row>
        <row r="49">
          <cell r="C49">
            <v>11100001</v>
          </cell>
          <cell r="D49" t="str">
            <v>Other Payables</v>
          </cell>
          <cell r="E49">
            <v>0</v>
          </cell>
          <cell r="F49">
            <v>0</v>
          </cell>
          <cell r="G49">
            <v>0</v>
          </cell>
          <cell r="H49">
            <v>4575722.4000000004</v>
          </cell>
          <cell r="I49">
            <v>4575722.4000000004</v>
          </cell>
          <cell r="J49">
            <v>0</v>
          </cell>
          <cell r="K49">
            <v>0</v>
          </cell>
          <cell r="L49">
            <v>0</v>
          </cell>
          <cell r="M49" t="e">
            <v>#N/A</v>
          </cell>
        </row>
        <row r="50">
          <cell r="C50">
            <v>11100002</v>
          </cell>
          <cell r="D50" t="str">
            <v>Retention Money</v>
          </cell>
          <cell r="E50">
            <v>-104173676.48</v>
          </cell>
          <cell r="F50">
            <v>0</v>
          </cell>
          <cell r="G50">
            <v>-104173676.48</v>
          </cell>
          <cell r="H50">
            <v>104219148.41</v>
          </cell>
          <cell r="I50">
            <v>222015</v>
          </cell>
          <cell r="J50">
            <v>0</v>
          </cell>
          <cell r="K50">
            <v>-176543.07</v>
          </cell>
          <cell r="L50">
            <v>-176543.07</v>
          </cell>
          <cell r="M50">
            <v>11100002</v>
          </cell>
        </row>
        <row r="51">
          <cell r="C51">
            <v>20000000</v>
          </cell>
          <cell r="D51" t="str">
            <v>Freehold land</v>
          </cell>
          <cell r="E51">
            <v>93599471</v>
          </cell>
          <cell r="F51">
            <v>0</v>
          </cell>
          <cell r="G51">
            <v>93599471</v>
          </cell>
          <cell r="H51">
            <v>0</v>
          </cell>
          <cell r="I51">
            <v>0</v>
          </cell>
          <cell r="J51">
            <v>93599471</v>
          </cell>
          <cell r="K51">
            <v>0</v>
          </cell>
          <cell r="L51">
            <v>93599471</v>
          </cell>
          <cell r="M51">
            <v>20000000</v>
          </cell>
        </row>
        <row r="52">
          <cell r="C52">
            <v>20000001</v>
          </cell>
          <cell r="D52" t="str">
            <v>Building</v>
          </cell>
          <cell r="E52">
            <v>1479119263.8</v>
          </cell>
          <cell r="F52">
            <v>0</v>
          </cell>
          <cell r="G52">
            <v>1479119263.8</v>
          </cell>
          <cell r="H52">
            <v>593538.71999999904</v>
          </cell>
          <cell r="I52">
            <v>0</v>
          </cell>
          <cell r="J52">
            <v>1479712802.52</v>
          </cell>
          <cell r="K52">
            <v>0</v>
          </cell>
          <cell r="L52">
            <v>1479712802.52</v>
          </cell>
          <cell r="M52">
            <v>20000001</v>
          </cell>
        </row>
        <row r="53">
          <cell r="C53">
            <v>20000002</v>
          </cell>
          <cell r="D53" t="str">
            <v>ACC_DEP_Building</v>
          </cell>
          <cell r="E53">
            <v>-23521985.120000001</v>
          </cell>
          <cell r="F53">
            <v>0</v>
          </cell>
          <cell r="G53">
            <v>-23521985.120000001</v>
          </cell>
          <cell r="H53">
            <v>0</v>
          </cell>
          <cell r="I53">
            <v>57091696.5</v>
          </cell>
          <cell r="J53">
            <v>0</v>
          </cell>
          <cell r="K53">
            <v>-80613681.620000005</v>
          </cell>
          <cell r="L53">
            <v>-80613681.620000005</v>
          </cell>
          <cell r="M53">
            <v>20000002</v>
          </cell>
        </row>
        <row r="54">
          <cell r="C54">
            <v>20000003</v>
          </cell>
          <cell r="D54" t="str">
            <v>Plant and machinery</v>
          </cell>
          <cell r="E54">
            <v>3385169564.52</v>
          </cell>
          <cell r="F54">
            <v>0</v>
          </cell>
          <cell r="G54">
            <v>3385169564.52</v>
          </cell>
          <cell r="H54">
            <v>24338032.199999899</v>
          </cell>
          <cell r="I54">
            <v>0</v>
          </cell>
          <cell r="J54">
            <v>3409507596.7199898</v>
          </cell>
          <cell r="K54">
            <v>0</v>
          </cell>
          <cell r="L54">
            <v>3409507596.7199898</v>
          </cell>
          <cell r="M54">
            <v>20000003</v>
          </cell>
        </row>
        <row r="55">
          <cell r="C55">
            <v>20000004</v>
          </cell>
          <cell r="D55" t="str">
            <v>ACC_DEP_Plant and ma</v>
          </cell>
          <cell r="E55">
            <v>-98387307.799999893</v>
          </cell>
          <cell r="F55">
            <v>0</v>
          </cell>
          <cell r="G55">
            <v>-98387307.799999893</v>
          </cell>
          <cell r="H55">
            <v>0</v>
          </cell>
          <cell r="I55">
            <v>234090662.99000001</v>
          </cell>
          <cell r="J55">
            <v>0</v>
          </cell>
          <cell r="K55">
            <v>-332477970.79000002</v>
          </cell>
          <cell r="L55">
            <v>-332477970.79000002</v>
          </cell>
          <cell r="M55">
            <v>20000004</v>
          </cell>
        </row>
        <row r="56">
          <cell r="C56">
            <v>20000005</v>
          </cell>
          <cell r="D56" t="str">
            <v>Office equiment</v>
          </cell>
          <cell r="E56">
            <v>19595727</v>
          </cell>
          <cell r="F56">
            <v>0</v>
          </cell>
          <cell r="G56">
            <v>19595727</v>
          </cell>
          <cell r="H56">
            <v>0</v>
          </cell>
          <cell r="I56">
            <v>0</v>
          </cell>
          <cell r="J56">
            <v>19595727</v>
          </cell>
          <cell r="K56">
            <v>0</v>
          </cell>
          <cell r="L56">
            <v>19595727</v>
          </cell>
          <cell r="M56">
            <v>20000005</v>
          </cell>
        </row>
        <row r="57">
          <cell r="C57">
            <v>20000006</v>
          </cell>
          <cell r="D57" t="str">
            <v>ACC_DEP_Office equim</v>
          </cell>
          <cell r="E57">
            <v>-1127057.1200000001</v>
          </cell>
          <cell r="F57">
            <v>0</v>
          </cell>
          <cell r="G57">
            <v>-1127057.1200000001</v>
          </cell>
          <cell r="H57">
            <v>0</v>
          </cell>
          <cell r="I57">
            <v>3723188.1099999901</v>
          </cell>
          <cell r="J57">
            <v>0</v>
          </cell>
          <cell r="K57">
            <v>-4850245.2300000004</v>
          </cell>
          <cell r="L57">
            <v>-4850245.2300000004</v>
          </cell>
          <cell r="M57">
            <v>20000006</v>
          </cell>
        </row>
        <row r="58">
          <cell r="C58">
            <v>20000007</v>
          </cell>
          <cell r="D58" t="str">
            <v>Computers</v>
          </cell>
          <cell r="E58">
            <v>16903685.710000001</v>
          </cell>
          <cell r="F58">
            <v>0</v>
          </cell>
          <cell r="G58">
            <v>16903685.710000001</v>
          </cell>
          <cell r="H58">
            <v>0</v>
          </cell>
          <cell r="I58">
            <v>0</v>
          </cell>
          <cell r="J58">
            <v>16903685.710000001</v>
          </cell>
          <cell r="K58">
            <v>0</v>
          </cell>
          <cell r="L58">
            <v>16903685.710000001</v>
          </cell>
          <cell r="M58">
            <v>20000007</v>
          </cell>
        </row>
        <row r="59">
          <cell r="C59">
            <v>20000008</v>
          </cell>
          <cell r="D59" t="str">
            <v>ACC_DEP_Computers</v>
          </cell>
          <cell r="E59">
            <v>-1509878.12</v>
          </cell>
          <cell r="F59">
            <v>0</v>
          </cell>
          <cell r="G59">
            <v>-1509878.12</v>
          </cell>
          <cell r="H59">
            <v>0</v>
          </cell>
          <cell r="I59">
            <v>3613247.66</v>
          </cell>
          <cell r="J59">
            <v>0</v>
          </cell>
          <cell r="K59">
            <v>-5123125.78</v>
          </cell>
          <cell r="L59">
            <v>-5123125.78</v>
          </cell>
          <cell r="M59">
            <v>20000008</v>
          </cell>
        </row>
        <row r="60">
          <cell r="C60">
            <v>20000009</v>
          </cell>
          <cell r="D60" t="str">
            <v>Furniture and fixtur</v>
          </cell>
          <cell r="E60">
            <v>20587570.109999899</v>
          </cell>
          <cell r="F60">
            <v>0</v>
          </cell>
          <cell r="G60">
            <v>20587570.109999899</v>
          </cell>
          <cell r="H60">
            <v>0</v>
          </cell>
          <cell r="I60">
            <v>0</v>
          </cell>
          <cell r="J60">
            <v>20587570.109999899</v>
          </cell>
          <cell r="K60">
            <v>0</v>
          </cell>
          <cell r="L60">
            <v>20587570.109999899</v>
          </cell>
          <cell r="M60">
            <v>20000009</v>
          </cell>
        </row>
        <row r="61">
          <cell r="C61">
            <v>20000010</v>
          </cell>
          <cell r="D61" t="str">
            <v>ACC_DEP_Furniture an</v>
          </cell>
          <cell r="E61">
            <v>-594660.09999999905</v>
          </cell>
          <cell r="F61">
            <v>0</v>
          </cell>
          <cell r="G61">
            <v>-594660.09999999905</v>
          </cell>
          <cell r="H61">
            <v>0</v>
          </cell>
          <cell r="I61">
            <v>1955819.27</v>
          </cell>
          <cell r="J61">
            <v>0</v>
          </cell>
          <cell r="K61">
            <v>-2550479.37</v>
          </cell>
          <cell r="L61">
            <v>-2550479.37</v>
          </cell>
          <cell r="M61">
            <v>20000010</v>
          </cell>
        </row>
        <row r="62">
          <cell r="C62">
            <v>20000011</v>
          </cell>
          <cell r="D62" t="str">
            <v>Electrical fittings</v>
          </cell>
          <cell r="E62">
            <v>133494755.59</v>
          </cell>
          <cell r="F62">
            <v>0</v>
          </cell>
          <cell r="G62">
            <v>133494755.59</v>
          </cell>
          <cell r="H62">
            <v>461110.109999999</v>
          </cell>
          <cell r="I62">
            <v>0</v>
          </cell>
          <cell r="J62">
            <v>133955865.7</v>
          </cell>
          <cell r="K62">
            <v>0</v>
          </cell>
          <cell r="L62">
            <v>133955865.7</v>
          </cell>
          <cell r="M62">
            <v>20000011</v>
          </cell>
        </row>
        <row r="63">
          <cell r="C63">
            <v>20000012</v>
          </cell>
          <cell r="D63" t="str">
            <v>ACC_DEP_Electrical f</v>
          </cell>
          <cell r="E63">
            <v>-3890620.1499999901</v>
          </cell>
          <cell r="F63">
            <v>0</v>
          </cell>
          <cell r="G63">
            <v>-3890620.1499999901</v>
          </cell>
          <cell r="H63">
            <v>0</v>
          </cell>
          <cell r="I63">
            <v>12694553.24</v>
          </cell>
          <cell r="J63">
            <v>0</v>
          </cell>
          <cell r="K63">
            <v>-16585173.390000001</v>
          </cell>
          <cell r="L63">
            <v>-16585173.390000001</v>
          </cell>
          <cell r="M63">
            <v>20000012</v>
          </cell>
        </row>
        <row r="64">
          <cell r="C64">
            <v>20000015</v>
          </cell>
          <cell r="D64" t="str">
            <v>Computer Software</v>
          </cell>
          <cell r="E64">
            <v>4679369.24</v>
          </cell>
          <cell r="F64">
            <v>0</v>
          </cell>
          <cell r="G64">
            <v>4679369.24</v>
          </cell>
          <cell r="H64">
            <v>0</v>
          </cell>
          <cell r="I64">
            <v>0</v>
          </cell>
          <cell r="J64">
            <v>4679369.24</v>
          </cell>
          <cell r="K64">
            <v>0</v>
          </cell>
          <cell r="L64">
            <v>4679369.24</v>
          </cell>
          <cell r="M64">
            <v>20000015</v>
          </cell>
        </row>
        <row r="65">
          <cell r="C65">
            <v>20000016</v>
          </cell>
          <cell r="D65" t="str">
            <v>ACC_DEP_Computer Sof</v>
          </cell>
          <cell r="E65">
            <v>-314295.84999999899</v>
          </cell>
          <cell r="F65">
            <v>0</v>
          </cell>
          <cell r="G65">
            <v>-314295.84999999899</v>
          </cell>
          <cell r="H65">
            <v>0</v>
          </cell>
          <cell r="I65">
            <v>1481800.26</v>
          </cell>
          <cell r="J65">
            <v>0</v>
          </cell>
          <cell r="K65">
            <v>-1796096.11</v>
          </cell>
          <cell r="L65">
            <v>-1796096.11</v>
          </cell>
          <cell r="M65">
            <v>20000016</v>
          </cell>
        </row>
        <row r="66">
          <cell r="C66">
            <v>20000017</v>
          </cell>
          <cell r="D66" t="str">
            <v>Leasehold Land</v>
          </cell>
          <cell r="E66">
            <v>324389641</v>
          </cell>
          <cell r="F66">
            <v>0</v>
          </cell>
          <cell r="G66">
            <v>324389641</v>
          </cell>
          <cell r="H66">
            <v>0</v>
          </cell>
          <cell r="I66">
            <v>0</v>
          </cell>
          <cell r="J66">
            <v>324389641</v>
          </cell>
          <cell r="K66">
            <v>0</v>
          </cell>
          <cell r="L66">
            <v>324389641</v>
          </cell>
          <cell r="M66">
            <v>20000017</v>
          </cell>
        </row>
        <row r="67">
          <cell r="C67">
            <v>20000018</v>
          </cell>
          <cell r="D67" t="str">
            <v>ACC_DEP_Leased Land</v>
          </cell>
          <cell r="E67">
            <v>-9297332.9299999904</v>
          </cell>
          <cell r="F67">
            <v>0</v>
          </cell>
          <cell r="G67">
            <v>-9297332.9299999904</v>
          </cell>
          <cell r="H67">
            <v>0</v>
          </cell>
          <cell r="I67">
            <v>3467334.25</v>
          </cell>
          <cell r="J67">
            <v>0</v>
          </cell>
          <cell r="K67">
            <v>-12764667.18</v>
          </cell>
          <cell r="L67">
            <v>-12764667.18</v>
          </cell>
          <cell r="M67">
            <v>20000018</v>
          </cell>
        </row>
        <row r="68">
          <cell r="C68">
            <v>20100000</v>
          </cell>
          <cell r="D68" t="str">
            <v>Capital Work In Prog</v>
          </cell>
          <cell r="E68">
            <v>60.24</v>
          </cell>
          <cell r="F68">
            <v>0</v>
          </cell>
          <cell r="G68">
            <v>60.24</v>
          </cell>
          <cell r="H68">
            <v>217672240.27000001</v>
          </cell>
          <cell r="I68">
            <v>66937284.039999902</v>
          </cell>
          <cell r="J68">
            <v>150735016.47</v>
          </cell>
          <cell r="K68">
            <v>0</v>
          </cell>
          <cell r="L68">
            <v>150735016.47</v>
          </cell>
          <cell r="M68">
            <v>20100000</v>
          </cell>
        </row>
        <row r="69">
          <cell r="C69">
            <v>20100001</v>
          </cell>
          <cell r="D69" t="str">
            <v>Capital Advances</v>
          </cell>
          <cell r="E69">
            <v>11010528.060000001</v>
          </cell>
          <cell r="F69">
            <v>0</v>
          </cell>
          <cell r="G69">
            <v>11010528.060000001</v>
          </cell>
          <cell r="H69">
            <v>967044</v>
          </cell>
          <cell r="I69">
            <v>10753552.68</v>
          </cell>
          <cell r="J69">
            <v>1224019.3799999901</v>
          </cell>
          <cell r="K69">
            <v>0</v>
          </cell>
          <cell r="L69">
            <v>1224019.3799999901</v>
          </cell>
          <cell r="M69">
            <v>20100001</v>
          </cell>
        </row>
        <row r="70">
          <cell r="C70">
            <v>20100002</v>
          </cell>
          <cell r="D70" t="str">
            <v>Capital WIP IO</v>
          </cell>
          <cell r="E70">
            <v>0</v>
          </cell>
          <cell r="F70">
            <v>0</v>
          </cell>
          <cell r="G70">
            <v>0</v>
          </cell>
          <cell r="H70">
            <v>1606509.03</v>
          </cell>
          <cell r="I70">
            <v>37398764</v>
          </cell>
          <cell r="J70">
            <v>0</v>
          </cell>
          <cell r="K70">
            <v>-35792254.969999902</v>
          </cell>
          <cell r="L70">
            <v>-35792254.969999902</v>
          </cell>
          <cell r="M70">
            <v>20100002</v>
          </cell>
        </row>
        <row r="71">
          <cell r="C71">
            <v>20100003</v>
          </cell>
          <cell r="D71" t="str">
            <v>Capita Adv Audit Adj</v>
          </cell>
          <cell r="E71">
            <v>-41060</v>
          </cell>
          <cell r="F71">
            <v>0</v>
          </cell>
          <cell r="G71">
            <v>-41060</v>
          </cell>
          <cell r="H71">
            <v>0</v>
          </cell>
          <cell r="I71">
            <v>0</v>
          </cell>
          <cell r="J71">
            <v>0</v>
          </cell>
          <cell r="K71">
            <v>-41060</v>
          </cell>
          <cell r="L71">
            <v>-41060</v>
          </cell>
          <cell r="M71">
            <v>20100003</v>
          </cell>
        </row>
        <row r="72">
          <cell r="C72">
            <v>20100004</v>
          </cell>
          <cell r="D72" t="str">
            <v>AUC Cost</v>
          </cell>
          <cell r="E72">
            <v>41000</v>
          </cell>
          <cell r="F72">
            <v>0</v>
          </cell>
          <cell r="G72">
            <v>41000</v>
          </cell>
          <cell r="H72">
            <v>0</v>
          </cell>
          <cell r="I72">
            <v>0</v>
          </cell>
          <cell r="J72">
            <v>41000</v>
          </cell>
          <cell r="K72">
            <v>0</v>
          </cell>
          <cell r="L72">
            <v>41000</v>
          </cell>
          <cell r="M72">
            <v>20100004</v>
          </cell>
        </row>
        <row r="73">
          <cell r="C73">
            <v>20200009</v>
          </cell>
          <cell r="D73" t="str">
            <v>Investment Equit-JSW</v>
          </cell>
          <cell r="E73">
            <v>0</v>
          </cell>
          <cell r="F73">
            <v>0</v>
          </cell>
          <cell r="G73">
            <v>0</v>
          </cell>
          <cell r="H73">
            <v>9596589</v>
          </cell>
          <cell r="I73">
            <v>7925479</v>
          </cell>
          <cell r="J73">
            <v>1671110</v>
          </cell>
          <cell r="K73">
            <v>0</v>
          </cell>
          <cell r="L73">
            <v>1671110</v>
          </cell>
          <cell r="M73">
            <v>20200009</v>
          </cell>
        </row>
        <row r="74">
          <cell r="C74">
            <v>20300000</v>
          </cell>
          <cell r="D74" t="str">
            <v>Deposit_Other</v>
          </cell>
          <cell r="E74">
            <v>27413904</v>
          </cell>
          <cell r="F74">
            <v>0</v>
          </cell>
          <cell r="G74">
            <v>27413904</v>
          </cell>
          <cell r="H74">
            <v>6648477.8600000003</v>
          </cell>
          <cell r="I74">
            <v>0</v>
          </cell>
          <cell r="J74">
            <v>34062381.859999903</v>
          </cell>
          <cell r="K74">
            <v>0</v>
          </cell>
          <cell r="L74">
            <v>34062381.859999903</v>
          </cell>
          <cell r="M74">
            <v>20300000</v>
          </cell>
        </row>
        <row r="75">
          <cell r="C75">
            <v>20300004</v>
          </cell>
          <cell r="D75" t="str">
            <v>Deposit_Prohibition</v>
          </cell>
          <cell r="E75">
            <v>1000</v>
          </cell>
          <cell r="F75">
            <v>0</v>
          </cell>
          <cell r="G75">
            <v>1000</v>
          </cell>
          <cell r="H75">
            <v>0</v>
          </cell>
          <cell r="I75">
            <v>0</v>
          </cell>
          <cell r="J75">
            <v>1000</v>
          </cell>
          <cell r="K75">
            <v>0</v>
          </cell>
          <cell r="L75">
            <v>1000</v>
          </cell>
          <cell r="M75">
            <v>20300004</v>
          </cell>
        </row>
        <row r="76">
          <cell r="C76">
            <v>20400001</v>
          </cell>
          <cell r="D76" t="str">
            <v>IND AS - DTA</v>
          </cell>
          <cell r="E76">
            <v>95917.279999999897</v>
          </cell>
          <cell r="F76">
            <v>0</v>
          </cell>
          <cell r="G76">
            <v>95917.279999999897</v>
          </cell>
          <cell r="H76">
            <v>0</v>
          </cell>
          <cell r="I76">
            <v>0</v>
          </cell>
          <cell r="J76">
            <v>95917.279999999897</v>
          </cell>
          <cell r="K76">
            <v>0</v>
          </cell>
          <cell r="L76">
            <v>95917.279999999897</v>
          </cell>
          <cell r="M76">
            <v>20400001</v>
          </cell>
        </row>
        <row r="77">
          <cell r="C77">
            <v>20500000</v>
          </cell>
          <cell r="D77" t="str">
            <v>Raw Material Stock</v>
          </cell>
          <cell r="E77">
            <v>32146506.07</v>
          </cell>
          <cell r="F77">
            <v>0</v>
          </cell>
          <cell r="G77">
            <v>32146506.07</v>
          </cell>
          <cell r="H77">
            <v>1786944702.8800001</v>
          </cell>
          <cell r="I77">
            <v>1666906382.9300001</v>
          </cell>
          <cell r="J77">
            <v>152184826.02000001</v>
          </cell>
          <cell r="K77">
            <v>0</v>
          </cell>
          <cell r="L77">
            <v>152184826.02000001</v>
          </cell>
          <cell r="M77">
            <v>20500000</v>
          </cell>
        </row>
        <row r="78">
          <cell r="C78">
            <v>20500001</v>
          </cell>
          <cell r="D78" t="str">
            <v>Packing Material Sto</v>
          </cell>
          <cell r="E78">
            <v>2090466.1399999899</v>
          </cell>
          <cell r="F78">
            <v>0</v>
          </cell>
          <cell r="G78">
            <v>2090466.1399999899</v>
          </cell>
          <cell r="H78">
            <v>42670369.439999901</v>
          </cell>
          <cell r="I78">
            <v>43509326.609999903</v>
          </cell>
          <cell r="J78">
            <v>1251508.97</v>
          </cell>
          <cell r="K78">
            <v>0</v>
          </cell>
          <cell r="L78">
            <v>1251508.97</v>
          </cell>
          <cell r="M78">
            <v>20500001</v>
          </cell>
        </row>
        <row r="79">
          <cell r="C79">
            <v>20500002</v>
          </cell>
          <cell r="D79" t="str">
            <v>Fuel Stock</v>
          </cell>
          <cell r="E79">
            <v>1514975.1899999899</v>
          </cell>
          <cell r="F79">
            <v>0</v>
          </cell>
          <cell r="G79">
            <v>1514975.1899999899</v>
          </cell>
          <cell r="H79">
            <v>112634569.73</v>
          </cell>
          <cell r="I79">
            <v>109157298.93000001</v>
          </cell>
          <cell r="J79">
            <v>4992245.99</v>
          </cell>
          <cell r="K79">
            <v>0</v>
          </cell>
          <cell r="L79">
            <v>4992245.99</v>
          </cell>
          <cell r="M79">
            <v>20500002</v>
          </cell>
        </row>
        <row r="80">
          <cell r="C80">
            <v>20500003</v>
          </cell>
          <cell r="D80" t="str">
            <v>SFG Stock in Plants</v>
          </cell>
          <cell r="E80">
            <v>0</v>
          </cell>
          <cell r="F80">
            <v>0</v>
          </cell>
          <cell r="G80">
            <v>0</v>
          </cell>
          <cell r="H80">
            <v>10121775289.6299</v>
          </cell>
          <cell r="I80">
            <v>9935451984.5300007</v>
          </cell>
          <cell r="J80">
            <v>186323305.09999901</v>
          </cell>
          <cell r="K80">
            <v>0</v>
          </cell>
          <cell r="L80">
            <v>186323305.09999901</v>
          </cell>
          <cell r="M80">
            <v>20500003</v>
          </cell>
        </row>
        <row r="81">
          <cell r="C81">
            <v>20500004</v>
          </cell>
          <cell r="D81" t="str">
            <v>Finish Goods Stock</v>
          </cell>
          <cell r="E81">
            <v>0</v>
          </cell>
          <cell r="F81">
            <v>0</v>
          </cell>
          <cell r="G81">
            <v>0</v>
          </cell>
          <cell r="H81">
            <v>2051079949.3299899</v>
          </cell>
          <cell r="I81">
            <v>1976372305.3800001</v>
          </cell>
          <cell r="J81">
            <v>74707643.950000003</v>
          </cell>
          <cell r="K81">
            <v>0</v>
          </cell>
          <cell r="L81">
            <v>74707643.950000003</v>
          </cell>
          <cell r="M81">
            <v>20500004</v>
          </cell>
        </row>
        <row r="82">
          <cell r="C82">
            <v>20500005</v>
          </cell>
          <cell r="D82" t="str">
            <v>Store and Spares -</v>
          </cell>
          <cell r="E82">
            <v>5470168.6399999904</v>
          </cell>
          <cell r="F82">
            <v>0</v>
          </cell>
          <cell r="G82">
            <v>5470168.6399999904</v>
          </cell>
          <cell r="H82">
            <v>55054154.390000001</v>
          </cell>
          <cell r="I82">
            <v>29273786.719999898</v>
          </cell>
          <cell r="J82">
            <v>31250536.309999902</v>
          </cell>
          <cell r="K82">
            <v>0</v>
          </cell>
          <cell r="L82">
            <v>31250536.309999902</v>
          </cell>
          <cell r="M82">
            <v>20500005</v>
          </cell>
        </row>
        <row r="83">
          <cell r="C83">
            <v>20500006</v>
          </cell>
          <cell r="D83" t="str">
            <v>Goods In Transit - S</v>
          </cell>
          <cell r="E83">
            <v>0</v>
          </cell>
          <cell r="F83">
            <v>0</v>
          </cell>
          <cell r="G83">
            <v>0</v>
          </cell>
          <cell r="H83">
            <v>227359886.90000001</v>
          </cell>
          <cell r="I83">
            <v>0</v>
          </cell>
          <cell r="J83">
            <v>227359886.90000001</v>
          </cell>
          <cell r="K83">
            <v>0</v>
          </cell>
          <cell r="L83">
            <v>227359886.90000001</v>
          </cell>
          <cell r="M83">
            <v>20500006</v>
          </cell>
        </row>
        <row r="84">
          <cell r="C84">
            <v>20500008</v>
          </cell>
          <cell r="D84" t="str">
            <v>Inventory_Manual</v>
          </cell>
          <cell r="E84">
            <v>39908783.710000001</v>
          </cell>
          <cell r="F84">
            <v>0</v>
          </cell>
          <cell r="G84">
            <v>39908783.710000001</v>
          </cell>
          <cell r="H84">
            <v>22058256.120000001</v>
          </cell>
          <cell r="I84">
            <v>65152695.969999902</v>
          </cell>
          <cell r="J84">
            <v>0</v>
          </cell>
          <cell r="K84">
            <v>-3185656.14</v>
          </cell>
          <cell r="L84">
            <v>-3185656.14</v>
          </cell>
          <cell r="M84">
            <v>20500008</v>
          </cell>
        </row>
        <row r="85">
          <cell r="C85">
            <v>20600000</v>
          </cell>
          <cell r="D85" t="str">
            <v>Receivables- Export</v>
          </cell>
          <cell r="E85">
            <v>0</v>
          </cell>
          <cell r="F85">
            <v>0</v>
          </cell>
          <cell r="G85">
            <v>0</v>
          </cell>
          <cell r="H85">
            <v>1056265743.09</v>
          </cell>
          <cell r="I85">
            <v>607415354.75</v>
          </cell>
          <cell r="J85">
            <v>448850388.33999902</v>
          </cell>
          <cell r="K85">
            <v>0</v>
          </cell>
          <cell r="L85">
            <v>448850388.33999902</v>
          </cell>
          <cell r="M85">
            <v>20600000</v>
          </cell>
        </row>
        <row r="86">
          <cell r="C86">
            <v>20600001</v>
          </cell>
          <cell r="D86" t="str">
            <v>Receivables-Domestic</v>
          </cell>
          <cell r="E86">
            <v>44942032.4799999</v>
          </cell>
          <cell r="F86">
            <v>0</v>
          </cell>
          <cell r="G86">
            <v>44942032.4799999</v>
          </cell>
          <cell r="H86">
            <v>2205224296.2800002</v>
          </cell>
          <cell r="I86">
            <v>2141502521.6199901</v>
          </cell>
          <cell r="J86">
            <v>108663807.14</v>
          </cell>
          <cell r="K86">
            <v>0</v>
          </cell>
          <cell r="L86">
            <v>108663807.14</v>
          </cell>
          <cell r="M86">
            <v>20600001</v>
          </cell>
        </row>
        <row r="87">
          <cell r="C87">
            <v>20600002</v>
          </cell>
          <cell r="D87" t="str">
            <v>Receivables- SEZ</v>
          </cell>
          <cell r="E87">
            <v>0</v>
          </cell>
          <cell r="F87">
            <v>0</v>
          </cell>
          <cell r="G87">
            <v>0</v>
          </cell>
          <cell r="H87">
            <v>1522200</v>
          </cell>
          <cell r="I87">
            <v>1375950</v>
          </cell>
          <cell r="J87">
            <v>146250</v>
          </cell>
          <cell r="K87">
            <v>0</v>
          </cell>
          <cell r="L87">
            <v>146250</v>
          </cell>
          <cell r="M87">
            <v>20600002</v>
          </cell>
        </row>
        <row r="88">
          <cell r="C88">
            <v>20600003</v>
          </cell>
          <cell r="D88" t="str">
            <v>Receivables- Deemed</v>
          </cell>
          <cell r="E88">
            <v>0</v>
          </cell>
          <cell r="F88">
            <v>0</v>
          </cell>
          <cell r="G88">
            <v>0</v>
          </cell>
          <cell r="H88">
            <v>9024245.2400000002</v>
          </cell>
          <cell r="I88">
            <v>8432053.6400000006</v>
          </cell>
          <cell r="J88">
            <v>592191.59999999905</v>
          </cell>
          <cell r="K88">
            <v>0</v>
          </cell>
          <cell r="L88">
            <v>592191.59999999905</v>
          </cell>
          <cell r="M88">
            <v>20600003</v>
          </cell>
        </row>
        <row r="89">
          <cell r="C89">
            <v>20600004</v>
          </cell>
          <cell r="D89" t="str">
            <v>Receivables- Scrap</v>
          </cell>
          <cell r="E89">
            <v>633961.30000000005</v>
          </cell>
          <cell r="F89">
            <v>0</v>
          </cell>
          <cell r="G89">
            <v>633961.30000000005</v>
          </cell>
          <cell r="H89">
            <v>4172749.3999999901</v>
          </cell>
          <cell r="I89">
            <v>4644584.2</v>
          </cell>
          <cell r="J89">
            <v>162126.5</v>
          </cell>
          <cell r="K89">
            <v>0</v>
          </cell>
          <cell r="L89">
            <v>162126.5</v>
          </cell>
          <cell r="M89">
            <v>20600004</v>
          </cell>
        </row>
        <row r="90">
          <cell r="C90">
            <v>20600006</v>
          </cell>
          <cell r="D90" t="str">
            <v>Receivables- GIT</v>
          </cell>
          <cell r="E90">
            <v>0</v>
          </cell>
          <cell r="F90">
            <v>0</v>
          </cell>
          <cell r="G90">
            <v>0</v>
          </cell>
          <cell r="H90">
            <v>0</v>
          </cell>
          <cell r="I90">
            <v>265383125.389999</v>
          </cell>
          <cell r="J90">
            <v>0</v>
          </cell>
          <cell r="K90">
            <v>-265383125.389999</v>
          </cell>
          <cell r="L90">
            <v>-265383125.389999</v>
          </cell>
          <cell r="M90">
            <v>20600006</v>
          </cell>
        </row>
        <row r="91">
          <cell r="C91">
            <v>20600007</v>
          </cell>
          <cell r="D91" t="str">
            <v>Receivables- Forex</v>
          </cell>
          <cell r="E91">
            <v>0</v>
          </cell>
          <cell r="F91">
            <v>0</v>
          </cell>
          <cell r="G91">
            <v>0</v>
          </cell>
          <cell r="H91">
            <v>21702377.27</v>
          </cell>
          <cell r="I91">
            <v>10628014.26</v>
          </cell>
          <cell r="J91">
            <v>11074363.01</v>
          </cell>
          <cell r="K91">
            <v>0</v>
          </cell>
          <cell r="L91">
            <v>11074363.01</v>
          </cell>
          <cell r="M91">
            <v>20600007</v>
          </cell>
        </row>
        <row r="92">
          <cell r="C92">
            <v>20600009</v>
          </cell>
          <cell r="D92" t="str">
            <v>Receivables- Advance</v>
          </cell>
          <cell r="E92">
            <v>-191373.5</v>
          </cell>
          <cell r="F92">
            <v>0</v>
          </cell>
          <cell r="G92">
            <v>-191373.5</v>
          </cell>
          <cell r="H92">
            <v>392366633.63</v>
          </cell>
          <cell r="I92">
            <v>393077065.20999902</v>
          </cell>
          <cell r="J92">
            <v>0</v>
          </cell>
          <cell r="K92">
            <v>-901805.07999999903</v>
          </cell>
          <cell r="L92">
            <v>-901805.07999999903</v>
          </cell>
          <cell r="M92">
            <v>20600009</v>
          </cell>
        </row>
        <row r="93">
          <cell r="C93">
            <v>20600010</v>
          </cell>
          <cell r="D93" t="str">
            <v>Provision for ECL</v>
          </cell>
          <cell r="E93">
            <v>0</v>
          </cell>
          <cell r="F93">
            <v>0</v>
          </cell>
          <cell r="G93">
            <v>0</v>
          </cell>
          <cell r="H93">
            <v>0</v>
          </cell>
          <cell r="I93">
            <v>1495028</v>
          </cell>
          <cell r="J93">
            <v>0</v>
          </cell>
          <cell r="K93">
            <v>-1495028</v>
          </cell>
          <cell r="L93">
            <v>-1495028</v>
          </cell>
          <cell r="M93">
            <v>20600010</v>
          </cell>
        </row>
        <row r="94">
          <cell r="C94">
            <v>20800110</v>
          </cell>
          <cell r="D94" t="str">
            <v>HDFC_57500000732637</v>
          </cell>
          <cell r="E94">
            <v>475424.47999999899</v>
          </cell>
          <cell r="F94">
            <v>0</v>
          </cell>
          <cell r="G94">
            <v>475424.47999999899</v>
          </cell>
          <cell r="H94">
            <v>0</v>
          </cell>
          <cell r="I94">
            <v>0</v>
          </cell>
          <cell r="J94">
            <v>475424.47999999899</v>
          </cell>
          <cell r="K94">
            <v>0</v>
          </cell>
          <cell r="L94">
            <v>475424.47999999899</v>
          </cell>
          <cell r="M94">
            <v>20800110</v>
          </cell>
        </row>
        <row r="95">
          <cell r="C95">
            <v>20800111</v>
          </cell>
          <cell r="D95" t="str">
            <v>HDFC_57500000732637</v>
          </cell>
          <cell r="E95">
            <v>1194993284.8699901</v>
          </cell>
          <cell r="F95">
            <v>0</v>
          </cell>
          <cell r="G95">
            <v>1194993284.8699901</v>
          </cell>
          <cell r="H95">
            <v>2315826014.0700002</v>
          </cell>
          <cell r="I95">
            <v>779474.67</v>
          </cell>
          <cell r="J95">
            <v>3510039824.27</v>
          </cell>
          <cell r="K95">
            <v>0</v>
          </cell>
          <cell r="L95">
            <v>3510039824.27</v>
          </cell>
          <cell r="M95">
            <v>20800111</v>
          </cell>
        </row>
        <row r="96">
          <cell r="C96">
            <v>20800112</v>
          </cell>
          <cell r="D96" t="str">
            <v>HDFC_57500000732637</v>
          </cell>
          <cell r="E96">
            <v>-1196902487.3299899</v>
          </cell>
          <cell r="F96">
            <v>0</v>
          </cell>
          <cell r="G96">
            <v>-1196902487.3299899</v>
          </cell>
          <cell r="H96">
            <v>328663.40000000002</v>
          </cell>
          <cell r="I96">
            <v>2310864320.2600002</v>
          </cell>
          <cell r="J96">
            <v>0</v>
          </cell>
          <cell r="K96">
            <v>-3507438144.1900001</v>
          </cell>
          <cell r="L96">
            <v>-3507438144.1900001</v>
          </cell>
          <cell r="M96">
            <v>20800112</v>
          </cell>
        </row>
        <row r="97">
          <cell r="C97">
            <v>20800121</v>
          </cell>
          <cell r="D97" t="str">
            <v>CA_Axis_923020022099</v>
          </cell>
          <cell r="E97">
            <v>5669741007.0799904</v>
          </cell>
          <cell r="F97">
            <v>0</v>
          </cell>
          <cell r="G97">
            <v>5669741007.0799904</v>
          </cell>
          <cell r="H97">
            <v>654855790.44000006</v>
          </cell>
          <cell r="I97">
            <v>0.56000000000000005</v>
          </cell>
          <cell r="J97">
            <v>6324596796.96</v>
          </cell>
          <cell r="K97">
            <v>0</v>
          </cell>
          <cell r="L97">
            <v>6324596796.96</v>
          </cell>
          <cell r="M97">
            <v>20800121</v>
          </cell>
        </row>
        <row r="98">
          <cell r="C98">
            <v>20800122</v>
          </cell>
          <cell r="D98" t="str">
            <v>CA_Axis_923020022099</v>
          </cell>
          <cell r="E98">
            <v>-5667521755.0799904</v>
          </cell>
          <cell r="F98">
            <v>0</v>
          </cell>
          <cell r="G98">
            <v>-5667521755.0799904</v>
          </cell>
          <cell r="H98">
            <v>0</v>
          </cell>
          <cell r="I98">
            <v>657075041.88</v>
          </cell>
          <cell r="J98">
            <v>0</v>
          </cell>
          <cell r="K98">
            <v>-6324596796.96</v>
          </cell>
          <cell r="L98">
            <v>-6324596796.96</v>
          </cell>
          <cell r="M98">
            <v>20800122</v>
          </cell>
        </row>
        <row r="99">
          <cell r="C99">
            <v>20800151</v>
          </cell>
          <cell r="D99" t="str">
            <v>CC_Axis_925030026102</v>
          </cell>
          <cell r="E99">
            <v>0</v>
          </cell>
          <cell r="F99">
            <v>0</v>
          </cell>
          <cell r="G99">
            <v>0</v>
          </cell>
          <cell r="H99">
            <v>178392005</v>
          </cell>
          <cell r="I99">
            <v>0</v>
          </cell>
          <cell r="J99">
            <v>178392005</v>
          </cell>
          <cell r="K99">
            <v>0</v>
          </cell>
          <cell r="L99">
            <v>178392005</v>
          </cell>
          <cell r="M99">
            <v>20800151</v>
          </cell>
        </row>
        <row r="100">
          <cell r="C100">
            <v>20800152</v>
          </cell>
          <cell r="D100" t="str">
            <v>CC_Axis_925030026102</v>
          </cell>
          <cell r="E100">
            <v>0</v>
          </cell>
          <cell r="F100">
            <v>0</v>
          </cell>
          <cell r="G100">
            <v>0</v>
          </cell>
          <cell r="H100">
            <v>0</v>
          </cell>
          <cell r="I100">
            <v>209356044.53999901</v>
          </cell>
          <cell r="J100">
            <v>0</v>
          </cell>
          <cell r="K100">
            <v>-209356044.53999901</v>
          </cell>
          <cell r="L100">
            <v>-209356044.53999901</v>
          </cell>
          <cell r="M100">
            <v>20800152</v>
          </cell>
        </row>
        <row r="101">
          <cell r="C101">
            <v>20900003</v>
          </cell>
          <cell r="D101" t="str">
            <v>FD_Axis</v>
          </cell>
          <cell r="E101">
            <v>5036678</v>
          </cell>
          <cell r="F101">
            <v>0</v>
          </cell>
          <cell r="G101">
            <v>5036678</v>
          </cell>
          <cell r="H101">
            <v>372605</v>
          </cell>
          <cell r="I101">
            <v>0</v>
          </cell>
          <cell r="J101">
            <v>5409283</v>
          </cell>
          <cell r="K101">
            <v>0</v>
          </cell>
          <cell r="L101">
            <v>5409283</v>
          </cell>
          <cell r="M101">
            <v>20900003</v>
          </cell>
        </row>
        <row r="102">
          <cell r="C102">
            <v>21000000</v>
          </cell>
          <cell r="D102" t="str">
            <v>Income Tax_Refund_AY</v>
          </cell>
          <cell r="E102">
            <v>0</v>
          </cell>
          <cell r="F102">
            <v>0</v>
          </cell>
          <cell r="G102">
            <v>0</v>
          </cell>
          <cell r="H102">
            <v>2229242</v>
          </cell>
          <cell r="I102">
            <v>2229242</v>
          </cell>
          <cell r="J102">
            <v>0</v>
          </cell>
          <cell r="K102">
            <v>0</v>
          </cell>
          <cell r="L102">
            <v>0</v>
          </cell>
          <cell r="M102">
            <v>21000000</v>
          </cell>
        </row>
        <row r="103">
          <cell r="C103">
            <v>21000003</v>
          </cell>
          <cell r="D103" t="str">
            <v>TDS Receiveable_194Q</v>
          </cell>
          <cell r="E103">
            <v>35799</v>
          </cell>
          <cell r="F103">
            <v>0</v>
          </cell>
          <cell r="G103">
            <v>35799</v>
          </cell>
          <cell r="H103">
            <v>597417.95999999903</v>
          </cell>
          <cell r="I103">
            <v>38506</v>
          </cell>
          <cell r="J103">
            <v>594710.95999999903</v>
          </cell>
          <cell r="K103">
            <v>0</v>
          </cell>
          <cell r="L103">
            <v>594710.95999999903</v>
          </cell>
          <cell r="M103">
            <v>21000003</v>
          </cell>
        </row>
        <row r="104">
          <cell r="C104">
            <v>21000004</v>
          </cell>
          <cell r="D104" t="str">
            <v>TDS Receivable_Other</v>
          </cell>
          <cell r="E104">
            <v>1281187.08</v>
          </cell>
          <cell r="F104">
            <v>0</v>
          </cell>
          <cell r="G104">
            <v>1281187.08</v>
          </cell>
          <cell r="H104">
            <v>893053</v>
          </cell>
          <cell r="I104">
            <v>2159011</v>
          </cell>
          <cell r="J104">
            <v>15229.08</v>
          </cell>
          <cell r="K104">
            <v>0</v>
          </cell>
          <cell r="L104">
            <v>15229.08</v>
          </cell>
          <cell r="M104">
            <v>21000004</v>
          </cell>
        </row>
        <row r="105">
          <cell r="C105">
            <v>21000007</v>
          </cell>
          <cell r="D105" t="str">
            <v>GST Refund_Custom De</v>
          </cell>
          <cell r="E105">
            <v>0</v>
          </cell>
          <cell r="F105">
            <v>0</v>
          </cell>
          <cell r="G105">
            <v>0</v>
          </cell>
          <cell r="H105">
            <v>156122090.25999901</v>
          </cell>
          <cell r="I105">
            <v>86202888.349999905</v>
          </cell>
          <cell r="J105">
            <v>69919201.909999907</v>
          </cell>
          <cell r="K105">
            <v>0</v>
          </cell>
          <cell r="L105">
            <v>69919201.909999907</v>
          </cell>
          <cell r="M105">
            <v>21000007</v>
          </cell>
        </row>
        <row r="106">
          <cell r="C106">
            <v>21000008</v>
          </cell>
          <cell r="D106" t="str">
            <v>CGST Payable</v>
          </cell>
          <cell r="E106">
            <v>-16738.639999999901</v>
          </cell>
          <cell r="F106">
            <v>0</v>
          </cell>
          <cell r="G106">
            <v>-16738.639999999901</v>
          </cell>
          <cell r="H106">
            <v>125711167.58</v>
          </cell>
          <cell r="I106">
            <v>125751095.47</v>
          </cell>
          <cell r="J106">
            <v>0</v>
          </cell>
          <cell r="K106">
            <v>-56666.529999999897</v>
          </cell>
          <cell r="L106">
            <v>-56666.529999999897</v>
          </cell>
          <cell r="M106">
            <v>21000008</v>
          </cell>
        </row>
        <row r="107">
          <cell r="C107">
            <v>21000009</v>
          </cell>
          <cell r="D107" t="str">
            <v>SGST Payable</v>
          </cell>
          <cell r="E107">
            <v>-16738.639999999901</v>
          </cell>
          <cell r="F107">
            <v>0</v>
          </cell>
          <cell r="G107">
            <v>-16738.639999999901</v>
          </cell>
          <cell r="H107">
            <v>125698745.78</v>
          </cell>
          <cell r="I107">
            <v>125738673.67</v>
          </cell>
          <cell r="J107">
            <v>0</v>
          </cell>
          <cell r="K107">
            <v>-56666.529999999897</v>
          </cell>
          <cell r="L107">
            <v>-56666.529999999897</v>
          </cell>
          <cell r="M107">
            <v>21000009</v>
          </cell>
        </row>
        <row r="108">
          <cell r="C108">
            <v>21000010</v>
          </cell>
          <cell r="D108" t="str">
            <v>IGST Payable</v>
          </cell>
          <cell r="E108">
            <v>-11013.799999999899</v>
          </cell>
          <cell r="F108">
            <v>0</v>
          </cell>
          <cell r="G108">
            <v>-11013.799999999899</v>
          </cell>
          <cell r="H108">
            <v>197731931.96000001</v>
          </cell>
          <cell r="I108">
            <v>197739392.97999901</v>
          </cell>
          <cell r="J108">
            <v>0</v>
          </cell>
          <cell r="K108">
            <v>-18474.82</v>
          </cell>
          <cell r="L108">
            <v>-18474.82</v>
          </cell>
          <cell r="M108">
            <v>21000010</v>
          </cell>
        </row>
        <row r="109">
          <cell r="C109">
            <v>21000011</v>
          </cell>
          <cell r="D109" t="str">
            <v>CGST Receivable</v>
          </cell>
          <cell r="E109">
            <v>212112768.58000001</v>
          </cell>
          <cell r="F109">
            <v>0</v>
          </cell>
          <cell r="G109">
            <v>212112768.58000001</v>
          </cell>
          <cell r="H109">
            <v>188342450.50999901</v>
          </cell>
          <cell r="I109">
            <v>180445427.99000001</v>
          </cell>
          <cell r="J109">
            <v>220009791.09999901</v>
          </cell>
          <cell r="K109">
            <v>0</v>
          </cell>
          <cell r="L109">
            <v>220009791.09999901</v>
          </cell>
          <cell r="M109">
            <v>21000011</v>
          </cell>
        </row>
        <row r="110">
          <cell r="C110">
            <v>21000012</v>
          </cell>
          <cell r="D110" t="str">
            <v>IGST Receivable</v>
          </cell>
          <cell r="E110">
            <v>87084777</v>
          </cell>
          <cell r="F110">
            <v>0</v>
          </cell>
          <cell r="G110">
            <v>87084777</v>
          </cell>
          <cell r="H110">
            <v>98822846.739999905</v>
          </cell>
          <cell r="I110">
            <v>185907628.52000001</v>
          </cell>
          <cell r="J110">
            <v>0</v>
          </cell>
          <cell r="K110">
            <v>-4.78</v>
          </cell>
          <cell r="L110">
            <v>-4.78</v>
          </cell>
          <cell r="M110">
            <v>21000012</v>
          </cell>
        </row>
        <row r="111">
          <cell r="C111">
            <v>21000013</v>
          </cell>
          <cell r="D111" t="str">
            <v>SGST Receivable</v>
          </cell>
          <cell r="E111">
            <v>212112768.58000001</v>
          </cell>
          <cell r="F111">
            <v>0</v>
          </cell>
          <cell r="G111">
            <v>212112768.58000001</v>
          </cell>
          <cell r="H111">
            <v>188342450.50999901</v>
          </cell>
          <cell r="I111">
            <v>97874822.989999905</v>
          </cell>
          <cell r="J111">
            <v>302580396.10000002</v>
          </cell>
          <cell r="K111">
            <v>0</v>
          </cell>
          <cell r="L111">
            <v>302580396.10000002</v>
          </cell>
          <cell r="M111">
            <v>21000013</v>
          </cell>
        </row>
        <row r="112">
          <cell r="C112">
            <v>21000016</v>
          </cell>
          <cell r="D112" t="str">
            <v>TCS Receivable</v>
          </cell>
          <cell r="E112">
            <v>24208.97</v>
          </cell>
          <cell r="F112">
            <v>0</v>
          </cell>
          <cell r="G112">
            <v>24208.97</v>
          </cell>
          <cell r="H112">
            <v>23370.61</v>
          </cell>
          <cell r="I112">
            <v>47580</v>
          </cell>
          <cell r="J112">
            <v>0</v>
          </cell>
          <cell r="K112">
            <v>-0.41999999999999899</v>
          </cell>
          <cell r="L112">
            <v>-0.41999999999999899</v>
          </cell>
          <cell r="M112">
            <v>21000016</v>
          </cell>
        </row>
        <row r="113">
          <cell r="C113">
            <v>21000017</v>
          </cell>
          <cell r="D113" t="str">
            <v>Duty Draw Back Rece</v>
          </cell>
          <cell r="E113">
            <v>0</v>
          </cell>
          <cell r="F113">
            <v>0</v>
          </cell>
          <cell r="G113">
            <v>0</v>
          </cell>
          <cell r="H113">
            <v>481043</v>
          </cell>
          <cell r="I113">
            <v>0</v>
          </cell>
          <cell r="J113">
            <v>481043</v>
          </cell>
          <cell r="K113">
            <v>0</v>
          </cell>
          <cell r="L113">
            <v>481043</v>
          </cell>
          <cell r="M113">
            <v>21000017</v>
          </cell>
        </row>
        <row r="114">
          <cell r="C114">
            <v>21000018</v>
          </cell>
          <cell r="D114" t="str">
            <v>ITC not in GSTR 2B</v>
          </cell>
          <cell r="E114">
            <v>1497682</v>
          </cell>
          <cell r="F114">
            <v>0</v>
          </cell>
          <cell r="G114">
            <v>1497682</v>
          </cell>
          <cell r="H114">
            <v>18003824</v>
          </cell>
          <cell r="I114">
            <v>15953770</v>
          </cell>
          <cell r="J114">
            <v>3547736</v>
          </cell>
          <cell r="K114">
            <v>0</v>
          </cell>
          <cell r="L114">
            <v>3547736</v>
          </cell>
          <cell r="M114">
            <v>21000018</v>
          </cell>
        </row>
        <row r="115">
          <cell r="C115">
            <v>21000021</v>
          </cell>
          <cell r="D115" t="str">
            <v>ITC appearing in 2B</v>
          </cell>
          <cell r="E115">
            <v>0</v>
          </cell>
          <cell r="F115">
            <v>0</v>
          </cell>
          <cell r="G115">
            <v>0</v>
          </cell>
          <cell r="H115">
            <v>3843162</v>
          </cell>
          <cell r="I115">
            <v>3843162</v>
          </cell>
          <cell r="J115">
            <v>0</v>
          </cell>
          <cell r="K115">
            <v>0</v>
          </cell>
          <cell r="L115">
            <v>0</v>
          </cell>
          <cell r="M115">
            <v>21000021</v>
          </cell>
        </row>
        <row r="116">
          <cell r="C116">
            <v>21100003</v>
          </cell>
          <cell r="D116" t="str">
            <v>Other Receivables</v>
          </cell>
          <cell r="E116">
            <v>1538643.27</v>
          </cell>
          <cell r="F116">
            <v>0</v>
          </cell>
          <cell r="G116">
            <v>1538643.27</v>
          </cell>
          <cell r="H116">
            <v>1566032</v>
          </cell>
          <cell r="I116">
            <v>1538643</v>
          </cell>
          <cell r="J116">
            <v>1566032.27</v>
          </cell>
          <cell r="K116">
            <v>0</v>
          </cell>
          <cell r="L116">
            <v>1566032.27</v>
          </cell>
          <cell r="M116">
            <v>21100003</v>
          </cell>
        </row>
        <row r="117">
          <cell r="C117">
            <v>21100004</v>
          </cell>
          <cell r="D117" t="str">
            <v>Advances to Emp</v>
          </cell>
          <cell r="E117">
            <v>758</v>
          </cell>
          <cell r="F117">
            <v>0</v>
          </cell>
          <cell r="G117">
            <v>758</v>
          </cell>
          <cell r="H117">
            <v>0</v>
          </cell>
          <cell r="I117">
            <v>758</v>
          </cell>
          <cell r="J117">
            <v>0</v>
          </cell>
          <cell r="K117">
            <v>0</v>
          </cell>
          <cell r="L117">
            <v>0</v>
          </cell>
          <cell r="M117">
            <v>21100004</v>
          </cell>
        </row>
        <row r="118">
          <cell r="C118">
            <v>21100008</v>
          </cell>
          <cell r="D118" t="str">
            <v>Prepaid Expenses</v>
          </cell>
          <cell r="E118">
            <v>6901653.5</v>
          </cell>
          <cell r="F118">
            <v>0</v>
          </cell>
          <cell r="G118">
            <v>6901653.5</v>
          </cell>
          <cell r="H118">
            <v>20391615.640000001</v>
          </cell>
          <cell r="I118">
            <v>11249237.27</v>
          </cell>
          <cell r="J118">
            <v>16044031.8699999</v>
          </cell>
          <cell r="K118">
            <v>0</v>
          </cell>
          <cell r="L118">
            <v>16044031.8699999</v>
          </cell>
          <cell r="M118">
            <v>21100008</v>
          </cell>
        </row>
        <row r="119">
          <cell r="C119">
            <v>21100009</v>
          </cell>
          <cell r="D119" t="str">
            <v>MEIS/RODTEP Script</v>
          </cell>
          <cell r="E119">
            <v>0</v>
          </cell>
          <cell r="F119">
            <v>0</v>
          </cell>
          <cell r="G119">
            <v>0</v>
          </cell>
          <cell r="H119">
            <v>4151557</v>
          </cell>
          <cell r="I119">
            <v>2374881.79999999</v>
          </cell>
          <cell r="J119">
            <v>1776675.2</v>
          </cell>
          <cell r="K119">
            <v>0</v>
          </cell>
          <cell r="L119">
            <v>1776675.2</v>
          </cell>
          <cell r="M119">
            <v>21100009</v>
          </cell>
        </row>
        <row r="120">
          <cell r="C120">
            <v>21100011</v>
          </cell>
          <cell r="D120" t="str">
            <v>Advance to Vendor</v>
          </cell>
          <cell r="E120">
            <v>1424896.1299999901</v>
          </cell>
          <cell r="F120">
            <v>0</v>
          </cell>
          <cell r="G120">
            <v>1424896.1299999901</v>
          </cell>
          <cell r="H120">
            <v>108565744.02</v>
          </cell>
          <cell r="I120">
            <v>107845260.97</v>
          </cell>
          <cell r="J120">
            <v>2145379.1800000002</v>
          </cell>
          <cell r="K120">
            <v>0</v>
          </cell>
          <cell r="L120">
            <v>2145379.1800000002</v>
          </cell>
          <cell r="M120">
            <v>21100011</v>
          </cell>
        </row>
        <row r="121">
          <cell r="C121">
            <v>21100012</v>
          </cell>
          <cell r="D121" t="str">
            <v>Loan to BVO frm BVCS</v>
          </cell>
          <cell r="E121">
            <v>0</v>
          </cell>
          <cell r="F121">
            <v>0</v>
          </cell>
          <cell r="G121">
            <v>0</v>
          </cell>
          <cell r="H121">
            <v>0</v>
          </cell>
          <cell r="I121">
            <v>0</v>
          </cell>
          <cell r="J121">
            <v>0</v>
          </cell>
          <cell r="K121">
            <v>0</v>
          </cell>
          <cell r="L121">
            <v>0</v>
          </cell>
          <cell r="M121" t="e">
            <v>#N/A</v>
          </cell>
        </row>
        <row r="122">
          <cell r="C122">
            <v>21100014</v>
          </cell>
          <cell r="D122" t="str">
            <v>IND AS - E'yee Recei</v>
          </cell>
          <cell r="E122">
            <v>1230728.4399999899</v>
          </cell>
          <cell r="F122">
            <v>0</v>
          </cell>
          <cell r="G122">
            <v>1230728.4399999899</v>
          </cell>
          <cell r="H122">
            <v>105202.21</v>
          </cell>
          <cell r="I122">
            <v>430039.2</v>
          </cell>
          <cell r="J122">
            <v>905891.44999999902</v>
          </cell>
          <cell r="K122">
            <v>0</v>
          </cell>
          <cell r="L122">
            <v>905891.44999999902</v>
          </cell>
          <cell r="M122">
            <v>21100014</v>
          </cell>
        </row>
        <row r="123">
          <cell r="C123">
            <v>30000000</v>
          </cell>
          <cell r="D123" t="str">
            <v>Sales Export</v>
          </cell>
          <cell r="E123">
            <v>0</v>
          </cell>
          <cell r="F123">
            <v>0</v>
          </cell>
          <cell r="G123">
            <v>0</v>
          </cell>
          <cell r="H123">
            <v>53018850.399999902</v>
          </cell>
          <cell r="I123">
            <v>1089732547.9300001</v>
          </cell>
          <cell r="J123">
            <v>0</v>
          </cell>
          <cell r="K123">
            <v>-1036713697.53</v>
          </cell>
          <cell r="L123">
            <v>-1036713697.53</v>
          </cell>
          <cell r="M123">
            <v>30000000</v>
          </cell>
        </row>
        <row r="124">
          <cell r="C124">
            <v>30000001</v>
          </cell>
          <cell r="D124" t="str">
            <v>Domestic Sales</v>
          </cell>
          <cell r="E124">
            <v>0</v>
          </cell>
          <cell r="F124">
            <v>0</v>
          </cell>
          <cell r="G124">
            <v>0</v>
          </cell>
          <cell r="H124">
            <v>37319550.829999901</v>
          </cell>
          <cell r="I124">
            <v>1056533990.80999</v>
          </cell>
          <cell r="J124">
            <v>0</v>
          </cell>
          <cell r="K124">
            <v>-1019214439.98</v>
          </cell>
          <cell r="L124">
            <v>-1019214439.98</v>
          </cell>
          <cell r="M124">
            <v>30000001</v>
          </cell>
        </row>
        <row r="125">
          <cell r="C125">
            <v>30000002</v>
          </cell>
          <cell r="D125" t="str">
            <v>Sales_Rate Differenc</v>
          </cell>
          <cell r="E125">
            <v>0</v>
          </cell>
          <cell r="F125">
            <v>0</v>
          </cell>
          <cell r="G125">
            <v>0</v>
          </cell>
          <cell r="H125">
            <v>1843584.25</v>
          </cell>
          <cell r="I125">
            <v>941052</v>
          </cell>
          <cell r="J125">
            <v>902532.25</v>
          </cell>
          <cell r="K125">
            <v>0</v>
          </cell>
          <cell r="L125">
            <v>902532.25</v>
          </cell>
          <cell r="M125">
            <v>30000002</v>
          </cell>
        </row>
        <row r="126">
          <cell r="C126">
            <v>30000004</v>
          </cell>
          <cell r="D126" t="str">
            <v>Scrap Sales</v>
          </cell>
          <cell r="E126">
            <v>0</v>
          </cell>
          <cell r="F126">
            <v>0</v>
          </cell>
          <cell r="G126">
            <v>0</v>
          </cell>
          <cell r="H126">
            <v>35270</v>
          </cell>
          <cell r="I126">
            <v>2913270</v>
          </cell>
          <cell r="J126">
            <v>0</v>
          </cell>
          <cell r="K126">
            <v>-2878000</v>
          </cell>
          <cell r="L126">
            <v>-2878000</v>
          </cell>
          <cell r="M126">
            <v>30000004</v>
          </cell>
        </row>
        <row r="127">
          <cell r="C127">
            <v>30000005</v>
          </cell>
          <cell r="D127" t="str">
            <v>Duty Drawback Receiv</v>
          </cell>
          <cell r="E127">
            <v>0</v>
          </cell>
          <cell r="F127">
            <v>0</v>
          </cell>
          <cell r="G127">
            <v>0</v>
          </cell>
          <cell r="H127">
            <v>0</v>
          </cell>
          <cell r="I127">
            <v>1400927</v>
          </cell>
          <cell r="J127">
            <v>0</v>
          </cell>
          <cell r="K127">
            <v>-1400927</v>
          </cell>
          <cell r="L127">
            <v>-1400927</v>
          </cell>
          <cell r="M127">
            <v>30000005</v>
          </cell>
        </row>
        <row r="128">
          <cell r="C128">
            <v>30000007</v>
          </cell>
          <cell r="D128" t="str">
            <v>Sales In transit</v>
          </cell>
          <cell r="E128">
            <v>0</v>
          </cell>
          <cell r="F128">
            <v>0</v>
          </cell>
          <cell r="G128">
            <v>0</v>
          </cell>
          <cell r="H128">
            <v>265383125.389999</v>
          </cell>
          <cell r="I128">
            <v>0</v>
          </cell>
          <cell r="J128">
            <v>265383125.389999</v>
          </cell>
          <cell r="K128">
            <v>0</v>
          </cell>
          <cell r="L128">
            <v>265383125.389999</v>
          </cell>
          <cell r="M128">
            <v>30000007</v>
          </cell>
        </row>
        <row r="129">
          <cell r="C129">
            <v>30000008</v>
          </cell>
          <cell r="D129" t="str">
            <v>Domestic Sales IntCo</v>
          </cell>
          <cell r="E129">
            <v>0</v>
          </cell>
          <cell r="F129">
            <v>0</v>
          </cell>
          <cell r="G129">
            <v>0</v>
          </cell>
          <cell r="H129">
            <v>12448674.34</v>
          </cell>
          <cell r="I129">
            <v>563773141.71000004</v>
          </cell>
          <cell r="J129">
            <v>0</v>
          </cell>
          <cell r="K129">
            <v>-551324467.37</v>
          </cell>
          <cell r="L129">
            <v>-551324467.37</v>
          </cell>
          <cell r="M129">
            <v>30000008</v>
          </cell>
        </row>
        <row r="130">
          <cell r="C130">
            <v>30100000</v>
          </cell>
          <cell r="D130" t="str">
            <v>Unrealised Forex Gai</v>
          </cell>
          <cell r="E130">
            <v>0</v>
          </cell>
          <cell r="F130">
            <v>0</v>
          </cell>
          <cell r="G130">
            <v>0</v>
          </cell>
          <cell r="H130">
            <v>13963127.3699999</v>
          </cell>
          <cell r="I130">
            <v>21086770.120000001</v>
          </cell>
          <cell r="J130">
            <v>0</v>
          </cell>
          <cell r="K130">
            <v>-7123642.75</v>
          </cell>
          <cell r="L130">
            <v>-7123642.75</v>
          </cell>
          <cell r="M130">
            <v>30100000</v>
          </cell>
        </row>
        <row r="131">
          <cell r="C131">
            <v>30100001</v>
          </cell>
          <cell r="D131" t="str">
            <v>Realised Forex Gain/</v>
          </cell>
          <cell r="E131">
            <v>0</v>
          </cell>
          <cell r="F131">
            <v>0</v>
          </cell>
          <cell r="G131">
            <v>0</v>
          </cell>
          <cell r="H131">
            <v>6794389.46</v>
          </cell>
          <cell r="I131">
            <v>21129078.149999902</v>
          </cell>
          <cell r="J131">
            <v>0</v>
          </cell>
          <cell r="K131">
            <v>-14334688.689999901</v>
          </cell>
          <cell r="L131">
            <v>-14334688.689999901</v>
          </cell>
          <cell r="M131">
            <v>30100001</v>
          </cell>
        </row>
        <row r="132">
          <cell r="C132">
            <v>30100004</v>
          </cell>
          <cell r="D132" t="str">
            <v>Interest on Bank Dep</v>
          </cell>
          <cell r="E132">
            <v>0</v>
          </cell>
          <cell r="F132">
            <v>0</v>
          </cell>
          <cell r="G132">
            <v>0</v>
          </cell>
          <cell r="H132">
            <v>0</v>
          </cell>
          <cell r="I132">
            <v>414006</v>
          </cell>
          <cell r="J132">
            <v>0</v>
          </cell>
          <cell r="K132">
            <v>-414006</v>
          </cell>
          <cell r="L132">
            <v>-414006</v>
          </cell>
          <cell r="M132">
            <v>30100004</v>
          </cell>
        </row>
        <row r="133">
          <cell r="C133">
            <v>30100005</v>
          </cell>
          <cell r="D133" t="str">
            <v>Other Income</v>
          </cell>
          <cell r="E133">
            <v>0</v>
          </cell>
          <cell r="F133">
            <v>0</v>
          </cell>
          <cell r="G133">
            <v>0</v>
          </cell>
          <cell r="H133">
            <v>2125443</v>
          </cell>
          <cell r="I133">
            <v>3795935.49</v>
          </cell>
          <cell r="J133">
            <v>0</v>
          </cell>
          <cell r="K133">
            <v>-1670492.49</v>
          </cell>
          <cell r="L133">
            <v>-1670492.49</v>
          </cell>
          <cell r="M133">
            <v>30100005</v>
          </cell>
        </row>
        <row r="134">
          <cell r="C134">
            <v>30100015</v>
          </cell>
          <cell r="D134" t="str">
            <v>IND AS - Interest</v>
          </cell>
          <cell r="E134">
            <v>0</v>
          </cell>
          <cell r="F134">
            <v>0</v>
          </cell>
          <cell r="G134">
            <v>0</v>
          </cell>
          <cell r="H134">
            <v>0</v>
          </cell>
          <cell r="I134">
            <v>192594.37</v>
          </cell>
          <cell r="J134">
            <v>0</v>
          </cell>
          <cell r="K134">
            <v>-192594.37</v>
          </cell>
          <cell r="L134">
            <v>-192594.37</v>
          </cell>
          <cell r="M134">
            <v>30100015</v>
          </cell>
        </row>
        <row r="135">
          <cell r="C135">
            <v>30100016</v>
          </cell>
          <cell r="D135" t="str">
            <v>MEIS/RODTEP Script</v>
          </cell>
          <cell r="E135">
            <v>0</v>
          </cell>
          <cell r="F135">
            <v>0</v>
          </cell>
          <cell r="G135">
            <v>0</v>
          </cell>
          <cell r="H135">
            <v>0</v>
          </cell>
          <cell r="I135">
            <v>3945733</v>
          </cell>
          <cell r="J135">
            <v>0</v>
          </cell>
          <cell r="K135">
            <v>-3945733</v>
          </cell>
          <cell r="L135">
            <v>-3945733</v>
          </cell>
          <cell r="M135">
            <v>30100016</v>
          </cell>
        </row>
        <row r="136">
          <cell r="C136">
            <v>40100000</v>
          </cell>
          <cell r="D136" t="str">
            <v>Custom Duty</v>
          </cell>
          <cell r="E136">
            <v>0</v>
          </cell>
          <cell r="F136">
            <v>0</v>
          </cell>
          <cell r="G136">
            <v>0</v>
          </cell>
          <cell r="H136">
            <v>7224348.2000000002</v>
          </cell>
          <cell r="I136">
            <v>6609720.2000000002</v>
          </cell>
          <cell r="J136">
            <v>614628</v>
          </cell>
          <cell r="K136">
            <v>0</v>
          </cell>
          <cell r="L136">
            <v>614628</v>
          </cell>
          <cell r="M136">
            <v>40100000</v>
          </cell>
        </row>
        <row r="137">
          <cell r="C137">
            <v>40100001</v>
          </cell>
          <cell r="D137" t="str">
            <v>Import Cost on Mater</v>
          </cell>
          <cell r="E137">
            <v>0</v>
          </cell>
          <cell r="F137">
            <v>0</v>
          </cell>
          <cell r="G137">
            <v>0</v>
          </cell>
          <cell r="H137">
            <v>16565102.15</v>
          </cell>
          <cell r="I137">
            <v>12653095.42</v>
          </cell>
          <cell r="J137">
            <v>3912006.73</v>
          </cell>
          <cell r="K137">
            <v>0</v>
          </cell>
          <cell r="L137">
            <v>3912006.73</v>
          </cell>
          <cell r="M137">
            <v>40100001</v>
          </cell>
        </row>
        <row r="138">
          <cell r="C138">
            <v>40100002</v>
          </cell>
          <cell r="D138" t="str">
            <v>Freight Inward Local</v>
          </cell>
          <cell r="E138">
            <v>0</v>
          </cell>
          <cell r="F138">
            <v>0</v>
          </cell>
          <cell r="G138">
            <v>0</v>
          </cell>
          <cell r="H138">
            <v>2162315.91</v>
          </cell>
          <cell r="I138">
            <v>77816.979999999894</v>
          </cell>
          <cell r="J138">
            <v>2084498.9299999899</v>
          </cell>
          <cell r="K138">
            <v>0</v>
          </cell>
          <cell r="L138">
            <v>2084498.9299999899</v>
          </cell>
          <cell r="M138">
            <v>40100002</v>
          </cell>
        </row>
        <row r="139">
          <cell r="C139">
            <v>40100005</v>
          </cell>
          <cell r="D139" t="str">
            <v>Interest on Custom D</v>
          </cell>
          <cell r="E139">
            <v>0</v>
          </cell>
          <cell r="F139">
            <v>0</v>
          </cell>
          <cell r="G139">
            <v>0</v>
          </cell>
          <cell r="H139">
            <v>16312</v>
          </cell>
          <cell r="I139">
            <v>0</v>
          </cell>
          <cell r="J139">
            <v>16312</v>
          </cell>
          <cell r="K139">
            <v>0</v>
          </cell>
          <cell r="L139">
            <v>16312</v>
          </cell>
          <cell r="M139">
            <v>40100005</v>
          </cell>
        </row>
        <row r="140">
          <cell r="C140">
            <v>40100006</v>
          </cell>
          <cell r="D140" t="str">
            <v>COGS Packing Mat</v>
          </cell>
          <cell r="E140">
            <v>0</v>
          </cell>
          <cell r="F140">
            <v>0</v>
          </cell>
          <cell r="G140">
            <v>0</v>
          </cell>
          <cell r="H140">
            <v>15400085.16</v>
          </cell>
          <cell r="I140">
            <v>0</v>
          </cell>
          <cell r="J140">
            <v>15400085.16</v>
          </cell>
          <cell r="K140">
            <v>0</v>
          </cell>
          <cell r="L140">
            <v>15400085.16</v>
          </cell>
          <cell r="M140">
            <v>40100006</v>
          </cell>
        </row>
        <row r="141">
          <cell r="C141">
            <v>40100007</v>
          </cell>
          <cell r="D141" t="str">
            <v>COGS SFG and FG</v>
          </cell>
          <cell r="E141">
            <v>0</v>
          </cell>
          <cell r="F141">
            <v>0</v>
          </cell>
          <cell r="G141">
            <v>0</v>
          </cell>
          <cell r="H141">
            <v>2456396805.3499899</v>
          </cell>
          <cell r="I141">
            <v>4187846.2</v>
          </cell>
          <cell r="J141">
            <v>2452208959.1500001</v>
          </cell>
          <cell r="K141">
            <v>0</v>
          </cell>
          <cell r="L141">
            <v>2452208959.1500001</v>
          </cell>
          <cell r="M141">
            <v>40100007</v>
          </cell>
        </row>
        <row r="142">
          <cell r="C142">
            <v>40100008</v>
          </cell>
          <cell r="D142" t="str">
            <v>Consumption of RM</v>
          </cell>
          <cell r="E142">
            <v>0</v>
          </cell>
          <cell r="F142">
            <v>0</v>
          </cell>
          <cell r="G142">
            <v>0</v>
          </cell>
          <cell r="H142">
            <v>1547566470.9400001</v>
          </cell>
          <cell r="I142">
            <v>7562268.6200000001</v>
          </cell>
          <cell r="J142">
            <v>1540004202.3199899</v>
          </cell>
          <cell r="K142">
            <v>0</v>
          </cell>
          <cell r="L142">
            <v>1540004202.3199899</v>
          </cell>
          <cell r="M142">
            <v>40100008</v>
          </cell>
        </row>
        <row r="143">
          <cell r="C143">
            <v>40100009</v>
          </cell>
          <cell r="D143" t="str">
            <v>Consumption of SFG</v>
          </cell>
          <cell r="E143">
            <v>0</v>
          </cell>
          <cell r="F143">
            <v>0</v>
          </cell>
          <cell r="G143">
            <v>0</v>
          </cell>
          <cell r="H143">
            <v>9346455088.3899899</v>
          </cell>
          <cell r="I143">
            <v>79873299.329999894</v>
          </cell>
          <cell r="J143">
            <v>9266581789.0599899</v>
          </cell>
          <cell r="K143">
            <v>0</v>
          </cell>
          <cell r="L143">
            <v>9266581789.0599899</v>
          </cell>
          <cell r="M143">
            <v>40100009</v>
          </cell>
        </row>
        <row r="144">
          <cell r="C144">
            <v>40100010</v>
          </cell>
          <cell r="D144" t="str">
            <v>Consumption of FG</v>
          </cell>
          <cell r="E144">
            <v>0</v>
          </cell>
          <cell r="F144">
            <v>0</v>
          </cell>
          <cell r="G144">
            <v>0</v>
          </cell>
          <cell r="H144">
            <v>17427435.02</v>
          </cell>
          <cell r="I144">
            <v>0</v>
          </cell>
          <cell r="J144">
            <v>17427435.02</v>
          </cell>
          <cell r="K144">
            <v>0</v>
          </cell>
          <cell r="L144">
            <v>17427435.02</v>
          </cell>
          <cell r="M144">
            <v>40100010</v>
          </cell>
        </row>
        <row r="145">
          <cell r="C145">
            <v>40100011</v>
          </cell>
          <cell r="D145" t="str">
            <v>Cons of Packing Mat</v>
          </cell>
          <cell r="E145">
            <v>0</v>
          </cell>
          <cell r="F145">
            <v>0</v>
          </cell>
          <cell r="G145">
            <v>0</v>
          </cell>
          <cell r="H145">
            <v>27959298.170000002</v>
          </cell>
          <cell r="I145">
            <v>2022.16</v>
          </cell>
          <cell r="J145">
            <v>27957276.010000002</v>
          </cell>
          <cell r="K145">
            <v>0</v>
          </cell>
          <cell r="L145">
            <v>27957276.010000002</v>
          </cell>
          <cell r="M145">
            <v>40100011</v>
          </cell>
        </row>
        <row r="146">
          <cell r="C146">
            <v>40100012</v>
          </cell>
          <cell r="D146" t="str">
            <v>Freight on Job Work</v>
          </cell>
          <cell r="E146">
            <v>0</v>
          </cell>
          <cell r="F146">
            <v>0</v>
          </cell>
          <cell r="G146">
            <v>0</v>
          </cell>
          <cell r="H146">
            <v>5485984.1600000001</v>
          </cell>
          <cell r="I146">
            <v>42375</v>
          </cell>
          <cell r="J146">
            <v>5443609.1600000001</v>
          </cell>
          <cell r="K146">
            <v>0</v>
          </cell>
          <cell r="L146">
            <v>5443609.1600000001</v>
          </cell>
          <cell r="M146">
            <v>40100012</v>
          </cell>
        </row>
        <row r="147">
          <cell r="C147">
            <v>40100014</v>
          </cell>
          <cell r="D147" t="str">
            <v>Consumption_Manual</v>
          </cell>
          <cell r="E147">
            <v>0</v>
          </cell>
          <cell r="F147">
            <v>0</v>
          </cell>
          <cell r="G147">
            <v>0</v>
          </cell>
          <cell r="H147">
            <v>29216205.760000002</v>
          </cell>
          <cell r="I147">
            <v>249418143.02000001</v>
          </cell>
          <cell r="J147">
            <v>0</v>
          </cell>
          <cell r="K147">
            <v>-220201937.25999901</v>
          </cell>
          <cell r="L147">
            <v>-220201937.25999901</v>
          </cell>
          <cell r="M147">
            <v>40100014</v>
          </cell>
        </row>
        <row r="148">
          <cell r="C148">
            <v>40200000</v>
          </cell>
          <cell r="D148" t="str">
            <v>COGM Material</v>
          </cell>
          <cell r="E148">
            <v>0</v>
          </cell>
          <cell r="F148">
            <v>0</v>
          </cell>
          <cell r="G148">
            <v>0</v>
          </cell>
          <cell r="H148">
            <v>0</v>
          </cell>
          <cell r="I148">
            <v>9128362343.1100006</v>
          </cell>
          <cell r="J148">
            <v>0</v>
          </cell>
          <cell r="K148">
            <v>-9128362343.1100006</v>
          </cell>
          <cell r="L148">
            <v>-9128362343.1100006</v>
          </cell>
          <cell r="M148">
            <v>40200000</v>
          </cell>
        </row>
        <row r="149">
          <cell r="C149">
            <v>40200001</v>
          </cell>
          <cell r="D149" t="str">
            <v>COGM SFG and FG</v>
          </cell>
          <cell r="E149">
            <v>0</v>
          </cell>
          <cell r="F149">
            <v>0</v>
          </cell>
          <cell r="G149">
            <v>0</v>
          </cell>
          <cell r="H149">
            <v>8287596.1500000004</v>
          </cell>
          <cell r="I149">
            <v>1707225236.99</v>
          </cell>
          <cell r="J149">
            <v>0</v>
          </cell>
          <cell r="K149">
            <v>-1698937640.8399899</v>
          </cell>
          <cell r="L149">
            <v>-1698937640.8399899</v>
          </cell>
          <cell r="M149">
            <v>40200001</v>
          </cell>
        </row>
        <row r="150">
          <cell r="C150">
            <v>40200003</v>
          </cell>
          <cell r="D150" t="str">
            <v>Price Difference RM</v>
          </cell>
          <cell r="E150">
            <v>0</v>
          </cell>
          <cell r="F150">
            <v>0</v>
          </cell>
          <cell r="G150">
            <v>0</v>
          </cell>
          <cell r="H150">
            <v>3021434.6499999901</v>
          </cell>
          <cell r="I150">
            <v>155168.899999999</v>
          </cell>
          <cell r="J150">
            <v>2866265.75</v>
          </cell>
          <cell r="K150">
            <v>0</v>
          </cell>
          <cell r="L150">
            <v>2866265.75</v>
          </cell>
          <cell r="M150">
            <v>40200003</v>
          </cell>
        </row>
        <row r="151">
          <cell r="C151">
            <v>40200004</v>
          </cell>
          <cell r="D151" t="str">
            <v>Price Diff SFG &amp; FG</v>
          </cell>
          <cell r="E151">
            <v>0</v>
          </cell>
          <cell r="F151">
            <v>0</v>
          </cell>
          <cell r="G151">
            <v>0</v>
          </cell>
          <cell r="H151">
            <v>22705233.440000001</v>
          </cell>
          <cell r="I151">
            <v>21351774.77</v>
          </cell>
          <cell r="J151">
            <v>1353458.6699999899</v>
          </cell>
          <cell r="K151">
            <v>0</v>
          </cell>
          <cell r="L151">
            <v>1353458.6699999899</v>
          </cell>
          <cell r="M151">
            <v>40200004</v>
          </cell>
        </row>
        <row r="152">
          <cell r="C152">
            <v>40200005</v>
          </cell>
          <cell r="D152" t="str">
            <v>P.D. Spares &amp; Stores</v>
          </cell>
          <cell r="E152">
            <v>0</v>
          </cell>
          <cell r="F152">
            <v>0</v>
          </cell>
          <cell r="G152">
            <v>0</v>
          </cell>
          <cell r="H152">
            <v>0</v>
          </cell>
          <cell r="I152">
            <v>0.8</v>
          </cell>
          <cell r="J152">
            <v>0</v>
          </cell>
          <cell r="K152">
            <v>-0.8</v>
          </cell>
          <cell r="L152">
            <v>-0.8</v>
          </cell>
          <cell r="M152" t="e">
            <v>#N/A</v>
          </cell>
        </row>
        <row r="153">
          <cell r="C153">
            <v>40200006</v>
          </cell>
          <cell r="D153" t="str">
            <v>Month end Adj - Mat</v>
          </cell>
          <cell r="E153">
            <v>0</v>
          </cell>
          <cell r="F153">
            <v>0</v>
          </cell>
          <cell r="G153">
            <v>0</v>
          </cell>
          <cell r="H153">
            <v>231581575.86000001</v>
          </cell>
          <cell r="I153">
            <v>198000793.68000001</v>
          </cell>
          <cell r="J153">
            <v>33580782.18</v>
          </cell>
          <cell r="K153">
            <v>0</v>
          </cell>
          <cell r="L153">
            <v>33580782.18</v>
          </cell>
          <cell r="M153">
            <v>40200006</v>
          </cell>
        </row>
        <row r="154">
          <cell r="C154">
            <v>40200010</v>
          </cell>
          <cell r="D154" t="str">
            <v>Change in Stock</v>
          </cell>
          <cell r="E154">
            <v>0</v>
          </cell>
          <cell r="F154">
            <v>0</v>
          </cell>
          <cell r="G154">
            <v>0</v>
          </cell>
          <cell r="H154">
            <v>4725913.58</v>
          </cell>
          <cell r="I154">
            <v>640092907.99000001</v>
          </cell>
          <cell r="J154">
            <v>0</v>
          </cell>
          <cell r="K154">
            <v>-635366994.40999901</v>
          </cell>
          <cell r="L154">
            <v>-635366994.40999901</v>
          </cell>
          <cell r="M154">
            <v>40200010</v>
          </cell>
        </row>
        <row r="155">
          <cell r="C155">
            <v>40200011</v>
          </cell>
          <cell r="D155" t="str">
            <v>COGM_Manual</v>
          </cell>
          <cell r="E155">
            <v>0</v>
          </cell>
          <cell r="F155">
            <v>0</v>
          </cell>
          <cell r="G155">
            <v>0</v>
          </cell>
          <cell r="H155">
            <v>40051413.710000001</v>
          </cell>
          <cell r="I155">
            <v>6896668.9000000004</v>
          </cell>
          <cell r="J155">
            <v>33154744.809999902</v>
          </cell>
          <cell r="K155">
            <v>0</v>
          </cell>
          <cell r="L155">
            <v>33154744.809999902</v>
          </cell>
          <cell r="M155">
            <v>40200011</v>
          </cell>
        </row>
        <row r="156">
          <cell r="C156">
            <v>40300000</v>
          </cell>
          <cell r="D156" t="str">
            <v>Staff Welfare Expens</v>
          </cell>
          <cell r="E156">
            <v>0</v>
          </cell>
          <cell r="F156">
            <v>0</v>
          </cell>
          <cell r="G156">
            <v>0</v>
          </cell>
          <cell r="H156">
            <v>14059564.199999901</v>
          </cell>
          <cell r="I156">
            <v>4085195.1</v>
          </cell>
          <cell r="J156">
            <v>9974369.0999999903</v>
          </cell>
          <cell r="K156">
            <v>0</v>
          </cell>
          <cell r="L156">
            <v>9974369.0999999903</v>
          </cell>
          <cell r="M156">
            <v>40300000</v>
          </cell>
        </row>
        <row r="157">
          <cell r="C157">
            <v>40300001</v>
          </cell>
          <cell r="D157" t="str">
            <v>Staff Recruitment an</v>
          </cell>
          <cell r="E157">
            <v>0</v>
          </cell>
          <cell r="F157">
            <v>0</v>
          </cell>
          <cell r="G157">
            <v>0</v>
          </cell>
          <cell r="H157">
            <v>1024626.16</v>
          </cell>
          <cell r="I157">
            <v>14141.52</v>
          </cell>
          <cell r="J157">
            <v>1010484.64</v>
          </cell>
          <cell r="K157">
            <v>0</v>
          </cell>
          <cell r="L157">
            <v>1010484.64</v>
          </cell>
          <cell r="M157">
            <v>40300001</v>
          </cell>
        </row>
        <row r="158">
          <cell r="C158">
            <v>40300002</v>
          </cell>
          <cell r="D158" t="str">
            <v>Vehicle Hire Charges</v>
          </cell>
          <cell r="E158">
            <v>0</v>
          </cell>
          <cell r="F158">
            <v>0</v>
          </cell>
          <cell r="G158">
            <v>0</v>
          </cell>
          <cell r="H158">
            <v>22245984.170000002</v>
          </cell>
          <cell r="I158">
            <v>690597.66</v>
          </cell>
          <cell r="J158">
            <v>21555386.510000002</v>
          </cell>
          <cell r="K158">
            <v>0</v>
          </cell>
          <cell r="L158">
            <v>21555386.510000002</v>
          </cell>
          <cell r="M158">
            <v>40300002</v>
          </cell>
        </row>
        <row r="159">
          <cell r="C159">
            <v>40300003</v>
          </cell>
          <cell r="D159" t="str">
            <v>Admin Charges on PF</v>
          </cell>
          <cell r="E159">
            <v>0</v>
          </cell>
          <cell r="F159">
            <v>0</v>
          </cell>
          <cell r="G159">
            <v>0</v>
          </cell>
          <cell r="H159">
            <v>200328.51</v>
          </cell>
          <cell r="I159">
            <v>2825.51</v>
          </cell>
          <cell r="J159">
            <v>197503</v>
          </cell>
          <cell r="K159">
            <v>0</v>
          </cell>
          <cell r="L159">
            <v>197503</v>
          </cell>
          <cell r="M159">
            <v>40300003</v>
          </cell>
        </row>
        <row r="160">
          <cell r="C160">
            <v>40300004</v>
          </cell>
          <cell r="D160" t="str">
            <v>Basic Salary</v>
          </cell>
          <cell r="E160">
            <v>0</v>
          </cell>
          <cell r="F160">
            <v>0</v>
          </cell>
          <cell r="G160">
            <v>0</v>
          </cell>
          <cell r="H160">
            <v>56968541.960000001</v>
          </cell>
          <cell r="I160">
            <v>0</v>
          </cell>
          <cell r="J160">
            <v>56968541.960000001</v>
          </cell>
          <cell r="K160">
            <v>0</v>
          </cell>
          <cell r="L160">
            <v>56968541.960000001</v>
          </cell>
          <cell r="M160">
            <v>40300004</v>
          </cell>
        </row>
        <row r="161">
          <cell r="C161">
            <v>40300005</v>
          </cell>
          <cell r="D161" t="str">
            <v>Bonus_BVC Employee</v>
          </cell>
          <cell r="E161">
            <v>0</v>
          </cell>
          <cell r="F161">
            <v>0</v>
          </cell>
          <cell r="G161">
            <v>0</v>
          </cell>
          <cell r="H161">
            <v>4067262</v>
          </cell>
          <cell r="I161">
            <v>178125</v>
          </cell>
          <cell r="J161">
            <v>3889137</v>
          </cell>
          <cell r="K161">
            <v>0</v>
          </cell>
          <cell r="L161">
            <v>3889137</v>
          </cell>
          <cell r="M161">
            <v>40300005</v>
          </cell>
        </row>
        <row r="162">
          <cell r="C162">
            <v>40300006</v>
          </cell>
          <cell r="D162" t="str">
            <v>Company Contribution</v>
          </cell>
          <cell r="E162">
            <v>0</v>
          </cell>
          <cell r="F162">
            <v>0</v>
          </cell>
          <cell r="G162">
            <v>0</v>
          </cell>
          <cell r="H162">
            <v>4893955</v>
          </cell>
          <cell r="I162">
            <v>0</v>
          </cell>
          <cell r="J162">
            <v>4893955</v>
          </cell>
          <cell r="K162">
            <v>0</v>
          </cell>
          <cell r="L162">
            <v>4893955</v>
          </cell>
          <cell r="M162">
            <v>40300006</v>
          </cell>
        </row>
        <row r="163">
          <cell r="C163">
            <v>40300007</v>
          </cell>
          <cell r="D163" t="str">
            <v>Conveyance Allowance</v>
          </cell>
          <cell r="E163">
            <v>0</v>
          </cell>
          <cell r="F163">
            <v>0</v>
          </cell>
          <cell r="G163">
            <v>0</v>
          </cell>
          <cell r="H163">
            <v>429677.41999999899</v>
          </cell>
          <cell r="I163">
            <v>0</v>
          </cell>
          <cell r="J163">
            <v>429677.41999999899</v>
          </cell>
          <cell r="K163">
            <v>0</v>
          </cell>
          <cell r="L163">
            <v>429677.41999999899</v>
          </cell>
          <cell r="M163">
            <v>40300007</v>
          </cell>
        </row>
        <row r="164">
          <cell r="C164">
            <v>40300008</v>
          </cell>
          <cell r="D164" t="str">
            <v>Education Allowance</v>
          </cell>
          <cell r="E164">
            <v>0</v>
          </cell>
          <cell r="F164">
            <v>0</v>
          </cell>
          <cell r="G164">
            <v>0</v>
          </cell>
          <cell r="H164">
            <v>50566.51</v>
          </cell>
          <cell r="I164">
            <v>0</v>
          </cell>
          <cell r="J164">
            <v>50566.51</v>
          </cell>
          <cell r="K164">
            <v>0</v>
          </cell>
          <cell r="L164">
            <v>50566.51</v>
          </cell>
          <cell r="M164">
            <v>40300008</v>
          </cell>
        </row>
        <row r="165">
          <cell r="C165">
            <v>40300010</v>
          </cell>
          <cell r="D165" t="str">
            <v>Gratuity Expenses</v>
          </cell>
          <cell r="E165">
            <v>0</v>
          </cell>
          <cell r="F165">
            <v>0</v>
          </cell>
          <cell r="G165">
            <v>0</v>
          </cell>
          <cell r="H165">
            <v>4499741</v>
          </cell>
          <cell r="I165">
            <v>1940219</v>
          </cell>
          <cell r="J165">
            <v>2559522</v>
          </cell>
          <cell r="K165">
            <v>0</v>
          </cell>
          <cell r="L165">
            <v>2559522</v>
          </cell>
          <cell r="M165">
            <v>40300010</v>
          </cell>
        </row>
        <row r="166">
          <cell r="C166">
            <v>40300011</v>
          </cell>
          <cell r="D166" t="str">
            <v>House Rent Allowance</v>
          </cell>
          <cell r="E166">
            <v>0</v>
          </cell>
          <cell r="F166">
            <v>0</v>
          </cell>
          <cell r="G166">
            <v>0</v>
          </cell>
          <cell r="H166">
            <v>19119475.48</v>
          </cell>
          <cell r="I166">
            <v>0</v>
          </cell>
          <cell r="J166">
            <v>19119475.48</v>
          </cell>
          <cell r="K166">
            <v>0</v>
          </cell>
          <cell r="L166">
            <v>19119475.48</v>
          </cell>
          <cell r="M166">
            <v>40300011</v>
          </cell>
        </row>
        <row r="167">
          <cell r="C167">
            <v>40300012</v>
          </cell>
          <cell r="D167" t="str">
            <v>Leave Salary- BVCPL</v>
          </cell>
          <cell r="E167">
            <v>0</v>
          </cell>
          <cell r="F167">
            <v>0</v>
          </cell>
          <cell r="G167">
            <v>0</v>
          </cell>
          <cell r="H167">
            <v>6115026.8899999904</v>
          </cell>
          <cell r="I167">
            <v>2601180</v>
          </cell>
          <cell r="J167">
            <v>3513846.89</v>
          </cell>
          <cell r="K167">
            <v>0</v>
          </cell>
          <cell r="L167">
            <v>3513846.89</v>
          </cell>
          <cell r="M167">
            <v>40300012</v>
          </cell>
        </row>
        <row r="168">
          <cell r="C168">
            <v>40300013</v>
          </cell>
          <cell r="D168" t="str">
            <v>Staff Training Expen</v>
          </cell>
          <cell r="E168">
            <v>0</v>
          </cell>
          <cell r="F168">
            <v>0</v>
          </cell>
          <cell r="G168">
            <v>0</v>
          </cell>
          <cell r="H168">
            <v>275700</v>
          </cell>
          <cell r="I168">
            <v>0</v>
          </cell>
          <cell r="J168">
            <v>275700</v>
          </cell>
          <cell r="K168">
            <v>0</v>
          </cell>
          <cell r="L168">
            <v>275700</v>
          </cell>
          <cell r="M168">
            <v>40300013</v>
          </cell>
        </row>
        <row r="169">
          <cell r="C169">
            <v>40300015</v>
          </cell>
          <cell r="D169" t="str">
            <v>Medical Expenses</v>
          </cell>
          <cell r="E169">
            <v>0</v>
          </cell>
          <cell r="F169">
            <v>0</v>
          </cell>
          <cell r="G169">
            <v>0</v>
          </cell>
          <cell r="H169">
            <v>1439753.55</v>
          </cell>
          <cell r="I169">
            <v>0</v>
          </cell>
          <cell r="J169">
            <v>1439753.55</v>
          </cell>
          <cell r="K169">
            <v>0</v>
          </cell>
          <cell r="L169">
            <v>1439753.55</v>
          </cell>
          <cell r="M169">
            <v>40300015</v>
          </cell>
        </row>
        <row r="170">
          <cell r="C170">
            <v>40300016</v>
          </cell>
          <cell r="D170" t="str">
            <v>Other Allowance</v>
          </cell>
          <cell r="E170">
            <v>0</v>
          </cell>
          <cell r="F170">
            <v>0</v>
          </cell>
          <cell r="G170">
            <v>0</v>
          </cell>
          <cell r="H170">
            <v>24962654.010000002</v>
          </cell>
          <cell r="I170">
            <v>628379.28</v>
          </cell>
          <cell r="J170">
            <v>24334274.73</v>
          </cell>
          <cell r="K170">
            <v>0</v>
          </cell>
          <cell r="L170">
            <v>24334274.73</v>
          </cell>
          <cell r="M170">
            <v>40300016</v>
          </cell>
        </row>
        <row r="171">
          <cell r="C171">
            <v>40300017</v>
          </cell>
          <cell r="D171" t="str">
            <v>Productivity Incenti</v>
          </cell>
          <cell r="E171">
            <v>0</v>
          </cell>
          <cell r="F171">
            <v>0</v>
          </cell>
          <cell r="G171">
            <v>0</v>
          </cell>
          <cell r="H171">
            <v>4487647</v>
          </cell>
          <cell r="I171">
            <v>0</v>
          </cell>
          <cell r="J171">
            <v>4487647</v>
          </cell>
          <cell r="K171">
            <v>0</v>
          </cell>
          <cell r="L171">
            <v>4487647</v>
          </cell>
          <cell r="M171">
            <v>40300017</v>
          </cell>
        </row>
        <row r="172">
          <cell r="C172">
            <v>40300018</v>
          </cell>
          <cell r="D172" t="str">
            <v>Trainee Stipend</v>
          </cell>
          <cell r="E172">
            <v>0</v>
          </cell>
          <cell r="F172">
            <v>0</v>
          </cell>
          <cell r="G172">
            <v>0</v>
          </cell>
          <cell r="H172">
            <v>601523.17000000004</v>
          </cell>
          <cell r="I172">
            <v>0</v>
          </cell>
          <cell r="J172">
            <v>601523.17000000004</v>
          </cell>
          <cell r="K172">
            <v>0</v>
          </cell>
          <cell r="L172">
            <v>601523.17000000004</v>
          </cell>
          <cell r="M172">
            <v>40300018</v>
          </cell>
        </row>
        <row r="173">
          <cell r="C173">
            <v>40300019</v>
          </cell>
          <cell r="D173" t="str">
            <v>Helper Allowance</v>
          </cell>
          <cell r="E173">
            <v>0</v>
          </cell>
          <cell r="F173">
            <v>0</v>
          </cell>
          <cell r="G173">
            <v>0</v>
          </cell>
          <cell r="H173">
            <v>933677.42</v>
          </cell>
          <cell r="I173">
            <v>0</v>
          </cell>
          <cell r="J173">
            <v>933677.42</v>
          </cell>
          <cell r="K173">
            <v>0</v>
          </cell>
          <cell r="L173">
            <v>933677.42</v>
          </cell>
          <cell r="M173">
            <v>40300019</v>
          </cell>
        </row>
        <row r="174">
          <cell r="C174">
            <v>40300020</v>
          </cell>
          <cell r="D174" t="str">
            <v>Uniform Allowance</v>
          </cell>
          <cell r="E174">
            <v>0</v>
          </cell>
          <cell r="F174">
            <v>0</v>
          </cell>
          <cell r="G174">
            <v>0</v>
          </cell>
          <cell r="H174">
            <v>158680.799999999</v>
          </cell>
          <cell r="I174">
            <v>0</v>
          </cell>
          <cell r="J174">
            <v>158680.799999999</v>
          </cell>
          <cell r="K174">
            <v>0</v>
          </cell>
          <cell r="L174">
            <v>158680.799999999</v>
          </cell>
          <cell r="M174">
            <v>40300020</v>
          </cell>
        </row>
        <row r="175">
          <cell r="C175">
            <v>40300024</v>
          </cell>
          <cell r="D175" t="str">
            <v>Monthly Prod Incenti</v>
          </cell>
          <cell r="E175">
            <v>0</v>
          </cell>
          <cell r="F175">
            <v>0</v>
          </cell>
          <cell r="G175">
            <v>0</v>
          </cell>
          <cell r="H175">
            <v>3672463</v>
          </cell>
          <cell r="I175">
            <v>0</v>
          </cell>
          <cell r="J175">
            <v>3672463</v>
          </cell>
          <cell r="K175">
            <v>0</v>
          </cell>
          <cell r="L175">
            <v>3672463</v>
          </cell>
          <cell r="M175">
            <v>40300024</v>
          </cell>
        </row>
        <row r="176">
          <cell r="C176">
            <v>40400001</v>
          </cell>
          <cell r="D176" t="str">
            <v>Other Bank Charges</v>
          </cell>
          <cell r="E176">
            <v>0</v>
          </cell>
          <cell r="F176">
            <v>0</v>
          </cell>
          <cell r="G176">
            <v>0</v>
          </cell>
          <cell r="H176">
            <v>1977483.6299999901</v>
          </cell>
          <cell r="I176">
            <v>500785.78</v>
          </cell>
          <cell r="J176">
            <v>1476697.85</v>
          </cell>
          <cell r="K176">
            <v>0</v>
          </cell>
          <cell r="L176">
            <v>1476697.85</v>
          </cell>
          <cell r="M176">
            <v>40400001</v>
          </cell>
        </row>
        <row r="177">
          <cell r="C177">
            <v>40400003</v>
          </cell>
          <cell r="D177" t="str">
            <v>Export Collection_Ch</v>
          </cell>
          <cell r="E177">
            <v>0</v>
          </cell>
          <cell r="F177">
            <v>0</v>
          </cell>
          <cell r="G177">
            <v>0</v>
          </cell>
          <cell r="H177">
            <v>185777.78</v>
          </cell>
          <cell r="I177">
            <v>44615</v>
          </cell>
          <cell r="J177">
            <v>141162.78</v>
          </cell>
          <cell r="K177">
            <v>0</v>
          </cell>
          <cell r="L177">
            <v>141162.78</v>
          </cell>
          <cell r="M177">
            <v>40400003</v>
          </cell>
        </row>
        <row r="178">
          <cell r="C178">
            <v>40400004</v>
          </cell>
          <cell r="D178" t="str">
            <v>Import Payment_Charg</v>
          </cell>
          <cell r="E178">
            <v>0</v>
          </cell>
          <cell r="F178">
            <v>0</v>
          </cell>
          <cell r="G178">
            <v>0</v>
          </cell>
          <cell r="H178">
            <v>274543.57</v>
          </cell>
          <cell r="I178">
            <v>88878</v>
          </cell>
          <cell r="J178">
            <v>185665.57</v>
          </cell>
          <cell r="K178">
            <v>0</v>
          </cell>
          <cell r="L178">
            <v>185665.57</v>
          </cell>
          <cell r="M178">
            <v>40400004</v>
          </cell>
        </row>
        <row r="179">
          <cell r="C179">
            <v>40400005</v>
          </cell>
          <cell r="D179" t="str">
            <v>International Bank C</v>
          </cell>
          <cell r="E179">
            <v>0</v>
          </cell>
          <cell r="F179">
            <v>0</v>
          </cell>
          <cell r="G179">
            <v>0</v>
          </cell>
          <cell r="H179">
            <v>489644</v>
          </cell>
          <cell r="I179">
            <v>117242</v>
          </cell>
          <cell r="J179">
            <v>372402</v>
          </cell>
          <cell r="K179">
            <v>0</v>
          </cell>
          <cell r="L179">
            <v>372402</v>
          </cell>
          <cell r="M179">
            <v>40400005</v>
          </cell>
        </row>
        <row r="180">
          <cell r="C180">
            <v>40400008</v>
          </cell>
          <cell r="D180" t="str">
            <v>Interest on Cash Cre</v>
          </cell>
          <cell r="E180">
            <v>0</v>
          </cell>
          <cell r="F180">
            <v>0</v>
          </cell>
          <cell r="G180">
            <v>0</v>
          </cell>
          <cell r="H180">
            <v>10197736</v>
          </cell>
          <cell r="I180">
            <v>1192</v>
          </cell>
          <cell r="J180">
            <v>10196544</v>
          </cell>
          <cell r="K180">
            <v>0</v>
          </cell>
          <cell r="L180">
            <v>10196544</v>
          </cell>
          <cell r="M180">
            <v>40400008</v>
          </cell>
        </row>
        <row r="181">
          <cell r="C181">
            <v>40400009</v>
          </cell>
          <cell r="D181" t="str">
            <v>Interest on Term Loa</v>
          </cell>
          <cell r="E181">
            <v>0</v>
          </cell>
          <cell r="F181">
            <v>0</v>
          </cell>
          <cell r="G181">
            <v>0</v>
          </cell>
          <cell r="H181">
            <v>197605132</v>
          </cell>
          <cell r="I181">
            <v>1681970</v>
          </cell>
          <cell r="J181">
            <v>195923162</v>
          </cell>
          <cell r="K181">
            <v>0</v>
          </cell>
          <cell r="L181">
            <v>195923162</v>
          </cell>
          <cell r="M181">
            <v>40400009</v>
          </cell>
        </row>
        <row r="182">
          <cell r="C182">
            <v>40400011</v>
          </cell>
          <cell r="D182" t="str">
            <v>Interest on WCDL</v>
          </cell>
          <cell r="E182">
            <v>0</v>
          </cell>
          <cell r="F182">
            <v>0</v>
          </cell>
          <cell r="G182">
            <v>0</v>
          </cell>
          <cell r="H182">
            <v>14132535</v>
          </cell>
          <cell r="I182">
            <v>0</v>
          </cell>
          <cell r="J182">
            <v>14132535</v>
          </cell>
          <cell r="K182">
            <v>0</v>
          </cell>
          <cell r="L182">
            <v>14132535</v>
          </cell>
          <cell r="M182">
            <v>40400011</v>
          </cell>
        </row>
        <row r="183">
          <cell r="C183">
            <v>40400014</v>
          </cell>
          <cell r="D183" t="str">
            <v>Processing and Stamp</v>
          </cell>
          <cell r="E183">
            <v>0</v>
          </cell>
          <cell r="F183">
            <v>0</v>
          </cell>
          <cell r="G183">
            <v>0</v>
          </cell>
          <cell r="H183">
            <v>28170573.84</v>
          </cell>
          <cell r="I183">
            <v>1691000</v>
          </cell>
          <cell r="J183">
            <v>26479573.84</v>
          </cell>
          <cell r="K183">
            <v>0</v>
          </cell>
          <cell r="L183">
            <v>26479573.84</v>
          </cell>
          <cell r="M183">
            <v>40400014</v>
          </cell>
        </row>
        <row r="184">
          <cell r="C184">
            <v>40400019</v>
          </cell>
          <cell r="D184" t="str">
            <v>IND AS - TL Interest</v>
          </cell>
          <cell r="E184">
            <v>0</v>
          </cell>
          <cell r="F184">
            <v>0</v>
          </cell>
          <cell r="G184">
            <v>0</v>
          </cell>
          <cell r="H184">
            <v>216610</v>
          </cell>
          <cell r="I184">
            <v>0</v>
          </cell>
          <cell r="J184">
            <v>216610</v>
          </cell>
          <cell r="K184">
            <v>0</v>
          </cell>
          <cell r="L184">
            <v>216610</v>
          </cell>
          <cell r="M184">
            <v>40400019</v>
          </cell>
        </row>
        <row r="185">
          <cell r="C185">
            <v>40400024</v>
          </cell>
          <cell r="D185" t="str">
            <v>Interest on Buyer’s</v>
          </cell>
          <cell r="E185">
            <v>0</v>
          </cell>
          <cell r="F185">
            <v>0</v>
          </cell>
          <cell r="G185">
            <v>0</v>
          </cell>
          <cell r="H185">
            <v>1213222.49</v>
          </cell>
          <cell r="I185">
            <v>0</v>
          </cell>
          <cell r="J185">
            <v>1213222.49</v>
          </cell>
          <cell r="K185">
            <v>0</v>
          </cell>
          <cell r="L185">
            <v>1213222.49</v>
          </cell>
          <cell r="M185">
            <v>40400024</v>
          </cell>
        </row>
        <row r="186">
          <cell r="C186">
            <v>40400027</v>
          </cell>
          <cell r="D186" t="str">
            <v>Interest on IC Loan</v>
          </cell>
          <cell r="E186">
            <v>0</v>
          </cell>
          <cell r="F186">
            <v>0</v>
          </cell>
          <cell r="G186">
            <v>0</v>
          </cell>
          <cell r="H186">
            <v>24961796</v>
          </cell>
          <cell r="I186">
            <v>0</v>
          </cell>
          <cell r="J186">
            <v>24961796</v>
          </cell>
          <cell r="K186">
            <v>0</v>
          </cell>
          <cell r="L186">
            <v>24961796</v>
          </cell>
          <cell r="M186">
            <v>40400027</v>
          </cell>
        </row>
        <row r="187">
          <cell r="C187">
            <v>40500000</v>
          </cell>
          <cell r="D187" t="str">
            <v>ACC_DEP_Building</v>
          </cell>
          <cell r="E187">
            <v>0</v>
          </cell>
          <cell r="F187">
            <v>0</v>
          </cell>
          <cell r="G187">
            <v>0</v>
          </cell>
          <cell r="H187">
            <v>57091696.5</v>
          </cell>
          <cell r="I187">
            <v>0</v>
          </cell>
          <cell r="J187">
            <v>57091696.5</v>
          </cell>
          <cell r="K187">
            <v>0</v>
          </cell>
          <cell r="L187">
            <v>57091696.5</v>
          </cell>
          <cell r="M187">
            <v>40500000</v>
          </cell>
        </row>
        <row r="188">
          <cell r="C188">
            <v>40500001</v>
          </cell>
          <cell r="D188" t="str">
            <v>ACC_DEP_Plant and ma</v>
          </cell>
          <cell r="E188">
            <v>0</v>
          </cell>
          <cell r="F188">
            <v>0</v>
          </cell>
          <cell r="G188">
            <v>0</v>
          </cell>
          <cell r="H188">
            <v>234090662.99000001</v>
          </cell>
          <cell r="I188">
            <v>0</v>
          </cell>
          <cell r="J188">
            <v>234090662.99000001</v>
          </cell>
          <cell r="K188">
            <v>0</v>
          </cell>
          <cell r="L188">
            <v>234090662.99000001</v>
          </cell>
          <cell r="M188">
            <v>40500001</v>
          </cell>
        </row>
        <row r="189">
          <cell r="C189">
            <v>40500002</v>
          </cell>
          <cell r="D189" t="str">
            <v>ACC_DEP_Office equim</v>
          </cell>
          <cell r="E189">
            <v>0</v>
          </cell>
          <cell r="F189">
            <v>0</v>
          </cell>
          <cell r="G189">
            <v>0</v>
          </cell>
          <cell r="H189">
            <v>3723188.1099999901</v>
          </cell>
          <cell r="I189">
            <v>0</v>
          </cell>
          <cell r="J189">
            <v>3723188.1099999901</v>
          </cell>
          <cell r="K189">
            <v>0</v>
          </cell>
          <cell r="L189">
            <v>3723188.1099999901</v>
          </cell>
          <cell r="M189">
            <v>40500002</v>
          </cell>
        </row>
        <row r="190">
          <cell r="C190">
            <v>40500003</v>
          </cell>
          <cell r="D190" t="str">
            <v>ACC_DEP_Computers</v>
          </cell>
          <cell r="E190">
            <v>0</v>
          </cell>
          <cell r="F190">
            <v>0</v>
          </cell>
          <cell r="G190">
            <v>0</v>
          </cell>
          <cell r="H190">
            <v>3613247.66</v>
          </cell>
          <cell r="I190">
            <v>0</v>
          </cell>
          <cell r="J190">
            <v>3613247.66</v>
          </cell>
          <cell r="K190">
            <v>0</v>
          </cell>
          <cell r="L190">
            <v>3613247.66</v>
          </cell>
          <cell r="M190">
            <v>40500003</v>
          </cell>
        </row>
        <row r="191">
          <cell r="C191">
            <v>40500004</v>
          </cell>
          <cell r="D191" t="str">
            <v>ACC_DEP_Furniture an</v>
          </cell>
          <cell r="E191">
            <v>0</v>
          </cell>
          <cell r="F191">
            <v>0</v>
          </cell>
          <cell r="G191">
            <v>0</v>
          </cell>
          <cell r="H191">
            <v>1955819.27</v>
          </cell>
          <cell r="I191">
            <v>0</v>
          </cell>
          <cell r="J191">
            <v>1955819.27</v>
          </cell>
          <cell r="K191">
            <v>0</v>
          </cell>
          <cell r="L191">
            <v>1955819.27</v>
          </cell>
          <cell r="M191">
            <v>40500004</v>
          </cell>
        </row>
        <row r="192">
          <cell r="C192">
            <v>40500005</v>
          </cell>
          <cell r="D192" t="str">
            <v>ACC_DEP_Electrical f</v>
          </cell>
          <cell r="E192">
            <v>0</v>
          </cell>
          <cell r="F192">
            <v>0</v>
          </cell>
          <cell r="G192">
            <v>0</v>
          </cell>
          <cell r="H192">
            <v>12694553.24</v>
          </cell>
          <cell r="I192">
            <v>0</v>
          </cell>
          <cell r="J192">
            <v>12694553.24</v>
          </cell>
          <cell r="K192">
            <v>0</v>
          </cell>
          <cell r="L192">
            <v>12694553.24</v>
          </cell>
          <cell r="M192">
            <v>40500005</v>
          </cell>
        </row>
        <row r="193">
          <cell r="C193">
            <v>40500007</v>
          </cell>
          <cell r="D193" t="str">
            <v>ACC_DEP_Computer Sof</v>
          </cell>
          <cell r="E193">
            <v>0</v>
          </cell>
          <cell r="F193">
            <v>0</v>
          </cell>
          <cell r="G193">
            <v>0</v>
          </cell>
          <cell r="H193">
            <v>1481800.26</v>
          </cell>
          <cell r="I193">
            <v>0</v>
          </cell>
          <cell r="J193">
            <v>1481800.26</v>
          </cell>
          <cell r="K193">
            <v>0</v>
          </cell>
          <cell r="L193">
            <v>1481800.26</v>
          </cell>
          <cell r="M193">
            <v>40500007</v>
          </cell>
        </row>
        <row r="194">
          <cell r="C194">
            <v>40500008</v>
          </cell>
          <cell r="D194" t="str">
            <v>ACC_DEP_Leased Land</v>
          </cell>
          <cell r="E194">
            <v>0</v>
          </cell>
          <cell r="F194">
            <v>0</v>
          </cell>
          <cell r="G194">
            <v>0</v>
          </cell>
          <cell r="H194">
            <v>3467334.25</v>
          </cell>
          <cell r="I194">
            <v>0</v>
          </cell>
          <cell r="J194">
            <v>3467334.25</v>
          </cell>
          <cell r="K194">
            <v>0</v>
          </cell>
          <cell r="L194">
            <v>3467334.25</v>
          </cell>
          <cell r="M194">
            <v>40500008</v>
          </cell>
        </row>
        <row r="195">
          <cell r="C195">
            <v>40600000</v>
          </cell>
          <cell r="D195" t="str">
            <v>Consumption of Fuel</v>
          </cell>
          <cell r="E195">
            <v>0</v>
          </cell>
          <cell r="F195">
            <v>0</v>
          </cell>
          <cell r="G195">
            <v>0</v>
          </cell>
          <cell r="H195">
            <v>104956499.3</v>
          </cell>
          <cell r="I195">
            <v>-32.71</v>
          </cell>
          <cell r="J195">
            <v>104956532.01000001</v>
          </cell>
          <cell r="K195">
            <v>0</v>
          </cell>
          <cell r="L195">
            <v>104956532.01000001</v>
          </cell>
          <cell r="M195">
            <v>40600000</v>
          </cell>
        </row>
        <row r="196">
          <cell r="C196">
            <v>40600002</v>
          </cell>
          <cell r="D196" t="str">
            <v>Cons Stores &amp; Spares</v>
          </cell>
          <cell r="E196">
            <v>0</v>
          </cell>
          <cell r="F196">
            <v>0</v>
          </cell>
          <cell r="G196">
            <v>0</v>
          </cell>
          <cell r="H196">
            <v>23272723.960000001</v>
          </cell>
          <cell r="I196">
            <v>800902.43999999901</v>
          </cell>
          <cell r="J196">
            <v>22471821.52</v>
          </cell>
          <cell r="K196">
            <v>0</v>
          </cell>
          <cell r="L196">
            <v>22471821.52</v>
          </cell>
          <cell r="M196">
            <v>40600002</v>
          </cell>
        </row>
        <row r="197">
          <cell r="C197">
            <v>40600003</v>
          </cell>
          <cell r="D197" t="str">
            <v>Cons of Consumables</v>
          </cell>
          <cell r="E197">
            <v>0</v>
          </cell>
          <cell r="F197">
            <v>0</v>
          </cell>
          <cell r="G197">
            <v>0</v>
          </cell>
          <cell r="H197">
            <v>0</v>
          </cell>
          <cell r="I197">
            <v>8850928.9399999902</v>
          </cell>
          <cell r="J197">
            <v>0</v>
          </cell>
          <cell r="K197">
            <v>-8850928.9399999902</v>
          </cell>
          <cell r="L197">
            <v>-8850928.9399999902</v>
          </cell>
          <cell r="M197">
            <v>40600003</v>
          </cell>
        </row>
        <row r="198">
          <cell r="C198">
            <v>40600004</v>
          </cell>
          <cell r="D198" t="str">
            <v>Power Cost_Factory</v>
          </cell>
          <cell r="E198">
            <v>0</v>
          </cell>
          <cell r="F198">
            <v>0</v>
          </cell>
          <cell r="G198">
            <v>0</v>
          </cell>
          <cell r="H198">
            <v>96287849.359999895</v>
          </cell>
          <cell r="I198">
            <v>5034848.9800000004</v>
          </cell>
          <cell r="J198">
            <v>91253000.379999906</v>
          </cell>
          <cell r="K198">
            <v>0</v>
          </cell>
          <cell r="L198">
            <v>91253000.379999906</v>
          </cell>
          <cell r="M198">
            <v>40600004</v>
          </cell>
        </row>
        <row r="199">
          <cell r="C199">
            <v>40600005</v>
          </cell>
          <cell r="D199" t="str">
            <v>Labour Charges</v>
          </cell>
          <cell r="E199">
            <v>0</v>
          </cell>
          <cell r="F199">
            <v>0</v>
          </cell>
          <cell r="G199">
            <v>0</v>
          </cell>
          <cell r="H199">
            <v>56781755.4799999</v>
          </cell>
          <cell r="I199">
            <v>231565.739999999</v>
          </cell>
          <cell r="J199">
            <v>56550189.740000002</v>
          </cell>
          <cell r="K199">
            <v>0</v>
          </cell>
          <cell r="L199">
            <v>56550189.740000002</v>
          </cell>
          <cell r="M199">
            <v>40600005</v>
          </cell>
        </row>
        <row r="200">
          <cell r="C200">
            <v>40600006</v>
          </cell>
          <cell r="D200" t="str">
            <v>Jobwork Charges</v>
          </cell>
          <cell r="E200">
            <v>0</v>
          </cell>
          <cell r="F200">
            <v>0</v>
          </cell>
          <cell r="G200">
            <v>0</v>
          </cell>
          <cell r="H200">
            <v>121243262.38</v>
          </cell>
          <cell r="I200">
            <v>1535915</v>
          </cell>
          <cell r="J200">
            <v>119707347.38</v>
          </cell>
          <cell r="K200">
            <v>0</v>
          </cell>
          <cell r="L200">
            <v>119707347.38</v>
          </cell>
          <cell r="M200">
            <v>40600006</v>
          </cell>
        </row>
        <row r="201">
          <cell r="C201">
            <v>40600007</v>
          </cell>
          <cell r="D201" t="str">
            <v>Effluent Treatment C</v>
          </cell>
          <cell r="E201">
            <v>0</v>
          </cell>
          <cell r="F201">
            <v>0</v>
          </cell>
          <cell r="G201">
            <v>0</v>
          </cell>
          <cell r="H201">
            <v>26964731</v>
          </cell>
          <cell r="I201">
            <v>0</v>
          </cell>
          <cell r="J201">
            <v>26964731</v>
          </cell>
          <cell r="K201">
            <v>0</v>
          </cell>
          <cell r="L201">
            <v>26964731</v>
          </cell>
          <cell r="M201">
            <v>40600007</v>
          </cell>
        </row>
        <row r="202">
          <cell r="C202">
            <v>40600008</v>
          </cell>
          <cell r="D202" t="str">
            <v>Lease Rent_Factory</v>
          </cell>
          <cell r="E202">
            <v>0</v>
          </cell>
          <cell r="F202">
            <v>0</v>
          </cell>
          <cell r="G202">
            <v>0</v>
          </cell>
          <cell r="H202">
            <v>1278021</v>
          </cell>
          <cell r="I202">
            <v>0</v>
          </cell>
          <cell r="J202">
            <v>1278021</v>
          </cell>
          <cell r="K202">
            <v>0</v>
          </cell>
          <cell r="L202">
            <v>1278021</v>
          </cell>
          <cell r="M202">
            <v>40600008</v>
          </cell>
        </row>
        <row r="203">
          <cell r="C203">
            <v>40600012</v>
          </cell>
          <cell r="D203" t="str">
            <v>Consumption of Steam</v>
          </cell>
          <cell r="E203">
            <v>0</v>
          </cell>
          <cell r="F203">
            <v>0</v>
          </cell>
          <cell r="G203">
            <v>0</v>
          </cell>
          <cell r="H203">
            <v>237764</v>
          </cell>
          <cell r="I203">
            <v>0</v>
          </cell>
          <cell r="J203">
            <v>237764</v>
          </cell>
          <cell r="K203">
            <v>0</v>
          </cell>
          <cell r="L203">
            <v>237764</v>
          </cell>
          <cell r="M203">
            <v>40600012</v>
          </cell>
        </row>
        <row r="204">
          <cell r="C204">
            <v>40700000</v>
          </cell>
          <cell r="D204" t="str">
            <v>Repair and Maintance</v>
          </cell>
          <cell r="E204">
            <v>0</v>
          </cell>
          <cell r="F204">
            <v>0</v>
          </cell>
          <cell r="G204">
            <v>0</v>
          </cell>
          <cell r="H204">
            <v>34295915.359999903</v>
          </cell>
          <cell r="I204">
            <v>3356879.1899999902</v>
          </cell>
          <cell r="J204">
            <v>30939036.170000002</v>
          </cell>
          <cell r="K204">
            <v>0</v>
          </cell>
          <cell r="L204">
            <v>30939036.170000002</v>
          </cell>
          <cell r="M204">
            <v>40700000</v>
          </cell>
        </row>
        <row r="205">
          <cell r="C205">
            <v>40700001</v>
          </cell>
          <cell r="D205" t="str">
            <v>Conveyance Expenses</v>
          </cell>
          <cell r="E205">
            <v>0</v>
          </cell>
          <cell r="F205">
            <v>0</v>
          </cell>
          <cell r="G205">
            <v>0</v>
          </cell>
          <cell r="H205">
            <v>1076590.97</v>
          </cell>
          <cell r="I205">
            <v>0</v>
          </cell>
          <cell r="J205">
            <v>1076590.97</v>
          </cell>
          <cell r="K205">
            <v>0</v>
          </cell>
          <cell r="L205">
            <v>1076590.97</v>
          </cell>
          <cell r="M205">
            <v>40700001</v>
          </cell>
        </row>
        <row r="206">
          <cell r="C206">
            <v>40700002</v>
          </cell>
          <cell r="D206" t="str">
            <v>Travelling Expenses_</v>
          </cell>
          <cell r="E206">
            <v>0</v>
          </cell>
          <cell r="F206">
            <v>0</v>
          </cell>
          <cell r="G206">
            <v>0</v>
          </cell>
          <cell r="H206">
            <v>2982177.99</v>
          </cell>
          <cell r="I206">
            <v>0</v>
          </cell>
          <cell r="J206">
            <v>2982177.99</v>
          </cell>
          <cell r="K206">
            <v>0</v>
          </cell>
          <cell r="L206">
            <v>2982177.99</v>
          </cell>
          <cell r="M206">
            <v>40700002</v>
          </cell>
        </row>
        <row r="207">
          <cell r="C207">
            <v>40700003</v>
          </cell>
          <cell r="D207" t="str">
            <v>Travelling Expenses_</v>
          </cell>
          <cell r="E207">
            <v>0</v>
          </cell>
          <cell r="F207">
            <v>0</v>
          </cell>
          <cell r="G207">
            <v>0</v>
          </cell>
          <cell r="H207">
            <v>3071823.89</v>
          </cell>
          <cell r="I207">
            <v>0</v>
          </cell>
          <cell r="J207">
            <v>3071823.89</v>
          </cell>
          <cell r="K207">
            <v>0</v>
          </cell>
          <cell r="L207">
            <v>3071823.89</v>
          </cell>
          <cell r="M207">
            <v>40700003</v>
          </cell>
        </row>
        <row r="208">
          <cell r="C208">
            <v>40700004</v>
          </cell>
          <cell r="D208" t="str">
            <v>Communication Expens</v>
          </cell>
          <cell r="E208">
            <v>0</v>
          </cell>
          <cell r="F208">
            <v>0</v>
          </cell>
          <cell r="G208">
            <v>0</v>
          </cell>
          <cell r="H208">
            <v>466218.799999999</v>
          </cell>
          <cell r="I208">
            <v>0</v>
          </cell>
          <cell r="J208">
            <v>466218.799999999</v>
          </cell>
          <cell r="K208">
            <v>0</v>
          </cell>
          <cell r="L208">
            <v>466218.799999999</v>
          </cell>
          <cell r="M208">
            <v>40700004</v>
          </cell>
        </row>
        <row r="209">
          <cell r="C209">
            <v>40700005</v>
          </cell>
          <cell r="D209" t="str">
            <v>Annual Maintainance</v>
          </cell>
          <cell r="E209">
            <v>0</v>
          </cell>
          <cell r="F209">
            <v>0</v>
          </cell>
          <cell r="G209">
            <v>0</v>
          </cell>
          <cell r="H209">
            <v>3362949.3399999901</v>
          </cell>
          <cell r="I209">
            <v>378.54</v>
          </cell>
          <cell r="J209">
            <v>3362570.79999999</v>
          </cell>
          <cell r="K209">
            <v>0</v>
          </cell>
          <cell r="L209">
            <v>3362570.79999999</v>
          </cell>
          <cell r="M209">
            <v>40700005</v>
          </cell>
        </row>
        <row r="210">
          <cell r="C210">
            <v>40700006</v>
          </cell>
          <cell r="D210" t="str">
            <v>Power Cost_Corporate</v>
          </cell>
          <cell r="E210">
            <v>0</v>
          </cell>
          <cell r="F210">
            <v>0</v>
          </cell>
          <cell r="G210">
            <v>0</v>
          </cell>
          <cell r="H210">
            <v>279038.16999999899</v>
          </cell>
          <cell r="I210">
            <v>0</v>
          </cell>
          <cell r="J210">
            <v>279038.16999999899</v>
          </cell>
          <cell r="K210">
            <v>0</v>
          </cell>
          <cell r="L210">
            <v>279038.16999999899</v>
          </cell>
          <cell r="M210">
            <v>40700006</v>
          </cell>
        </row>
        <row r="211">
          <cell r="C211">
            <v>40700007</v>
          </cell>
          <cell r="D211" t="str">
            <v>Professional &amp; Consu</v>
          </cell>
          <cell r="E211">
            <v>0</v>
          </cell>
          <cell r="F211">
            <v>0</v>
          </cell>
          <cell r="G211">
            <v>0</v>
          </cell>
          <cell r="H211">
            <v>13055317.76</v>
          </cell>
          <cell r="I211">
            <v>600000</v>
          </cell>
          <cell r="J211">
            <v>12455317.76</v>
          </cell>
          <cell r="K211">
            <v>0</v>
          </cell>
          <cell r="L211">
            <v>12455317.76</v>
          </cell>
          <cell r="M211">
            <v>40700007</v>
          </cell>
        </row>
        <row r="212">
          <cell r="C212">
            <v>40700008</v>
          </cell>
          <cell r="D212" t="str">
            <v>Rates and Taxes</v>
          </cell>
          <cell r="E212">
            <v>0</v>
          </cell>
          <cell r="F212">
            <v>0</v>
          </cell>
          <cell r="G212">
            <v>0</v>
          </cell>
          <cell r="H212">
            <v>3363123.8199999901</v>
          </cell>
          <cell r="I212">
            <v>519167</v>
          </cell>
          <cell r="J212">
            <v>2843956.8199999901</v>
          </cell>
          <cell r="K212">
            <v>0</v>
          </cell>
          <cell r="L212">
            <v>2843956.8199999901</v>
          </cell>
          <cell r="M212">
            <v>40700008</v>
          </cell>
        </row>
        <row r="213">
          <cell r="C213">
            <v>40700009</v>
          </cell>
          <cell r="D213" t="str">
            <v>Lease Rent_Office</v>
          </cell>
          <cell r="E213">
            <v>0</v>
          </cell>
          <cell r="F213">
            <v>0</v>
          </cell>
          <cell r="G213">
            <v>0</v>
          </cell>
          <cell r="H213">
            <v>576000</v>
          </cell>
          <cell r="I213">
            <v>0</v>
          </cell>
          <cell r="J213">
            <v>576000</v>
          </cell>
          <cell r="K213">
            <v>0</v>
          </cell>
          <cell r="L213">
            <v>576000</v>
          </cell>
          <cell r="M213">
            <v>40700009</v>
          </cell>
        </row>
        <row r="214">
          <cell r="C214">
            <v>40700010</v>
          </cell>
          <cell r="D214" t="str">
            <v>Reach Registration C</v>
          </cell>
          <cell r="E214">
            <v>0</v>
          </cell>
          <cell r="F214">
            <v>0</v>
          </cell>
          <cell r="G214">
            <v>0</v>
          </cell>
          <cell r="H214">
            <v>6985478.4100000001</v>
          </cell>
          <cell r="I214">
            <v>0</v>
          </cell>
          <cell r="J214">
            <v>6985478.4100000001</v>
          </cell>
          <cell r="K214">
            <v>0</v>
          </cell>
          <cell r="L214">
            <v>6985478.4100000001</v>
          </cell>
          <cell r="M214">
            <v>40700010</v>
          </cell>
        </row>
        <row r="215">
          <cell r="C215">
            <v>40700011</v>
          </cell>
          <cell r="D215" t="str">
            <v>Penalty Expense</v>
          </cell>
          <cell r="E215">
            <v>0</v>
          </cell>
          <cell r="F215">
            <v>0</v>
          </cell>
          <cell r="G215">
            <v>0</v>
          </cell>
          <cell r="H215">
            <v>130000</v>
          </cell>
          <cell r="I215">
            <v>0</v>
          </cell>
          <cell r="J215">
            <v>130000</v>
          </cell>
          <cell r="K215">
            <v>0</v>
          </cell>
          <cell r="L215">
            <v>130000</v>
          </cell>
          <cell r="M215">
            <v>40700011</v>
          </cell>
        </row>
        <row r="216">
          <cell r="C216">
            <v>40700013</v>
          </cell>
          <cell r="D216" t="str">
            <v>Balance Write Off</v>
          </cell>
          <cell r="E216">
            <v>0</v>
          </cell>
          <cell r="F216">
            <v>0</v>
          </cell>
          <cell r="G216">
            <v>0</v>
          </cell>
          <cell r="H216">
            <v>56986.12</v>
          </cell>
          <cell r="I216">
            <v>2225.6599999999899</v>
          </cell>
          <cell r="J216">
            <v>54760.459999999897</v>
          </cell>
          <cell r="K216">
            <v>0</v>
          </cell>
          <cell r="L216">
            <v>54760.459999999897</v>
          </cell>
          <cell r="M216">
            <v>40700013</v>
          </cell>
        </row>
        <row r="217">
          <cell r="C217">
            <v>40700014</v>
          </cell>
          <cell r="D217" t="str">
            <v>Insurance Expense</v>
          </cell>
          <cell r="E217">
            <v>0</v>
          </cell>
          <cell r="F217">
            <v>0</v>
          </cell>
          <cell r="G217">
            <v>0</v>
          </cell>
          <cell r="H217">
            <v>10903397.01</v>
          </cell>
          <cell r="I217">
            <v>218876.29</v>
          </cell>
          <cell r="J217">
            <v>10684520.720000001</v>
          </cell>
          <cell r="K217">
            <v>0</v>
          </cell>
          <cell r="L217">
            <v>10684520.720000001</v>
          </cell>
          <cell r="M217">
            <v>40700014</v>
          </cell>
        </row>
        <row r="218">
          <cell r="C218">
            <v>40700015</v>
          </cell>
          <cell r="D218" t="str">
            <v>Rounding Adjustment</v>
          </cell>
          <cell r="E218">
            <v>0</v>
          </cell>
          <cell r="F218">
            <v>0</v>
          </cell>
          <cell r="G218">
            <v>0</v>
          </cell>
          <cell r="H218">
            <v>17581.61</v>
          </cell>
          <cell r="I218">
            <v>3131.61</v>
          </cell>
          <cell r="J218">
            <v>14450</v>
          </cell>
          <cell r="K218">
            <v>0</v>
          </cell>
          <cell r="L218">
            <v>14450</v>
          </cell>
          <cell r="M218">
            <v>40700015</v>
          </cell>
        </row>
        <row r="219">
          <cell r="C219">
            <v>40700016</v>
          </cell>
          <cell r="D219" t="str">
            <v>Interest On TDS</v>
          </cell>
          <cell r="E219">
            <v>0</v>
          </cell>
          <cell r="F219">
            <v>0</v>
          </cell>
          <cell r="G219">
            <v>0</v>
          </cell>
          <cell r="H219">
            <v>10247</v>
          </cell>
          <cell r="I219">
            <v>0</v>
          </cell>
          <cell r="J219">
            <v>10247</v>
          </cell>
          <cell r="K219">
            <v>0</v>
          </cell>
          <cell r="L219">
            <v>10247</v>
          </cell>
          <cell r="M219">
            <v>40700016</v>
          </cell>
        </row>
        <row r="220">
          <cell r="C220">
            <v>40700017</v>
          </cell>
          <cell r="D220" t="str">
            <v>GST Expense</v>
          </cell>
          <cell r="E220">
            <v>0</v>
          </cell>
          <cell r="F220">
            <v>0</v>
          </cell>
          <cell r="G220">
            <v>0</v>
          </cell>
          <cell r="H220">
            <v>95168.07</v>
          </cell>
          <cell r="I220">
            <v>62750</v>
          </cell>
          <cell r="J220">
            <v>32418.07</v>
          </cell>
          <cell r="K220">
            <v>0</v>
          </cell>
          <cell r="L220">
            <v>32418.07</v>
          </cell>
          <cell r="M220">
            <v>40700017</v>
          </cell>
        </row>
        <row r="221">
          <cell r="C221">
            <v>40700018</v>
          </cell>
          <cell r="D221" t="str">
            <v>EHS Expense</v>
          </cell>
          <cell r="E221">
            <v>0</v>
          </cell>
          <cell r="F221">
            <v>0</v>
          </cell>
          <cell r="G221">
            <v>0</v>
          </cell>
          <cell r="H221">
            <v>18614985.100000001</v>
          </cell>
          <cell r="I221">
            <v>4690</v>
          </cell>
          <cell r="J221">
            <v>18610295.100000001</v>
          </cell>
          <cell r="K221">
            <v>0</v>
          </cell>
          <cell r="L221">
            <v>18610295.100000001</v>
          </cell>
          <cell r="M221">
            <v>40700018</v>
          </cell>
        </row>
        <row r="222">
          <cell r="C222">
            <v>40700020</v>
          </cell>
          <cell r="D222" t="str">
            <v>Selling and Distribu</v>
          </cell>
          <cell r="E222">
            <v>0</v>
          </cell>
          <cell r="F222">
            <v>0</v>
          </cell>
          <cell r="G222">
            <v>0</v>
          </cell>
          <cell r="H222">
            <v>23742633.219999898</v>
          </cell>
          <cell r="I222">
            <v>7399957.79</v>
          </cell>
          <cell r="J222">
            <v>16342675.43</v>
          </cell>
          <cell r="K222">
            <v>0</v>
          </cell>
          <cell r="L222">
            <v>16342675.43</v>
          </cell>
          <cell r="M222">
            <v>40700020</v>
          </cell>
        </row>
        <row r="223">
          <cell r="C223">
            <v>40700021</v>
          </cell>
          <cell r="D223" t="str">
            <v>Freight Outward</v>
          </cell>
          <cell r="E223">
            <v>0</v>
          </cell>
          <cell r="F223">
            <v>0</v>
          </cell>
          <cell r="G223">
            <v>0</v>
          </cell>
          <cell r="H223">
            <v>3362814.85</v>
          </cell>
          <cell r="I223">
            <v>23000</v>
          </cell>
          <cell r="J223">
            <v>3339814.85</v>
          </cell>
          <cell r="K223">
            <v>0</v>
          </cell>
          <cell r="L223">
            <v>3339814.85</v>
          </cell>
          <cell r="M223">
            <v>40700021</v>
          </cell>
        </row>
        <row r="224">
          <cell r="C224">
            <v>40700022</v>
          </cell>
          <cell r="D224" t="str">
            <v>Consumable Items</v>
          </cell>
          <cell r="E224">
            <v>0</v>
          </cell>
          <cell r="F224">
            <v>0</v>
          </cell>
          <cell r="G224">
            <v>0</v>
          </cell>
          <cell r="H224">
            <v>28837521.789999899</v>
          </cell>
          <cell r="I224">
            <v>51001.599999999897</v>
          </cell>
          <cell r="J224">
            <v>28786520.190000001</v>
          </cell>
          <cell r="K224">
            <v>0</v>
          </cell>
          <cell r="L224">
            <v>28786520.190000001</v>
          </cell>
          <cell r="M224">
            <v>40700022</v>
          </cell>
        </row>
        <row r="225">
          <cell r="C225">
            <v>40700023</v>
          </cell>
          <cell r="D225" t="str">
            <v>Security Charges</v>
          </cell>
          <cell r="E225">
            <v>0</v>
          </cell>
          <cell r="F225">
            <v>0</v>
          </cell>
          <cell r="G225">
            <v>0</v>
          </cell>
          <cell r="H225">
            <v>6139382.1799999904</v>
          </cell>
          <cell r="I225">
            <v>0</v>
          </cell>
          <cell r="J225">
            <v>6139382.1799999904</v>
          </cell>
          <cell r="K225">
            <v>0</v>
          </cell>
          <cell r="L225">
            <v>6139382.1799999904</v>
          </cell>
          <cell r="M225">
            <v>40700023</v>
          </cell>
        </row>
        <row r="226">
          <cell r="C226">
            <v>40700024</v>
          </cell>
          <cell r="D226" t="str">
            <v>Printing and Station</v>
          </cell>
          <cell r="E226">
            <v>0</v>
          </cell>
          <cell r="F226">
            <v>0</v>
          </cell>
          <cell r="G226">
            <v>0</v>
          </cell>
          <cell r="H226">
            <v>1956057.98</v>
          </cell>
          <cell r="I226">
            <v>0</v>
          </cell>
          <cell r="J226">
            <v>1956057.98</v>
          </cell>
          <cell r="K226">
            <v>0</v>
          </cell>
          <cell r="L226">
            <v>1956057.98</v>
          </cell>
          <cell r="M226">
            <v>40700024</v>
          </cell>
        </row>
        <row r="227">
          <cell r="C227">
            <v>40700025</v>
          </cell>
          <cell r="D227" t="str">
            <v>IT Expenses</v>
          </cell>
          <cell r="E227">
            <v>0</v>
          </cell>
          <cell r="F227">
            <v>0</v>
          </cell>
          <cell r="G227">
            <v>0</v>
          </cell>
          <cell r="H227">
            <v>10151925.550000001</v>
          </cell>
          <cell r="I227">
            <v>2348889.77</v>
          </cell>
          <cell r="J227">
            <v>7803035.7800000003</v>
          </cell>
          <cell r="K227">
            <v>0</v>
          </cell>
          <cell r="L227">
            <v>7803035.7800000003</v>
          </cell>
          <cell r="M227">
            <v>40700025</v>
          </cell>
        </row>
        <row r="228">
          <cell r="C228">
            <v>40700027</v>
          </cell>
          <cell r="D228" t="str">
            <v>Membership and Subsc</v>
          </cell>
          <cell r="E228">
            <v>0</v>
          </cell>
          <cell r="F228">
            <v>0</v>
          </cell>
          <cell r="G228">
            <v>0</v>
          </cell>
          <cell r="H228">
            <v>287277.02</v>
          </cell>
          <cell r="I228">
            <v>0</v>
          </cell>
          <cell r="J228">
            <v>287277.02</v>
          </cell>
          <cell r="K228">
            <v>0</v>
          </cell>
          <cell r="L228">
            <v>287277.02</v>
          </cell>
          <cell r="M228">
            <v>40700027</v>
          </cell>
        </row>
        <row r="229">
          <cell r="C229">
            <v>40700028</v>
          </cell>
          <cell r="D229" t="str">
            <v>Office Expenses</v>
          </cell>
          <cell r="E229">
            <v>0</v>
          </cell>
          <cell r="F229">
            <v>0</v>
          </cell>
          <cell r="G229">
            <v>0</v>
          </cell>
          <cell r="H229">
            <v>1884428.24</v>
          </cell>
          <cell r="I229">
            <v>0</v>
          </cell>
          <cell r="J229">
            <v>1884428.24</v>
          </cell>
          <cell r="K229">
            <v>0</v>
          </cell>
          <cell r="L229">
            <v>1884428.24</v>
          </cell>
          <cell r="M229">
            <v>40700028</v>
          </cell>
        </row>
        <row r="230">
          <cell r="C230">
            <v>40700030</v>
          </cell>
          <cell r="D230" t="str">
            <v>Director Sitting Fee</v>
          </cell>
          <cell r="E230">
            <v>0</v>
          </cell>
          <cell r="F230">
            <v>0</v>
          </cell>
          <cell r="G230">
            <v>0</v>
          </cell>
          <cell r="H230">
            <v>68000</v>
          </cell>
          <cell r="I230">
            <v>68000</v>
          </cell>
          <cell r="J230">
            <v>0</v>
          </cell>
          <cell r="K230">
            <v>0</v>
          </cell>
          <cell r="L230">
            <v>0</v>
          </cell>
          <cell r="M230" t="e">
            <v>#N/A</v>
          </cell>
        </row>
        <row r="231">
          <cell r="C231">
            <v>40700032</v>
          </cell>
          <cell r="D231" t="str">
            <v>Other expenses</v>
          </cell>
          <cell r="E231">
            <v>0</v>
          </cell>
          <cell r="F231">
            <v>0</v>
          </cell>
          <cell r="G231">
            <v>0</v>
          </cell>
          <cell r="H231">
            <v>64950558.829999901</v>
          </cell>
          <cell r="I231">
            <v>24463280.579999901</v>
          </cell>
          <cell r="J231">
            <v>40487278.25</v>
          </cell>
          <cell r="K231">
            <v>0</v>
          </cell>
          <cell r="L231">
            <v>40487278.25</v>
          </cell>
          <cell r="M231">
            <v>40700032</v>
          </cell>
        </row>
        <row r="232">
          <cell r="C232">
            <v>40700033</v>
          </cell>
          <cell r="D232" t="str">
            <v>Commission Expense</v>
          </cell>
          <cell r="E232">
            <v>0</v>
          </cell>
          <cell r="F232">
            <v>0</v>
          </cell>
          <cell r="G232">
            <v>0</v>
          </cell>
          <cell r="H232">
            <v>7460727.5999999903</v>
          </cell>
          <cell r="I232">
            <v>3475984.93</v>
          </cell>
          <cell r="J232">
            <v>3984742.6699999901</v>
          </cell>
          <cell r="K232">
            <v>0</v>
          </cell>
          <cell r="L232">
            <v>3984742.6699999901</v>
          </cell>
          <cell r="M232">
            <v>40700033</v>
          </cell>
        </row>
        <row r="233">
          <cell r="C233">
            <v>40700034</v>
          </cell>
          <cell r="D233" t="str">
            <v>Project Expenses</v>
          </cell>
          <cell r="E233">
            <v>0</v>
          </cell>
          <cell r="F233">
            <v>0</v>
          </cell>
          <cell r="G233">
            <v>0</v>
          </cell>
          <cell r="H233">
            <v>257185173.19</v>
          </cell>
          <cell r="I233">
            <v>257185173.19</v>
          </cell>
          <cell r="J233">
            <v>0</v>
          </cell>
          <cell r="K233">
            <v>0</v>
          </cell>
          <cell r="L233">
            <v>0</v>
          </cell>
          <cell r="M233">
            <v>40700034</v>
          </cell>
        </row>
        <row r="234">
          <cell r="C234">
            <v>40700035</v>
          </cell>
          <cell r="D234" t="str">
            <v>Detention Charges</v>
          </cell>
          <cell r="E234">
            <v>0</v>
          </cell>
          <cell r="F234">
            <v>0</v>
          </cell>
          <cell r="G234">
            <v>0</v>
          </cell>
          <cell r="H234">
            <v>5490938.2300000004</v>
          </cell>
          <cell r="I234">
            <v>0</v>
          </cell>
          <cell r="J234">
            <v>5490938.2300000004</v>
          </cell>
          <cell r="K234">
            <v>0</v>
          </cell>
          <cell r="L234">
            <v>5490938.2300000004</v>
          </cell>
          <cell r="M234">
            <v>40700035</v>
          </cell>
        </row>
        <row r="235">
          <cell r="C235">
            <v>40700036</v>
          </cell>
          <cell r="D235" t="str">
            <v>Ground Rent and Sto</v>
          </cell>
          <cell r="E235">
            <v>0</v>
          </cell>
          <cell r="F235">
            <v>0</v>
          </cell>
          <cell r="G235">
            <v>0</v>
          </cell>
          <cell r="H235">
            <v>395700</v>
          </cell>
          <cell r="I235">
            <v>0</v>
          </cell>
          <cell r="J235">
            <v>395700</v>
          </cell>
          <cell r="K235">
            <v>0</v>
          </cell>
          <cell r="L235">
            <v>395700</v>
          </cell>
          <cell r="M235">
            <v>40700036</v>
          </cell>
        </row>
        <row r="236">
          <cell r="C236">
            <v>40700037</v>
          </cell>
          <cell r="D236" t="str">
            <v>Garden Expense</v>
          </cell>
          <cell r="E236">
            <v>0</v>
          </cell>
          <cell r="F236">
            <v>0</v>
          </cell>
          <cell r="G236">
            <v>0</v>
          </cell>
          <cell r="H236">
            <v>1080800</v>
          </cell>
          <cell r="I236">
            <v>0</v>
          </cell>
          <cell r="J236">
            <v>1080800</v>
          </cell>
          <cell r="K236">
            <v>0</v>
          </cell>
          <cell r="L236">
            <v>1080800</v>
          </cell>
          <cell r="M236">
            <v>40700037</v>
          </cell>
        </row>
        <row r="237">
          <cell r="C237">
            <v>40700046</v>
          </cell>
          <cell r="D237" t="str">
            <v>Allowance for ECL</v>
          </cell>
          <cell r="E237">
            <v>0</v>
          </cell>
          <cell r="F237">
            <v>0</v>
          </cell>
          <cell r="G237">
            <v>0</v>
          </cell>
          <cell r="H237">
            <v>1495028</v>
          </cell>
          <cell r="I237">
            <v>0</v>
          </cell>
          <cell r="J237">
            <v>1495028</v>
          </cell>
          <cell r="K237">
            <v>0</v>
          </cell>
          <cell r="L237">
            <v>1495028</v>
          </cell>
          <cell r="M237">
            <v>40700046</v>
          </cell>
        </row>
        <row r="238">
          <cell r="C238">
            <v>40700047</v>
          </cell>
          <cell r="D238" t="str">
            <v>Freight cost– Others</v>
          </cell>
          <cell r="E238">
            <v>0</v>
          </cell>
          <cell r="F238">
            <v>0</v>
          </cell>
          <cell r="G238">
            <v>0</v>
          </cell>
          <cell r="H238">
            <v>2334350</v>
          </cell>
          <cell r="I238">
            <v>14000</v>
          </cell>
          <cell r="J238">
            <v>2320350</v>
          </cell>
          <cell r="K238">
            <v>0</v>
          </cell>
          <cell r="L238">
            <v>2320350</v>
          </cell>
          <cell r="M238">
            <v>40700047</v>
          </cell>
        </row>
        <row r="239">
          <cell r="C239">
            <v>40700048</v>
          </cell>
          <cell r="D239" t="str">
            <v>NMI provision and WO</v>
          </cell>
          <cell r="E239">
            <v>0</v>
          </cell>
          <cell r="F239">
            <v>0</v>
          </cell>
          <cell r="G239">
            <v>0</v>
          </cell>
          <cell r="H239">
            <v>1301535</v>
          </cell>
          <cell r="I239">
            <v>0</v>
          </cell>
          <cell r="J239">
            <v>1301535</v>
          </cell>
          <cell r="K239">
            <v>0</v>
          </cell>
          <cell r="L239">
            <v>1301535</v>
          </cell>
          <cell r="M239">
            <v>40700048</v>
          </cell>
        </row>
        <row r="240">
          <cell r="C240">
            <v>80000000</v>
          </cell>
          <cell r="D240" t="str">
            <v>Clearing Material</v>
          </cell>
          <cell r="E240">
            <v>-1435975.9099999899</v>
          </cell>
          <cell r="F240">
            <v>0</v>
          </cell>
          <cell r="G240">
            <v>-1435975.9099999899</v>
          </cell>
          <cell r="H240">
            <v>3924162329.6999898</v>
          </cell>
          <cell r="I240">
            <v>3932315701.9899902</v>
          </cell>
          <cell r="J240">
            <v>0</v>
          </cell>
          <cell r="K240">
            <v>-9589348.1999999899</v>
          </cell>
          <cell r="L240">
            <v>-9589348.1999999899</v>
          </cell>
          <cell r="M240">
            <v>80000000</v>
          </cell>
        </row>
        <row r="241">
          <cell r="C241">
            <v>80000001</v>
          </cell>
          <cell r="D241" t="str">
            <v>Clearing  SFG and FG</v>
          </cell>
          <cell r="E241">
            <v>0</v>
          </cell>
          <cell r="F241">
            <v>0</v>
          </cell>
          <cell r="G241">
            <v>0</v>
          </cell>
          <cell r="H241">
            <v>1104415382.8699901</v>
          </cell>
          <cell r="I241">
            <v>1104985077.8699901</v>
          </cell>
          <cell r="J241">
            <v>0</v>
          </cell>
          <cell r="K241">
            <v>-569695</v>
          </cell>
          <cell r="L241">
            <v>-569695</v>
          </cell>
          <cell r="M241">
            <v>80000001</v>
          </cell>
        </row>
        <row r="242">
          <cell r="C242">
            <v>80000002</v>
          </cell>
          <cell r="D242" t="str">
            <v>Cntrl Stores&amp; Spares</v>
          </cell>
          <cell r="E242">
            <v>-1266811.1000000001</v>
          </cell>
          <cell r="F242">
            <v>0</v>
          </cell>
          <cell r="G242">
            <v>-1266811.1000000001</v>
          </cell>
          <cell r="H242">
            <v>317885806.63999897</v>
          </cell>
          <cell r="I242">
            <v>317958729.18000001</v>
          </cell>
          <cell r="J242">
            <v>0</v>
          </cell>
          <cell r="K242">
            <v>-1339733.6399999899</v>
          </cell>
          <cell r="L242">
            <v>-1339733.6399999899</v>
          </cell>
          <cell r="M242">
            <v>80000002</v>
          </cell>
        </row>
        <row r="243">
          <cell r="C243">
            <v>80000003</v>
          </cell>
          <cell r="D243" t="str">
            <v>Freight on Import an</v>
          </cell>
          <cell r="E243">
            <v>0</v>
          </cell>
          <cell r="F243">
            <v>0</v>
          </cell>
          <cell r="G243">
            <v>0</v>
          </cell>
          <cell r="H243">
            <v>25210906.359999899</v>
          </cell>
          <cell r="I243">
            <v>25210906.359999899</v>
          </cell>
          <cell r="J243">
            <v>0</v>
          </cell>
          <cell r="K243">
            <v>0</v>
          </cell>
          <cell r="L243">
            <v>0</v>
          </cell>
          <cell r="M243">
            <v>80000003</v>
          </cell>
        </row>
        <row r="244">
          <cell r="C244">
            <v>80000006</v>
          </cell>
          <cell r="D244" t="str">
            <v>Asset Clearing A/c</v>
          </cell>
          <cell r="E244">
            <v>0</v>
          </cell>
          <cell r="F244">
            <v>0</v>
          </cell>
          <cell r="G244">
            <v>0</v>
          </cell>
          <cell r="H244">
            <v>0</v>
          </cell>
          <cell r="I244">
            <v>0</v>
          </cell>
          <cell r="J244">
            <v>0</v>
          </cell>
          <cell r="K244">
            <v>0</v>
          </cell>
          <cell r="L244">
            <v>0</v>
          </cell>
          <cell r="M244" t="e">
            <v>#N/A</v>
          </cell>
        </row>
        <row r="245">
          <cell r="C245">
            <v>80000008</v>
          </cell>
          <cell r="D245" t="str">
            <v>Clearing  Services</v>
          </cell>
          <cell r="E245">
            <v>-4175105.6699999901</v>
          </cell>
          <cell r="F245">
            <v>0</v>
          </cell>
          <cell r="G245">
            <v>-4175105.6699999901</v>
          </cell>
          <cell r="H245">
            <v>320402564.45999902</v>
          </cell>
          <cell r="I245">
            <v>319124998.44</v>
          </cell>
          <cell r="J245">
            <v>0</v>
          </cell>
          <cell r="K245">
            <v>-2897539.6499999901</v>
          </cell>
          <cell r="L245">
            <v>-2897539.6499999901</v>
          </cell>
          <cell r="M245">
            <v>80000008</v>
          </cell>
        </row>
        <row r="246">
          <cell r="C246">
            <v>80000009</v>
          </cell>
          <cell r="D246" t="str">
            <v>Technical Clear GL</v>
          </cell>
          <cell r="E246">
            <v>0</v>
          </cell>
          <cell r="F246">
            <v>0</v>
          </cell>
          <cell r="G246">
            <v>0</v>
          </cell>
          <cell r="H246">
            <v>1096303205.4000001</v>
          </cell>
          <cell r="I246">
            <v>1096303205.4000001</v>
          </cell>
          <cell r="J246">
            <v>0</v>
          </cell>
          <cell r="K246">
            <v>0</v>
          </cell>
          <cell r="L246">
            <v>0</v>
          </cell>
          <cell r="M246" t="e">
            <v>#N/A</v>
          </cell>
        </row>
        <row r="247">
          <cell r="C247">
            <v>91000000</v>
          </cell>
          <cell r="D247" t="str">
            <v>Machine Cost</v>
          </cell>
          <cell r="E247">
            <v>0</v>
          </cell>
          <cell r="F247">
            <v>0</v>
          </cell>
          <cell r="G247">
            <v>0</v>
          </cell>
          <cell r="H247">
            <v>153818006.72</v>
          </cell>
          <cell r="I247">
            <v>153818006.72</v>
          </cell>
          <cell r="J247">
            <v>0</v>
          </cell>
          <cell r="K247">
            <v>0</v>
          </cell>
          <cell r="L247">
            <v>0</v>
          </cell>
          <cell r="M247" t="e">
            <v>#N/A</v>
          </cell>
        </row>
        <row r="248">
          <cell r="C248">
            <v>91000001</v>
          </cell>
          <cell r="D248" t="str">
            <v>Labour Cost</v>
          </cell>
          <cell r="E248">
            <v>0</v>
          </cell>
          <cell r="F248">
            <v>0</v>
          </cell>
          <cell r="G248">
            <v>0</v>
          </cell>
          <cell r="H248">
            <v>11.56</v>
          </cell>
          <cell r="I248">
            <v>11.56</v>
          </cell>
          <cell r="J248">
            <v>0</v>
          </cell>
          <cell r="K248">
            <v>0</v>
          </cell>
          <cell r="L248">
            <v>0</v>
          </cell>
          <cell r="M248" t="e">
            <v>#N/A</v>
          </cell>
        </row>
        <row r="249">
          <cell r="C249">
            <v>91000002</v>
          </cell>
          <cell r="D249" t="str">
            <v>Power</v>
          </cell>
          <cell r="E249">
            <v>0</v>
          </cell>
          <cell r="F249">
            <v>0</v>
          </cell>
          <cell r="G249">
            <v>0</v>
          </cell>
          <cell r="H249">
            <v>0.56000000000000005</v>
          </cell>
          <cell r="I249">
            <v>0.56000000000000005</v>
          </cell>
          <cell r="J249">
            <v>0</v>
          </cell>
          <cell r="K249">
            <v>0</v>
          </cell>
          <cell r="L249">
            <v>0</v>
          </cell>
          <cell r="M249" t="e">
            <v>#N/A</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row r="1">
          <cell r="F1" t="str">
            <v>Balance Carryforward</v>
          </cell>
          <cell r="G1" t="str">
            <v>Balance,prev.periods</v>
          </cell>
          <cell r="H1" t="str">
            <v>AccumBal.Prev.Period</v>
          </cell>
          <cell r="I1" t="str">
            <v>Debit   1-  3</v>
          </cell>
          <cell r="J1" t="str">
            <v>Credit   1-  3</v>
          </cell>
          <cell r="K1" t="str">
            <v>Cum. Debit Balance</v>
          </cell>
          <cell r="L1" t="str">
            <v>Cum. Credit Balance</v>
          </cell>
          <cell r="M1" t="str">
            <v>Accumulated balance</v>
          </cell>
        </row>
        <row r="2">
          <cell r="D2" t="str">
            <v>Account Number</v>
          </cell>
          <cell r="E2" t="str">
            <v>Name</v>
          </cell>
          <cell r="F2" t="str">
            <v>1 INR</v>
          </cell>
          <cell r="G2" t="str">
            <v>1 INR</v>
          </cell>
          <cell r="H2" t="str">
            <v>1 INR</v>
          </cell>
          <cell r="I2" t="str">
            <v>1 INR</v>
          </cell>
          <cell r="J2" t="str">
            <v>1 INR</v>
          </cell>
          <cell r="K2" t="str">
            <v>1 INR</v>
          </cell>
          <cell r="L2" t="str">
            <v>1 INR</v>
          </cell>
          <cell r="M2" t="str">
            <v>1 INR</v>
          </cell>
        </row>
        <row r="3">
          <cell r="D3">
            <v>10000000</v>
          </cell>
          <cell r="E3" t="str">
            <v>Equity Share Capital</v>
          </cell>
          <cell r="F3">
            <v>-1365970</v>
          </cell>
          <cell r="G3">
            <v>0</v>
          </cell>
          <cell r="H3">
            <v>-1365970</v>
          </cell>
          <cell r="I3">
            <v>0</v>
          </cell>
          <cell r="J3">
            <v>0</v>
          </cell>
          <cell r="K3">
            <v>0</v>
          </cell>
          <cell r="L3">
            <v>-1365970</v>
          </cell>
          <cell r="M3">
            <v>-1365970</v>
          </cell>
        </row>
        <row r="4">
          <cell r="D4">
            <v>10000004</v>
          </cell>
          <cell r="E4" t="str">
            <v>Pref Shar CCPS-BVCPL</v>
          </cell>
          <cell r="F4">
            <v>-868680</v>
          </cell>
          <cell r="G4">
            <v>0</v>
          </cell>
          <cell r="H4">
            <v>-868680</v>
          </cell>
          <cell r="I4">
            <v>0</v>
          </cell>
          <cell r="J4">
            <v>0</v>
          </cell>
          <cell r="K4">
            <v>0</v>
          </cell>
          <cell r="L4">
            <v>-868680</v>
          </cell>
          <cell r="M4">
            <v>-868680</v>
          </cell>
        </row>
        <row r="5">
          <cell r="D5">
            <v>10100000</v>
          </cell>
          <cell r="E5" t="str">
            <v>Security Premium Acc</v>
          </cell>
          <cell r="F5">
            <v>-2888560445.96</v>
          </cell>
          <cell r="G5">
            <v>0</v>
          </cell>
          <cell r="H5">
            <v>-2888560445.96</v>
          </cell>
          <cell r="I5">
            <v>0</v>
          </cell>
          <cell r="J5">
            <v>0</v>
          </cell>
          <cell r="K5">
            <v>0</v>
          </cell>
          <cell r="L5">
            <v>-2888560445.96</v>
          </cell>
          <cell r="M5">
            <v>-2888560445.96</v>
          </cell>
        </row>
        <row r="6">
          <cell r="D6">
            <v>10100001</v>
          </cell>
          <cell r="E6" t="str">
            <v>Retained earnings</v>
          </cell>
          <cell r="F6">
            <v>205255407.87</v>
          </cell>
          <cell r="G6">
            <v>0</v>
          </cell>
          <cell r="H6">
            <v>205255407.87</v>
          </cell>
          <cell r="I6">
            <v>0</v>
          </cell>
          <cell r="J6">
            <v>0</v>
          </cell>
          <cell r="K6">
            <v>205255407.87</v>
          </cell>
          <cell r="L6">
            <v>0</v>
          </cell>
          <cell r="M6">
            <v>205255407.87</v>
          </cell>
        </row>
        <row r="7">
          <cell r="D7">
            <v>10100002</v>
          </cell>
          <cell r="E7" t="str">
            <v>Profit &amp; Loss Accoun</v>
          </cell>
          <cell r="F7">
            <v>7941080.54</v>
          </cell>
          <cell r="G7">
            <v>0</v>
          </cell>
          <cell r="H7">
            <v>7941080.54</v>
          </cell>
          <cell r="I7">
            <v>0</v>
          </cell>
          <cell r="J7">
            <v>0</v>
          </cell>
          <cell r="K7">
            <v>7941080.54</v>
          </cell>
          <cell r="L7">
            <v>0</v>
          </cell>
          <cell r="M7">
            <v>7941080.54</v>
          </cell>
        </row>
        <row r="8">
          <cell r="D8">
            <v>10100009</v>
          </cell>
          <cell r="E8" t="str">
            <v>IND AS - Opening RE</v>
          </cell>
          <cell r="F8">
            <v>-38668.9</v>
          </cell>
          <cell r="G8">
            <v>0</v>
          </cell>
          <cell r="H8">
            <v>-38668.9</v>
          </cell>
          <cell r="I8">
            <v>0</v>
          </cell>
          <cell r="J8">
            <v>0</v>
          </cell>
          <cell r="K8">
            <v>0</v>
          </cell>
          <cell r="L8">
            <v>-38668.9</v>
          </cell>
          <cell r="M8">
            <v>-38668.9</v>
          </cell>
        </row>
        <row r="9">
          <cell r="D9">
            <v>10200015</v>
          </cell>
          <cell r="E9" t="str">
            <v>IND AS -Tran Cost TL</v>
          </cell>
          <cell r="F9">
            <v>1284522.4299999899</v>
          </cell>
          <cell r="G9">
            <v>0</v>
          </cell>
          <cell r="H9">
            <v>1284522.4299999899</v>
          </cell>
          <cell r="I9">
            <v>0</v>
          </cell>
          <cell r="J9">
            <v>60714</v>
          </cell>
          <cell r="K9">
            <v>1223808.4299999899</v>
          </cell>
          <cell r="L9">
            <v>0</v>
          </cell>
          <cell r="M9">
            <v>1223808.4299999899</v>
          </cell>
        </row>
        <row r="10">
          <cell r="D10">
            <v>10200016</v>
          </cell>
          <cell r="E10" t="str">
            <v>TL_AXIS_ 92306005314</v>
          </cell>
          <cell r="F10">
            <v>-2000000000</v>
          </cell>
          <cell r="G10">
            <v>0</v>
          </cell>
          <cell r="H10">
            <v>-2000000000</v>
          </cell>
          <cell r="I10">
            <v>38139604</v>
          </cell>
          <cell r="J10">
            <v>38139604</v>
          </cell>
          <cell r="K10">
            <v>0</v>
          </cell>
          <cell r="L10">
            <v>-2000000000</v>
          </cell>
          <cell r="M10">
            <v>-2000000000</v>
          </cell>
        </row>
        <row r="11">
          <cell r="D11">
            <v>10200018</v>
          </cell>
          <cell r="E11" t="str">
            <v>TL_AXIS_– 9240600517</v>
          </cell>
          <cell r="F11">
            <v>-400000000</v>
          </cell>
          <cell r="G11">
            <v>0</v>
          </cell>
          <cell r="H11">
            <v>-400000000</v>
          </cell>
          <cell r="I11">
            <v>8175404</v>
          </cell>
          <cell r="J11">
            <v>8175404</v>
          </cell>
          <cell r="K11">
            <v>0</v>
          </cell>
          <cell r="L11">
            <v>-400000000</v>
          </cell>
          <cell r="M11">
            <v>-400000000</v>
          </cell>
        </row>
        <row r="12">
          <cell r="D12">
            <v>10300002</v>
          </cell>
          <cell r="E12" t="str">
            <v>TL_HDFC_024009300007</v>
          </cell>
          <cell r="F12">
            <v>-247462601.78999901</v>
          </cell>
          <cell r="G12">
            <v>0</v>
          </cell>
          <cell r="H12">
            <v>-247462601.78999901</v>
          </cell>
          <cell r="I12">
            <v>0</v>
          </cell>
          <cell r="J12">
            <v>152536442</v>
          </cell>
          <cell r="K12">
            <v>0</v>
          </cell>
          <cell r="L12">
            <v>-399999043.79000002</v>
          </cell>
          <cell r="M12">
            <v>-399999043.79000002</v>
          </cell>
        </row>
        <row r="13">
          <cell r="D13">
            <v>10400001</v>
          </cell>
          <cell r="E13" t="str">
            <v>IND AS - DTL</v>
          </cell>
          <cell r="F13">
            <v>-238523.489999999</v>
          </cell>
          <cell r="G13">
            <v>0</v>
          </cell>
          <cell r="H13">
            <v>-238523.489999999</v>
          </cell>
          <cell r="I13">
            <v>0</v>
          </cell>
          <cell r="J13">
            <v>0</v>
          </cell>
          <cell r="K13">
            <v>0</v>
          </cell>
          <cell r="L13">
            <v>-238523.489999999</v>
          </cell>
          <cell r="M13">
            <v>-238523.489999999</v>
          </cell>
        </row>
        <row r="14">
          <cell r="D14">
            <v>10500000</v>
          </cell>
          <cell r="E14" t="str">
            <v>Provision for Gratui</v>
          </cell>
          <cell r="F14">
            <v>-1940219</v>
          </cell>
          <cell r="G14">
            <v>0</v>
          </cell>
          <cell r="H14">
            <v>-1940219</v>
          </cell>
          <cell r="I14">
            <v>0</v>
          </cell>
          <cell r="J14">
            <v>180000</v>
          </cell>
          <cell r="K14">
            <v>0</v>
          </cell>
          <cell r="L14">
            <v>-2120219</v>
          </cell>
          <cell r="M14">
            <v>-2120219</v>
          </cell>
        </row>
        <row r="15">
          <cell r="D15">
            <v>10500001</v>
          </cell>
          <cell r="E15" t="str">
            <v>Provision for Leave</v>
          </cell>
          <cell r="F15">
            <v>-2662538</v>
          </cell>
          <cell r="G15">
            <v>0</v>
          </cell>
          <cell r="H15">
            <v>-2662538</v>
          </cell>
          <cell r="I15">
            <v>444587</v>
          </cell>
          <cell r="J15">
            <v>390000</v>
          </cell>
          <cell r="K15">
            <v>0</v>
          </cell>
          <cell r="L15">
            <v>-2607951</v>
          </cell>
          <cell r="M15">
            <v>-2607951</v>
          </cell>
        </row>
        <row r="16">
          <cell r="D16">
            <v>10600010</v>
          </cell>
          <cell r="E16" t="str">
            <v>Best Value Chem Pvt</v>
          </cell>
          <cell r="F16">
            <v>-265968343.41</v>
          </cell>
          <cell r="G16">
            <v>0</v>
          </cell>
          <cell r="H16">
            <v>-265968343.41</v>
          </cell>
          <cell r="I16">
            <v>0</v>
          </cell>
          <cell r="J16">
            <v>0</v>
          </cell>
          <cell r="K16">
            <v>0</v>
          </cell>
          <cell r="L16">
            <v>-265968343.41</v>
          </cell>
          <cell r="M16">
            <v>-265968343.41</v>
          </cell>
        </row>
        <row r="17">
          <cell r="D17">
            <v>10600014</v>
          </cell>
          <cell r="E17" t="str">
            <v>HDFC Buyer’s Credit</v>
          </cell>
          <cell r="F17">
            <v>0</v>
          </cell>
          <cell r="G17">
            <v>0</v>
          </cell>
          <cell r="H17">
            <v>0</v>
          </cell>
          <cell r="I17">
            <v>12346244.689999901</v>
          </cell>
          <cell r="J17">
            <v>27897274.350000001</v>
          </cell>
          <cell r="K17">
            <v>0</v>
          </cell>
          <cell r="L17">
            <v>-15551029.66</v>
          </cell>
          <cell r="M17">
            <v>-15551029.66</v>
          </cell>
        </row>
        <row r="18">
          <cell r="D18">
            <v>10800000</v>
          </cell>
          <cell r="E18" t="str">
            <v>Payable - RM Import</v>
          </cell>
          <cell r="F18">
            <v>-23799281.010000002</v>
          </cell>
          <cell r="G18">
            <v>0</v>
          </cell>
          <cell r="H18">
            <v>-23799281.010000002</v>
          </cell>
          <cell r="I18">
            <v>58401045.289999902</v>
          </cell>
          <cell r="J18">
            <v>119036519.709999</v>
          </cell>
          <cell r="K18">
            <v>0</v>
          </cell>
          <cell r="L18">
            <v>-84434755.430000007</v>
          </cell>
          <cell r="M18">
            <v>-84434755.430000007</v>
          </cell>
        </row>
        <row r="19">
          <cell r="D19">
            <v>10800001</v>
          </cell>
          <cell r="E19" t="str">
            <v>Payable - RM Domest</v>
          </cell>
          <cell r="F19">
            <v>-53207755.670000002</v>
          </cell>
          <cell r="G19">
            <v>0</v>
          </cell>
          <cell r="H19">
            <v>-53207755.670000002</v>
          </cell>
          <cell r="I19">
            <v>76038029.379999906</v>
          </cell>
          <cell r="J19">
            <v>122766272.66</v>
          </cell>
          <cell r="K19">
            <v>0</v>
          </cell>
          <cell r="L19">
            <v>-99935998.950000003</v>
          </cell>
          <cell r="M19">
            <v>-99935998.950000003</v>
          </cell>
        </row>
        <row r="20">
          <cell r="D20">
            <v>10800002</v>
          </cell>
          <cell r="E20" t="str">
            <v>Payable -Packing Mat</v>
          </cell>
          <cell r="F20">
            <v>-6382962</v>
          </cell>
          <cell r="G20">
            <v>0</v>
          </cell>
          <cell r="H20">
            <v>-6382962</v>
          </cell>
          <cell r="I20">
            <v>6200393</v>
          </cell>
          <cell r="J20">
            <v>7680044.2000000002</v>
          </cell>
          <cell r="K20">
            <v>0</v>
          </cell>
          <cell r="L20">
            <v>-7862613.2000000002</v>
          </cell>
          <cell r="M20">
            <v>-7862613.2000000002</v>
          </cell>
        </row>
        <row r="21">
          <cell r="D21">
            <v>10800003</v>
          </cell>
          <cell r="E21" t="str">
            <v>Payable - Fuel</v>
          </cell>
          <cell r="F21">
            <v>-7927826.0199999902</v>
          </cell>
          <cell r="G21">
            <v>0</v>
          </cell>
          <cell r="H21">
            <v>-7927826.0199999902</v>
          </cell>
          <cell r="I21">
            <v>29382582.25</v>
          </cell>
          <cell r="J21">
            <v>28995769.690000001</v>
          </cell>
          <cell r="K21">
            <v>0</v>
          </cell>
          <cell r="L21">
            <v>-7541013.46</v>
          </cell>
          <cell r="M21">
            <v>-7541013.46</v>
          </cell>
        </row>
        <row r="22">
          <cell r="D22">
            <v>10800004</v>
          </cell>
          <cell r="E22" t="str">
            <v>Payable - Others</v>
          </cell>
          <cell r="F22">
            <v>-167825540.699999</v>
          </cell>
          <cell r="G22">
            <v>0</v>
          </cell>
          <cell r="H22">
            <v>-167825540.699999</v>
          </cell>
          <cell r="I22">
            <v>268075636.31999901</v>
          </cell>
          <cell r="J22">
            <v>417243058.43000001</v>
          </cell>
          <cell r="K22">
            <v>0</v>
          </cell>
          <cell r="L22">
            <v>-316992962.81</v>
          </cell>
          <cell r="M22">
            <v>-316992962.81</v>
          </cell>
        </row>
        <row r="23">
          <cell r="D23">
            <v>10800005</v>
          </cell>
          <cell r="E23" t="str">
            <v>Payables - Employees</v>
          </cell>
          <cell r="F23">
            <v>-78704.779999999897</v>
          </cell>
          <cell r="G23">
            <v>0</v>
          </cell>
          <cell r="H23">
            <v>-78704.779999999897</v>
          </cell>
          <cell r="I23">
            <v>426523.5</v>
          </cell>
          <cell r="J23">
            <v>311894.5</v>
          </cell>
          <cell r="K23">
            <v>35924.22</v>
          </cell>
          <cell r="L23">
            <v>0</v>
          </cell>
          <cell r="M23">
            <v>35924.22</v>
          </cell>
        </row>
        <row r="24">
          <cell r="D24">
            <v>10800007</v>
          </cell>
          <cell r="E24" t="str">
            <v>Payable - Forex</v>
          </cell>
          <cell r="F24">
            <v>179382.89</v>
          </cell>
          <cell r="G24">
            <v>0</v>
          </cell>
          <cell r="H24">
            <v>179382.89</v>
          </cell>
          <cell r="I24">
            <v>318326.12</v>
          </cell>
          <cell r="J24">
            <v>-485407.40999999898</v>
          </cell>
          <cell r="K24">
            <v>983116.42</v>
          </cell>
          <cell r="L24">
            <v>0</v>
          </cell>
          <cell r="M24">
            <v>983116.42</v>
          </cell>
        </row>
        <row r="25">
          <cell r="D25">
            <v>10900000</v>
          </cell>
          <cell r="E25" t="str">
            <v>Provision_Other Expe</v>
          </cell>
          <cell r="F25">
            <v>-48270629.700000003</v>
          </cell>
          <cell r="G25">
            <v>0</v>
          </cell>
          <cell r="H25">
            <v>-48270629.700000003</v>
          </cell>
          <cell r="I25">
            <v>39344655.700000003</v>
          </cell>
          <cell r="J25">
            <v>0</v>
          </cell>
          <cell r="K25">
            <v>0</v>
          </cell>
          <cell r="L25">
            <v>-8925974</v>
          </cell>
          <cell r="M25">
            <v>-8925974</v>
          </cell>
        </row>
        <row r="26">
          <cell r="D26">
            <v>10900003</v>
          </cell>
          <cell r="E26" t="str">
            <v>Provision_PF and ESI</v>
          </cell>
          <cell r="F26">
            <v>-311807</v>
          </cell>
          <cell r="G26">
            <v>0</v>
          </cell>
          <cell r="H26">
            <v>-311807</v>
          </cell>
          <cell r="I26">
            <v>0</v>
          </cell>
          <cell r="J26">
            <v>0</v>
          </cell>
          <cell r="K26">
            <v>0</v>
          </cell>
          <cell r="L26">
            <v>-311807</v>
          </cell>
          <cell r="M26">
            <v>-311807</v>
          </cell>
        </row>
        <row r="27">
          <cell r="D27">
            <v>10900012</v>
          </cell>
          <cell r="E27" t="str">
            <v>Provision_C&amp;F Export</v>
          </cell>
          <cell r="F27">
            <v>0</v>
          </cell>
          <cell r="G27">
            <v>0</v>
          </cell>
          <cell r="H27">
            <v>0</v>
          </cell>
          <cell r="I27">
            <v>0</v>
          </cell>
          <cell r="J27">
            <v>2500000</v>
          </cell>
          <cell r="K27">
            <v>0</v>
          </cell>
          <cell r="L27">
            <v>-2500000</v>
          </cell>
          <cell r="M27">
            <v>-2500000</v>
          </cell>
        </row>
        <row r="28">
          <cell r="D28">
            <v>10900013</v>
          </cell>
          <cell r="E28" t="str">
            <v>Provision_MSME Inter</v>
          </cell>
          <cell r="F28">
            <v>-6369417.54</v>
          </cell>
          <cell r="G28">
            <v>0</v>
          </cell>
          <cell r="H28">
            <v>-6369417.54</v>
          </cell>
          <cell r="I28">
            <v>0</v>
          </cell>
          <cell r="J28">
            <v>0</v>
          </cell>
          <cell r="K28">
            <v>0</v>
          </cell>
          <cell r="L28">
            <v>-6369417.54</v>
          </cell>
          <cell r="M28">
            <v>-6369417.54</v>
          </cell>
        </row>
        <row r="29">
          <cell r="D29">
            <v>10900015</v>
          </cell>
          <cell r="E29" t="str">
            <v>Provision_Income Tax</v>
          </cell>
          <cell r="F29">
            <v>0</v>
          </cell>
          <cell r="G29">
            <v>0</v>
          </cell>
          <cell r="H29">
            <v>0</v>
          </cell>
          <cell r="I29">
            <v>0</v>
          </cell>
          <cell r="J29">
            <v>0</v>
          </cell>
          <cell r="K29">
            <v>0</v>
          </cell>
          <cell r="L29">
            <v>0</v>
          </cell>
          <cell r="M29">
            <v>0</v>
          </cell>
        </row>
        <row r="30">
          <cell r="D30">
            <v>10900016</v>
          </cell>
          <cell r="E30" t="str">
            <v>Provision_Incentive</v>
          </cell>
          <cell r="F30">
            <v>-2295777</v>
          </cell>
          <cell r="G30">
            <v>0</v>
          </cell>
          <cell r="H30">
            <v>-2295777</v>
          </cell>
          <cell r="I30">
            <v>2295777</v>
          </cell>
          <cell r="J30">
            <v>105000</v>
          </cell>
          <cell r="K30">
            <v>0</v>
          </cell>
          <cell r="L30">
            <v>-105000</v>
          </cell>
          <cell r="M30">
            <v>-105000</v>
          </cell>
        </row>
        <row r="31">
          <cell r="D31">
            <v>10900017</v>
          </cell>
          <cell r="E31" t="str">
            <v>Provision_Bonus</v>
          </cell>
          <cell r="F31">
            <v>-1443331.5</v>
          </cell>
          <cell r="G31">
            <v>0</v>
          </cell>
          <cell r="H31">
            <v>-1443331.5</v>
          </cell>
          <cell r="I31">
            <v>178125</v>
          </cell>
          <cell r="J31">
            <v>750000</v>
          </cell>
          <cell r="K31">
            <v>0</v>
          </cell>
          <cell r="L31">
            <v>-2015206.5</v>
          </cell>
          <cell r="M31">
            <v>-2015206.5</v>
          </cell>
        </row>
        <row r="32">
          <cell r="D32">
            <v>10900018</v>
          </cell>
          <cell r="E32" t="str">
            <v>Salary Payable</v>
          </cell>
          <cell r="F32">
            <v>-6010925.9900000002</v>
          </cell>
          <cell r="G32">
            <v>0</v>
          </cell>
          <cell r="H32">
            <v>-6010925.9900000002</v>
          </cell>
          <cell r="I32">
            <v>26003671.030000001</v>
          </cell>
          <cell r="J32">
            <v>29828624.239999902</v>
          </cell>
          <cell r="K32">
            <v>0</v>
          </cell>
          <cell r="L32">
            <v>-9835879.1999999899</v>
          </cell>
          <cell r="M32">
            <v>-9835879.1999999899</v>
          </cell>
        </row>
        <row r="33">
          <cell r="D33">
            <v>11000001</v>
          </cell>
          <cell r="E33" t="str">
            <v>TDS_Professional and</v>
          </cell>
          <cell r="F33">
            <v>-604915.06000000006</v>
          </cell>
          <cell r="G33">
            <v>0</v>
          </cell>
          <cell r="H33">
            <v>-604915.06000000006</v>
          </cell>
          <cell r="I33">
            <v>1331271</v>
          </cell>
          <cell r="J33">
            <v>672414.5</v>
          </cell>
          <cell r="K33">
            <v>53941.440000000002</v>
          </cell>
          <cell r="L33">
            <v>0</v>
          </cell>
          <cell r="M33">
            <v>53941.440000000002</v>
          </cell>
        </row>
        <row r="34">
          <cell r="D34">
            <v>11000002</v>
          </cell>
          <cell r="E34" t="str">
            <v>TDS_Contractors_194C</v>
          </cell>
          <cell r="F34">
            <v>-1218102.76</v>
          </cell>
          <cell r="G34">
            <v>0</v>
          </cell>
          <cell r="H34">
            <v>-1218102.76</v>
          </cell>
          <cell r="I34">
            <v>2002412.75</v>
          </cell>
          <cell r="J34">
            <v>1120486.3</v>
          </cell>
          <cell r="K34">
            <v>0</v>
          </cell>
          <cell r="L34">
            <v>-336176.31</v>
          </cell>
          <cell r="M34">
            <v>-336176.31</v>
          </cell>
        </row>
        <row r="35">
          <cell r="D35">
            <v>11000003</v>
          </cell>
          <cell r="E35" t="str">
            <v>TDS_Interest on borr</v>
          </cell>
          <cell r="F35">
            <v>-995290.17</v>
          </cell>
          <cell r="G35">
            <v>0</v>
          </cell>
          <cell r="H35">
            <v>-995290.17</v>
          </cell>
          <cell r="I35">
            <v>1496622</v>
          </cell>
          <cell r="J35">
            <v>0</v>
          </cell>
          <cell r="K35">
            <v>501331.83</v>
          </cell>
          <cell r="L35">
            <v>0</v>
          </cell>
          <cell r="M35">
            <v>501331.83</v>
          </cell>
        </row>
        <row r="36">
          <cell r="D36">
            <v>11000005</v>
          </cell>
          <cell r="E36" t="str">
            <v>TDS_Rent_194I</v>
          </cell>
          <cell r="F36">
            <v>-21113</v>
          </cell>
          <cell r="G36">
            <v>0</v>
          </cell>
          <cell r="H36">
            <v>-21113</v>
          </cell>
          <cell r="I36">
            <v>41776</v>
          </cell>
          <cell r="J36">
            <v>11160</v>
          </cell>
          <cell r="K36">
            <v>9503</v>
          </cell>
          <cell r="L36">
            <v>0</v>
          </cell>
          <cell r="M36">
            <v>9503</v>
          </cell>
        </row>
        <row r="37">
          <cell r="D37">
            <v>11000006</v>
          </cell>
          <cell r="E37" t="str">
            <v>TDS_Purchase on Good</v>
          </cell>
          <cell r="F37">
            <v>-64627</v>
          </cell>
          <cell r="G37">
            <v>0</v>
          </cell>
          <cell r="H37">
            <v>-64627</v>
          </cell>
          <cell r="I37">
            <v>343313</v>
          </cell>
          <cell r="J37">
            <v>342083.5</v>
          </cell>
          <cell r="K37">
            <v>0</v>
          </cell>
          <cell r="L37">
            <v>-63397.5</v>
          </cell>
          <cell r="M37">
            <v>-63397.5</v>
          </cell>
        </row>
        <row r="38">
          <cell r="D38">
            <v>11000007</v>
          </cell>
          <cell r="E38" t="str">
            <v>TDS_Salary_192</v>
          </cell>
          <cell r="F38">
            <v>-627704</v>
          </cell>
          <cell r="G38">
            <v>0</v>
          </cell>
          <cell r="H38">
            <v>-627704</v>
          </cell>
          <cell r="I38">
            <v>1302447</v>
          </cell>
          <cell r="J38">
            <v>1059061</v>
          </cell>
          <cell r="K38">
            <v>0</v>
          </cell>
          <cell r="L38">
            <v>-384318</v>
          </cell>
          <cell r="M38">
            <v>-384318</v>
          </cell>
        </row>
        <row r="39">
          <cell r="D39">
            <v>11000011</v>
          </cell>
          <cell r="E39" t="str">
            <v>PF Employee Contribu</v>
          </cell>
          <cell r="F39">
            <v>-288873</v>
          </cell>
          <cell r="G39">
            <v>0</v>
          </cell>
          <cell r="H39">
            <v>-288873</v>
          </cell>
          <cell r="I39">
            <v>962680</v>
          </cell>
          <cell r="J39">
            <v>1022670</v>
          </cell>
          <cell r="K39">
            <v>0</v>
          </cell>
          <cell r="L39">
            <v>-348863</v>
          </cell>
          <cell r="M39">
            <v>-348863</v>
          </cell>
        </row>
        <row r="40">
          <cell r="D40">
            <v>11000012</v>
          </cell>
          <cell r="E40" t="str">
            <v>Professional Tax</v>
          </cell>
          <cell r="F40">
            <v>-31400</v>
          </cell>
          <cell r="G40">
            <v>0</v>
          </cell>
          <cell r="H40">
            <v>-31400</v>
          </cell>
          <cell r="I40">
            <v>97600</v>
          </cell>
          <cell r="J40">
            <v>100200</v>
          </cell>
          <cell r="K40">
            <v>0</v>
          </cell>
          <cell r="L40">
            <v>-34000</v>
          </cell>
          <cell r="M40">
            <v>-34000</v>
          </cell>
        </row>
        <row r="41">
          <cell r="D41">
            <v>11100000</v>
          </cell>
          <cell r="E41" t="str">
            <v>Interest Accrued but</v>
          </cell>
          <cell r="F41">
            <v>-1683162</v>
          </cell>
          <cell r="G41">
            <v>0</v>
          </cell>
          <cell r="H41">
            <v>-1683162</v>
          </cell>
          <cell r="I41">
            <v>1683162</v>
          </cell>
          <cell r="J41">
            <v>2792845.75999999</v>
          </cell>
          <cell r="K41">
            <v>0</v>
          </cell>
          <cell r="L41">
            <v>-2792845.75999999</v>
          </cell>
          <cell r="M41">
            <v>-2792845.75999999</v>
          </cell>
        </row>
        <row r="42">
          <cell r="D42">
            <v>11100002</v>
          </cell>
          <cell r="E42" t="str">
            <v>Retention Money</v>
          </cell>
          <cell r="F42">
            <v>-104173676.48</v>
          </cell>
          <cell r="G42">
            <v>0</v>
          </cell>
          <cell r="H42">
            <v>-104173676.48</v>
          </cell>
          <cell r="I42">
            <v>18312499.219999898</v>
          </cell>
          <cell r="J42">
            <v>222015</v>
          </cell>
          <cell r="K42">
            <v>0</v>
          </cell>
          <cell r="L42">
            <v>-86083192.260000005</v>
          </cell>
          <cell r="M42">
            <v>-86083192.260000005</v>
          </cell>
        </row>
        <row r="43">
          <cell r="D43">
            <v>20000000</v>
          </cell>
          <cell r="E43" t="str">
            <v>Freehold land</v>
          </cell>
          <cell r="F43">
            <v>93599471</v>
          </cell>
          <cell r="G43">
            <v>0</v>
          </cell>
          <cell r="H43">
            <v>93599471</v>
          </cell>
          <cell r="I43">
            <v>0</v>
          </cell>
          <cell r="J43">
            <v>0</v>
          </cell>
          <cell r="K43">
            <v>93599471</v>
          </cell>
          <cell r="L43">
            <v>0</v>
          </cell>
          <cell r="M43">
            <v>93599471</v>
          </cell>
        </row>
        <row r="44">
          <cell r="D44">
            <v>20000001</v>
          </cell>
          <cell r="E44" t="str">
            <v>Building</v>
          </cell>
          <cell r="F44">
            <v>1479119263.8</v>
          </cell>
          <cell r="G44">
            <v>0</v>
          </cell>
          <cell r="H44">
            <v>1479119263.8</v>
          </cell>
          <cell r="I44">
            <v>0</v>
          </cell>
          <cell r="J44">
            <v>0</v>
          </cell>
          <cell r="K44">
            <v>1479119263.8</v>
          </cell>
          <cell r="L44">
            <v>0</v>
          </cell>
          <cell r="M44">
            <v>1479119263.8</v>
          </cell>
        </row>
        <row r="45">
          <cell r="D45">
            <v>20000002</v>
          </cell>
          <cell r="E45" t="str">
            <v>ACC_DEP_Building</v>
          </cell>
          <cell r="F45">
            <v>-23521985.120000001</v>
          </cell>
          <cell r="G45">
            <v>0</v>
          </cell>
          <cell r="H45">
            <v>-23521985.120000001</v>
          </cell>
          <cell r="I45">
            <v>0</v>
          </cell>
          <cell r="J45">
            <v>0</v>
          </cell>
          <cell r="K45">
            <v>0</v>
          </cell>
          <cell r="L45">
            <v>-23521985.120000001</v>
          </cell>
          <cell r="M45">
            <v>-23521985.120000001</v>
          </cell>
        </row>
        <row r="46">
          <cell r="D46">
            <v>20000003</v>
          </cell>
          <cell r="E46" t="str">
            <v>Plant and machinery</v>
          </cell>
          <cell r="F46">
            <v>3385169564.52</v>
          </cell>
          <cell r="G46">
            <v>0</v>
          </cell>
          <cell r="H46">
            <v>3385169564.52</v>
          </cell>
          <cell r="I46">
            <v>0</v>
          </cell>
          <cell r="J46">
            <v>0</v>
          </cell>
          <cell r="K46">
            <v>3385169564.52</v>
          </cell>
          <cell r="L46">
            <v>0</v>
          </cell>
          <cell r="M46">
            <v>3385169564.52</v>
          </cell>
        </row>
        <row r="47">
          <cell r="D47">
            <v>20000004</v>
          </cell>
          <cell r="E47" t="str">
            <v>ACC_DEP_Plant and ma</v>
          </cell>
          <cell r="F47">
            <v>-98387307.799999893</v>
          </cell>
          <cell r="G47">
            <v>0</v>
          </cell>
          <cell r="H47">
            <v>-98387307.799999893</v>
          </cell>
          <cell r="I47">
            <v>0</v>
          </cell>
          <cell r="J47">
            <v>0</v>
          </cell>
          <cell r="K47">
            <v>0</v>
          </cell>
          <cell r="L47">
            <v>-98387307.799999893</v>
          </cell>
          <cell r="M47">
            <v>-98387307.799999893</v>
          </cell>
        </row>
        <row r="48">
          <cell r="D48">
            <v>20000005</v>
          </cell>
          <cell r="E48" t="str">
            <v>Office equiment</v>
          </cell>
          <cell r="F48">
            <v>19595727</v>
          </cell>
          <cell r="G48">
            <v>0</v>
          </cell>
          <cell r="H48">
            <v>19595727</v>
          </cell>
          <cell r="I48">
            <v>0</v>
          </cell>
          <cell r="J48">
            <v>0</v>
          </cell>
          <cell r="K48">
            <v>19595727</v>
          </cell>
          <cell r="L48">
            <v>0</v>
          </cell>
          <cell r="M48">
            <v>19595727</v>
          </cell>
        </row>
        <row r="49">
          <cell r="D49">
            <v>20000006</v>
          </cell>
          <cell r="E49" t="str">
            <v>ACC_DEP_Office equim</v>
          </cell>
          <cell r="F49">
            <v>-1127057.1200000001</v>
          </cell>
          <cell r="G49">
            <v>0</v>
          </cell>
          <cell r="H49">
            <v>-1127057.1200000001</v>
          </cell>
          <cell r="I49">
            <v>0</v>
          </cell>
          <cell r="J49">
            <v>0</v>
          </cell>
          <cell r="K49">
            <v>0</v>
          </cell>
          <cell r="L49">
            <v>-1127057.1200000001</v>
          </cell>
          <cell r="M49">
            <v>-1127057.1200000001</v>
          </cell>
        </row>
        <row r="50">
          <cell r="D50">
            <v>20000007</v>
          </cell>
          <cell r="E50" t="str">
            <v>Computers</v>
          </cell>
          <cell r="F50">
            <v>16903685.710000001</v>
          </cell>
          <cell r="G50">
            <v>0</v>
          </cell>
          <cell r="H50">
            <v>16903685.710000001</v>
          </cell>
          <cell r="I50">
            <v>0</v>
          </cell>
          <cell r="J50">
            <v>0</v>
          </cell>
          <cell r="K50">
            <v>16903685.710000001</v>
          </cell>
          <cell r="L50">
            <v>0</v>
          </cell>
          <cell r="M50">
            <v>16903685.710000001</v>
          </cell>
        </row>
        <row r="51">
          <cell r="D51">
            <v>20000008</v>
          </cell>
          <cell r="E51" t="str">
            <v>ACC_DEP_Computers</v>
          </cell>
          <cell r="F51">
            <v>-1509878.12</v>
          </cell>
          <cell r="G51">
            <v>0</v>
          </cell>
          <cell r="H51">
            <v>-1509878.12</v>
          </cell>
          <cell r="I51">
            <v>0</v>
          </cell>
          <cell r="J51">
            <v>0</v>
          </cell>
          <cell r="K51">
            <v>0</v>
          </cell>
          <cell r="L51">
            <v>-1509878.12</v>
          </cell>
          <cell r="M51">
            <v>-1509878.12</v>
          </cell>
        </row>
        <row r="52">
          <cell r="D52">
            <v>20000009</v>
          </cell>
          <cell r="E52" t="str">
            <v>Furniture and fixtur</v>
          </cell>
          <cell r="F52">
            <v>20587570.109999899</v>
          </cell>
          <cell r="G52">
            <v>0</v>
          </cell>
          <cell r="H52">
            <v>20587570.109999899</v>
          </cell>
          <cell r="I52">
            <v>0</v>
          </cell>
          <cell r="J52">
            <v>0</v>
          </cell>
          <cell r="K52">
            <v>20587570.109999899</v>
          </cell>
          <cell r="L52">
            <v>0</v>
          </cell>
          <cell r="M52">
            <v>20587570.109999899</v>
          </cell>
        </row>
        <row r="53">
          <cell r="D53">
            <v>20000010</v>
          </cell>
          <cell r="E53" t="str">
            <v>ACC_DEP_Furniture an</v>
          </cell>
          <cell r="F53">
            <v>-594660.09999999905</v>
          </cell>
          <cell r="G53">
            <v>0</v>
          </cell>
          <cell r="H53">
            <v>-594660.09999999905</v>
          </cell>
          <cell r="I53">
            <v>0</v>
          </cell>
          <cell r="J53">
            <v>0</v>
          </cell>
          <cell r="K53">
            <v>0</v>
          </cell>
          <cell r="L53">
            <v>-594660.09999999905</v>
          </cell>
          <cell r="M53">
            <v>-594660.09999999905</v>
          </cell>
        </row>
        <row r="54">
          <cell r="D54">
            <v>20000011</v>
          </cell>
          <cell r="E54" t="str">
            <v>Electrical fittings</v>
          </cell>
          <cell r="F54">
            <v>133494755.59</v>
          </cell>
          <cell r="G54">
            <v>0</v>
          </cell>
          <cell r="H54">
            <v>133494755.59</v>
          </cell>
          <cell r="I54">
            <v>0</v>
          </cell>
          <cell r="J54">
            <v>0</v>
          </cell>
          <cell r="K54">
            <v>133494755.59</v>
          </cell>
          <cell r="L54">
            <v>0</v>
          </cell>
          <cell r="M54">
            <v>133494755.59</v>
          </cell>
        </row>
        <row r="55">
          <cell r="D55">
            <v>20000012</v>
          </cell>
          <cell r="E55" t="str">
            <v>ACC_DEP_Electrical f</v>
          </cell>
          <cell r="F55">
            <v>-3890620.1499999901</v>
          </cell>
          <cell r="G55">
            <v>0</v>
          </cell>
          <cell r="H55">
            <v>-3890620.1499999901</v>
          </cell>
          <cell r="I55">
            <v>0</v>
          </cell>
          <cell r="J55">
            <v>0</v>
          </cell>
          <cell r="K55">
            <v>0</v>
          </cell>
          <cell r="L55">
            <v>-3890620.1499999901</v>
          </cell>
          <cell r="M55">
            <v>-3890620.1499999901</v>
          </cell>
        </row>
        <row r="56">
          <cell r="D56">
            <v>20000015</v>
          </cell>
          <cell r="E56" t="str">
            <v>Computer Software</v>
          </cell>
          <cell r="F56">
            <v>4679369.24</v>
          </cell>
          <cell r="G56">
            <v>0</v>
          </cell>
          <cell r="H56">
            <v>4679369.24</v>
          </cell>
          <cell r="I56">
            <v>0</v>
          </cell>
          <cell r="J56">
            <v>0</v>
          </cell>
          <cell r="K56">
            <v>4679369.24</v>
          </cell>
          <cell r="L56">
            <v>0</v>
          </cell>
          <cell r="M56">
            <v>4679369.24</v>
          </cell>
        </row>
        <row r="57">
          <cell r="D57">
            <v>20000016</v>
          </cell>
          <cell r="E57" t="str">
            <v>ACC_DEP_Computer Sof</v>
          </cell>
          <cell r="F57">
            <v>-314295.84999999899</v>
          </cell>
          <cell r="G57">
            <v>0</v>
          </cell>
          <cell r="H57">
            <v>-314295.84999999899</v>
          </cell>
          <cell r="I57">
            <v>0</v>
          </cell>
          <cell r="J57">
            <v>0</v>
          </cell>
          <cell r="K57">
            <v>0</v>
          </cell>
          <cell r="L57">
            <v>-314295.84999999899</v>
          </cell>
          <cell r="M57">
            <v>-314295.84999999899</v>
          </cell>
        </row>
        <row r="58">
          <cell r="D58">
            <v>20000017</v>
          </cell>
          <cell r="E58" t="str">
            <v>Leasehold Land</v>
          </cell>
          <cell r="F58">
            <v>324389641</v>
          </cell>
          <cell r="G58">
            <v>0</v>
          </cell>
          <cell r="H58">
            <v>324389641</v>
          </cell>
          <cell r="I58">
            <v>0</v>
          </cell>
          <cell r="J58">
            <v>0</v>
          </cell>
          <cell r="K58">
            <v>324389641</v>
          </cell>
          <cell r="L58">
            <v>0</v>
          </cell>
          <cell r="M58">
            <v>324389641</v>
          </cell>
        </row>
        <row r="59">
          <cell r="D59">
            <v>20000018</v>
          </cell>
          <cell r="E59" t="str">
            <v>ACC_DEP_Leased Land</v>
          </cell>
          <cell r="F59">
            <v>-9297332.9299999904</v>
          </cell>
          <cell r="G59">
            <v>0</v>
          </cell>
          <cell r="H59">
            <v>-9297332.9299999904</v>
          </cell>
          <cell r="I59">
            <v>0</v>
          </cell>
          <cell r="J59">
            <v>0</v>
          </cell>
          <cell r="K59">
            <v>0</v>
          </cell>
          <cell r="L59">
            <v>-9297332.9299999904</v>
          </cell>
          <cell r="M59">
            <v>-9297332.9299999904</v>
          </cell>
        </row>
        <row r="60">
          <cell r="D60">
            <v>20100000</v>
          </cell>
          <cell r="E60" t="str">
            <v>Capital Work In Prog</v>
          </cell>
          <cell r="F60">
            <v>60.24</v>
          </cell>
          <cell r="G60">
            <v>0</v>
          </cell>
          <cell r="H60">
            <v>60.24</v>
          </cell>
          <cell r="I60">
            <v>37539132</v>
          </cell>
          <cell r="J60">
            <v>0</v>
          </cell>
          <cell r="K60">
            <v>37539192.240000002</v>
          </cell>
          <cell r="L60">
            <v>0</v>
          </cell>
          <cell r="M60">
            <v>37539192.240000002</v>
          </cell>
        </row>
        <row r="61">
          <cell r="D61">
            <v>20100001</v>
          </cell>
          <cell r="E61" t="str">
            <v>Capital Advances</v>
          </cell>
          <cell r="F61">
            <v>11010528.060000001</v>
          </cell>
          <cell r="G61">
            <v>0</v>
          </cell>
          <cell r="H61">
            <v>11010528.060000001</v>
          </cell>
          <cell r="I61">
            <v>967044</v>
          </cell>
          <cell r="J61">
            <v>3198882.1</v>
          </cell>
          <cell r="K61">
            <v>8778689.9600000009</v>
          </cell>
          <cell r="L61">
            <v>0</v>
          </cell>
          <cell r="M61">
            <v>8778689.9600000009</v>
          </cell>
        </row>
        <row r="62">
          <cell r="D62">
            <v>20100002</v>
          </cell>
          <cell r="E62" t="str">
            <v>Capital WIP IO</v>
          </cell>
          <cell r="F62">
            <v>0</v>
          </cell>
          <cell r="G62">
            <v>0</v>
          </cell>
          <cell r="H62">
            <v>0</v>
          </cell>
          <cell r="I62">
            <v>0</v>
          </cell>
          <cell r="J62">
            <v>0</v>
          </cell>
          <cell r="K62">
            <v>0</v>
          </cell>
          <cell r="L62">
            <v>0</v>
          </cell>
          <cell r="M62">
            <v>0</v>
          </cell>
        </row>
        <row r="63">
          <cell r="D63">
            <v>20100003</v>
          </cell>
          <cell r="E63" t="str">
            <v>Capita Adv Audit Adj</v>
          </cell>
          <cell r="F63">
            <v>-41060</v>
          </cell>
          <cell r="G63">
            <v>0</v>
          </cell>
          <cell r="H63">
            <v>-41060</v>
          </cell>
          <cell r="I63">
            <v>0</v>
          </cell>
          <cell r="J63">
            <v>0</v>
          </cell>
          <cell r="K63">
            <v>0</v>
          </cell>
          <cell r="L63">
            <v>-41060</v>
          </cell>
          <cell r="M63">
            <v>-41060</v>
          </cell>
        </row>
        <row r="64">
          <cell r="D64">
            <v>20100004</v>
          </cell>
          <cell r="E64" t="str">
            <v>AUC Cost</v>
          </cell>
          <cell r="F64">
            <v>41000</v>
          </cell>
          <cell r="G64">
            <v>0</v>
          </cell>
          <cell r="H64">
            <v>41000</v>
          </cell>
          <cell r="I64">
            <v>0</v>
          </cell>
          <cell r="J64">
            <v>0</v>
          </cell>
          <cell r="K64">
            <v>41000</v>
          </cell>
          <cell r="L64">
            <v>0</v>
          </cell>
          <cell r="M64">
            <v>41000</v>
          </cell>
        </row>
        <row r="65">
          <cell r="D65">
            <v>20300000</v>
          </cell>
          <cell r="E65" t="str">
            <v>Deposit_Other</v>
          </cell>
          <cell r="F65">
            <v>27413904</v>
          </cell>
          <cell r="G65">
            <v>0</v>
          </cell>
          <cell r="H65">
            <v>27413904</v>
          </cell>
          <cell r="I65">
            <v>750000</v>
          </cell>
          <cell r="J65">
            <v>0</v>
          </cell>
          <cell r="K65">
            <v>28163904</v>
          </cell>
          <cell r="L65">
            <v>0</v>
          </cell>
          <cell r="M65">
            <v>28163904</v>
          </cell>
        </row>
        <row r="66">
          <cell r="D66">
            <v>20300004</v>
          </cell>
          <cell r="E66" t="str">
            <v>Deposit_Prohibition</v>
          </cell>
          <cell r="F66">
            <v>1000</v>
          </cell>
          <cell r="G66">
            <v>0</v>
          </cell>
          <cell r="H66">
            <v>1000</v>
          </cell>
          <cell r="I66">
            <v>0</v>
          </cell>
          <cell r="J66">
            <v>0</v>
          </cell>
          <cell r="K66">
            <v>1000</v>
          </cell>
          <cell r="L66">
            <v>0</v>
          </cell>
          <cell r="M66">
            <v>1000</v>
          </cell>
        </row>
        <row r="67">
          <cell r="D67">
            <v>20400001</v>
          </cell>
          <cell r="E67" t="str">
            <v>IND AS - DTA</v>
          </cell>
          <cell r="F67">
            <v>95917.279999999897</v>
          </cell>
          <cell r="G67">
            <v>0</v>
          </cell>
          <cell r="H67">
            <v>95917.279999999897</v>
          </cell>
          <cell r="I67">
            <v>0</v>
          </cell>
          <cell r="J67">
            <v>0</v>
          </cell>
          <cell r="K67">
            <v>95917.279999999897</v>
          </cell>
          <cell r="L67">
            <v>0</v>
          </cell>
          <cell r="M67">
            <v>95917.279999999897</v>
          </cell>
        </row>
        <row r="68">
          <cell r="D68">
            <v>20500000</v>
          </cell>
          <cell r="E68" t="str">
            <v>Raw Material Stock</v>
          </cell>
          <cell r="F68">
            <v>32146506.07</v>
          </cell>
          <cell r="G68">
            <v>0</v>
          </cell>
          <cell r="H68">
            <v>32146506.07</v>
          </cell>
          <cell r="I68">
            <v>312519732.31999898</v>
          </cell>
          <cell r="J68">
            <v>228225755.52000001</v>
          </cell>
          <cell r="K68">
            <v>116440482.87</v>
          </cell>
          <cell r="L68">
            <v>0</v>
          </cell>
          <cell r="M68">
            <v>116440482.87</v>
          </cell>
        </row>
        <row r="69">
          <cell r="D69">
            <v>20500001</v>
          </cell>
          <cell r="E69" t="str">
            <v>Packing Material Sto</v>
          </cell>
          <cell r="F69">
            <v>2090466.1399999899</v>
          </cell>
          <cell r="G69">
            <v>0</v>
          </cell>
          <cell r="H69">
            <v>2090466.1399999899</v>
          </cell>
          <cell r="I69">
            <v>7267680</v>
          </cell>
          <cell r="J69">
            <v>4273040.4699999904</v>
          </cell>
          <cell r="K69">
            <v>5085105.6699999897</v>
          </cell>
          <cell r="L69">
            <v>0</v>
          </cell>
          <cell r="M69">
            <v>5085105.6699999897</v>
          </cell>
        </row>
        <row r="70">
          <cell r="D70">
            <v>20500002</v>
          </cell>
          <cell r="E70" t="str">
            <v>Fuel Stock</v>
          </cell>
          <cell r="F70">
            <v>1514975.1899999899</v>
          </cell>
          <cell r="G70">
            <v>0</v>
          </cell>
          <cell r="H70">
            <v>1514975.1899999899</v>
          </cell>
          <cell r="I70">
            <v>25169538.609999899</v>
          </cell>
          <cell r="J70">
            <v>24210929.199999899</v>
          </cell>
          <cell r="K70">
            <v>2473584.6</v>
          </cell>
          <cell r="L70">
            <v>0</v>
          </cell>
          <cell r="M70">
            <v>2473584.6</v>
          </cell>
        </row>
        <row r="71">
          <cell r="D71">
            <v>20500003</v>
          </cell>
          <cell r="E71" t="str">
            <v>SFG Stock in Plants</v>
          </cell>
          <cell r="F71">
            <v>0</v>
          </cell>
          <cell r="G71">
            <v>0</v>
          </cell>
          <cell r="H71">
            <v>0</v>
          </cell>
          <cell r="I71">
            <v>957982034.95000005</v>
          </cell>
          <cell r="J71">
            <v>810726239.96000004</v>
          </cell>
          <cell r="K71">
            <v>147255794.99000001</v>
          </cell>
          <cell r="L71">
            <v>0</v>
          </cell>
          <cell r="M71">
            <v>147255794.99000001</v>
          </cell>
        </row>
        <row r="72">
          <cell r="D72">
            <v>20500004</v>
          </cell>
          <cell r="E72" t="str">
            <v>Finish Goods Stock</v>
          </cell>
          <cell r="F72">
            <v>0</v>
          </cell>
          <cell r="G72">
            <v>0</v>
          </cell>
          <cell r="H72">
            <v>0</v>
          </cell>
          <cell r="I72">
            <v>175435676.97</v>
          </cell>
          <cell r="J72">
            <v>146125391.12</v>
          </cell>
          <cell r="K72">
            <v>29310285.850000001</v>
          </cell>
          <cell r="L72">
            <v>0</v>
          </cell>
          <cell r="M72">
            <v>29310285.850000001</v>
          </cell>
        </row>
        <row r="73">
          <cell r="D73">
            <v>20500005</v>
          </cell>
          <cell r="E73" t="str">
            <v>Store and Spares -</v>
          </cell>
          <cell r="F73">
            <v>5470168.6399999904</v>
          </cell>
          <cell r="G73">
            <v>0</v>
          </cell>
          <cell r="H73">
            <v>5470168.6399999904</v>
          </cell>
          <cell r="I73">
            <v>9272365.2300000004</v>
          </cell>
          <cell r="J73">
            <v>3594438.27999999</v>
          </cell>
          <cell r="K73">
            <v>11148095.59</v>
          </cell>
          <cell r="L73">
            <v>0</v>
          </cell>
          <cell r="M73">
            <v>11148095.59</v>
          </cell>
        </row>
        <row r="74">
          <cell r="D74">
            <v>20500006</v>
          </cell>
          <cell r="E74" t="str">
            <v>Goods In Transit - S</v>
          </cell>
          <cell r="F74">
            <v>0</v>
          </cell>
          <cell r="G74">
            <v>0</v>
          </cell>
          <cell r="H74">
            <v>0</v>
          </cell>
          <cell r="I74">
            <v>0</v>
          </cell>
          <cell r="J74">
            <v>0</v>
          </cell>
          <cell r="K74">
            <v>0</v>
          </cell>
          <cell r="L74">
            <v>0</v>
          </cell>
          <cell r="M74">
            <v>0</v>
          </cell>
        </row>
        <row r="75">
          <cell r="D75">
            <v>20500008</v>
          </cell>
          <cell r="E75" t="str">
            <v>Inventory_Manual</v>
          </cell>
          <cell r="F75">
            <v>39908783.710000001</v>
          </cell>
          <cell r="G75">
            <v>0</v>
          </cell>
          <cell r="H75">
            <v>39908783.710000001</v>
          </cell>
          <cell r="I75">
            <v>0</v>
          </cell>
          <cell r="J75">
            <v>40026679.710000001</v>
          </cell>
          <cell r="K75">
            <v>0</v>
          </cell>
          <cell r="L75">
            <v>-117896</v>
          </cell>
          <cell r="M75">
            <v>-117896</v>
          </cell>
        </row>
        <row r="76">
          <cell r="D76">
            <v>20600000</v>
          </cell>
          <cell r="E76" t="str">
            <v>Receivables- Export</v>
          </cell>
          <cell r="F76">
            <v>0</v>
          </cell>
          <cell r="G76">
            <v>0</v>
          </cell>
          <cell r="H76">
            <v>0</v>
          </cell>
          <cell r="I76">
            <v>64154385.1199999</v>
          </cell>
          <cell r="J76">
            <v>9816748.3399999905</v>
          </cell>
          <cell r="K76">
            <v>54337636.780000001</v>
          </cell>
          <cell r="L76">
            <v>0</v>
          </cell>
          <cell r="M76">
            <v>54337636.780000001</v>
          </cell>
        </row>
        <row r="77">
          <cell r="D77">
            <v>20600001</v>
          </cell>
          <cell r="E77" t="str">
            <v>Receivables-Domestic</v>
          </cell>
          <cell r="F77">
            <v>44942032.4799999</v>
          </cell>
          <cell r="G77">
            <v>0</v>
          </cell>
          <cell r="H77">
            <v>44942032.4799999</v>
          </cell>
          <cell r="I77">
            <v>269246541.79000002</v>
          </cell>
          <cell r="J77">
            <v>251669961.09999901</v>
          </cell>
          <cell r="K77">
            <v>62518613.170000002</v>
          </cell>
          <cell r="L77">
            <v>0</v>
          </cell>
          <cell r="M77">
            <v>62518613.170000002</v>
          </cell>
        </row>
        <row r="78">
          <cell r="D78">
            <v>20600002</v>
          </cell>
          <cell r="E78" t="str">
            <v>Receivables- SEZ</v>
          </cell>
          <cell r="F78">
            <v>0</v>
          </cell>
          <cell r="G78">
            <v>0</v>
          </cell>
          <cell r="H78">
            <v>0</v>
          </cell>
          <cell r="I78">
            <v>161700</v>
          </cell>
          <cell r="J78">
            <v>0</v>
          </cell>
          <cell r="K78">
            <v>161700</v>
          </cell>
          <cell r="L78">
            <v>0</v>
          </cell>
          <cell r="M78">
            <v>161700</v>
          </cell>
        </row>
        <row r="79">
          <cell r="D79">
            <v>20600004</v>
          </cell>
          <cell r="E79" t="str">
            <v>Receivables- Scrap</v>
          </cell>
          <cell r="F79">
            <v>633961.30000000005</v>
          </cell>
          <cell r="G79">
            <v>0</v>
          </cell>
          <cell r="H79">
            <v>633961.30000000005</v>
          </cell>
          <cell r="I79">
            <v>982120.09999999905</v>
          </cell>
          <cell r="J79">
            <v>1054956.7</v>
          </cell>
          <cell r="K79">
            <v>561124.69999999902</v>
          </cell>
          <cell r="L79">
            <v>0</v>
          </cell>
          <cell r="M79">
            <v>561124.69999999902</v>
          </cell>
        </row>
        <row r="80">
          <cell r="D80">
            <v>20600007</v>
          </cell>
          <cell r="E80" t="str">
            <v>Receivables- Forex</v>
          </cell>
          <cell r="F80">
            <v>0</v>
          </cell>
          <cell r="G80">
            <v>0</v>
          </cell>
          <cell r="H80">
            <v>0</v>
          </cell>
          <cell r="I80">
            <v>525318.67000000004</v>
          </cell>
          <cell r="J80">
            <v>2615.02</v>
          </cell>
          <cell r="K80">
            <v>522703.65</v>
          </cell>
          <cell r="L80">
            <v>0</v>
          </cell>
          <cell r="M80">
            <v>522703.65</v>
          </cell>
        </row>
        <row r="81">
          <cell r="D81">
            <v>20600009</v>
          </cell>
          <cell r="E81" t="str">
            <v>Receivables- Advance</v>
          </cell>
          <cell r="F81">
            <v>-191373.5</v>
          </cell>
          <cell r="G81">
            <v>0</v>
          </cell>
          <cell r="H81">
            <v>-191373.5</v>
          </cell>
          <cell r="I81">
            <v>244320738.49000001</v>
          </cell>
          <cell r="J81">
            <v>247523285.34</v>
          </cell>
          <cell r="K81">
            <v>0</v>
          </cell>
          <cell r="L81">
            <v>-3393920.35</v>
          </cell>
          <cell r="M81">
            <v>-3393920.35</v>
          </cell>
        </row>
        <row r="82">
          <cell r="D82">
            <v>20800110</v>
          </cell>
          <cell r="E82" t="str">
            <v>HDFC_57500000732637</v>
          </cell>
          <cell r="F82">
            <v>475424.47999999899</v>
          </cell>
          <cell r="G82">
            <v>0</v>
          </cell>
          <cell r="H82">
            <v>475424.47999999899</v>
          </cell>
          <cell r="I82">
            <v>0</v>
          </cell>
          <cell r="J82">
            <v>0</v>
          </cell>
          <cell r="K82">
            <v>475424.47999999899</v>
          </cell>
          <cell r="L82">
            <v>0</v>
          </cell>
          <cell r="M82">
            <v>475424.47999999899</v>
          </cell>
        </row>
        <row r="83">
          <cell r="D83">
            <v>20800111</v>
          </cell>
          <cell r="E83" t="str">
            <v>HDFC_57500000732637</v>
          </cell>
          <cell r="F83">
            <v>1194993284.8699901</v>
          </cell>
          <cell r="G83">
            <v>0</v>
          </cell>
          <cell r="H83">
            <v>1194993284.8699901</v>
          </cell>
          <cell r="I83">
            <v>233148338.16</v>
          </cell>
          <cell r="J83">
            <v>0</v>
          </cell>
          <cell r="K83">
            <v>1428141623.03</v>
          </cell>
          <cell r="L83">
            <v>0</v>
          </cell>
          <cell r="M83">
            <v>1428141623.03</v>
          </cell>
        </row>
        <row r="84">
          <cell r="D84">
            <v>20800112</v>
          </cell>
          <cell r="E84" t="str">
            <v>HDFC_57500000732637</v>
          </cell>
          <cell r="F84">
            <v>-1196902487.3299899</v>
          </cell>
          <cell r="G84">
            <v>0</v>
          </cell>
          <cell r="H84">
            <v>-1196902487.3299899</v>
          </cell>
          <cell r="I84">
            <v>2090.3699999999899</v>
          </cell>
          <cell r="J84">
            <v>277366242.68000001</v>
          </cell>
          <cell r="K84">
            <v>0</v>
          </cell>
          <cell r="L84">
            <v>-1474266639.6400001</v>
          </cell>
          <cell r="M84">
            <v>-1474266639.6400001</v>
          </cell>
        </row>
        <row r="85">
          <cell r="D85">
            <v>20800121</v>
          </cell>
          <cell r="E85" t="str">
            <v>CA_Axis_923020022099</v>
          </cell>
          <cell r="F85">
            <v>5669741007.0799904</v>
          </cell>
          <cell r="G85">
            <v>0</v>
          </cell>
          <cell r="H85">
            <v>5669741007.0799904</v>
          </cell>
          <cell r="I85">
            <v>31869863</v>
          </cell>
          <cell r="J85">
            <v>0</v>
          </cell>
          <cell r="K85">
            <v>5701610870.0799904</v>
          </cell>
          <cell r="L85">
            <v>0</v>
          </cell>
          <cell r="M85">
            <v>5701610870.0799904</v>
          </cell>
        </row>
        <row r="86">
          <cell r="D86">
            <v>20800122</v>
          </cell>
          <cell r="E86" t="str">
            <v>CA_Axis_923020022099</v>
          </cell>
          <cell r="F86">
            <v>-5667521755.0799904</v>
          </cell>
          <cell r="G86">
            <v>0</v>
          </cell>
          <cell r="H86">
            <v>-5667521755.0799904</v>
          </cell>
          <cell r="I86">
            <v>0</v>
          </cell>
          <cell r="J86">
            <v>30876837</v>
          </cell>
          <cell r="K86">
            <v>0</v>
          </cell>
          <cell r="L86">
            <v>-5698398592.0799904</v>
          </cell>
          <cell r="M86">
            <v>-5698398592.0799904</v>
          </cell>
        </row>
        <row r="87">
          <cell r="D87">
            <v>20800152</v>
          </cell>
          <cell r="E87" t="str">
            <v>CC_Axis_925030026102</v>
          </cell>
          <cell r="F87">
            <v>0</v>
          </cell>
          <cell r="G87">
            <v>0</v>
          </cell>
          <cell r="H87">
            <v>0</v>
          </cell>
          <cell r="I87">
            <v>0</v>
          </cell>
          <cell r="J87">
            <v>30000000</v>
          </cell>
          <cell r="K87">
            <v>0</v>
          </cell>
          <cell r="L87">
            <v>-30000000</v>
          </cell>
          <cell r="M87">
            <v>-30000000</v>
          </cell>
        </row>
        <row r="88">
          <cell r="D88">
            <v>20900003</v>
          </cell>
          <cell r="E88" t="str">
            <v>FD_Axis</v>
          </cell>
          <cell r="F88">
            <v>5036678</v>
          </cell>
          <cell r="G88">
            <v>0</v>
          </cell>
          <cell r="H88">
            <v>5036678</v>
          </cell>
          <cell r="I88">
            <v>158307</v>
          </cell>
          <cell r="J88">
            <v>0</v>
          </cell>
          <cell r="K88">
            <v>5194985</v>
          </cell>
          <cell r="L88">
            <v>0</v>
          </cell>
          <cell r="M88">
            <v>5194985</v>
          </cell>
        </row>
        <row r="89">
          <cell r="D89">
            <v>21000003</v>
          </cell>
          <cell r="E89" t="str">
            <v>TDS Receiveable_194Q</v>
          </cell>
          <cell r="F89">
            <v>35799</v>
          </cell>
          <cell r="G89">
            <v>0</v>
          </cell>
          <cell r="H89">
            <v>35799</v>
          </cell>
          <cell r="I89">
            <v>693</v>
          </cell>
          <cell r="J89">
            <v>0</v>
          </cell>
          <cell r="K89">
            <v>36492</v>
          </cell>
          <cell r="L89">
            <v>0</v>
          </cell>
          <cell r="M89">
            <v>36492</v>
          </cell>
        </row>
        <row r="90">
          <cell r="D90">
            <v>21000004</v>
          </cell>
          <cell r="E90" t="str">
            <v>TDS Receivable_Other</v>
          </cell>
          <cell r="F90">
            <v>1281187.08</v>
          </cell>
          <cell r="G90">
            <v>0</v>
          </cell>
          <cell r="H90">
            <v>1281187.08</v>
          </cell>
          <cell r="I90">
            <v>17590</v>
          </cell>
          <cell r="J90">
            <v>0</v>
          </cell>
          <cell r="K90">
            <v>1298777.08</v>
          </cell>
          <cell r="L90">
            <v>0</v>
          </cell>
          <cell r="M90">
            <v>1298777.08</v>
          </cell>
        </row>
        <row r="91">
          <cell r="D91">
            <v>21000007</v>
          </cell>
          <cell r="E91" t="str">
            <v>GST Refund_Custom De</v>
          </cell>
          <cell r="F91">
            <v>0</v>
          </cell>
          <cell r="G91">
            <v>0</v>
          </cell>
          <cell r="H91">
            <v>0</v>
          </cell>
          <cell r="I91">
            <v>9557989.77999999</v>
          </cell>
          <cell r="J91">
            <v>655786.14</v>
          </cell>
          <cell r="K91">
            <v>8902203.6400000006</v>
          </cell>
          <cell r="L91">
            <v>0</v>
          </cell>
          <cell r="M91">
            <v>8902203.6400000006</v>
          </cell>
        </row>
        <row r="92">
          <cell r="D92">
            <v>21000008</v>
          </cell>
          <cell r="E92" t="str">
            <v>CGST Payable</v>
          </cell>
          <cell r="F92">
            <v>-16738.639999999901</v>
          </cell>
          <cell r="G92">
            <v>0</v>
          </cell>
          <cell r="H92">
            <v>-16738.639999999901</v>
          </cell>
          <cell r="I92">
            <v>12493860.77</v>
          </cell>
          <cell r="J92">
            <v>19334112.98</v>
          </cell>
          <cell r="K92">
            <v>0</v>
          </cell>
          <cell r="L92">
            <v>-6856990.8499999903</v>
          </cell>
          <cell r="M92">
            <v>-6856990.8499999903</v>
          </cell>
        </row>
        <row r="93">
          <cell r="D93">
            <v>21000009</v>
          </cell>
          <cell r="E93" t="str">
            <v>SGST Payable</v>
          </cell>
          <cell r="F93">
            <v>-16738.639999999901</v>
          </cell>
          <cell r="G93">
            <v>0</v>
          </cell>
          <cell r="H93">
            <v>-16738.639999999901</v>
          </cell>
          <cell r="I93">
            <v>12493860.77</v>
          </cell>
          <cell r="J93">
            <v>19334112.98</v>
          </cell>
          <cell r="K93">
            <v>0</v>
          </cell>
          <cell r="L93">
            <v>-6856990.8499999903</v>
          </cell>
          <cell r="M93">
            <v>-6856990.8499999903</v>
          </cell>
        </row>
        <row r="94">
          <cell r="D94">
            <v>21000010</v>
          </cell>
          <cell r="E94" t="str">
            <v>IGST Payable</v>
          </cell>
          <cell r="F94">
            <v>-11013.799999999899</v>
          </cell>
          <cell r="G94">
            <v>0</v>
          </cell>
          <cell r="H94">
            <v>-11013.799999999899</v>
          </cell>
          <cell r="I94">
            <v>4045584.14</v>
          </cell>
          <cell r="J94">
            <v>11738908.050000001</v>
          </cell>
          <cell r="K94">
            <v>0</v>
          </cell>
          <cell r="L94">
            <v>-7704337.71</v>
          </cell>
          <cell r="M94">
            <v>-7704337.71</v>
          </cell>
        </row>
        <row r="95">
          <cell r="D95">
            <v>21000011</v>
          </cell>
          <cell r="E95" t="str">
            <v>CGST Receivable</v>
          </cell>
          <cell r="F95">
            <v>212112768.58000001</v>
          </cell>
          <cell r="G95">
            <v>0</v>
          </cell>
          <cell r="H95">
            <v>212112768.58000001</v>
          </cell>
          <cell r="I95">
            <v>29302193.059999902</v>
          </cell>
          <cell r="J95">
            <v>4861598.4800000004</v>
          </cell>
          <cell r="K95">
            <v>236553363.16</v>
          </cell>
          <cell r="L95">
            <v>0</v>
          </cell>
          <cell r="M95">
            <v>236553363.16</v>
          </cell>
        </row>
        <row r="96">
          <cell r="D96">
            <v>21000012</v>
          </cell>
          <cell r="E96" t="str">
            <v>IGST Receivable</v>
          </cell>
          <cell r="F96">
            <v>87084777</v>
          </cell>
          <cell r="G96">
            <v>0</v>
          </cell>
          <cell r="H96">
            <v>87084777</v>
          </cell>
          <cell r="I96">
            <v>18801463.399999902</v>
          </cell>
          <cell r="J96">
            <v>30265044</v>
          </cell>
          <cell r="K96">
            <v>75621196.400000006</v>
          </cell>
          <cell r="L96">
            <v>0</v>
          </cell>
          <cell r="M96">
            <v>75621196.400000006</v>
          </cell>
        </row>
        <row r="97">
          <cell r="D97">
            <v>21000013</v>
          </cell>
          <cell r="E97" t="str">
            <v>SGST Receivable</v>
          </cell>
          <cell r="F97">
            <v>212112768.58000001</v>
          </cell>
          <cell r="G97">
            <v>0</v>
          </cell>
          <cell r="H97">
            <v>212112768.58000001</v>
          </cell>
          <cell r="I97">
            <v>29302193.059999902</v>
          </cell>
          <cell r="J97">
            <v>4861598.4800000004</v>
          </cell>
          <cell r="K97">
            <v>236553363.16</v>
          </cell>
          <cell r="L97">
            <v>0</v>
          </cell>
          <cell r="M97">
            <v>236553363.16</v>
          </cell>
        </row>
        <row r="98">
          <cell r="D98">
            <v>21000016</v>
          </cell>
          <cell r="E98" t="str">
            <v>TCS Receivable</v>
          </cell>
          <cell r="F98">
            <v>24208.97</v>
          </cell>
          <cell r="G98">
            <v>0</v>
          </cell>
          <cell r="H98">
            <v>24208.97</v>
          </cell>
          <cell r="I98">
            <v>14752.19</v>
          </cell>
          <cell r="J98">
            <v>0</v>
          </cell>
          <cell r="K98">
            <v>38961.160000000003</v>
          </cell>
          <cell r="L98">
            <v>0</v>
          </cell>
          <cell r="M98">
            <v>38961.160000000003</v>
          </cell>
        </row>
        <row r="99">
          <cell r="D99">
            <v>21000018</v>
          </cell>
          <cell r="E99" t="str">
            <v>ITC not in GSTR 2B</v>
          </cell>
          <cell r="F99">
            <v>1497682</v>
          </cell>
          <cell r="G99">
            <v>0</v>
          </cell>
          <cell r="H99">
            <v>1497682</v>
          </cell>
          <cell r="I99">
            <v>5380098</v>
          </cell>
          <cell r="J99">
            <v>4295286</v>
          </cell>
          <cell r="K99">
            <v>2582494</v>
          </cell>
          <cell r="L99">
            <v>0</v>
          </cell>
          <cell r="M99">
            <v>2582494</v>
          </cell>
        </row>
        <row r="100">
          <cell r="D100">
            <v>21100003</v>
          </cell>
          <cell r="E100" t="str">
            <v>Other Receivables</v>
          </cell>
          <cell r="F100">
            <v>1538643.27</v>
          </cell>
          <cell r="G100">
            <v>0</v>
          </cell>
          <cell r="H100">
            <v>1538643.27</v>
          </cell>
          <cell r="I100">
            <v>0</v>
          </cell>
          <cell r="J100">
            <v>0</v>
          </cell>
          <cell r="K100">
            <v>1538643.27</v>
          </cell>
          <cell r="L100">
            <v>0</v>
          </cell>
          <cell r="M100">
            <v>1538643.27</v>
          </cell>
        </row>
        <row r="101">
          <cell r="D101">
            <v>21100004</v>
          </cell>
          <cell r="E101" t="str">
            <v>Advances to Emp</v>
          </cell>
          <cell r="F101">
            <v>758</v>
          </cell>
          <cell r="G101">
            <v>0</v>
          </cell>
          <cell r="H101">
            <v>758</v>
          </cell>
          <cell r="I101">
            <v>0</v>
          </cell>
          <cell r="J101">
            <v>0</v>
          </cell>
          <cell r="K101">
            <v>758</v>
          </cell>
          <cell r="L101">
            <v>0</v>
          </cell>
          <cell r="M101">
            <v>758</v>
          </cell>
        </row>
        <row r="102">
          <cell r="D102">
            <v>21100008</v>
          </cell>
          <cell r="E102" t="str">
            <v>Prepaid Expenses</v>
          </cell>
          <cell r="F102">
            <v>6901653.5</v>
          </cell>
          <cell r="G102">
            <v>0</v>
          </cell>
          <cell r="H102">
            <v>6901653.5</v>
          </cell>
          <cell r="I102">
            <v>2264882.29999999</v>
          </cell>
          <cell r="J102">
            <v>4190508.24</v>
          </cell>
          <cell r="K102">
            <v>4976027.5599999903</v>
          </cell>
          <cell r="L102">
            <v>0</v>
          </cell>
          <cell r="M102">
            <v>4976027.5599999903</v>
          </cell>
        </row>
        <row r="103">
          <cell r="D103">
            <v>21100011</v>
          </cell>
          <cell r="E103" t="str">
            <v>Advance to Vendor</v>
          </cell>
          <cell r="F103">
            <v>1424896.1299999901</v>
          </cell>
          <cell r="G103">
            <v>0</v>
          </cell>
          <cell r="H103">
            <v>1424896.1299999901</v>
          </cell>
          <cell r="I103">
            <v>43314482.780000001</v>
          </cell>
          <cell r="J103">
            <v>33362299.309999902</v>
          </cell>
          <cell r="K103">
            <v>11377079.6</v>
          </cell>
          <cell r="L103">
            <v>0</v>
          </cell>
          <cell r="M103">
            <v>11377079.6</v>
          </cell>
        </row>
        <row r="104">
          <cell r="D104">
            <v>21100014</v>
          </cell>
          <cell r="E104" t="str">
            <v>IND AS - E'yee Recei</v>
          </cell>
          <cell r="F104">
            <v>1230728.4399999899</v>
          </cell>
          <cell r="G104">
            <v>0</v>
          </cell>
          <cell r="H104">
            <v>1230728.4399999899</v>
          </cell>
          <cell r="I104">
            <v>0</v>
          </cell>
          <cell r="J104">
            <v>89054.539999999906</v>
          </cell>
          <cell r="K104">
            <v>1141673.8999999899</v>
          </cell>
          <cell r="L104">
            <v>0</v>
          </cell>
          <cell r="M104">
            <v>1141673.8999999899</v>
          </cell>
        </row>
        <row r="105">
          <cell r="D105">
            <v>30000000</v>
          </cell>
          <cell r="E105" t="str">
            <v>Sales Export</v>
          </cell>
          <cell r="F105">
            <v>0</v>
          </cell>
          <cell r="G105">
            <v>0</v>
          </cell>
          <cell r="H105">
            <v>0</v>
          </cell>
          <cell r="I105">
            <v>7510425.2000000002</v>
          </cell>
          <cell r="J105">
            <v>67548212.349999905</v>
          </cell>
          <cell r="K105">
            <v>0</v>
          </cell>
          <cell r="L105">
            <v>-60037787.149999902</v>
          </cell>
          <cell r="M105">
            <v>-60037787.149999902</v>
          </cell>
        </row>
        <row r="106">
          <cell r="D106">
            <v>30000001</v>
          </cell>
          <cell r="E106" t="str">
            <v>Domestic Sales</v>
          </cell>
          <cell r="F106">
            <v>0</v>
          </cell>
          <cell r="G106">
            <v>0</v>
          </cell>
          <cell r="H106">
            <v>0</v>
          </cell>
          <cell r="I106">
            <v>1525747.6799999899</v>
          </cell>
          <cell r="J106">
            <v>61922257.060000002</v>
          </cell>
          <cell r="K106">
            <v>0</v>
          </cell>
          <cell r="L106">
            <v>-60396509.380000003</v>
          </cell>
          <cell r="M106">
            <v>-60396509.380000003</v>
          </cell>
        </row>
        <row r="107">
          <cell r="D107">
            <v>30000004</v>
          </cell>
          <cell r="E107" t="str">
            <v>Scrap Sales</v>
          </cell>
          <cell r="F107">
            <v>0</v>
          </cell>
          <cell r="G107">
            <v>0</v>
          </cell>
          <cell r="H107">
            <v>0</v>
          </cell>
          <cell r="I107">
            <v>11770</v>
          </cell>
          <cell r="J107">
            <v>835990</v>
          </cell>
          <cell r="K107">
            <v>0</v>
          </cell>
          <cell r="L107">
            <v>-824220</v>
          </cell>
          <cell r="M107">
            <v>-824220</v>
          </cell>
        </row>
        <row r="108">
          <cell r="D108">
            <v>30000008</v>
          </cell>
          <cell r="E108" t="str">
            <v>Domestic Sales IntCo</v>
          </cell>
          <cell r="F108">
            <v>0</v>
          </cell>
          <cell r="G108">
            <v>0</v>
          </cell>
          <cell r="H108">
            <v>0</v>
          </cell>
          <cell r="I108">
            <v>5510706</v>
          </cell>
          <cell r="J108">
            <v>163586201.09999901</v>
          </cell>
          <cell r="K108">
            <v>0</v>
          </cell>
          <cell r="L108">
            <v>-158075495.09999901</v>
          </cell>
          <cell r="M108">
            <v>-158075495.09999901</v>
          </cell>
        </row>
        <row r="109">
          <cell r="D109">
            <v>30100000</v>
          </cell>
          <cell r="E109" t="str">
            <v>Unrealised Forex Gai</v>
          </cell>
          <cell r="F109">
            <v>0</v>
          </cell>
          <cell r="G109">
            <v>0</v>
          </cell>
          <cell r="H109">
            <v>0</v>
          </cell>
          <cell r="I109">
            <v>-482792.39</v>
          </cell>
          <cell r="J109">
            <v>843644.79</v>
          </cell>
          <cell r="K109">
            <v>0</v>
          </cell>
          <cell r="L109">
            <v>-1326437.1799999899</v>
          </cell>
          <cell r="M109">
            <v>-1326437.1799999899</v>
          </cell>
        </row>
        <row r="110">
          <cell r="D110">
            <v>30100001</v>
          </cell>
          <cell r="E110" t="str">
            <v>Realised Forex Gain/</v>
          </cell>
          <cell r="F110">
            <v>0</v>
          </cell>
          <cell r="G110">
            <v>0</v>
          </cell>
          <cell r="H110">
            <v>0</v>
          </cell>
          <cell r="I110">
            <v>1959589.08</v>
          </cell>
          <cell r="J110">
            <v>769786.71999999904</v>
          </cell>
          <cell r="K110">
            <v>1189802.3600000001</v>
          </cell>
          <cell r="L110">
            <v>0</v>
          </cell>
          <cell r="M110">
            <v>1189802.3600000001</v>
          </cell>
        </row>
        <row r="111">
          <cell r="D111">
            <v>30100004</v>
          </cell>
          <cell r="E111" t="str">
            <v>Interest on Bank Dep</v>
          </cell>
          <cell r="F111">
            <v>0</v>
          </cell>
          <cell r="G111">
            <v>0</v>
          </cell>
          <cell r="H111">
            <v>0</v>
          </cell>
          <cell r="I111">
            <v>0</v>
          </cell>
          <cell r="J111">
            <v>175897</v>
          </cell>
          <cell r="K111">
            <v>0</v>
          </cell>
          <cell r="L111">
            <v>-175897</v>
          </cell>
          <cell r="M111">
            <v>-175897</v>
          </cell>
        </row>
        <row r="112">
          <cell r="D112">
            <v>30100015</v>
          </cell>
          <cell r="E112" t="str">
            <v>IND AS - Interest</v>
          </cell>
          <cell r="F112">
            <v>0</v>
          </cell>
          <cell r="G112">
            <v>0</v>
          </cell>
          <cell r="H112">
            <v>0</v>
          </cell>
          <cell r="I112">
            <v>0</v>
          </cell>
          <cell r="J112">
            <v>21228.68</v>
          </cell>
          <cell r="K112">
            <v>0</v>
          </cell>
          <cell r="L112">
            <v>-21228.68</v>
          </cell>
          <cell r="M112">
            <v>-21228.68</v>
          </cell>
        </row>
        <row r="113">
          <cell r="D113">
            <v>40100000</v>
          </cell>
          <cell r="E113" t="str">
            <v>Custom Duty</v>
          </cell>
          <cell r="F113">
            <v>0</v>
          </cell>
          <cell r="G113">
            <v>0</v>
          </cell>
          <cell r="H113">
            <v>0</v>
          </cell>
          <cell r="I113">
            <v>2437869.2000000002</v>
          </cell>
          <cell r="J113">
            <v>2437870.77</v>
          </cell>
          <cell r="K113">
            <v>0</v>
          </cell>
          <cell r="L113">
            <v>-1.57</v>
          </cell>
          <cell r="M113">
            <v>-1.57</v>
          </cell>
        </row>
        <row r="114">
          <cell r="D114">
            <v>40100001</v>
          </cell>
          <cell r="E114" t="str">
            <v>Import Cost on Mater</v>
          </cell>
          <cell r="F114">
            <v>0</v>
          </cell>
          <cell r="G114">
            <v>0</v>
          </cell>
          <cell r="H114">
            <v>0</v>
          </cell>
          <cell r="I114">
            <v>1681854.1</v>
          </cell>
          <cell r="J114">
            <v>2574955.1800000002</v>
          </cell>
          <cell r="K114">
            <v>0</v>
          </cell>
          <cell r="L114">
            <v>-893101.07999999903</v>
          </cell>
          <cell r="M114">
            <v>-893101.07999999903</v>
          </cell>
        </row>
        <row r="115">
          <cell r="D115">
            <v>40100002</v>
          </cell>
          <cell r="E115" t="str">
            <v>Freight Inward Local</v>
          </cell>
          <cell r="F115">
            <v>0</v>
          </cell>
          <cell r="G115">
            <v>0</v>
          </cell>
          <cell r="H115">
            <v>0</v>
          </cell>
          <cell r="I115">
            <v>285055</v>
          </cell>
          <cell r="J115">
            <v>36800</v>
          </cell>
          <cell r="K115">
            <v>248255</v>
          </cell>
          <cell r="L115">
            <v>0</v>
          </cell>
          <cell r="M115">
            <v>248255</v>
          </cell>
        </row>
        <row r="116">
          <cell r="D116">
            <v>40100005</v>
          </cell>
          <cell r="E116" t="str">
            <v>Interest on Custom D</v>
          </cell>
          <cell r="F116">
            <v>0</v>
          </cell>
          <cell r="G116">
            <v>0</v>
          </cell>
          <cell r="H116">
            <v>0</v>
          </cell>
          <cell r="I116">
            <v>3990</v>
          </cell>
          <cell r="J116">
            <v>0</v>
          </cell>
          <cell r="K116">
            <v>3990</v>
          </cell>
          <cell r="L116">
            <v>0</v>
          </cell>
          <cell r="M116">
            <v>3990</v>
          </cell>
        </row>
        <row r="117">
          <cell r="D117">
            <v>40100006</v>
          </cell>
          <cell r="E117" t="str">
            <v>COGS Packing Mat</v>
          </cell>
          <cell r="F117">
            <v>0</v>
          </cell>
          <cell r="G117">
            <v>0</v>
          </cell>
          <cell r="H117">
            <v>0</v>
          </cell>
          <cell r="I117">
            <v>825481.51</v>
          </cell>
          <cell r="J117">
            <v>0</v>
          </cell>
          <cell r="K117">
            <v>825481.51</v>
          </cell>
          <cell r="L117">
            <v>0</v>
          </cell>
          <cell r="M117">
            <v>825481.51</v>
          </cell>
        </row>
        <row r="118">
          <cell r="D118">
            <v>40100007</v>
          </cell>
          <cell r="E118" t="str">
            <v>COGS SFG and FG</v>
          </cell>
          <cell r="F118">
            <v>0</v>
          </cell>
          <cell r="G118">
            <v>0</v>
          </cell>
          <cell r="H118">
            <v>0</v>
          </cell>
          <cell r="I118">
            <v>214965742.71000001</v>
          </cell>
          <cell r="J118">
            <v>0</v>
          </cell>
          <cell r="K118">
            <v>214965742.71000001</v>
          </cell>
          <cell r="L118">
            <v>0</v>
          </cell>
          <cell r="M118">
            <v>214965742.71000001</v>
          </cell>
        </row>
        <row r="119">
          <cell r="D119">
            <v>40100008</v>
          </cell>
          <cell r="E119" t="str">
            <v>Consumption of RM</v>
          </cell>
          <cell r="F119">
            <v>0</v>
          </cell>
          <cell r="G119">
            <v>0</v>
          </cell>
          <cell r="H119">
            <v>0</v>
          </cell>
          <cell r="I119">
            <v>178987614.84</v>
          </cell>
          <cell r="J119">
            <v>6682060.6200000001</v>
          </cell>
          <cell r="K119">
            <v>172305554.22</v>
          </cell>
          <cell r="L119">
            <v>0</v>
          </cell>
          <cell r="M119">
            <v>172305554.22</v>
          </cell>
        </row>
        <row r="120">
          <cell r="D120">
            <v>40100009</v>
          </cell>
          <cell r="E120" t="str">
            <v>Consumption of SFG</v>
          </cell>
          <cell r="F120">
            <v>0</v>
          </cell>
          <cell r="G120">
            <v>0</v>
          </cell>
          <cell r="H120">
            <v>0</v>
          </cell>
          <cell r="I120">
            <v>834614354.74000001</v>
          </cell>
          <cell r="J120">
            <v>75910503.170000002</v>
          </cell>
          <cell r="K120">
            <v>758703851.57000005</v>
          </cell>
          <cell r="L120">
            <v>0</v>
          </cell>
          <cell r="M120">
            <v>758703851.57000005</v>
          </cell>
        </row>
        <row r="121">
          <cell r="D121">
            <v>40100011</v>
          </cell>
          <cell r="E121" t="str">
            <v>Cons of Packing Mat</v>
          </cell>
          <cell r="F121">
            <v>0</v>
          </cell>
          <cell r="G121">
            <v>0</v>
          </cell>
          <cell r="H121">
            <v>0</v>
          </cell>
          <cell r="I121">
            <v>3447558.96</v>
          </cell>
          <cell r="J121">
            <v>0</v>
          </cell>
          <cell r="K121">
            <v>3447558.96</v>
          </cell>
          <cell r="L121">
            <v>0</v>
          </cell>
          <cell r="M121">
            <v>3447558.96</v>
          </cell>
        </row>
        <row r="122">
          <cell r="D122">
            <v>40100012</v>
          </cell>
          <cell r="E122" t="str">
            <v>Freight on Job Work</v>
          </cell>
          <cell r="F122">
            <v>0</v>
          </cell>
          <cell r="G122">
            <v>0</v>
          </cell>
          <cell r="H122">
            <v>0</v>
          </cell>
          <cell r="I122">
            <v>607805</v>
          </cell>
          <cell r="J122">
            <v>42375</v>
          </cell>
          <cell r="K122">
            <v>565430</v>
          </cell>
          <cell r="L122">
            <v>0</v>
          </cell>
          <cell r="M122">
            <v>565430</v>
          </cell>
        </row>
        <row r="123">
          <cell r="D123">
            <v>40200000</v>
          </cell>
          <cell r="E123" t="str">
            <v>COGM Material</v>
          </cell>
          <cell r="F123">
            <v>0</v>
          </cell>
          <cell r="G123">
            <v>0</v>
          </cell>
          <cell r="H123">
            <v>0</v>
          </cell>
          <cell r="I123">
            <v>0</v>
          </cell>
          <cell r="J123">
            <v>780512282.92999899</v>
          </cell>
          <cell r="K123">
            <v>0</v>
          </cell>
          <cell r="L123">
            <v>-780512282.92999899</v>
          </cell>
          <cell r="M123">
            <v>-780512282.92999899</v>
          </cell>
        </row>
        <row r="124">
          <cell r="D124">
            <v>40200001</v>
          </cell>
          <cell r="E124" t="str">
            <v>COGM SFG and FG</v>
          </cell>
          <cell r="F124">
            <v>0</v>
          </cell>
          <cell r="G124">
            <v>0</v>
          </cell>
          <cell r="H124">
            <v>0</v>
          </cell>
          <cell r="I124">
            <v>4135387.8399999901</v>
          </cell>
          <cell r="J124">
            <v>166629689.80000001</v>
          </cell>
          <cell r="K124">
            <v>0</v>
          </cell>
          <cell r="L124">
            <v>-162494301.96000001</v>
          </cell>
          <cell r="M124">
            <v>-162494301.96000001</v>
          </cell>
        </row>
        <row r="125">
          <cell r="D125">
            <v>40200003</v>
          </cell>
          <cell r="E125" t="str">
            <v>Price Difference RM</v>
          </cell>
          <cell r="F125">
            <v>0</v>
          </cell>
          <cell r="G125">
            <v>0</v>
          </cell>
          <cell r="H125">
            <v>0</v>
          </cell>
          <cell r="I125">
            <v>-17550.34</v>
          </cell>
          <cell r="J125">
            <v>0</v>
          </cell>
          <cell r="K125">
            <v>0</v>
          </cell>
          <cell r="L125">
            <v>-17550.34</v>
          </cell>
          <cell r="M125">
            <v>-17550.34</v>
          </cell>
        </row>
        <row r="126">
          <cell r="D126">
            <v>40200004</v>
          </cell>
          <cell r="E126" t="str">
            <v>Price Diff SFG &amp; FG</v>
          </cell>
          <cell r="F126">
            <v>0</v>
          </cell>
          <cell r="G126">
            <v>0</v>
          </cell>
          <cell r="H126">
            <v>0</v>
          </cell>
          <cell r="I126">
            <v>4888856.0899999896</v>
          </cell>
          <cell r="J126">
            <v>35672.15</v>
          </cell>
          <cell r="K126">
            <v>4853183.9400000004</v>
          </cell>
          <cell r="L126">
            <v>0</v>
          </cell>
          <cell r="M126">
            <v>4853183.9400000004</v>
          </cell>
        </row>
        <row r="127">
          <cell r="D127">
            <v>40200006</v>
          </cell>
          <cell r="E127" t="str">
            <v>Month end Adj - Mat</v>
          </cell>
          <cell r="F127">
            <v>0</v>
          </cell>
          <cell r="G127">
            <v>0</v>
          </cell>
          <cell r="H127">
            <v>0</v>
          </cell>
          <cell r="I127">
            <v>10067762.710000001</v>
          </cell>
          <cell r="J127">
            <v>9571180.6899999902</v>
          </cell>
          <cell r="K127">
            <v>496582.02</v>
          </cell>
          <cell r="L127">
            <v>0</v>
          </cell>
          <cell r="M127">
            <v>496582.02</v>
          </cell>
        </row>
        <row r="128">
          <cell r="D128">
            <v>40200010</v>
          </cell>
          <cell r="E128" t="str">
            <v>Change in Stock</v>
          </cell>
          <cell r="F128">
            <v>0</v>
          </cell>
          <cell r="G128">
            <v>0</v>
          </cell>
          <cell r="H128">
            <v>0</v>
          </cell>
          <cell r="I128">
            <v>0</v>
          </cell>
          <cell r="J128">
            <v>49136088.740000002</v>
          </cell>
          <cell r="K128">
            <v>0</v>
          </cell>
          <cell r="L128">
            <v>-49136088.740000002</v>
          </cell>
          <cell r="M128">
            <v>-49136088.740000002</v>
          </cell>
        </row>
        <row r="129">
          <cell r="D129">
            <v>40200011</v>
          </cell>
          <cell r="E129" t="str">
            <v>COGM_Manual</v>
          </cell>
          <cell r="F129">
            <v>0</v>
          </cell>
          <cell r="G129">
            <v>0</v>
          </cell>
          <cell r="H129">
            <v>0</v>
          </cell>
          <cell r="I129">
            <v>40026679.710000001</v>
          </cell>
          <cell r="J129">
            <v>213037</v>
          </cell>
          <cell r="K129">
            <v>39813642.710000001</v>
          </cell>
          <cell r="L129">
            <v>0</v>
          </cell>
          <cell r="M129">
            <v>39813642.710000001</v>
          </cell>
        </row>
        <row r="130">
          <cell r="D130">
            <v>40300000</v>
          </cell>
          <cell r="E130" t="str">
            <v>Staff Welfare Expens</v>
          </cell>
          <cell r="F130">
            <v>0</v>
          </cell>
          <cell r="G130">
            <v>0</v>
          </cell>
          <cell r="H130">
            <v>0</v>
          </cell>
          <cell r="I130">
            <v>4013137.12</v>
          </cell>
          <cell r="J130">
            <v>2403890</v>
          </cell>
          <cell r="K130">
            <v>1609247.12</v>
          </cell>
          <cell r="L130">
            <v>0</v>
          </cell>
          <cell r="M130">
            <v>1609247.12</v>
          </cell>
        </row>
        <row r="131">
          <cell r="D131">
            <v>40300001</v>
          </cell>
          <cell r="E131" t="str">
            <v>Staff Recruitment an</v>
          </cell>
          <cell r="F131">
            <v>0</v>
          </cell>
          <cell r="G131">
            <v>0</v>
          </cell>
          <cell r="H131">
            <v>0</v>
          </cell>
          <cell r="I131">
            <v>279840.81</v>
          </cell>
          <cell r="J131">
            <v>0</v>
          </cell>
          <cell r="K131">
            <v>279840.81</v>
          </cell>
          <cell r="L131">
            <v>0</v>
          </cell>
          <cell r="M131">
            <v>279840.81</v>
          </cell>
        </row>
        <row r="132">
          <cell r="D132">
            <v>40300002</v>
          </cell>
          <cell r="E132" t="str">
            <v>Vehicle Hire Charges</v>
          </cell>
          <cell r="F132">
            <v>0</v>
          </cell>
          <cell r="G132">
            <v>0</v>
          </cell>
          <cell r="H132">
            <v>0</v>
          </cell>
          <cell r="I132">
            <v>5578543.5499999896</v>
          </cell>
          <cell r="J132">
            <v>0</v>
          </cell>
          <cell r="K132">
            <v>5578543.5499999896</v>
          </cell>
          <cell r="L132">
            <v>0</v>
          </cell>
          <cell r="M132">
            <v>5578543.5499999896</v>
          </cell>
        </row>
        <row r="133">
          <cell r="D133">
            <v>40300003</v>
          </cell>
          <cell r="E133" t="str">
            <v>Admin Charges on PF</v>
          </cell>
          <cell r="F133">
            <v>0</v>
          </cell>
          <cell r="G133">
            <v>0</v>
          </cell>
          <cell r="H133">
            <v>0</v>
          </cell>
          <cell r="I133">
            <v>40111</v>
          </cell>
          <cell r="J133">
            <v>0</v>
          </cell>
          <cell r="K133">
            <v>40111</v>
          </cell>
          <cell r="L133">
            <v>0</v>
          </cell>
          <cell r="M133">
            <v>40111</v>
          </cell>
        </row>
        <row r="134">
          <cell r="D134">
            <v>40300004</v>
          </cell>
          <cell r="E134" t="str">
            <v>Basic Salary</v>
          </cell>
          <cell r="F134">
            <v>0</v>
          </cell>
          <cell r="G134">
            <v>0</v>
          </cell>
          <cell r="H134">
            <v>0</v>
          </cell>
          <cell r="I134">
            <v>12114521.41</v>
          </cell>
          <cell r="J134">
            <v>0</v>
          </cell>
          <cell r="K134">
            <v>12114521.41</v>
          </cell>
          <cell r="L134">
            <v>0</v>
          </cell>
          <cell r="M134">
            <v>12114521.41</v>
          </cell>
        </row>
        <row r="135">
          <cell r="D135">
            <v>40300005</v>
          </cell>
          <cell r="E135" t="str">
            <v>Bonus_BVC Employee</v>
          </cell>
          <cell r="F135">
            <v>0</v>
          </cell>
          <cell r="G135">
            <v>0</v>
          </cell>
          <cell r="H135">
            <v>0</v>
          </cell>
          <cell r="I135">
            <v>928125</v>
          </cell>
          <cell r="J135">
            <v>178125</v>
          </cell>
          <cell r="K135">
            <v>750000</v>
          </cell>
          <cell r="L135">
            <v>0</v>
          </cell>
          <cell r="M135">
            <v>750000</v>
          </cell>
        </row>
        <row r="136">
          <cell r="D136">
            <v>40300006</v>
          </cell>
          <cell r="E136" t="str">
            <v>Company Contribution</v>
          </cell>
          <cell r="F136">
            <v>0</v>
          </cell>
          <cell r="G136">
            <v>0</v>
          </cell>
          <cell r="H136">
            <v>0</v>
          </cell>
          <cell r="I136">
            <v>996912</v>
          </cell>
          <cell r="J136">
            <v>0</v>
          </cell>
          <cell r="K136">
            <v>996912</v>
          </cell>
          <cell r="L136">
            <v>0</v>
          </cell>
          <cell r="M136">
            <v>996912</v>
          </cell>
        </row>
        <row r="137">
          <cell r="D137">
            <v>40300008</v>
          </cell>
          <cell r="E137" t="str">
            <v>Education Allowance</v>
          </cell>
          <cell r="F137">
            <v>0</v>
          </cell>
          <cell r="G137">
            <v>0</v>
          </cell>
          <cell r="H137">
            <v>0</v>
          </cell>
          <cell r="I137">
            <v>10173.77</v>
          </cell>
          <cell r="J137">
            <v>0</v>
          </cell>
          <cell r="K137">
            <v>10173.77</v>
          </cell>
          <cell r="L137">
            <v>0</v>
          </cell>
          <cell r="M137">
            <v>10173.77</v>
          </cell>
        </row>
        <row r="138">
          <cell r="D138">
            <v>40300010</v>
          </cell>
          <cell r="E138" t="str">
            <v>Gratuity Expenses</v>
          </cell>
          <cell r="F138">
            <v>0</v>
          </cell>
          <cell r="G138">
            <v>0</v>
          </cell>
          <cell r="H138">
            <v>0</v>
          </cell>
          <cell r="I138">
            <v>180000</v>
          </cell>
          <cell r="J138">
            <v>0</v>
          </cell>
          <cell r="K138">
            <v>180000</v>
          </cell>
          <cell r="L138">
            <v>0</v>
          </cell>
          <cell r="M138">
            <v>180000</v>
          </cell>
        </row>
        <row r="139">
          <cell r="D139">
            <v>40300011</v>
          </cell>
          <cell r="E139" t="str">
            <v>House Rent Allowance</v>
          </cell>
          <cell r="F139">
            <v>0</v>
          </cell>
          <cell r="G139">
            <v>0</v>
          </cell>
          <cell r="H139">
            <v>0</v>
          </cell>
          <cell r="I139">
            <v>4202924.3899999904</v>
          </cell>
          <cell r="J139">
            <v>0</v>
          </cell>
          <cell r="K139">
            <v>4202924.3899999904</v>
          </cell>
          <cell r="L139">
            <v>0</v>
          </cell>
          <cell r="M139">
            <v>4202924.3899999904</v>
          </cell>
        </row>
        <row r="140">
          <cell r="D140">
            <v>40300012</v>
          </cell>
          <cell r="E140" t="str">
            <v>Leave Salary- BVCPL</v>
          </cell>
          <cell r="F140">
            <v>0</v>
          </cell>
          <cell r="G140">
            <v>0</v>
          </cell>
          <cell r="H140">
            <v>0</v>
          </cell>
          <cell r="I140">
            <v>834577</v>
          </cell>
          <cell r="J140">
            <v>444587</v>
          </cell>
          <cell r="K140">
            <v>389990</v>
          </cell>
          <cell r="L140">
            <v>0</v>
          </cell>
          <cell r="M140">
            <v>389990</v>
          </cell>
        </row>
        <row r="141">
          <cell r="D141">
            <v>40300013</v>
          </cell>
          <cell r="E141" t="str">
            <v>Staff Training Expen</v>
          </cell>
          <cell r="F141">
            <v>0</v>
          </cell>
          <cell r="G141">
            <v>0</v>
          </cell>
          <cell r="H141">
            <v>0</v>
          </cell>
          <cell r="I141">
            <v>5000</v>
          </cell>
          <cell r="J141">
            <v>0</v>
          </cell>
          <cell r="K141">
            <v>5000</v>
          </cell>
          <cell r="L141">
            <v>0</v>
          </cell>
          <cell r="M141">
            <v>5000</v>
          </cell>
        </row>
        <row r="142">
          <cell r="D142">
            <v>40300015</v>
          </cell>
          <cell r="E142" t="str">
            <v>Medical Expenses</v>
          </cell>
          <cell r="F142">
            <v>0</v>
          </cell>
          <cell r="G142">
            <v>0</v>
          </cell>
          <cell r="H142">
            <v>0</v>
          </cell>
          <cell r="I142">
            <v>160975.299999999</v>
          </cell>
          <cell r="J142">
            <v>0</v>
          </cell>
          <cell r="K142">
            <v>160975.299999999</v>
          </cell>
          <cell r="L142">
            <v>0</v>
          </cell>
          <cell r="M142">
            <v>160975.299999999</v>
          </cell>
        </row>
        <row r="143">
          <cell r="D143">
            <v>40300016</v>
          </cell>
          <cell r="E143" t="str">
            <v>Other Allowance</v>
          </cell>
          <cell r="F143">
            <v>0</v>
          </cell>
          <cell r="G143">
            <v>0</v>
          </cell>
          <cell r="H143">
            <v>0</v>
          </cell>
          <cell r="I143">
            <v>5315494.3600000003</v>
          </cell>
          <cell r="J143">
            <v>30779</v>
          </cell>
          <cell r="K143">
            <v>5284715.3600000003</v>
          </cell>
          <cell r="L143">
            <v>0</v>
          </cell>
          <cell r="M143">
            <v>5284715.3600000003</v>
          </cell>
        </row>
        <row r="144">
          <cell r="D144">
            <v>40300017</v>
          </cell>
          <cell r="E144" t="str">
            <v>Productivity Incenti</v>
          </cell>
          <cell r="F144">
            <v>0</v>
          </cell>
          <cell r="G144">
            <v>0</v>
          </cell>
          <cell r="H144">
            <v>0</v>
          </cell>
          <cell r="I144">
            <v>105000</v>
          </cell>
          <cell r="J144">
            <v>0</v>
          </cell>
          <cell r="K144">
            <v>105000</v>
          </cell>
          <cell r="L144">
            <v>0</v>
          </cell>
          <cell r="M144">
            <v>105000</v>
          </cell>
        </row>
        <row r="145">
          <cell r="D145">
            <v>40300018</v>
          </cell>
          <cell r="E145" t="str">
            <v>Trainee Stipend</v>
          </cell>
          <cell r="F145">
            <v>0</v>
          </cell>
          <cell r="G145">
            <v>0</v>
          </cell>
          <cell r="H145">
            <v>0</v>
          </cell>
          <cell r="I145">
            <v>16140.959999999901</v>
          </cell>
          <cell r="J145">
            <v>0</v>
          </cell>
          <cell r="K145">
            <v>16140.959999999901</v>
          </cell>
          <cell r="L145">
            <v>0</v>
          </cell>
          <cell r="M145">
            <v>16140.959999999901</v>
          </cell>
        </row>
        <row r="146">
          <cell r="D146">
            <v>40300019</v>
          </cell>
          <cell r="E146" t="str">
            <v>Helper Allowance</v>
          </cell>
          <cell r="F146">
            <v>0</v>
          </cell>
          <cell r="G146">
            <v>0</v>
          </cell>
          <cell r="H146">
            <v>0</v>
          </cell>
          <cell r="I146">
            <v>144000</v>
          </cell>
          <cell r="J146">
            <v>0</v>
          </cell>
          <cell r="K146">
            <v>144000</v>
          </cell>
          <cell r="L146">
            <v>0</v>
          </cell>
          <cell r="M146">
            <v>144000</v>
          </cell>
        </row>
        <row r="147">
          <cell r="D147">
            <v>40300020</v>
          </cell>
          <cell r="E147" t="str">
            <v>Uniform Allowance</v>
          </cell>
          <cell r="F147">
            <v>0</v>
          </cell>
          <cell r="G147">
            <v>0</v>
          </cell>
          <cell r="H147">
            <v>0</v>
          </cell>
          <cell r="I147">
            <v>47250</v>
          </cell>
          <cell r="J147">
            <v>0</v>
          </cell>
          <cell r="K147">
            <v>47250</v>
          </cell>
          <cell r="L147">
            <v>0</v>
          </cell>
          <cell r="M147">
            <v>47250</v>
          </cell>
        </row>
        <row r="148">
          <cell r="D148">
            <v>40300024</v>
          </cell>
          <cell r="E148" t="str">
            <v>Monthly Prod Incenti</v>
          </cell>
          <cell r="F148">
            <v>0</v>
          </cell>
          <cell r="G148">
            <v>0</v>
          </cell>
          <cell r="H148">
            <v>0</v>
          </cell>
          <cell r="I148">
            <v>603695</v>
          </cell>
          <cell r="J148">
            <v>0</v>
          </cell>
          <cell r="K148">
            <v>603695</v>
          </cell>
          <cell r="L148">
            <v>0</v>
          </cell>
          <cell r="M148">
            <v>603695</v>
          </cell>
        </row>
        <row r="149">
          <cell r="D149">
            <v>40400001</v>
          </cell>
          <cell r="E149" t="str">
            <v>Other Bank Charges</v>
          </cell>
          <cell r="F149">
            <v>0</v>
          </cell>
          <cell r="G149">
            <v>0</v>
          </cell>
          <cell r="H149">
            <v>0</v>
          </cell>
          <cell r="I149">
            <v>476438.5</v>
          </cell>
          <cell r="J149">
            <v>0</v>
          </cell>
          <cell r="K149">
            <v>476438.5</v>
          </cell>
          <cell r="L149">
            <v>0</v>
          </cell>
          <cell r="M149">
            <v>476438.5</v>
          </cell>
        </row>
        <row r="150">
          <cell r="D150">
            <v>40400004</v>
          </cell>
          <cell r="E150" t="str">
            <v>Import Payment_Charg</v>
          </cell>
          <cell r="F150">
            <v>0</v>
          </cell>
          <cell r="G150">
            <v>0</v>
          </cell>
          <cell r="H150">
            <v>0</v>
          </cell>
          <cell r="I150">
            <v>82240.369999999893</v>
          </cell>
          <cell r="J150">
            <v>0</v>
          </cell>
          <cell r="K150">
            <v>82240.369999999893</v>
          </cell>
          <cell r="L150">
            <v>0</v>
          </cell>
          <cell r="M150">
            <v>82240.369999999893</v>
          </cell>
        </row>
        <row r="151">
          <cell r="D151">
            <v>40400005</v>
          </cell>
          <cell r="E151" t="str">
            <v>International Bank C</v>
          </cell>
          <cell r="F151">
            <v>0</v>
          </cell>
          <cell r="G151">
            <v>0</v>
          </cell>
          <cell r="H151">
            <v>0</v>
          </cell>
          <cell r="I151">
            <v>27943.23</v>
          </cell>
          <cell r="J151">
            <v>0</v>
          </cell>
          <cell r="K151">
            <v>27943.23</v>
          </cell>
          <cell r="L151">
            <v>0</v>
          </cell>
          <cell r="M151">
            <v>27943.23</v>
          </cell>
        </row>
        <row r="152">
          <cell r="D152">
            <v>40400008</v>
          </cell>
          <cell r="E152" t="str">
            <v>Interest on Cash Cre</v>
          </cell>
          <cell r="F152">
            <v>0</v>
          </cell>
          <cell r="G152">
            <v>0</v>
          </cell>
          <cell r="H152">
            <v>0</v>
          </cell>
          <cell r="I152">
            <v>398635.76</v>
          </cell>
          <cell r="J152">
            <v>1192</v>
          </cell>
          <cell r="K152">
            <v>397443.76</v>
          </cell>
          <cell r="L152">
            <v>0</v>
          </cell>
          <cell r="M152">
            <v>397443.76</v>
          </cell>
        </row>
        <row r="153">
          <cell r="D153">
            <v>40400009</v>
          </cell>
          <cell r="E153" t="str">
            <v>Interest on Term Loa</v>
          </cell>
          <cell r="F153">
            <v>0</v>
          </cell>
          <cell r="G153">
            <v>0</v>
          </cell>
          <cell r="H153">
            <v>0</v>
          </cell>
          <cell r="I153">
            <v>54839903</v>
          </cell>
          <cell r="J153">
            <v>1681970</v>
          </cell>
          <cell r="K153">
            <v>53157933</v>
          </cell>
          <cell r="L153">
            <v>0</v>
          </cell>
          <cell r="M153">
            <v>53157933</v>
          </cell>
        </row>
        <row r="154">
          <cell r="D154">
            <v>40400014</v>
          </cell>
          <cell r="E154" t="str">
            <v>Processing and Stamp</v>
          </cell>
          <cell r="F154">
            <v>0</v>
          </cell>
          <cell r="G154">
            <v>0</v>
          </cell>
          <cell r="H154">
            <v>0</v>
          </cell>
          <cell r="I154">
            <v>24999</v>
          </cell>
          <cell r="J154">
            <v>0</v>
          </cell>
          <cell r="K154">
            <v>24999</v>
          </cell>
          <cell r="L154">
            <v>0</v>
          </cell>
          <cell r="M154">
            <v>24999</v>
          </cell>
        </row>
        <row r="155">
          <cell r="D155">
            <v>40400019</v>
          </cell>
          <cell r="E155" t="str">
            <v>IND AS - TL Interest</v>
          </cell>
          <cell r="F155">
            <v>0</v>
          </cell>
          <cell r="G155">
            <v>0</v>
          </cell>
          <cell r="H155">
            <v>0</v>
          </cell>
          <cell r="I155">
            <v>35715</v>
          </cell>
          <cell r="J155">
            <v>0</v>
          </cell>
          <cell r="K155">
            <v>35715</v>
          </cell>
          <cell r="L155">
            <v>0</v>
          </cell>
          <cell r="M155">
            <v>35715</v>
          </cell>
        </row>
        <row r="156">
          <cell r="D156">
            <v>40400024</v>
          </cell>
          <cell r="E156" t="str">
            <v>Interest on Buyer’s</v>
          </cell>
          <cell r="F156">
            <v>0</v>
          </cell>
          <cell r="G156">
            <v>0</v>
          </cell>
          <cell r="H156">
            <v>0</v>
          </cell>
          <cell r="I156">
            <v>210509.459999999</v>
          </cell>
          <cell r="J156">
            <v>0</v>
          </cell>
          <cell r="K156">
            <v>210509.459999999</v>
          </cell>
          <cell r="L156">
            <v>0</v>
          </cell>
          <cell r="M156">
            <v>210509.459999999</v>
          </cell>
        </row>
        <row r="157">
          <cell r="D157">
            <v>40600000</v>
          </cell>
          <cell r="E157" t="str">
            <v>Consumption of Fuel</v>
          </cell>
          <cell r="F157">
            <v>0</v>
          </cell>
          <cell r="G157">
            <v>0</v>
          </cell>
          <cell r="H157">
            <v>0</v>
          </cell>
          <cell r="I157">
            <v>23394359.199999899</v>
          </cell>
          <cell r="J157">
            <v>0</v>
          </cell>
          <cell r="K157">
            <v>23394359.199999899</v>
          </cell>
          <cell r="L157">
            <v>0</v>
          </cell>
          <cell r="M157">
            <v>23394359.199999899</v>
          </cell>
        </row>
        <row r="158">
          <cell r="D158">
            <v>40600002</v>
          </cell>
          <cell r="E158" t="str">
            <v>Cons Stores &amp; Spares</v>
          </cell>
          <cell r="F158">
            <v>0</v>
          </cell>
          <cell r="G158">
            <v>0</v>
          </cell>
          <cell r="H158">
            <v>0</v>
          </cell>
          <cell r="I158">
            <v>3143353.74</v>
          </cell>
          <cell r="J158">
            <v>0</v>
          </cell>
          <cell r="K158">
            <v>3143353.74</v>
          </cell>
          <cell r="L158">
            <v>0</v>
          </cell>
          <cell r="M158">
            <v>3143353.74</v>
          </cell>
        </row>
        <row r="159">
          <cell r="D159">
            <v>40600003</v>
          </cell>
          <cell r="E159" t="str">
            <v>Cons of Consumables</v>
          </cell>
          <cell r="F159">
            <v>0</v>
          </cell>
          <cell r="G159">
            <v>0</v>
          </cell>
          <cell r="H159">
            <v>0</v>
          </cell>
          <cell r="I159">
            <v>0</v>
          </cell>
          <cell r="J159">
            <v>839987.06999999902</v>
          </cell>
          <cell r="K159">
            <v>0</v>
          </cell>
          <cell r="L159">
            <v>-839987.06999999902</v>
          </cell>
          <cell r="M159">
            <v>-839987.06999999902</v>
          </cell>
        </row>
        <row r="160">
          <cell r="D160">
            <v>40600004</v>
          </cell>
          <cell r="E160" t="str">
            <v>Power Cost_Factory</v>
          </cell>
          <cell r="F160">
            <v>0</v>
          </cell>
          <cell r="G160">
            <v>0</v>
          </cell>
          <cell r="H160">
            <v>0</v>
          </cell>
          <cell r="I160">
            <v>23319332.100000001</v>
          </cell>
          <cell r="J160">
            <v>0</v>
          </cell>
          <cell r="K160">
            <v>23319332.100000001</v>
          </cell>
          <cell r="L160">
            <v>0</v>
          </cell>
          <cell r="M160">
            <v>23319332.100000001</v>
          </cell>
        </row>
        <row r="161">
          <cell r="D161">
            <v>40600005</v>
          </cell>
          <cell r="E161" t="str">
            <v>Labour Charges</v>
          </cell>
          <cell r="F161">
            <v>0</v>
          </cell>
          <cell r="G161">
            <v>0</v>
          </cell>
          <cell r="H161">
            <v>0</v>
          </cell>
          <cell r="I161">
            <v>11964117.32</v>
          </cell>
          <cell r="J161">
            <v>9075.42</v>
          </cell>
          <cell r="K161">
            <v>11955041.9</v>
          </cell>
          <cell r="L161">
            <v>0</v>
          </cell>
          <cell r="M161">
            <v>11955041.9</v>
          </cell>
        </row>
        <row r="162">
          <cell r="D162">
            <v>40600006</v>
          </cell>
          <cell r="E162" t="str">
            <v>Jobwork Charges</v>
          </cell>
          <cell r="F162">
            <v>0</v>
          </cell>
          <cell r="G162">
            <v>0</v>
          </cell>
          <cell r="H162">
            <v>0</v>
          </cell>
          <cell r="I162">
            <v>14171839.779999901</v>
          </cell>
          <cell r="J162">
            <v>0</v>
          </cell>
          <cell r="K162">
            <v>14171839.779999901</v>
          </cell>
          <cell r="L162">
            <v>0</v>
          </cell>
          <cell r="M162">
            <v>14171839.779999901</v>
          </cell>
        </row>
        <row r="163">
          <cell r="D163">
            <v>40600007</v>
          </cell>
          <cell r="E163" t="str">
            <v>Effluent Treatment C</v>
          </cell>
          <cell r="F163">
            <v>0</v>
          </cell>
          <cell r="G163">
            <v>0</v>
          </cell>
          <cell r="H163">
            <v>0</v>
          </cell>
          <cell r="I163">
            <v>3305927.96</v>
          </cell>
          <cell r="J163">
            <v>0</v>
          </cell>
          <cell r="K163">
            <v>3305927.96</v>
          </cell>
          <cell r="L163">
            <v>0</v>
          </cell>
          <cell r="M163">
            <v>3305927.96</v>
          </cell>
        </row>
        <row r="164">
          <cell r="D164">
            <v>40600008</v>
          </cell>
          <cell r="E164" t="str">
            <v>Lease Rent_Factory</v>
          </cell>
          <cell r="F164">
            <v>0</v>
          </cell>
          <cell r="G164">
            <v>0</v>
          </cell>
          <cell r="H164">
            <v>0</v>
          </cell>
          <cell r="I164">
            <v>102000</v>
          </cell>
          <cell r="J164">
            <v>0</v>
          </cell>
          <cell r="K164">
            <v>102000</v>
          </cell>
          <cell r="L164">
            <v>0</v>
          </cell>
          <cell r="M164">
            <v>102000</v>
          </cell>
        </row>
        <row r="165">
          <cell r="D165">
            <v>40700000</v>
          </cell>
          <cell r="E165" t="str">
            <v>Repair and Maintance</v>
          </cell>
          <cell r="F165">
            <v>0</v>
          </cell>
          <cell r="G165">
            <v>0</v>
          </cell>
          <cell r="H165">
            <v>0</v>
          </cell>
          <cell r="I165">
            <v>6744398.5499999896</v>
          </cell>
          <cell r="J165">
            <v>2384832.98</v>
          </cell>
          <cell r="K165">
            <v>4359565.57</v>
          </cell>
          <cell r="L165">
            <v>0</v>
          </cell>
          <cell r="M165">
            <v>4359565.57</v>
          </cell>
        </row>
        <row r="166">
          <cell r="D166">
            <v>40700001</v>
          </cell>
          <cell r="E166" t="str">
            <v>Conveyance Expenses</v>
          </cell>
          <cell r="F166">
            <v>0</v>
          </cell>
          <cell r="G166">
            <v>0</v>
          </cell>
          <cell r="H166">
            <v>0</v>
          </cell>
          <cell r="I166">
            <v>120000</v>
          </cell>
          <cell r="J166">
            <v>0</v>
          </cell>
          <cell r="K166">
            <v>120000</v>
          </cell>
          <cell r="L166">
            <v>0</v>
          </cell>
          <cell r="M166">
            <v>120000</v>
          </cell>
        </row>
        <row r="167">
          <cell r="D167">
            <v>40700003</v>
          </cell>
          <cell r="E167" t="str">
            <v>Travelling Expenses_</v>
          </cell>
          <cell r="F167">
            <v>0</v>
          </cell>
          <cell r="G167">
            <v>0</v>
          </cell>
          <cell r="H167">
            <v>0</v>
          </cell>
          <cell r="I167">
            <v>78120</v>
          </cell>
          <cell r="J167">
            <v>0</v>
          </cell>
          <cell r="K167">
            <v>78120</v>
          </cell>
          <cell r="L167">
            <v>0</v>
          </cell>
          <cell r="M167">
            <v>78120</v>
          </cell>
        </row>
        <row r="168">
          <cell r="D168">
            <v>40700004</v>
          </cell>
          <cell r="E168" t="str">
            <v>Communication Expens</v>
          </cell>
          <cell r="F168">
            <v>0</v>
          </cell>
          <cell r="G168">
            <v>0</v>
          </cell>
          <cell r="H168">
            <v>0</v>
          </cell>
          <cell r="I168">
            <v>25839.0999999999</v>
          </cell>
          <cell r="J168">
            <v>0</v>
          </cell>
          <cell r="K168">
            <v>25839.0999999999</v>
          </cell>
          <cell r="L168">
            <v>0</v>
          </cell>
          <cell r="M168">
            <v>25839.0999999999</v>
          </cell>
        </row>
        <row r="169">
          <cell r="D169">
            <v>40700006</v>
          </cell>
          <cell r="E169" t="str">
            <v>Power Cost_Corporate</v>
          </cell>
          <cell r="F169">
            <v>0</v>
          </cell>
          <cell r="G169">
            <v>0</v>
          </cell>
          <cell r="H169">
            <v>0</v>
          </cell>
          <cell r="I169">
            <v>1521.6099999999899</v>
          </cell>
          <cell r="J169">
            <v>0</v>
          </cell>
          <cell r="K169">
            <v>1521.6099999999899</v>
          </cell>
          <cell r="L169">
            <v>0</v>
          </cell>
          <cell r="M169">
            <v>1521.6099999999899</v>
          </cell>
        </row>
        <row r="170">
          <cell r="D170">
            <v>40700007</v>
          </cell>
          <cell r="E170" t="str">
            <v>Professional &amp; Consu</v>
          </cell>
          <cell r="F170">
            <v>0</v>
          </cell>
          <cell r="G170">
            <v>0</v>
          </cell>
          <cell r="H170">
            <v>0</v>
          </cell>
          <cell r="I170">
            <v>1959997.76</v>
          </cell>
          <cell r="J170">
            <v>0</v>
          </cell>
          <cell r="K170">
            <v>1959997.76</v>
          </cell>
          <cell r="L170">
            <v>0</v>
          </cell>
          <cell r="M170">
            <v>1959997.76</v>
          </cell>
        </row>
        <row r="171">
          <cell r="D171">
            <v>40700008</v>
          </cell>
          <cell r="E171" t="str">
            <v>Rates and Taxes</v>
          </cell>
          <cell r="F171">
            <v>0</v>
          </cell>
          <cell r="G171">
            <v>0</v>
          </cell>
          <cell r="H171">
            <v>0</v>
          </cell>
          <cell r="I171">
            <v>647178.78</v>
          </cell>
          <cell r="J171">
            <v>19167</v>
          </cell>
          <cell r="K171">
            <v>628011.78</v>
          </cell>
          <cell r="L171">
            <v>0</v>
          </cell>
          <cell r="M171">
            <v>628011.78</v>
          </cell>
        </row>
        <row r="172">
          <cell r="D172">
            <v>40700010</v>
          </cell>
          <cell r="E172" t="str">
            <v>Reach Registration C</v>
          </cell>
          <cell r="F172">
            <v>0</v>
          </cell>
          <cell r="G172">
            <v>0</v>
          </cell>
          <cell r="H172">
            <v>0</v>
          </cell>
          <cell r="I172">
            <v>6913478.4100000001</v>
          </cell>
          <cell r="J172">
            <v>0</v>
          </cell>
          <cell r="K172">
            <v>6913478.4100000001</v>
          </cell>
          <cell r="L172">
            <v>0</v>
          </cell>
          <cell r="M172">
            <v>6913478.4100000001</v>
          </cell>
        </row>
        <row r="173">
          <cell r="D173">
            <v>40700011</v>
          </cell>
          <cell r="E173" t="str">
            <v>Penalty Expense</v>
          </cell>
          <cell r="F173">
            <v>0</v>
          </cell>
          <cell r="G173">
            <v>0</v>
          </cell>
          <cell r="H173">
            <v>0</v>
          </cell>
          <cell r="I173">
            <v>95000</v>
          </cell>
          <cell r="J173">
            <v>0</v>
          </cell>
          <cell r="K173">
            <v>95000</v>
          </cell>
          <cell r="L173">
            <v>0</v>
          </cell>
          <cell r="M173">
            <v>95000</v>
          </cell>
        </row>
        <row r="174">
          <cell r="D174">
            <v>40700014</v>
          </cell>
          <cell r="E174" t="str">
            <v>Insurance Expense</v>
          </cell>
          <cell r="F174">
            <v>0</v>
          </cell>
          <cell r="G174">
            <v>0</v>
          </cell>
          <cell r="H174">
            <v>0</v>
          </cell>
          <cell r="I174">
            <v>1467740.81</v>
          </cell>
          <cell r="J174">
            <v>0</v>
          </cell>
          <cell r="K174">
            <v>1467740.81</v>
          </cell>
          <cell r="L174">
            <v>0</v>
          </cell>
          <cell r="M174">
            <v>1467740.81</v>
          </cell>
        </row>
        <row r="175">
          <cell r="D175">
            <v>40700015</v>
          </cell>
          <cell r="E175" t="str">
            <v>Rounding Adjustment</v>
          </cell>
          <cell r="F175">
            <v>0</v>
          </cell>
          <cell r="G175">
            <v>0</v>
          </cell>
          <cell r="H175">
            <v>0</v>
          </cell>
          <cell r="I175">
            <v>54.969999999999899</v>
          </cell>
          <cell r="J175">
            <v>4.03</v>
          </cell>
          <cell r="K175">
            <v>50.939999999999898</v>
          </cell>
          <cell r="L175">
            <v>0</v>
          </cell>
          <cell r="M175">
            <v>50.939999999999898</v>
          </cell>
        </row>
        <row r="176">
          <cell r="D176">
            <v>40700016</v>
          </cell>
          <cell r="E176" t="str">
            <v>Interest On TDS</v>
          </cell>
          <cell r="F176">
            <v>0</v>
          </cell>
          <cell r="G176">
            <v>0</v>
          </cell>
          <cell r="H176">
            <v>0</v>
          </cell>
          <cell r="I176">
            <v>10247</v>
          </cell>
          <cell r="J176">
            <v>0</v>
          </cell>
          <cell r="K176">
            <v>10247</v>
          </cell>
          <cell r="L176">
            <v>0</v>
          </cell>
          <cell r="M176">
            <v>10247</v>
          </cell>
        </row>
        <row r="177">
          <cell r="D177">
            <v>40700018</v>
          </cell>
          <cell r="E177" t="str">
            <v>EHS Expense</v>
          </cell>
          <cell r="F177">
            <v>0</v>
          </cell>
          <cell r="G177">
            <v>0</v>
          </cell>
          <cell r="H177">
            <v>0</v>
          </cell>
          <cell r="I177">
            <v>3454217</v>
          </cell>
          <cell r="J177">
            <v>0</v>
          </cell>
          <cell r="K177">
            <v>3454217</v>
          </cell>
          <cell r="L177">
            <v>0</v>
          </cell>
          <cell r="M177">
            <v>3454217</v>
          </cell>
        </row>
        <row r="178">
          <cell r="D178">
            <v>40700020</v>
          </cell>
          <cell r="E178" t="str">
            <v>Selling and Distribu</v>
          </cell>
          <cell r="F178">
            <v>0</v>
          </cell>
          <cell r="G178">
            <v>0</v>
          </cell>
          <cell r="H178">
            <v>0</v>
          </cell>
          <cell r="I178">
            <v>2630634</v>
          </cell>
          <cell r="J178">
            <v>0</v>
          </cell>
          <cell r="K178">
            <v>2630634</v>
          </cell>
          <cell r="L178">
            <v>0</v>
          </cell>
          <cell r="M178">
            <v>2630634</v>
          </cell>
        </row>
        <row r="179">
          <cell r="D179">
            <v>40700021</v>
          </cell>
          <cell r="E179" t="str">
            <v>Freight Outward</v>
          </cell>
          <cell r="F179">
            <v>0</v>
          </cell>
          <cell r="G179">
            <v>0</v>
          </cell>
          <cell r="H179">
            <v>0</v>
          </cell>
          <cell r="I179">
            <v>146030</v>
          </cell>
          <cell r="J179">
            <v>0</v>
          </cell>
          <cell r="K179">
            <v>146030</v>
          </cell>
          <cell r="L179">
            <v>0</v>
          </cell>
          <cell r="M179">
            <v>146030</v>
          </cell>
        </row>
        <row r="180">
          <cell r="D180">
            <v>40700022</v>
          </cell>
          <cell r="E180" t="str">
            <v>Consumable Items</v>
          </cell>
          <cell r="F180">
            <v>0</v>
          </cell>
          <cell r="G180">
            <v>0</v>
          </cell>
          <cell r="H180">
            <v>0</v>
          </cell>
          <cell r="I180">
            <v>4681810.87</v>
          </cell>
          <cell r="J180">
            <v>3.6</v>
          </cell>
          <cell r="K180">
            <v>4681807.2699999902</v>
          </cell>
          <cell r="L180">
            <v>0</v>
          </cell>
          <cell r="M180">
            <v>4681807.2699999902</v>
          </cell>
        </row>
        <row r="181">
          <cell r="D181">
            <v>40700023</v>
          </cell>
          <cell r="E181" t="str">
            <v>Security Charges</v>
          </cell>
          <cell r="F181">
            <v>0</v>
          </cell>
          <cell r="G181">
            <v>0</v>
          </cell>
          <cell r="H181">
            <v>0</v>
          </cell>
          <cell r="I181">
            <v>1830250</v>
          </cell>
          <cell r="J181">
            <v>0</v>
          </cell>
          <cell r="K181">
            <v>1830250</v>
          </cell>
          <cell r="L181">
            <v>0</v>
          </cell>
          <cell r="M181">
            <v>1830250</v>
          </cell>
        </row>
        <row r="182">
          <cell r="D182">
            <v>40700024</v>
          </cell>
          <cell r="E182" t="str">
            <v>Printing and Station</v>
          </cell>
          <cell r="F182">
            <v>0</v>
          </cell>
          <cell r="G182">
            <v>0</v>
          </cell>
          <cell r="H182">
            <v>0</v>
          </cell>
          <cell r="I182">
            <v>404923.26</v>
          </cell>
          <cell r="J182">
            <v>0</v>
          </cell>
          <cell r="K182">
            <v>404923.26</v>
          </cell>
          <cell r="L182">
            <v>0</v>
          </cell>
          <cell r="M182">
            <v>404923.26</v>
          </cell>
        </row>
        <row r="183">
          <cell r="D183">
            <v>40700025</v>
          </cell>
          <cell r="E183" t="str">
            <v>IT Expenses</v>
          </cell>
          <cell r="F183">
            <v>0</v>
          </cell>
          <cell r="G183">
            <v>0</v>
          </cell>
          <cell r="H183">
            <v>0</v>
          </cell>
          <cell r="I183">
            <v>1732042.1799999899</v>
          </cell>
          <cell r="J183">
            <v>954919.33999999904</v>
          </cell>
          <cell r="K183">
            <v>777122.83999999904</v>
          </cell>
          <cell r="L183">
            <v>0</v>
          </cell>
          <cell r="M183">
            <v>777122.83999999904</v>
          </cell>
        </row>
        <row r="184">
          <cell r="D184">
            <v>40700027</v>
          </cell>
          <cell r="E184" t="str">
            <v>Membership and Subsc</v>
          </cell>
          <cell r="F184">
            <v>0</v>
          </cell>
          <cell r="G184">
            <v>0</v>
          </cell>
          <cell r="H184">
            <v>0</v>
          </cell>
          <cell r="I184">
            <v>60000</v>
          </cell>
          <cell r="J184">
            <v>0</v>
          </cell>
          <cell r="K184">
            <v>60000</v>
          </cell>
          <cell r="L184">
            <v>0</v>
          </cell>
          <cell r="M184">
            <v>60000</v>
          </cell>
        </row>
        <row r="185">
          <cell r="D185">
            <v>40700028</v>
          </cell>
          <cell r="E185" t="str">
            <v>Office Expenses</v>
          </cell>
          <cell r="F185">
            <v>0</v>
          </cell>
          <cell r="G185">
            <v>0</v>
          </cell>
          <cell r="H185">
            <v>0</v>
          </cell>
          <cell r="I185">
            <v>553841.12</v>
          </cell>
          <cell r="J185">
            <v>0</v>
          </cell>
          <cell r="K185">
            <v>553841.12</v>
          </cell>
          <cell r="L185">
            <v>0</v>
          </cell>
          <cell r="M185">
            <v>553841.12</v>
          </cell>
        </row>
        <row r="186">
          <cell r="D186">
            <v>40700032</v>
          </cell>
          <cell r="E186" t="str">
            <v>Other expenses</v>
          </cell>
          <cell r="F186">
            <v>0</v>
          </cell>
          <cell r="G186">
            <v>0</v>
          </cell>
          <cell r="H186">
            <v>0</v>
          </cell>
          <cell r="I186">
            <v>2209832.52999999</v>
          </cell>
          <cell r="J186">
            <v>2033857.61</v>
          </cell>
          <cell r="K186">
            <v>175974.92</v>
          </cell>
          <cell r="L186">
            <v>0</v>
          </cell>
          <cell r="M186">
            <v>175974.92</v>
          </cell>
        </row>
        <row r="187">
          <cell r="D187">
            <v>40700034</v>
          </cell>
          <cell r="E187" t="str">
            <v>Project Expenses</v>
          </cell>
          <cell r="F187">
            <v>0</v>
          </cell>
          <cell r="G187">
            <v>0</v>
          </cell>
          <cell r="H187">
            <v>0</v>
          </cell>
          <cell r="I187">
            <v>43759837.030000001</v>
          </cell>
          <cell r="J187">
            <v>76179052.760000005</v>
          </cell>
          <cell r="K187">
            <v>0</v>
          </cell>
          <cell r="L187">
            <v>-32419215.73</v>
          </cell>
          <cell r="M187">
            <v>-32419215.73</v>
          </cell>
        </row>
        <row r="188">
          <cell r="D188">
            <v>40700035</v>
          </cell>
          <cell r="E188" t="str">
            <v>Detention Charges</v>
          </cell>
          <cell r="F188">
            <v>0</v>
          </cell>
          <cell r="G188">
            <v>0</v>
          </cell>
          <cell r="H188">
            <v>0</v>
          </cell>
          <cell r="I188">
            <v>342683.32</v>
          </cell>
          <cell r="J188">
            <v>0</v>
          </cell>
          <cell r="K188">
            <v>342683.32</v>
          </cell>
          <cell r="L188">
            <v>0</v>
          </cell>
          <cell r="M188">
            <v>342683.32</v>
          </cell>
        </row>
        <row r="189">
          <cell r="D189">
            <v>40700036</v>
          </cell>
          <cell r="E189" t="str">
            <v>Ground Rent and Sto</v>
          </cell>
          <cell r="F189">
            <v>0</v>
          </cell>
          <cell r="G189">
            <v>0</v>
          </cell>
          <cell r="H189">
            <v>0</v>
          </cell>
          <cell r="I189">
            <v>400</v>
          </cell>
          <cell r="J189">
            <v>0</v>
          </cell>
          <cell r="K189">
            <v>400</v>
          </cell>
          <cell r="L189">
            <v>0</v>
          </cell>
          <cell r="M189">
            <v>400</v>
          </cell>
        </row>
        <row r="190">
          <cell r="D190">
            <v>80000000</v>
          </cell>
          <cell r="E190" t="str">
            <v>Clearing Material</v>
          </cell>
          <cell r="F190">
            <v>-1435975.9099999899</v>
          </cell>
          <cell r="G190">
            <v>0</v>
          </cell>
          <cell r="H190">
            <v>-1435975.9099999899</v>
          </cell>
          <cell r="I190">
            <v>695424359.37</v>
          </cell>
          <cell r="J190">
            <v>705403399.919999</v>
          </cell>
          <cell r="K190">
            <v>0</v>
          </cell>
          <cell r="L190">
            <v>-11415016.460000001</v>
          </cell>
          <cell r="M190">
            <v>-11415016.460000001</v>
          </cell>
        </row>
        <row r="191">
          <cell r="D191">
            <v>80000001</v>
          </cell>
          <cell r="E191" t="str">
            <v>Clearing  SFG and FG</v>
          </cell>
          <cell r="F191">
            <v>0</v>
          </cell>
          <cell r="G191">
            <v>0</v>
          </cell>
          <cell r="H191">
            <v>0</v>
          </cell>
          <cell r="I191">
            <v>149188693.69</v>
          </cell>
          <cell r="J191">
            <v>152125151.69</v>
          </cell>
          <cell r="K191">
            <v>0</v>
          </cell>
          <cell r="L191">
            <v>-2936458</v>
          </cell>
          <cell r="M191">
            <v>-2936458</v>
          </cell>
        </row>
        <row r="192">
          <cell r="D192">
            <v>80000002</v>
          </cell>
          <cell r="E192" t="str">
            <v>Cntrl Stores&amp; Spares</v>
          </cell>
          <cell r="F192">
            <v>-1266811.1000000001</v>
          </cell>
          <cell r="G192">
            <v>0</v>
          </cell>
          <cell r="H192">
            <v>-1266811.1000000001</v>
          </cell>
          <cell r="I192">
            <v>47570667.6199999</v>
          </cell>
          <cell r="J192">
            <v>47862222.960000001</v>
          </cell>
          <cell r="K192">
            <v>0</v>
          </cell>
          <cell r="L192">
            <v>-1558366.4399999899</v>
          </cell>
          <cell r="M192">
            <v>-1558366.4399999899</v>
          </cell>
        </row>
        <row r="193">
          <cell r="D193">
            <v>80000003</v>
          </cell>
          <cell r="E193" t="str">
            <v>Freight on Import an</v>
          </cell>
          <cell r="F193">
            <v>0</v>
          </cell>
          <cell r="G193">
            <v>0</v>
          </cell>
          <cell r="H193">
            <v>0</v>
          </cell>
          <cell r="I193">
            <v>5219929.0599999903</v>
          </cell>
          <cell r="J193">
            <v>5219929.0599999903</v>
          </cell>
          <cell r="K193">
            <v>0</v>
          </cell>
          <cell r="L193">
            <v>0</v>
          </cell>
          <cell r="M193">
            <v>0</v>
          </cell>
        </row>
        <row r="194">
          <cell r="D194">
            <v>80000008</v>
          </cell>
          <cell r="E194" t="str">
            <v>Clearing  Services</v>
          </cell>
          <cell r="F194">
            <v>-4175105.6699999901</v>
          </cell>
          <cell r="G194">
            <v>0</v>
          </cell>
          <cell r="H194">
            <v>-4175105.6699999901</v>
          </cell>
          <cell r="I194">
            <v>67284906.090000004</v>
          </cell>
          <cell r="J194">
            <v>68040572.780000001</v>
          </cell>
          <cell r="K194">
            <v>0</v>
          </cell>
          <cell r="L194">
            <v>-4930772.3600000003</v>
          </cell>
          <cell r="M194">
            <v>-4930772.3600000003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GL Mapping Data"/>
    </sheetNames>
    <sheetDataSet>
      <sheetData sheetId="0"/>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VC Sale"/>
      <sheetName val="BVCSPL Purchase"/>
    </sheetNames>
    <sheetDataSet>
      <sheetData sheetId="0" refreshError="1">
        <row r="272">
          <cell r="D272">
            <v>41813873.579999998</v>
          </cell>
        </row>
      </sheetData>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0.11.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sheetData sheetId="5">
        <row r="1">
          <cell r="G1" t="str">
            <v>BS</v>
          </cell>
          <cell r="H1" t="str">
            <v>CFS</v>
          </cell>
        </row>
        <row r="2">
          <cell r="G2">
            <v>106141.51841999963</v>
          </cell>
          <cell r="H2" t="e">
            <v>#REF!</v>
          </cell>
        </row>
        <row r="3">
          <cell r="B3"/>
          <cell r="F3"/>
          <cell r="I3"/>
        </row>
        <row r="4">
          <cell r="B4"/>
          <cell r="F4"/>
          <cell r="G4"/>
          <cell r="H4"/>
          <cell r="I4">
            <v>1079502385.4599998</v>
          </cell>
        </row>
        <row r="5">
          <cell r="B5"/>
          <cell r="C5" t="str">
            <v>Ind AS</v>
          </cell>
          <cell r="D5" t="str">
            <v>Ind AS</v>
          </cell>
          <cell r="E5" t="str">
            <v>Ind AS</v>
          </cell>
          <cell r="F5"/>
          <cell r="G5"/>
          <cell r="H5"/>
          <cell r="I5"/>
        </row>
        <row r="6">
          <cell r="B6" t="str">
            <v>Code No.</v>
          </cell>
          <cell r="C6" t="str">
            <v>Note</v>
          </cell>
          <cell r="D6" t="str">
            <v>Ind AS Head</v>
          </cell>
          <cell r="E6" t="str">
            <v>Ind AS Sub Head</v>
          </cell>
          <cell r="F6" t="str">
            <v>Particulars</v>
          </cell>
          <cell r="G6" t="str">
            <v>Debit</v>
          </cell>
          <cell r="H6" t="str">
            <v>Credit</v>
          </cell>
          <cell r="I6" t="str">
            <v>Total</v>
          </cell>
        </row>
        <row r="7">
          <cell r="B7">
            <v>10000000</v>
          </cell>
          <cell r="C7">
            <v>13</v>
          </cell>
          <cell r="D7" t="str">
            <v>Equity share capital</v>
          </cell>
          <cell r="E7" t="str">
            <v>315,940 (previous year: 315,940) equity shares of Rs 10 each fully paid up</v>
          </cell>
          <cell r="F7" t="str">
            <v>Equity Share Capital</v>
          </cell>
          <cell r="G7">
            <v>0</v>
          </cell>
          <cell r="H7">
            <v>-1365970</v>
          </cell>
          <cell r="I7">
            <v>-1365970</v>
          </cell>
        </row>
        <row r="8">
          <cell r="B8">
            <v>10000004</v>
          </cell>
          <cell r="C8">
            <v>13</v>
          </cell>
          <cell r="D8" t="str">
            <v>Equity share capital</v>
          </cell>
          <cell r="E8" t="str">
            <v>Pref Shar CCPS-BVCPL</v>
          </cell>
          <cell r="F8" t="str">
            <v>0.01% Non-Cumulative CCPS</v>
          </cell>
          <cell r="G8">
            <v>0</v>
          </cell>
          <cell r="H8">
            <v>-868680</v>
          </cell>
          <cell r="I8">
            <v>-868680</v>
          </cell>
        </row>
        <row r="9">
          <cell r="B9">
            <v>10100000</v>
          </cell>
          <cell r="C9">
            <v>14</v>
          </cell>
          <cell r="D9" t="str">
            <v>Other equity</v>
          </cell>
          <cell r="E9" t="str">
            <v>Closing balance - Securities Premium</v>
          </cell>
          <cell r="F9" t="str">
            <v>Security Premium Account</v>
          </cell>
          <cell r="G9">
            <v>0</v>
          </cell>
          <cell r="H9">
            <v>-2888560445.96</v>
          </cell>
          <cell r="I9">
            <v>-2888560445.96</v>
          </cell>
        </row>
        <row r="10">
          <cell r="B10">
            <v>10100001</v>
          </cell>
          <cell r="C10">
            <v>14</v>
          </cell>
          <cell r="D10" t="str">
            <v>Other equity</v>
          </cell>
          <cell r="E10" t="str">
            <v>Closing balance - Retained Earnings</v>
          </cell>
          <cell r="F10" t="str">
            <v>Retained earnings</v>
          </cell>
          <cell r="G10">
            <v>205255407.87</v>
          </cell>
          <cell r="H10">
            <v>0</v>
          </cell>
          <cell r="I10">
            <v>205255407.87</v>
          </cell>
        </row>
        <row r="11">
          <cell r="B11">
            <v>10100002</v>
          </cell>
          <cell r="C11">
            <v>14</v>
          </cell>
          <cell r="D11" t="str">
            <v>Other equity</v>
          </cell>
          <cell r="E11" t="str">
            <v>Closing balance - Retained Earnings</v>
          </cell>
          <cell r="F11" t="str">
            <v>Profit &amp; Loss Account</v>
          </cell>
          <cell r="G11">
            <v>7941080.54</v>
          </cell>
          <cell r="H11">
            <v>0</v>
          </cell>
          <cell r="I11">
            <v>7941080.54</v>
          </cell>
        </row>
        <row r="12">
          <cell r="B12">
            <v>10100009</v>
          </cell>
          <cell r="C12">
            <v>14</v>
          </cell>
          <cell r="D12" t="str">
            <v>Other equity</v>
          </cell>
          <cell r="E12" t="str">
            <v>Closing balance - Retained Earnings</v>
          </cell>
          <cell r="F12" t="str">
            <v>IND AS - Opening Balance - Retained Earnings</v>
          </cell>
          <cell r="G12">
            <v>0</v>
          </cell>
          <cell r="H12">
            <v>-38668.9</v>
          </cell>
          <cell r="I12">
            <v>-38668.9</v>
          </cell>
        </row>
        <row r="13">
          <cell r="B13">
            <v>10200015</v>
          </cell>
          <cell r="C13">
            <v>15</v>
          </cell>
          <cell r="D13" t="str">
            <v>Borrowings</v>
          </cell>
          <cell r="E13" t="str">
            <v>Term Loan from Bank</v>
          </cell>
          <cell r="F13" t="str">
            <v>IND AS - Transaction Cost Impact on TL</v>
          </cell>
          <cell r="G13">
            <v>1122618.4299999899</v>
          </cell>
          <cell r="H13">
            <v>0</v>
          </cell>
          <cell r="I13">
            <v>1122618.4299999899</v>
          </cell>
        </row>
        <row r="14">
          <cell r="B14">
            <v>10200016</v>
          </cell>
          <cell r="C14">
            <v>15</v>
          </cell>
          <cell r="D14" t="str">
            <v>Borrowings</v>
          </cell>
          <cell r="E14" t="str">
            <v>Term Loan from Bank</v>
          </cell>
          <cell r="F14" t="str">
            <v>TL_AXIS_ 923060053143888</v>
          </cell>
          <cell r="G14">
            <v>0</v>
          </cell>
          <cell r="H14">
            <v>-1900100000</v>
          </cell>
          <cell r="I14">
            <v>-1900100000</v>
          </cell>
        </row>
        <row r="15">
          <cell r="B15">
            <v>10200018</v>
          </cell>
          <cell r="C15">
            <v>15</v>
          </cell>
          <cell r="D15" t="str">
            <v>Borrowings</v>
          </cell>
          <cell r="E15" t="str">
            <v>Term Loan from Bank</v>
          </cell>
          <cell r="F15" t="str">
            <v>TL_AXIS_924060051723539</v>
          </cell>
          <cell r="G15">
            <v>0</v>
          </cell>
          <cell r="H15">
            <v>-379900000</v>
          </cell>
          <cell r="I15">
            <v>-379900000</v>
          </cell>
        </row>
        <row r="16">
          <cell r="B16">
            <v>10300002</v>
          </cell>
          <cell r="C16">
            <v>15</v>
          </cell>
          <cell r="D16" t="str">
            <v>Borrowings</v>
          </cell>
          <cell r="E16" t="str">
            <v>Term Loan from Bank</v>
          </cell>
          <cell r="F16" t="str">
            <v>TL_HDFC_02400930000746</v>
          </cell>
          <cell r="G16">
            <v>0</v>
          </cell>
          <cell r="H16">
            <v>-374999103.56999898</v>
          </cell>
          <cell r="I16">
            <v>-374999103.56999898</v>
          </cell>
        </row>
        <row r="17">
          <cell r="B17">
            <v>10400001</v>
          </cell>
          <cell r="C17">
            <v>4</v>
          </cell>
          <cell r="D17" t="str">
            <v>Deferred Tax Liabilities (Net)</v>
          </cell>
          <cell r="E17" t="str">
            <v>Deferred Tax</v>
          </cell>
          <cell r="F17" t="str">
            <v>IND AS - Deferred Tax Liability</v>
          </cell>
          <cell r="G17">
            <v>0</v>
          </cell>
          <cell r="H17">
            <v>-238523.489999999</v>
          </cell>
          <cell r="I17">
            <v>-238523.489999999</v>
          </cell>
        </row>
        <row r="18">
          <cell r="B18">
            <v>10500000</v>
          </cell>
          <cell r="C18">
            <v>16</v>
          </cell>
          <cell r="D18" t="str">
            <v>Provisions</v>
          </cell>
          <cell r="E18" t="str">
            <v>Provision for employee benefits - Gratuity</v>
          </cell>
          <cell r="F18" t="str">
            <v>Provision for Gratuity</v>
          </cell>
          <cell r="G18">
            <v>0</v>
          </cell>
          <cell r="H18">
            <v>-2420219</v>
          </cell>
          <cell r="I18">
            <v>-2420219</v>
          </cell>
        </row>
        <row r="19">
          <cell r="B19">
            <v>10500001</v>
          </cell>
          <cell r="C19">
            <v>16</v>
          </cell>
          <cell r="D19" t="str">
            <v>Provisions</v>
          </cell>
          <cell r="E19" t="str">
            <v>Provision for compensated absences</v>
          </cell>
          <cell r="F19" t="str">
            <v>Provision for Leave Salary</v>
          </cell>
          <cell r="G19">
            <v>0</v>
          </cell>
          <cell r="H19">
            <v>-3196593</v>
          </cell>
          <cell r="I19">
            <v>-3196593</v>
          </cell>
        </row>
        <row r="20">
          <cell r="B20">
            <v>10600010</v>
          </cell>
          <cell r="C20">
            <v>15</v>
          </cell>
          <cell r="D20" t="str">
            <v>Borrowings</v>
          </cell>
          <cell r="E20" t="str">
            <v>Unsecured loan from related parties</v>
          </cell>
          <cell r="F20" t="str">
            <v>Best Value Chem Pvt Ltd.</v>
          </cell>
          <cell r="G20">
            <v>0</v>
          </cell>
          <cell r="H20">
            <v>-675468343.40999901</v>
          </cell>
          <cell r="I20">
            <v>-675468343.40999901</v>
          </cell>
        </row>
        <row r="21">
          <cell r="B21">
            <v>10800000</v>
          </cell>
          <cell r="C21">
            <v>17</v>
          </cell>
          <cell r="D21" t="str">
            <v>Trade payables</v>
          </cell>
          <cell r="E21" t="str">
            <v>Total outstanding dues of creditors other than micro enterprises and small enterprises</v>
          </cell>
          <cell r="F21" t="str">
            <v>Payable - Raw Material Import</v>
          </cell>
          <cell r="G21">
            <v>0</v>
          </cell>
          <cell r="H21">
            <v>-60119967.399999902</v>
          </cell>
          <cell r="I21">
            <v>-60119967.399999902</v>
          </cell>
        </row>
        <row r="22">
          <cell r="B22">
            <v>10800001</v>
          </cell>
          <cell r="C22">
            <v>17</v>
          </cell>
          <cell r="D22" t="str">
            <v>Trade payables</v>
          </cell>
          <cell r="E22" t="str">
            <v>Total outstanding dues of creditors other than micro enterprises and small enterprises</v>
          </cell>
          <cell r="F22" t="str">
            <v>Payable - Raw Material Domestic</v>
          </cell>
          <cell r="G22">
            <v>0</v>
          </cell>
          <cell r="H22">
            <v>-171066156.61000001</v>
          </cell>
          <cell r="I22">
            <v>-171066156.61000001</v>
          </cell>
        </row>
        <row r="23">
          <cell r="B23">
            <v>10800002</v>
          </cell>
          <cell r="C23">
            <v>17</v>
          </cell>
          <cell r="D23" t="str">
            <v>Trade payables</v>
          </cell>
          <cell r="E23" t="str">
            <v>Total outstanding dues of creditors other than micro enterprises and small enterprises</v>
          </cell>
          <cell r="F23" t="str">
            <v>Payable - Packing Material</v>
          </cell>
          <cell r="G23">
            <v>0</v>
          </cell>
          <cell r="H23">
            <v>-14420031</v>
          </cell>
          <cell r="I23">
            <v>-14420031</v>
          </cell>
        </row>
        <row r="24">
          <cell r="B24">
            <v>10800003</v>
          </cell>
          <cell r="C24">
            <v>17</v>
          </cell>
          <cell r="D24" t="str">
            <v>Trade payables</v>
          </cell>
          <cell r="E24" t="str">
            <v>Total outstanding dues of creditors other than micro enterprises and small enterprises</v>
          </cell>
          <cell r="F24" t="str">
            <v>Payable - Fuel</v>
          </cell>
          <cell r="G24">
            <v>0</v>
          </cell>
          <cell r="H24">
            <v>-18768723.550000001</v>
          </cell>
          <cell r="I24">
            <v>-18768723.550000001</v>
          </cell>
        </row>
        <row r="25">
          <cell r="B25">
            <v>10800004</v>
          </cell>
          <cell r="C25">
            <v>17</v>
          </cell>
          <cell r="D25" t="str">
            <v>Trade payables</v>
          </cell>
          <cell r="E25" t="str">
            <v>Total outstanding dues of creditors other than micro enterprises and small enterprises</v>
          </cell>
          <cell r="F25" t="str">
            <v>Payable - Others</v>
          </cell>
          <cell r="G25">
            <v>0</v>
          </cell>
          <cell r="H25">
            <v>-210373103.22999901</v>
          </cell>
          <cell r="I25">
            <v>-210373103.22999901</v>
          </cell>
        </row>
        <row r="26">
          <cell r="B26">
            <v>10800005</v>
          </cell>
          <cell r="C26">
            <v>18</v>
          </cell>
          <cell r="D26" t="str">
            <v>Other financial liabilities</v>
          </cell>
          <cell r="E26" t="str">
            <v>Employee benefits payable</v>
          </cell>
          <cell r="F26" t="str">
            <v>Payables - Employees</v>
          </cell>
          <cell r="G26">
            <v>53666.22</v>
          </cell>
          <cell r="H26">
            <v>0</v>
          </cell>
          <cell r="I26">
            <v>53666.22</v>
          </cell>
        </row>
        <row r="27">
          <cell r="B27">
            <v>10900000</v>
          </cell>
          <cell r="C27">
            <v>17</v>
          </cell>
          <cell r="D27" t="str">
            <v>Trade payables</v>
          </cell>
          <cell r="E27" t="str">
            <v>Total outstanding dues of creditors other than micro enterprises and small enterprises</v>
          </cell>
          <cell r="F27" t="str">
            <v>Provision_Other Expenses</v>
          </cell>
          <cell r="G27">
            <v>0</v>
          </cell>
          <cell r="H27">
            <v>-10425974</v>
          </cell>
          <cell r="I27">
            <v>-10425974</v>
          </cell>
        </row>
        <row r="28">
          <cell r="B28">
            <v>20100001</v>
          </cell>
          <cell r="C28">
            <v>17</v>
          </cell>
          <cell r="D28" t="str">
            <v>Trade payables</v>
          </cell>
          <cell r="E28" t="str">
            <v>Total outstanding dues of creditors other than micro enterprises and small enterprises</v>
          </cell>
          <cell r="F28" t="str">
            <v>Capital Advances</v>
          </cell>
          <cell r="G28">
            <v>1766372.27</v>
          </cell>
          <cell r="H28">
            <v>0</v>
          </cell>
          <cell r="I28">
            <v>1766372.27</v>
          </cell>
        </row>
        <row r="29">
          <cell r="B29">
            <v>10900003</v>
          </cell>
          <cell r="C29">
            <v>18</v>
          </cell>
          <cell r="D29" t="str">
            <v>Other financial liabilities</v>
          </cell>
          <cell r="E29" t="str">
            <v>Employee benefits payable</v>
          </cell>
          <cell r="F29" t="str">
            <v>Provision_PF and ESIC Contribution by Company</v>
          </cell>
          <cell r="G29">
            <v>0</v>
          </cell>
          <cell r="H29">
            <v>-311807</v>
          </cell>
          <cell r="I29">
            <v>-311807</v>
          </cell>
        </row>
        <row r="30">
          <cell r="B30">
            <v>10900018</v>
          </cell>
          <cell r="C30">
            <v>18</v>
          </cell>
          <cell r="D30" t="str">
            <v>Other financial liabilities</v>
          </cell>
          <cell r="E30" t="str">
            <v>Employee benefits payable</v>
          </cell>
          <cell r="F30" t="str">
            <v>Salary Payable</v>
          </cell>
          <cell r="G30">
            <v>0</v>
          </cell>
          <cell r="H30">
            <v>-8938804.1999999899</v>
          </cell>
          <cell r="I30">
            <v>-8938804.1999999899</v>
          </cell>
        </row>
        <row r="31">
          <cell r="B31">
            <v>11000001</v>
          </cell>
          <cell r="C31">
            <v>19</v>
          </cell>
          <cell r="D31" t="str">
            <v>Other Current Liabilities</v>
          </cell>
          <cell r="E31" t="str">
            <v xml:space="preserve">Statutory liabilities </v>
          </cell>
          <cell r="F31" t="str">
            <v>TDS_Professional and Consulting_194J</v>
          </cell>
          <cell r="G31">
            <v>0</v>
          </cell>
          <cell r="H31">
            <v>-464786.47999999899</v>
          </cell>
          <cell r="I31">
            <v>-464786.47999999899</v>
          </cell>
        </row>
        <row r="32">
          <cell r="B32">
            <v>11000002</v>
          </cell>
          <cell r="C32">
            <v>19</v>
          </cell>
          <cell r="D32" t="str">
            <v>Other Current Liabilities</v>
          </cell>
          <cell r="E32" t="str">
            <v xml:space="preserve">Statutory liabilities </v>
          </cell>
          <cell r="F32" t="str">
            <v>TDS_Contractors_194C</v>
          </cell>
          <cell r="G32">
            <v>0</v>
          </cell>
          <cell r="H32">
            <v>-477588.16999999899</v>
          </cell>
          <cell r="I32">
            <v>-477588.16999999899</v>
          </cell>
        </row>
        <row r="33">
          <cell r="B33">
            <v>11000003</v>
          </cell>
          <cell r="C33">
            <v>19</v>
          </cell>
          <cell r="D33" t="str">
            <v>Other Current Liabilities</v>
          </cell>
          <cell r="E33" t="str">
            <v xml:space="preserve">Statutory liabilities </v>
          </cell>
          <cell r="F33" t="str">
            <v>TDS_Interest on borrowing_194A</v>
          </cell>
          <cell r="G33">
            <v>501331.83</v>
          </cell>
          <cell r="H33">
            <v>0</v>
          </cell>
          <cell r="I33">
            <v>501331.83</v>
          </cell>
        </row>
        <row r="34">
          <cell r="B34">
            <v>11000005</v>
          </cell>
          <cell r="C34">
            <v>19</v>
          </cell>
          <cell r="D34" t="str">
            <v>Other Current Liabilities</v>
          </cell>
          <cell r="E34" t="str">
            <v xml:space="preserve">Statutory liabilities </v>
          </cell>
          <cell r="F34" t="str">
            <v>TDS_Rent_194I</v>
          </cell>
          <cell r="G34">
            <v>9503</v>
          </cell>
          <cell r="H34">
            <v>0</v>
          </cell>
          <cell r="I34">
            <v>9503</v>
          </cell>
        </row>
        <row r="35">
          <cell r="B35">
            <v>11000006</v>
          </cell>
          <cell r="C35">
            <v>19</v>
          </cell>
          <cell r="D35" t="str">
            <v>Other Current Liabilities</v>
          </cell>
          <cell r="E35" t="str">
            <v xml:space="preserve">Statutory liabilities </v>
          </cell>
          <cell r="F35" t="str">
            <v>TDS_Purchase on Goods_194Q</v>
          </cell>
          <cell r="G35">
            <v>0</v>
          </cell>
          <cell r="H35">
            <v>-72928.729999999894</v>
          </cell>
          <cell r="I35">
            <v>-72928.729999999894</v>
          </cell>
        </row>
        <row r="36">
          <cell r="B36">
            <v>11000007</v>
          </cell>
          <cell r="C36">
            <v>19</v>
          </cell>
          <cell r="D36" t="str">
            <v>Other Current Liabilities</v>
          </cell>
          <cell r="E36" t="str">
            <v xml:space="preserve">Statutory liabilities </v>
          </cell>
          <cell r="F36" t="str">
            <v>TDS_Salary_192</v>
          </cell>
          <cell r="G36">
            <v>0</v>
          </cell>
          <cell r="H36">
            <v>-638454</v>
          </cell>
          <cell r="I36">
            <v>-638454</v>
          </cell>
        </row>
        <row r="37">
          <cell r="B37">
            <v>11000011</v>
          </cell>
          <cell r="C37">
            <v>19</v>
          </cell>
          <cell r="D37" t="str">
            <v>Other Current Liabilities</v>
          </cell>
          <cell r="E37" t="str">
            <v xml:space="preserve">Statutory liabilities </v>
          </cell>
          <cell r="F37" t="str">
            <v>PF Employee Contribution</v>
          </cell>
          <cell r="G37">
            <v>0</v>
          </cell>
          <cell r="H37">
            <v>-439912</v>
          </cell>
          <cell r="I37">
            <v>-439912</v>
          </cell>
        </row>
        <row r="38">
          <cell r="B38">
            <v>11000012</v>
          </cell>
          <cell r="C38">
            <v>19</v>
          </cell>
          <cell r="D38" t="str">
            <v>Other Current Liabilities</v>
          </cell>
          <cell r="E38" t="str">
            <v xml:space="preserve">Statutory liabilities </v>
          </cell>
          <cell r="F38" t="str">
            <v>Professional Tax</v>
          </cell>
          <cell r="G38">
            <v>0</v>
          </cell>
          <cell r="H38">
            <v>-38200</v>
          </cell>
          <cell r="I38">
            <v>-38200</v>
          </cell>
        </row>
        <row r="39">
          <cell r="B39">
            <v>11100002</v>
          </cell>
          <cell r="C39">
            <v>18</v>
          </cell>
          <cell r="D39" t="str">
            <v>Other financial liabilities</v>
          </cell>
          <cell r="E39" t="str">
            <v>Payable for capital goods</v>
          </cell>
          <cell r="F39" t="str">
            <v>Retention Money</v>
          </cell>
          <cell r="G39">
            <v>0</v>
          </cell>
          <cell r="H39">
            <v>-26141126.969999898</v>
          </cell>
          <cell r="I39">
            <v>-26141126.969999898</v>
          </cell>
        </row>
        <row r="40">
          <cell r="B40">
            <v>21000008</v>
          </cell>
          <cell r="C40">
            <v>19</v>
          </cell>
          <cell r="D40" t="str">
            <v>Other Current Liabilities</v>
          </cell>
          <cell r="E40" t="str">
            <v xml:space="preserve">Statutory liabilities </v>
          </cell>
          <cell r="F40" t="str">
            <v>CGST Payable</v>
          </cell>
          <cell r="G40">
            <v>0</v>
          </cell>
          <cell r="H40">
            <v>-7599332.5</v>
          </cell>
          <cell r="I40">
            <v>-7599332.5</v>
          </cell>
        </row>
        <row r="41">
          <cell r="B41">
            <v>21000009</v>
          </cell>
          <cell r="C41">
            <v>19</v>
          </cell>
          <cell r="D41" t="str">
            <v>Other Current Liabilities</v>
          </cell>
          <cell r="E41" t="str">
            <v xml:space="preserve">Statutory liabilities </v>
          </cell>
          <cell r="F41" t="str">
            <v>SGST Payable</v>
          </cell>
          <cell r="G41">
            <v>0</v>
          </cell>
          <cell r="H41">
            <v>-7599332.5</v>
          </cell>
          <cell r="I41">
            <v>-7599332.5</v>
          </cell>
        </row>
        <row r="42">
          <cell r="B42">
            <v>21000010</v>
          </cell>
          <cell r="C42">
            <v>19</v>
          </cell>
          <cell r="D42" t="str">
            <v>Other Current Liabilities</v>
          </cell>
          <cell r="E42" t="str">
            <v xml:space="preserve">Statutory liabilities </v>
          </cell>
          <cell r="F42" t="str">
            <v>IGST Payable</v>
          </cell>
          <cell r="G42">
            <v>0</v>
          </cell>
          <cell r="H42">
            <v>-19746216.530000001</v>
          </cell>
          <cell r="I42">
            <v>-19746216.530000001</v>
          </cell>
        </row>
        <row r="43">
          <cell r="B43">
            <v>80000000</v>
          </cell>
          <cell r="C43">
            <v>17</v>
          </cell>
          <cell r="D43" t="str">
            <v>Trade payables</v>
          </cell>
          <cell r="E43" t="str">
            <v>Total outstanding dues of creditors other than micro enterprises and small enterprises</v>
          </cell>
          <cell r="F43" t="str">
            <v>Clearing Material</v>
          </cell>
          <cell r="G43">
            <v>0</v>
          </cell>
          <cell r="H43">
            <v>-2622406</v>
          </cell>
          <cell r="I43">
            <v>-2622406</v>
          </cell>
        </row>
        <row r="44">
          <cell r="B44">
            <v>80000002</v>
          </cell>
          <cell r="C44">
            <v>17</v>
          </cell>
          <cell r="D44" t="str">
            <v>Trade payables</v>
          </cell>
          <cell r="E44" t="str">
            <v>Total outstanding dues of creditors other than micro enterprises and small enterprises</v>
          </cell>
          <cell r="F44" t="str">
            <v>Cntrl Stores&amp; Spares</v>
          </cell>
          <cell r="G44">
            <v>0</v>
          </cell>
          <cell r="H44">
            <v>-539178.33999999904</v>
          </cell>
          <cell r="I44">
            <v>-539178.33999999904</v>
          </cell>
        </row>
        <row r="45">
          <cell r="B45">
            <v>80000003</v>
          </cell>
          <cell r="C45">
            <v>17</v>
          </cell>
          <cell r="D45" t="str">
            <v>Trade payables</v>
          </cell>
          <cell r="E45" t="str">
            <v>Total outstanding dues of creditors other than micro enterprises and small enterprises</v>
          </cell>
          <cell r="F45" t="str">
            <v>Import cost Ctrl GL</v>
          </cell>
          <cell r="G45">
            <v>0</v>
          </cell>
          <cell r="H45">
            <v>0</v>
          </cell>
          <cell r="I45">
            <v>0</v>
          </cell>
        </row>
        <row r="46">
          <cell r="B46">
            <v>80000008</v>
          </cell>
          <cell r="C46">
            <v>17</v>
          </cell>
          <cell r="D46" t="str">
            <v>Trade payables</v>
          </cell>
          <cell r="E46" t="str">
            <v>Total outstanding dues of creditors other than micro enterprises and small enterprises</v>
          </cell>
          <cell r="F46" t="str">
            <v>Clearing  Services</v>
          </cell>
          <cell r="G46">
            <v>0</v>
          </cell>
          <cell r="H46">
            <v>-1780809.52</v>
          </cell>
          <cell r="I46">
            <v>-1780809.52</v>
          </cell>
        </row>
        <row r="47">
          <cell r="B47">
            <v>80000022</v>
          </cell>
          <cell r="C47">
            <v>17</v>
          </cell>
          <cell r="D47" t="str">
            <v>Trade payables</v>
          </cell>
          <cell r="E47" t="str">
            <v>Total outstanding dues of creditors other than micro enterprises and small enterprises</v>
          </cell>
          <cell r="F47" t="str">
            <v>AUC Down Payment</v>
          </cell>
          <cell r="G47">
            <v>0</v>
          </cell>
          <cell r="H47">
            <v>0</v>
          </cell>
          <cell r="I47">
            <v>0</v>
          </cell>
        </row>
        <row r="48">
          <cell r="B48">
            <v>10800007</v>
          </cell>
          <cell r="C48">
            <v>17</v>
          </cell>
          <cell r="D48" t="str">
            <v>Trade payables</v>
          </cell>
          <cell r="E48" t="str">
            <v>Total outstanding dues of creditors other than micro enterprises and small enterprises</v>
          </cell>
          <cell r="F48" t="str">
            <v>Payable - Forex</v>
          </cell>
          <cell r="G48">
            <v>0</v>
          </cell>
          <cell r="H48">
            <v>-133172.57</v>
          </cell>
          <cell r="I48">
            <v>-133172.57</v>
          </cell>
        </row>
        <row r="49">
          <cell r="B49">
            <v>10900016</v>
          </cell>
          <cell r="C49">
            <v>18</v>
          </cell>
          <cell r="D49" t="str">
            <v>Other financial liabilities</v>
          </cell>
          <cell r="E49" t="str">
            <v>Employee benefits payable</v>
          </cell>
          <cell r="F49" t="str">
            <v>Provision_Incentive</v>
          </cell>
          <cell r="G49">
            <v>0</v>
          </cell>
          <cell r="H49">
            <v>-280000</v>
          </cell>
          <cell r="I49">
            <v>-280000</v>
          </cell>
        </row>
        <row r="50">
          <cell r="B50">
            <v>10900013</v>
          </cell>
          <cell r="C50">
            <v>17</v>
          </cell>
          <cell r="D50" t="str">
            <v>Trade payables</v>
          </cell>
          <cell r="E50" t="str">
            <v>Total outstanding dues of creditors other than micro enterprises and small enterprises</v>
          </cell>
          <cell r="F50" t="str">
            <v>Provision_MSME Interest</v>
          </cell>
          <cell r="G50">
            <v>0</v>
          </cell>
          <cell r="H50">
            <v>-6369417.54</v>
          </cell>
          <cell r="I50">
            <v>-6369417.54</v>
          </cell>
        </row>
        <row r="51">
          <cell r="B51">
            <v>10900015</v>
          </cell>
          <cell r="C51">
            <v>7</v>
          </cell>
          <cell r="D51" t="str">
            <v>Other Tax Assets (Net)</v>
          </cell>
          <cell r="E51" t="str">
            <v>Income tax liabilities (Net)</v>
          </cell>
          <cell r="F51" t="str">
            <v>Provision_Income Tax</v>
          </cell>
          <cell r="G51">
            <v>0</v>
          </cell>
          <cell r="H51">
            <v>0</v>
          </cell>
          <cell r="I51">
            <v>0</v>
          </cell>
        </row>
        <row r="52">
          <cell r="B52">
            <v>20000000</v>
          </cell>
          <cell r="C52">
            <v>3</v>
          </cell>
          <cell r="D52" t="str">
            <v>Property, Plant and Equipment</v>
          </cell>
          <cell r="E52" t="str">
            <v>Property, plant &amp; equipment</v>
          </cell>
          <cell r="F52" t="str">
            <v>Freehold land</v>
          </cell>
          <cell r="G52">
            <v>93599471</v>
          </cell>
          <cell r="H52">
            <v>0</v>
          </cell>
          <cell r="I52">
            <v>93599471</v>
          </cell>
        </row>
        <row r="53">
          <cell r="B53">
            <v>20000001</v>
          </cell>
          <cell r="C53">
            <v>3</v>
          </cell>
          <cell r="D53" t="str">
            <v>Property, Plant and Equipment</v>
          </cell>
          <cell r="E53" t="str">
            <v>Building</v>
          </cell>
          <cell r="F53" t="str">
            <v>Building</v>
          </cell>
          <cell r="G53">
            <v>1479680939.8</v>
          </cell>
          <cell r="H53">
            <v>0</v>
          </cell>
          <cell r="I53">
            <v>1479680939.8</v>
          </cell>
        </row>
        <row r="54">
          <cell r="B54">
            <v>20000002</v>
          </cell>
          <cell r="C54">
            <v>3</v>
          </cell>
          <cell r="D54" t="str">
            <v>Property, Plant and Equipment</v>
          </cell>
          <cell r="E54" t="str">
            <v>Building</v>
          </cell>
          <cell r="F54" t="str">
            <v>ACC_DEP_Building</v>
          </cell>
          <cell r="G54">
            <v>0</v>
          </cell>
          <cell r="H54">
            <v>-61660581.240000002</v>
          </cell>
          <cell r="I54">
            <v>-61660581.240000002</v>
          </cell>
        </row>
        <row r="55">
          <cell r="B55">
            <v>20000003</v>
          </cell>
          <cell r="C55">
            <v>3</v>
          </cell>
          <cell r="D55" t="str">
            <v>Property, Plant and Equipment</v>
          </cell>
          <cell r="E55" t="str">
            <v>Property, plant &amp; equipment</v>
          </cell>
          <cell r="F55" t="str">
            <v>Plant and machinery</v>
          </cell>
          <cell r="G55">
            <v>3392187765.54</v>
          </cell>
          <cell r="H55">
            <v>0</v>
          </cell>
          <cell r="I55">
            <v>3392187765.54</v>
          </cell>
        </row>
        <row r="56">
          <cell r="B56">
            <v>20000004</v>
          </cell>
          <cell r="C56">
            <v>3</v>
          </cell>
          <cell r="D56" t="str">
            <v>Property, Plant and Equipment</v>
          </cell>
          <cell r="E56" t="str">
            <v>Property, plant &amp; equipment</v>
          </cell>
          <cell r="F56" t="str">
            <v>ACC_DEP_Plant and machinery</v>
          </cell>
          <cell r="G56">
            <v>0</v>
          </cell>
          <cell r="H56">
            <v>-254591165.97999901</v>
          </cell>
          <cell r="I56">
            <v>-254591165.97999901</v>
          </cell>
        </row>
        <row r="57">
          <cell r="B57">
            <v>20000007</v>
          </cell>
          <cell r="C57">
            <v>3</v>
          </cell>
          <cell r="D57" t="str">
            <v>Property, Plant and Equipment</v>
          </cell>
          <cell r="E57" t="str">
            <v>Computers</v>
          </cell>
          <cell r="F57" t="str">
            <v>Computers</v>
          </cell>
          <cell r="G57">
            <v>16903685.710000001</v>
          </cell>
          <cell r="H57">
            <v>0</v>
          </cell>
          <cell r="I57">
            <v>16903685.710000001</v>
          </cell>
        </row>
        <row r="58">
          <cell r="B58">
            <v>20000008</v>
          </cell>
          <cell r="C58">
            <v>3</v>
          </cell>
          <cell r="D58" t="str">
            <v>Property, Plant and Equipment</v>
          </cell>
          <cell r="E58" t="str">
            <v>Computers</v>
          </cell>
          <cell r="F58" t="str">
            <v>ACC_DEP_Computers</v>
          </cell>
          <cell r="G58">
            <v>0</v>
          </cell>
          <cell r="H58">
            <v>-3925309.41</v>
          </cell>
          <cell r="I58">
            <v>-3925309.41</v>
          </cell>
        </row>
        <row r="59">
          <cell r="B59">
            <v>20000006</v>
          </cell>
          <cell r="C59">
            <v>3</v>
          </cell>
          <cell r="D59" t="str">
            <v>Property, Plant and Equipment</v>
          </cell>
          <cell r="E59" t="str">
            <v>Office Equipment</v>
          </cell>
          <cell r="F59" t="str">
            <v>ACC_DEP_Office equim</v>
          </cell>
          <cell r="G59">
            <v>0</v>
          </cell>
          <cell r="H59">
            <v>-3615982.95</v>
          </cell>
          <cell r="I59">
            <v>-3615982.95</v>
          </cell>
        </row>
        <row r="60">
          <cell r="B60">
            <v>20000010</v>
          </cell>
          <cell r="C60">
            <v>3</v>
          </cell>
          <cell r="D60" t="str">
            <v>Property, Plant and Equipment</v>
          </cell>
          <cell r="E60" t="str">
            <v>Furniture &amp; Fixture</v>
          </cell>
          <cell r="F60" t="str">
            <v>ACC_DEP_Furniture an</v>
          </cell>
          <cell r="G60">
            <v>0</v>
          </cell>
          <cell r="H60">
            <v>-1902111.77</v>
          </cell>
          <cell r="I60">
            <v>-1902111.77</v>
          </cell>
        </row>
        <row r="61">
          <cell r="B61">
            <v>20000012</v>
          </cell>
          <cell r="C61">
            <v>3</v>
          </cell>
          <cell r="D61" t="str">
            <v>Property, Plant and Equipment</v>
          </cell>
          <cell r="E61" t="str">
            <v>Electrical Fittings</v>
          </cell>
          <cell r="F61" t="str">
            <v>ACC_DEP_Electrical f</v>
          </cell>
          <cell r="G61">
            <v>0</v>
          </cell>
          <cell r="H61">
            <v>-12368503.99</v>
          </cell>
          <cell r="I61">
            <v>-12368503.99</v>
          </cell>
        </row>
        <row r="62">
          <cell r="B62">
            <v>20000016</v>
          </cell>
          <cell r="C62">
            <v>3</v>
          </cell>
          <cell r="D62" t="str">
            <v>Property, Plant and Equipment</v>
          </cell>
          <cell r="E62" t="str">
            <v>Intangible Assets</v>
          </cell>
          <cell r="F62" t="str">
            <v>ACC_DEP_Computer Sof</v>
          </cell>
          <cell r="G62">
            <v>0</v>
          </cell>
          <cell r="H62">
            <v>-1304869.2</v>
          </cell>
          <cell r="I62">
            <v>-1304869.2</v>
          </cell>
        </row>
        <row r="63">
          <cell r="B63">
            <v>20000017</v>
          </cell>
          <cell r="C63">
            <v>3</v>
          </cell>
          <cell r="D63" t="str">
            <v>Property, Plant and Equipment</v>
          </cell>
          <cell r="E63" t="str">
            <v>Right of Use Assets</v>
          </cell>
          <cell r="F63" t="str">
            <v>Leasehold Land</v>
          </cell>
          <cell r="G63">
            <v>324389641</v>
          </cell>
          <cell r="H63">
            <v>0</v>
          </cell>
          <cell r="I63">
            <v>324389641</v>
          </cell>
        </row>
        <row r="64">
          <cell r="B64">
            <v>20000018</v>
          </cell>
          <cell r="C64">
            <v>3</v>
          </cell>
          <cell r="D64" t="str">
            <v>Property, Plant and Equipment</v>
          </cell>
          <cell r="E64" t="str">
            <v>Right of Use Assets</v>
          </cell>
          <cell r="F64" t="str">
            <v>ACC_DEP_Leased Land</v>
          </cell>
          <cell r="G64">
            <v>0</v>
          </cell>
          <cell r="H64">
            <v>-11608889.09</v>
          </cell>
          <cell r="I64">
            <v>-11608889.09</v>
          </cell>
        </row>
        <row r="65">
          <cell r="B65">
            <v>20100000</v>
          </cell>
          <cell r="C65">
            <v>3</v>
          </cell>
          <cell r="D65" t="str">
            <v>Property, Plant and Equipment</v>
          </cell>
          <cell r="E65" t="str">
            <v>Capital work-in-progress</v>
          </cell>
          <cell r="F65" t="str">
            <v>Capital Work In Progress</v>
          </cell>
          <cell r="G65">
            <v>108172703.37</v>
          </cell>
          <cell r="H65">
            <v>0</v>
          </cell>
          <cell r="I65">
            <v>108172703.37</v>
          </cell>
        </row>
        <row r="66">
          <cell r="B66">
            <v>20100002</v>
          </cell>
          <cell r="C66">
            <v>3</v>
          </cell>
          <cell r="D66" t="str">
            <v>Property, Plant and Equipment</v>
          </cell>
          <cell r="E66" t="str">
            <v>Capital work-in-progress</v>
          </cell>
          <cell r="F66" t="str">
            <v>Capital Work In Progress - Internal Orders</v>
          </cell>
          <cell r="G66">
            <v>0</v>
          </cell>
          <cell r="H66">
            <v>-37165722</v>
          </cell>
          <cell r="I66">
            <v>-37165722</v>
          </cell>
        </row>
        <row r="67">
          <cell r="B67">
            <v>20100004</v>
          </cell>
          <cell r="C67">
            <v>3</v>
          </cell>
          <cell r="D67" t="str">
            <v>Property, Plant and Equipment</v>
          </cell>
          <cell r="E67" t="str">
            <v>Capital work-in-progress</v>
          </cell>
          <cell r="F67" t="str">
            <v>AUC Cost</v>
          </cell>
          <cell r="G67">
            <v>41000</v>
          </cell>
          <cell r="H67">
            <v>0</v>
          </cell>
          <cell r="I67">
            <v>41000</v>
          </cell>
        </row>
        <row r="68">
          <cell r="B68">
            <v>40700034</v>
          </cell>
          <cell r="C68">
            <v>3</v>
          </cell>
          <cell r="D68" t="str">
            <v>Property, Plant and Equipment</v>
          </cell>
          <cell r="E68" t="str">
            <v>Capital work-in-progress</v>
          </cell>
          <cell r="F68" t="str">
            <v>Project Expenses</v>
          </cell>
          <cell r="G68">
            <v>1533279.57</v>
          </cell>
          <cell r="H68">
            <v>0</v>
          </cell>
          <cell r="I68">
            <v>1533279.57</v>
          </cell>
        </row>
        <row r="69">
          <cell r="B69">
            <v>20000005</v>
          </cell>
          <cell r="C69">
            <v>3</v>
          </cell>
          <cell r="D69" t="str">
            <v>Property, Plant and Equipment</v>
          </cell>
          <cell r="E69" t="str">
            <v>Office Equipment</v>
          </cell>
          <cell r="F69" t="str">
            <v>Office Equipment</v>
          </cell>
          <cell r="G69">
            <v>19595727</v>
          </cell>
          <cell r="H69">
            <v>0</v>
          </cell>
          <cell r="I69">
            <v>19595727</v>
          </cell>
        </row>
        <row r="70">
          <cell r="B70">
            <v>20000009</v>
          </cell>
          <cell r="C70">
            <v>3</v>
          </cell>
          <cell r="D70" t="str">
            <v>Property, Plant and Equipment</v>
          </cell>
          <cell r="E70" t="str">
            <v>Furniture &amp; Fixture</v>
          </cell>
          <cell r="F70" t="str">
            <v>Furniture &amp; Fixture</v>
          </cell>
          <cell r="G70">
            <v>20587570.109999899</v>
          </cell>
          <cell r="H70">
            <v>0</v>
          </cell>
          <cell r="I70">
            <v>20587570.109999899</v>
          </cell>
        </row>
        <row r="71">
          <cell r="B71">
            <v>20000011</v>
          </cell>
          <cell r="C71">
            <v>3</v>
          </cell>
          <cell r="D71" t="str">
            <v>Property, Plant and Equipment</v>
          </cell>
          <cell r="E71" t="str">
            <v>Electrical Fittings</v>
          </cell>
          <cell r="F71" t="str">
            <v>Electrical Fittings</v>
          </cell>
          <cell r="G71">
            <v>133696777.7</v>
          </cell>
          <cell r="H71">
            <v>0</v>
          </cell>
          <cell r="I71">
            <v>133696777.7</v>
          </cell>
        </row>
        <row r="72">
          <cell r="B72">
            <v>20000015</v>
          </cell>
          <cell r="C72">
            <v>3</v>
          </cell>
          <cell r="D72" t="str">
            <v>Property, Plant and Equipment</v>
          </cell>
          <cell r="E72" t="str">
            <v>Intangible Assets</v>
          </cell>
          <cell r="F72" t="str">
            <v>Computer Software</v>
          </cell>
          <cell r="G72">
            <v>4679369.24</v>
          </cell>
          <cell r="H72">
            <v>0</v>
          </cell>
          <cell r="I72">
            <v>4679369.24</v>
          </cell>
        </row>
        <row r="73">
          <cell r="B73">
            <v>20100003</v>
          </cell>
          <cell r="C73">
            <v>3</v>
          </cell>
          <cell r="D73" t="str">
            <v>Property, Plant and Equipment</v>
          </cell>
          <cell r="E73" t="str">
            <v>Capital work-in-progress</v>
          </cell>
          <cell r="F73" t="str">
            <v>Capita Adv Audit Adj</v>
          </cell>
          <cell r="G73">
            <v>0</v>
          </cell>
          <cell r="H73">
            <v>-41060</v>
          </cell>
          <cell r="I73">
            <v>-41060</v>
          </cell>
        </row>
        <row r="74">
          <cell r="B74">
            <v>20300000</v>
          </cell>
          <cell r="C74">
            <v>6</v>
          </cell>
          <cell r="D74" t="str">
            <v>Other financial assets</v>
          </cell>
          <cell r="E74" t="str">
            <v>Security deposits</v>
          </cell>
          <cell r="F74" t="str">
            <v>Deposit_Other</v>
          </cell>
          <cell r="G74">
            <v>28576560</v>
          </cell>
          <cell r="H74">
            <v>0</v>
          </cell>
          <cell r="I74">
            <v>28576560</v>
          </cell>
        </row>
        <row r="75">
          <cell r="B75">
            <v>20300004</v>
          </cell>
          <cell r="C75">
            <v>6</v>
          </cell>
          <cell r="D75" t="str">
            <v>Other financial assets</v>
          </cell>
          <cell r="E75" t="str">
            <v>Security deposits</v>
          </cell>
          <cell r="F75" t="str">
            <v>Deposit_Prohibition and Excise</v>
          </cell>
          <cell r="G75">
            <v>1000</v>
          </cell>
          <cell r="H75">
            <v>0</v>
          </cell>
          <cell r="I75">
            <v>1000</v>
          </cell>
        </row>
        <row r="76">
          <cell r="B76">
            <v>20400001</v>
          </cell>
          <cell r="C76">
            <v>4</v>
          </cell>
          <cell r="D76" t="str">
            <v>Deferred Tax Liabilities (Net)</v>
          </cell>
          <cell r="E76" t="str">
            <v>Deferred Tax Liabilities (Net)</v>
          </cell>
          <cell r="F76" t="str">
            <v>IND AS - Deferred Tax Assets</v>
          </cell>
          <cell r="G76">
            <v>95917.279999999897</v>
          </cell>
          <cell r="H76">
            <v>0</v>
          </cell>
          <cell r="I76">
            <v>95917.279999999897</v>
          </cell>
        </row>
        <row r="77">
          <cell r="B77">
            <v>20500000</v>
          </cell>
          <cell r="C77">
            <v>9</v>
          </cell>
          <cell r="D77" t="str">
            <v>Inventories</v>
          </cell>
          <cell r="E77" t="str">
            <v>Raw materials</v>
          </cell>
          <cell r="F77" t="str">
            <v>Raw Material Stock</v>
          </cell>
          <cell r="G77">
            <v>146823303.30000001</v>
          </cell>
          <cell r="H77">
            <v>0</v>
          </cell>
          <cell r="I77">
            <v>146823303.30000001</v>
          </cell>
        </row>
        <row r="78">
          <cell r="B78">
            <v>20500001</v>
          </cell>
          <cell r="C78">
            <v>9</v>
          </cell>
          <cell r="D78" t="str">
            <v>Inventories</v>
          </cell>
          <cell r="E78" t="str">
            <v>Packing material</v>
          </cell>
          <cell r="F78" t="str">
            <v>Packing Material Stock</v>
          </cell>
          <cell r="G78">
            <v>7459146.2699999902</v>
          </cell>
          <cell r="H78">
            <v>0</v>
          </cell>
          <cell r="I78">
            <v>7459146.2699999902</v>
          </cell>
        </row>
        <row r="79">
          <cell r="B79">
            <v>20500002</v>
          </cell>
          <cell r="C79">
            <v>9</v>
          </cell>
          <cell r="D79" t="str">
            <v>Inventories</v>
          </cell>
          <cell r="E79" t="str">
            <v>Stores and spares</v>
          </cell>
          <cell r="F79" t="str">
            <v>Fuel Stock</v>
          </cell>
          <cell r="G79">
            <v>3473768.3399999901</v>
          </cell>
          <cell r="H79">
            <v>0</v>
          </cell>
          <cell r="I79">
            <v>3473768.3399999901</v>
          </cell>
        </row>
        <row r="80">
          <cell r="B80">
            <v>20500003</v>
          </cell>
          <cell r="C80">
            <v>9</v>
          </cell>
          <cell r="D80" t="str">
            <v>Inventories</v>
          </cell>
          <cell r="E80" t="str">
            <v>Work-in-progress</v>
          </cell>
          <cell r="F80" t="str">
            <v>SFG Stock in Plants</v>
          </cell>
          <cell r="G80">
            <v>179854423.22</v>
          </cell>
          <cell r="H80">
            <v>0</v>
          </cell>
          <cell r="I80">
            <v>179854423.22</v>
          </cell>
        </row>
        <row r="81">
          <cell r="B81">
            <v>20500005</v>
          </cell>
          <cell r="C81">
            <v>9</v>
          </cell>
          <cell r="D81" t="str">
            <v>Inventories</v>
          </cell>
          <cell r="E81" t="str">
            <v>Stores and spares</v>
          </cell>
          <cell r="F81" t="str">
            <v>Store and Spares -</v>
          </cell>
          <cell r="G81">
            <v>21996787.43</v>
          </cell>
          <cell r="H81">
            <v>0</v>
          </cell>
          <cell r="I81">
            <v>21996787.43</v>
          </cell>
        </row>
        <row r="82">
          <cell r="B82">
            <v>20500006</v>
          </cell>
          <cell r="C82">
            <v>9</v>
          </cell>
          <cell r="D82" t="str">
            <v>Inventories</v>
          </cell>
          <cell r="E82" t="str">
            <v>Finished goods*</v>
          </cell>
          <cell r="F82" t="str">
            <v>Goods In Transit - Sales</v>
          </cell>
          <cell r="G82">
            <v>0</v>
          </cell>
          <cell r="H82">
            <v>0</v>
          </cell>
          <cell r="I82">
            <v>0</v>
          </cell>
        </row>
        <row r="83">
          <cell r="B83">
            <v>20500008</v>
          </cell>
          <cell r="C83">
            <v>9</v>
          </cell>
          <cell r="D83" t="str">
            <v>Inventories</v>
          </cell>
          <cell r="E83" t="str">
            <v>Work-in-progress</v>
          </cell>
          <cell r="F83" t="str">
            <v>Inventory_Manual Entry</v>
          </cell>
          <cell r="G83">
            <v>14409541</v>
          </cell>
          <cell r="H83">
            <v>0</v>
          </cell>
          <cell r="I83">
            <v>14409541</v>
          </cell>
        </row>
        <row r="84">
          <cell r="B84">
            <v>20600001</v>
          </cell>
          <cell r="C84">
            <v>10</v>
          </cell>
          <cell r="D84" t="str">
            <v>Trade receivables</v>
          </cell>
          <cell r="E84" t="str">
            <v>Considered good - unsecured</v>
          </cell>
          <cell r="F84" t="str">
            <v>Receivables-Domestic</v>
          </cell>
          <cell r="G84">
            <v>91356398.879999906</v>
          </cell>
          <cell r="H84">
            <v>0</v>
          </cell>
          <cell r="I84">
            <v>91356398.879999906</v>
          </cell>
        </row>
        <row r="85">
          <cell r="B85">
            <v>20600004</v>
          </cell>
          <cell r="C85">
            <v>10</v>
          </cell>
          <cell r="D85" t="str">
            <v>Trade receivables</v>
          </cell>
          <cell r="E85" t="str">
            <v>Considered good - unsecured</v>
          </cell>
          <cell r="F85" t="str">
            <v>Receivables- Scrap</v>
          </cell>
          <cell r="G85">
            <v>561124.69999999902</v>
          </cell>
          <cell r="H85">
            <v>0</v>
          </cell>
          <cell r="I85">
            <v>561124.69999999902</v>
          </cell>
        </row>
        <row r="86">
          <cell r="B86">
            <v>20600006</v>
          </cell>
          <cell r="C86">
            <v>10</v>
          </cell>
          <cell r="D86" t="str">
            <v>Trade receivables</v>
          </cell>
          <cell r="E86" t="str">
            <v>Considered good - unsecured</v>
          </cell>
          <cell r="F86" t="str">
            <v>Receivables- GIT</v>
          </cell>
          <cell r="G86">
            <v>0</v>
          </cell>
          <cell r="H86">
            <v>0</v>
          </cell>
          <cell r="I86">
            <v>0</v>
          </cell>
        </row>
        <row r="87">
          <cell r="B87">
            <v>20600009</v>
          </cell>
          <cell r="C87">
            <v>10</v>
          </cell>
          <cell r="D87" t="str">
            <v>Trade receivables</v>
          </cell>
          <cell r="E87" t="str">
            <v>Considered good - unsecured</v>
          </cell>
          <cell r="F87" t="str">
            <v>Receivables- Advance</v>
          </cell>
          <cell r="G87">
            <v>0</v>
          </cell>
          <cell r="H87">
            <v>-251507.7</v>
          </cell>
          <cell r="I87">
            <v>-251507.7</v>
          </cell>
        </row>
        <row r="88">
          <cell r="B88">
            <v>20800110</v>
          </cell>
          <cell r="C88">
            <v>15</v>
          </cell>
          <cell r="D88" t="str">
            <v>Borrowings</v>
          </cell>
          <cell r="E88" t="str">
            <v>Working Capital Loans from Bank</v>
          </cell>
          <cell r="F88" t="str">
            <v>CA_HDFC_57500000732637</v>
          </cell>
          <cell r="G88">
            <v>475424.47999999899</v>
          </cell>
          <cell r="H88">
            <v>0</v>
          </cell>
          <cell r="I88">
            <v>475424.47999999899</v>
          </cell>
        </row>
        <row r="89">
          <cell r="B89">
            <v>20800111</v>
          </cell>
          <cell r="C89">
            <v>15</v>
          </cell>
          <cell r="D89" t="str">
            <v>Borrowings</v>
          </cell>
          <cell r="E89" t="str">
            <v>Working Capital Loans from Bank</v>
          </cell>
          <cell r="F89" t="str">
            <v>CA_HDFC_57500000732637</v>
          </cell>
          <cell r="G89">
            <v>2330759666.4000001</v>
          </cell>
          <cell r="H89">
            <v>0</v>
          </cell>
          <cell r="I89">
            <v>2330759666.4000001</v>
          </cell>
        </row>
        <row r="90">
          <cell r="B90">
            <v>20800112</v>
          </cell>
          <cell r="C90">
            <v>15</v>
          </cell>
          <cell r="D90" t="str">
            <v>Borrowings</v>
          </cell>
          <cell r="E90" t="str">
            <v>Working Capital Loans from Bank</v>
          </cell>
          <cell r="F90" t="str">
            <v>CA_HDFC_57500000732637</v>
          </cell>
          <cell r="G90">
            <v>0</v>
          </cell>
          <cell r="H90">
            <v>-2430179933.6199899</v>
          </cell>
          <cell r="I90">
            <v>-2430179933.6199899</v>
          </cell>
        </row>
        <row r="91">
          <cell r="B91">
            <v>20800121</v>
          </cell>
          <cell r="C91">
            <v>11</v>
          </cell>
          <cell r="D91" t="str">
            <v>Cash &amp; Cash Equivalents</v>
          </cell>
          <cell r="E91" t="str">
            <v>Balance with banks</v>
          </cell>
          <cell r="F91" t="str">
            <v>CA_Axis_923020022099965</v>
          </cell>
          <cell r="G91">
            <v>5914359651.96</v>
          </cell>
          <cell r="H91">
            <v>0</v>
          </cell>
          <cell r="I91">
            <v>5914359651.96</v>
          </cell>
        </row>
        <row r="92">
          <cell r="B92">
            <v>20800122</v>
          </cell>
          <cell r="C92">
            <v>11</v>
          </cell>
          <cell r="D92" t="str">
            <v>Cash &amp; Cash Equivalents</v>
          </cell>
          <cell r="E92" t="str">
            <v>Balance with banks</v>
          </cell>
          <cell r="F92" t="str">
            <v>CA_Axis_923020022099965</v>
          </cell>
          <cell r="G92">
            <v>0</v>
          </cell>
          <cell r="H92">
            <v>-5913754243.0799904</v>
          </cell>
          <cell r="I92">
            <v>-5913754243.0799904</v>
          </cell>
        </row>
        <row r="93">
          <cell r="B93">
            <v>20900003</v>
          </cell>
          <cell r="C93">
            <v>6</v>
          </cell>
          <cell r="D93" t="str">
            <v>Other financial assets</v>
          </cell>
          <cell r="E93" t="str">
            <v>Bank Deposit with more than 12 months of maturity</v>
          </cell>
          <cell r="F93" t="str">
            <v>FD_Axis</v>
          </cell>
          <cell r="G93">
            <v>5275440</v>
          </cell>
          <cell r="H93">
            <v>0</v>
          </cell>
          <cell r="I93">
            <v>5275440</v>
          </cell>
        </row>
        <row r="94">
          <cell r="B94">
            <v>21000003</v>
          </cell>
          <cell r="C94">
            <v>7</v>
          </cell>
          <cell r="D94" t="str">
            <v>Other Tax Assets (Net)</v>
          </cell>
          <cell r="E94" t="str">
            <v>Other Tax Asset (Net)</v>
          </cell>
          <cell r="F94" t="str">
            <v>TDS Receiveable_194Q</v>
          </cell>
          <cell r="G94">
            <v>402614.84</v>
          </cell>
          <cell r="H94">
            <v>0</v>
          </cell>
          <cell r="I94">
            <v>402614.84</v>
          </cell>
        </row>
        <row r="95">
          <cell r="B95">
            <v>21000004</v>
          </cell>
          <cell r="C95">
            <v>7</v>
          </cell>
          <cell r="D95" t="str">
            <v>Other Tax Assets (Net)</v>
          </cell>
          <cell r="E95" t="str">
            <v>Other Tax Asset (Net)</v>
          </cell>
          <cell r="F95" t="str">
            <v>TDS Receivable_Other</v>
          </cell>
          <cell r="G95">
            <v>1307717.08</v>
          </cell>
          <cell r="H95">
            <v>0</v>
          </cell>
          <cell r="I95">
            <v>1307717.08</v>
          </cell>
        </row>
        <row r="96">
          <cell r="B96">
            <v>21000011</v>
          </cell>
          <cell r="C96">
            <v>12</v>
          </cell>
          <cell r="D96" t="str">
            <v>Other Current Assets</v>
          </cell>
          <cell r="E96" t="str">
            <v>Balances with Government Authorities</v>
          </cell>
          <cell r="F96" t="str">
            <v>CGST Receivable</v>
          </cell>
          <cell r="G96">
            <v>280938322.91000003</v>
          </cell>
          <cell r="H96">
            <v>0</v>
          </cell>
          <cell r="I96">
            <v>280938322.91000003</v>
          </cell>
        </row>
        <row r="97">
          <cell r="B97">
            <v>21000012</v>
          </cell>
          <cell r="C97">
            <v>12</v>
          </cell>
          <cell r="D97" t="str">
            <v>Other Current Assets</v>
          </cell>
          <cell r="E97" t="str">
            <v>Balances with Government Authorities</v>
          </cell>
          <cell r="F97" t="str">
            <v>IGST Receivable</v>
          </cell>
          <cell r="G97">
            <v>8342422.2599999905</v>
          </cell>
          <cell r="H97">
            <v>0</v>
          </cell>
          <cell r="I97">
            <v>8342422.2599999905</v>
          </cell>
        </row>
        <row r="98">
          <cell r="B98">
            <v>21000013</v>
          </cell>
          <cell r="C98">
            <v>12</v>
          </cell>
          <cell r="D98" t="str">
            <v>Other Current Assets</v>
          </cell>
          <cell r="E98" t="str">
            <v>Balances with Government Authorities</v>
          </cell>
          <cell r="F98" t="str">
            <v>SGST Receivable</v>
          </cell>
          <cell r="G98">
            <v>277012390.91000003</v>
          </cell>
          <cell r="H98">
            <v>0</v>
          </cell>
          <cell r="I98">
            <v>277012390.91000003</v>
          </cell>
        </row>
        <row r="99">
          <cell r="B99">
            <v>21000016</v>
          </cell>
          <cell r="C99">
            <v>7</v>
          </cell>
          <cell r="D99" t="str">
            <v>Other Tax Assets (Net)</v>
          </cell>
          <cell r="E99" t="str">
            <v>Other Tax Asset (Net)</v>
          </cell>
          <cell r="F99" t="str">
            <v>TCS Receivable</v>
          </cell>
          <cell r="G99">
            <v>24207.58</v>
          </cell>
          <cell r="H99">
            <v>0</v>
          </cell>
          <cell r="I99">
            <v>24207.58</v>
          </cell>
        </row>
        <row r="100">
          <cell r="B100">
            <v>21000018</v>
          </cell>
          <cell r="C100">
            <v>12</v>
          </cell>
          <cell r="D100" t="str">
            <v>Other Current Assets</v>
          </cell>
          <cell r="E100" t="str">
            <v>Balances with Government Authorities</v>
          </cell>
          <cell r="F100" t="str">
            <v>ITC not in GSTR 2B</v>
          </cell>
          <cell r="G100">
            <v>5985604</v>
          </cell>
          <cell r="H100">
            <v>0</v>
          </cell>
          <cell r="I100">
            <v>5985604</v>
          </cell>
        </row>
        <row r="101">
          <cell r="B101">
            <v>21100004</v>
          </cell>
          <cell r="C101">
            <v>12</v>
          </cell>
          <cell r="D101" t="str">
            <v>Other Current Assets</v>
          </cell>
          <cell r="E101" t="str">
            <v>Advance to employees</v>
          </cell>
          <cell r="F101" t="str">
            <v>Advances to Employees_IOU</v>
          </cell>
          <cell r="G101">
            <v>758</v>
          </cell>
          <cell r="H101">
            <v>0</v>
          </cell>
          <cell r="I101">
            <v>758</v>
          </cell>
        </row>
        <row r="102">
          <cell r="B102">
            <v>21100008</v>
          </cell>
          <cell r="C102">
            <v>12</v>
          </cell>
          <cell r="D102" t="str">
            <v>Other Current Assets</v>
          </cell>
          <cell r="E102" t="str">
            <v>Prepaid Expenses</v>
          </cell>
          <cell r="F102" t="str">
            <v>Prepaid Expenses</v>
          </cell>
          <cell r="G102">
            <v>889804.12</v>
          </cell>
          <cell r="H102">
            <v>0</v>
          </cell>
          <cell r="I102">
            <v>889804.12</v>
          </cell>
        </row>
        <row r="103">
          <cell r="B103">
            <v>21100011</v>
          </cell>
          <cell r="C103">
            <v>17</v>
          </cell>
          <cell r="D103" t="str">
            <v>Trade payables</v>
          </cell>
          <cell r="E103" t="str">
            <v>Total outstanding dues of creditors other than micro enterprises and small enterprises</v>
          </cell>
          <cell r="F103" t="str">
            <v>Advance to Vendor</v>
          </cell>
          <cell r="G103">
            <v>2736300.5</v>
          </cell>
          <cell r="H103">
            <v>0</v>
          </cell>
          <cell r="I103">
            <v>2736300.5</v>
          </cell>
        </row>
        <row r="104">
          <cell r="B104">
            <v>21100014</v>
          </cell>
          <cell r="C104">
            <v>6</v>
          </cell>
          <cell r="D104" t="str">
            <v>Other financial assets</v>
          </cell>
          <cell r="E104" t="str">
            <v>Finance lease receivable (Unsecured - considered good)</v>
          </cell>
          <cell r="F104" t="str">
            <v>IND AS - Receivable from employee (Finance Lease)</v>
          </cell>
          <cell r="G104">
            <v>1028358.45</v>
          </cell>
          <cell r="H104">
            <v>0</v>
          </cell>
          <cell r="I104">
            <v>1028358.45</v>
          </cell>
        </row>
        <row r="105">
          <cell r="B105">
            <v>30000000</v>
          </cell>
          <cell r="C105">
            <v>20</v>
          </cell>
          <cell r="D105" t="str">
            <v>Revenue from operations</v>
          </cell>
          <cell r="E105" t="str">
            <v>Sales of Products</v>
          </cell>
          <cell r="F105" t="str">
            <v>Sales Export</v>
          </cell>
          <cell r="G105">
            <v>0</v>
          </cell>
          <cell r="H105">
            <v>-479027742.48000002</v>
          </cell>
          <cell r="I105">
            <v>-479027742.48000002</v>
          </cell>
        </row>
        <row r="106">
          <cell r="B106">
            <v>30000001</v>
          </cell>
          <cell r="C106">
            <v>20</v>
          </cell>
          <cell r="D106" t="str">
            <v>Revenue from operations</v>
          </cell>
          <cell r="E106" t="str">
            <v>Sales of Products</v>
          </cell>
          <cell r="F106" t="str">
            <v>Domestic Sales</v>
          </cell>
          <cell r="G106">
            <v>0</v>
          </cell>
          <cell r="H106">
            <v>-442366067.94999897</v>
          </cell>
          <cell r="I106">
            <v>-442366067.94999897</v>
          </cell>
        </row>
        <row r="107">
          <cell r="B107">
            <v>30000004</v>
          </cell>
          <cell r="C107">
            <v>20</v>
          </cell>
          <cell r="D107" t="str">
            <v>Revenue from operations</v>
          </cell>
          <cell r="E107" t="str">
            <v>Sales of Products</v>
          </cell>
          <cell r="F107" t="str">
            <v>Scrap Sales</v>
          </cell>
          <cell r="G107">
            <v>0</v>
          </cell>
          <cell r="H107">
            <v>-2217365</v>
          </cell>
          <cell r="I107">
            <v>-2217365</v>
          </cell>
        </row>
        <row r="108">
          <cell r="B108">
            <v>30000007</v>
          </cell>
          <cell r="C108">
            <v>20</v>
          </cell>
          <cell r="D108" t="str">
            <v>Revenue from operations</v>
          </cell>
          <cell r="E108" t="str">
            <v>Sales of Products</v>
          </cell>
          <cell r="F108" t="str">
            <v>Sales In transit</v>
          </cell>
          <cell r="G108">
            <v>0</v>
          </cell>
          <cell r="H108">
            <v>0</v>
          </cell>
          <cell r="I108">
            <v>0</v>
          </cell>
        </row>
        <row r="109">
          <cell r="B109">
            <v>30000008</v>
          </cell>
          <cell r="C109">
            <v>20</v>
          </cell>
          <cell r="D109" t="str">
            <v>Revenue from operations</v>
          </cell>
          <cell r="E109" t="str">
            <v>Sales of Products</v>
          </cell>
          <cell r="F109" t="str">
            <v>Domestic Sales Inter Company</v>
          </cell>
          <cell r="G109">
            <v>0</v>
          </cell>
          <cell r="H109">
            <v>-551324467.37</v>
          </cell>
          <cell r="I109">
            <v>-551324467.37</v>
          </cell>
        </row>
        <row r="110">
          <cell r="B110">
            <v>30100001</v>
          </cell>
          <cell r="C110">
            <v>21</v>
          </cell>
          <cell r="D110" t="str">
            <v>Other Income</v>
          </cell>
          <cell r="E110" t="str">
            <v>Foreign exchange gain (net)</v>
          </cell>
          <cell r="F110" t="str">
            <v>Realised Forex Gain/loss</v>
          </cell>
          <cell r="G110">
            <v>0</v>
          </cell>
          <cell r="H110">
            <v>-1166592.71</v>
          </cell>
          <cell r="I110">
            <v>-1166592.71</v>
          </cell>
        </row>
        <row r="111">
          <cell r="B111">
            <v>30100004</v>
          </cell>
          <cell r="C111">
            <v>21</v>
          </cell>
          <cell r="D111" t="str">
            <v>Other Income</v>
          </cell>
          <cell r="E111" t="str">
            <v>- From banks</v>
          </cell>
          <cell r="F111" t="str">
            <v>Interest on Bank Deposit</v>
          </cell>
          <cell r="G111">
            <v>0</v>
          </cell>
          <cell r="H111">
            <v>-265292</v>
          </cell>
          <cell r="I111">
            <v>-265292</v>
          </cell>
        </row>
        <row r="112">
          <cell r="B112">
            <v>30100005</v>
          </cell>
          <cell r="C112">
            <v>21</v>
          </cell>
          <cell r="D112" t="str">
            <v>Other Income</v>
          </cell>
          <cell r="E112" t="str">
            <v>- From others</v>
          </cell>
          <cell r="F112" t="str">
            <v>Other Income</v>
          </cell>
          <cell r="G112">
            <v>0</v>
          </cell>
          <cell r="H112">
            <v>-1440025.6299999901</v>
          </cell>
          <cell r="I112">
            <v>-1440025.6299999901</v>
          </cell>
        </row>
        <row r="113">
          <cell r="B113">
            <v>30100013</v>
          </cell>
          <cell r="C113">
            <v>21</v>
          </cell>
          <cell r="D113" t="str">
            <v>Other Income</v>
          </cell>
          <cell r="E113" t="str">
            <v>Profit on Sale of Mutual Fund</v>
          </cell>
          <cell r="F113" t="str">
            <v>Gain / Loss from MF Investment</v>
          </cell>
          <cell r="G113">
            <v>0</v>
          </cell>
          <cell r="H113">
            <v>0</v>
          </cell>
          <cell r="I113">
            <v>0</v>
          </cell>
        </row>
        <row r="114">
          <cell r="B114">
            <v>30100015</v>
          </cell>
          <cell r="C114">
            <v>21</v>
          </cell>
          <cell r="D114" t="str">
            <v>Other Income</v>
          </cell>
          <cell r="E114" t="str">
            <v>- From others</v>
          </cell>
          <cell r="F114" t="str">
            <v>IND AS - Interest Income</v>
          </cell>
          <cell r="G114">
            <v>0</v>
          </cell>
          <cell r="H114">
            <v>-53335.37</v>
          </cell>
          <cell r="I114">
            <v>-53335.37</v>
          </cell>
        </row>
        <row r="115">
          <cell r="B115">
            <v>30100000</v>
          </cell>
          <cell r="C115">
            <v>21</v>
          </cell>
          <cell r="D115" t="str">
            <v>Other Income</v>
          </cell>
          <cell r="E115" t="str">
            <v>Foreign exchange gain (net)</v>
          </cell>
          <cell r="F115" t="str">
            <v>Unrealised Forex Gain/loss</v>
          </cell>
          <cell r="G115">
            <v>0</v>
          </cell>
          <cell r="H115">
            <v>-6650257.1100000003</v>
          </cell>
          <cell r="I115">
            <v>-6650257.1100000003</v>
          </cell>
        </row>
        <row r="116">
          <cell r="B116">
            <v>40100000</v>
          </cell>
          <cell r="C116">
            <v>22</v>
          </cell>
          <cell r="D116" t="str">
            <v>Cost of material consumed</v>
          </cell>
          <cell r="E116" t="str">
            <v>Add : Purchases -RM</v>
          </cell>
          <cell r="F116" t="str">
            <v>Custom Duty</v>
          </cell>
          <cell r="G116">
            <v>0</v>
          </cell>
          <cell r="H116">
            <v>0</v>
          </cell>
          <cell r="I116">
            <v>0</v>
          </cell>
        </row>
        <row r="117">
          <cell r="B117">
            <v>40100001</v>
          </cell>
          <cell r="C117">
            <v>22</v>
          </cell>
          <cell r="D117" t="str">
            <v>Cost of material consumed</v>
          </cell>
          <cell r="E117" t="str">
            <v>Add : Purchases -RM</v>
          </cell>
          <cell r="F117" t="str">
            <v>Import Cost on Material</v>
          </cell>
          <cell r="G117">
            <v>713455.53</v>
          </cell>
          <cell r="H117">
            <v>0</v>
          </cell>
          <cell r="I117">
            <v>713455.53</v>
          </cell>
        </row>
        <row r="118">
          <cell r="B118">
            <v>40100002</v>
          </cell>
          <cell r="C118">
            <v>22</v>
          </cell>
          <cell r="D118" t="str">
            <v>Cost of material consumed</v>
          </cell>
          <cell r="E118" t="str">
            <v>Add : Purchases -RM</v>
          </cell>
          <cell r="F118" t="str">
            <v>Freight Inward Local</v>
          </cell>
          <cell r="G118">
            <v>852951.93</v>
          </cell>
          <cell r="H118">
            <v>0</v>
          </cell>
          <cell r="I118">
            <v>852951.93</v>
          </cell>
        </row>
        <row r="119">
          <cell r="B119">
            <v>40100005</v>
          </cell>
          <cell r="C119">
            <v>22</v>
          </cell>
          <cell r="D119" t="str">
            <v>Cost of material consumed</v>
          </cell>
          <cell r="E119" t="str">
            <v>Add : Purchases -RM</v>
          </cell>
          <cell r="F119" t="str">
            <v>Interest on Custom Duty</v>
          </cell>
          <cell r="G119">
            <v>10307</v>
          </cell>
          <cell r="H119">
            <v>0</v>
          </cell>
          <cell r="I119">
            <v>10307</v>
          </cell>
        </row>
        <row r="120">
          <cell r="B120">
            <v>40100008</v>
          </cell>
          <cell r="C120">
            <v>22</v>
          </cell>
          <cell r="D120" t="str">
            <v>Cost of material consumed</v>
          </cell>
          <cell r="E120" t="str">
            <v>Add : Purchases -RM</v>
          </cell>
          <cell r="F120" t="str">
            <v>Consumption of Raw Material</v>
          </cell>
          <cell r="G120">
            <v>699902847.78999901</v>
          </cell>
          <cell r="H120">
            <v>0</v>
          </cell>
          <cell r="I120">
            <v>699902847.78999901</v>
          </cell>
        </row>
        <row r="121">
          <cell r="B121">
            <v>40200003</v>
          </cell>
          <cell r="C121">
            <v>22</v>
          </cell>
          <cell r="D121" t="str">
            <v>Cost of material consumed</v>
          </cell>
          <cell r="E121" t="str">
            <v>Add : Purchases -RM</v>
          </cell>
          <cell r="F121" t="str">
            <v>Price Difference Material</v>
          </cell>
          <cell r="G121">
            <v>2640906.27999999</v>
          </cell>
          <cell r="H121">
            <v>0</v>
          </cell>
          <cell r="I121">
            <v>2640906.27999999</v>
          </cell>
        </row>
        <row r="122">
          <cell r="B122">
            <v>40100011</v>
          </cell>
          <cell r="C122">
            <v>22</v>
          </cell>
          <cell r="D122" t="str">
            <v>Cost of material consumed</v>
          </cell>
          <cell r="E122" t="str">
            <v>Add : Purchases -PM</v>
          </cell>
          <cell r="F122" t="str">
            <v>Consumption of Packing Material</v>
          </cell>
          <cell r="G122">
            <v>13985212.32</v>
          </cell>
          <cell r="H122">
            <v>0</v>
          </cell>
          <cell r="I122">
            <v>13985212.32</v>
          </cell>
        </row>
        <row r="123">
          <cell r="B123">
            <v>40100007</v>
          </cell>
          <cell r="C123">
            <v>23</v>
          </cell>
          <cell r="D123" t="str">
            <v xml:space="preserve">Changes in inventories of finished goods and work-in-progress </v>
          </cell>
          <cell r="E123" t="str">
            <v>Changes in inventories of finished goods and work in progress</v>
          </cell>
          <cell r="F123" t="str">
            <v>COGS SFG and FG</v>
          </cell>
          <cell r="G123">
            <v>1387566843.3699901</v>
          </cell>
          <cell r="H123">
            <v>0</v>
          </cell>
          <cell r="I123">
            <v>1387566843.3699901</v>
          </cell>
        </row>
        <row r="124">
          <cell r="B124">
            <v>40100009</v>
          </cell>
          <cell r="C124">
            <v>23</v>
          </cell>
          <cell r="D124" t="str">
            <v xml:space="preserve">Changes in inventories of finished goods and work-in-progress </v>
          </cell>
          <cell r="E124" t="str">
            <v>Changes in inventories of finished goods and work in progress</v>
          </cell>
          <cell r="F124" t="str">
            <v>Consumption of Semi-Finished Goods</v>
          </cell>
          <cell r="G124">
            <v>4992245310.5500002</v>
          </cell>
          <cell r="H124">
            <v>0</v>
          </cell>
          <cell r="I124">
            <v>4992245310.5500002</v>
          </cell>
        </row>
        <row r="125">
          <cell r="B125">
            <v>40200000</v>
          </cell>
          <cell r="C125">
            <v>23</v>
          </cell>
          <cell r="D125" t="str">
            <v xml:space="preserve">Changes in inventories of finished goods and work-in-progress </v>
          </cell>
          <cell r="E125" t="str">
            <v>Changes in inventories of finished goods and work in progress</v>
          </cell>
          <cell r="F125" t="str">
            <v>COGM Material</v>
          </cell>
          <cell r="G125">
            <v>0</v>
          </cell>
          <cell r="H125">
            <v>-4871277731.9899902</v>
          </cell>
          <cell r="I125">
            <v>-4871277731.9899902</v>
          </cell>
        </row>
        <row r="126">
          <cell r="B126">
            <v>40200001</v>
          </cell>
          <cell r="C126">
            <v>23</v>
          </cell>
          <cell r="D126" t="str">
            <v xml:space="preserve">Changes in inventories of finished goods and work-in-progress </v>
          </cell>
          <cell r="E126" t="str">
            <v>Changes in inventories of finished goods and work in progress</v>
          </cell>
          <cell r="F126" t="str">
            <v>COGM SFG and FG</v>
          </cell>
          <cell r="G126">
            <v>0</v>
          </cell>
          <cell r="H126">
            <v>-885161894.01999903</v>
          </cell>
          <cell r="I126">
            <v>-885161894.01999903</v>
          </cell>
        </row>
        <row r="127">
          <cell r="B127">
            <v>40200004</v>
          </cell>
          <cell r="C127">
            <v>23</v>
          </cell>
          <cell r="D127" t="str">
            <v xml:space="preserve">Changes in inventories of finished goods and work-in-progress </v>
          </cell>
          <cell r="E127" t="str">
            <v>Changes in inventories of finished goods and work in progress</v>
          </cell>
          <cell r="F127" t="str">
            <v>Price difference SFG and FG</v>
          </cell>
          <cell r="G127">
            <v>1394647.1699999899</v>
          </cell>
          <cell r="H127">
            <v>0</v>
          </cell>
          <cell r="I127">
            <v>1394647.1699999899</v>
          </cell>
        </row>
        <row r="128">
          <cell r="B128">
            <v>40200006</v>
          </cell>
          <cell r="C128">
            <v>23</v>
          </cell>
          <cell r="D128" t="str">
            <v xml:space="preserve">Changes in inventories of finished goods and work-in-progress </v>
          </cell>
          <cell r="E128" t="str">
            <v>Changes in inventories of finished goods and work in progress</v>
          </cell>
          <cell r="F128" t="str">
            <v>Month end Adjustment  - Material</v>
          </cell>
          <cell r="G128">
            <v>41499568.859999903</v>
          </cell>
          <cell r="H128">
            <v>0</v>
          </cell>
          <cell r="I128">
            <v>41499568.859999903</v>
          </cell>
        </row>
        <row r="129">
          <cell r="B129">
            <v>40200011</v>
          </cell>
          <cell r="C129">
            <v>23</v>
          </cell>
          <cell r="D129" t="str">
            <v xml:space="preserve">Changes in inventories of finished goods and work-in-progress </v>
          </cell>
          <cell r="E129" t="str">
            <v>Changes in inventories of finished goods and work in progress</v>
          </cell>
          <cell r="F129" t="str">
            <v>COGM Material_Manual Entry</v>
          </cell>
          <cell r="G129">
            <v>39813642.710000001</v>
          </cell>
          <cell r="H129">
            <v>0</v>
          </cell>
          <cell r="I129">
            <v>39813642.710000001</v>
          </cell>
        </row>
        <row r="130">
          <cell r="B130">
            <v>40300004</v>
          </cell>
          <cell r="C130">
            <v>24</v>
          </cell>
          <cell r="D130" t="str">
            <v>Employee benefits expense</v>
          </cell>
          <cell r="E130" t="str">
            <v xml:space="preserve">Salary, Wages, Allowances and Bonus etc. </v>
          </cell>
          <cell r="F130" t="str">
            <v>Basic Salary</v>
          </cell>
          <cell r="G130">
            <v>36541286.9799999</v>
          </cell>
          <cell r="H130">
            <v>0</v>
          </cell>
          <cell r="I130">
            <v>36541286.9799999</v>
          </cell>
        </row>
        <row r="131">
          <cell r="B131">
            <v>40400009</v>
          </cell>
          <cell r="C131">
            <v>25</v>
          </cell>
          <cell r="D131" t="str">
            <v>Finance costs</v>
          </cell>
          <cell r="E131" t="str">
            <v>- From Bank (Secured Loan)</v>
          </cell>
          <cell r="F131" t="str">
            <v>Interest on Term Loan</v>
          </cell>
          <cell r="G131">
            <v>135684511</v>
          </cell>
          <cell r="H131">
            <v>0</v>
          </cell>
          <cell r="I131">
            <v>135684511</v>
          </cell>
        </row>
        <row r="132">
          <cell r="B132">
            <v>40400014</v>
          </cell>
          <cell r="C132">
            <v>25</v>
          </cell>
          <cell r="D132" t="str">
            <v>Finance costs</v>
          </cell>
          <cell r="E132" t="str">
            <v>Other Borrowing Cost</v>
          </cell>
          <cell r="F132" t="str">
            <v>Processing and Stamp Duty Expense</v>
          </cell>
          <cell r="G132">
            <v>566664</v>
          </cell>
          <cell r="H132">
            <v>0</v>
          </cell>
          <cell r="I132">
            <v>566664</v>
          </cell>
        </row>
        <row r="133">
          <cell r="B133">
            <v>40400019</v>
          </cell>
          <cell r="C133">
            <v>25</v>
          </cell>
          <cell r="D133" t="str">
            <v>Finance costs</v>
          </cell>
          <cell r="E133" t="str">
            <v>- From Bank (Secured Loan)</v>
          </cell>
          <cell r="F133" t="str">
            <v>IND AS - Interest on TL</v>
          </cell>
          <cell r="G133">
            <v>95240</v>
          </cell>
          <cell r="H133">
            <v>0</v>
          </cell>
          <cell r="I133">
            <v>95240</v>
          </cell>
        </row>
        <row r="134">
          <cell r="B134">
            <v>40400000</v>
          </cell>
          <cell r="C134">
            <v>25</v>
          </cell>
          <cell r="D134" t="str">
            <v>Finance costs</v>
          </cell>
          <cell r="E134" t="str">
            <v>Other Interest Expenses</v>
          </cell>
          <cell r="F134" t="str">
            <v>Interest on MSME</v>
          </cell>
          <cell r="G134">
            <v>0</v>
          </cell>
          <cell r="H134">
            <v>0</v>
          </cell>
          <cell r="I134">
            <v>0</v>
          </cell>
        </row>
        <row r="135">
          <cell r="B135">
            <v>40400004</v>
          </cell>
          <cell r="C135">
            <v>26</v>
          </cell>
          <cell r="D135" t="str">
            <v>Other expenses</v>
          </cell>
          <cell r="E135" t="str">
            <v>Bank charges</v>
          </cell>
          <cell r="F135" t="str">
            <v>Import Payment_Charges</v>
          </cell>
          <cell r="G135">
            <v>221096.899999999</v>
          </cell>
          <cell r="H135">
            <v>0</v>
          </cell>
          <cell r="I135">
            <v>221096.899999999</v>
          </cell>
        </row>
        <row r="136">
          <cell r="B136">
            <v>40600000</v>
          </cell>
          <cell r="C136">
            <v>26</v>
          </cell>
          <cell r="D136" t="str">
            <v>Other expenses</v>
          </cell>
          <cell r="E136" t="str">
            <v>Power and fuel</v>
          </cell>
          <cell r="F136" t="str">
            <v>Consumption of Fuel</v>
          </cell>
          <cell r="G136">
            <v>72710898.599999905</v>
          </cell>
          <cell r="H136">
            <v>0</v>
          </cell>
          <cell r="I136">
            <v>72710898.599999905</v>
          </cell>
        </row>
        <row r="137">
          <cell r="B137">
            <v>40600002</v>
          </cell>
          <cell r="C137">
            <v>26</v>
          </cell>
          <cell r="D137" t="str">
            <v>Other expenses</v>
          </cell>
          <cell r="E137" t="str">
            <v>Consumption of stores and spares</v>
          </cell>
          <cell r="F137" t="str">
            <v>Consumption of Stores and Spares</v>
          </cell>
          <cell r="G137">
            <v>9749227.8100000005</v>
          </cell>
          <cell r="H137">
            <v>0</v>
          </cell>
          <cell r="I137">
            <v>9749227.8100000005</v>
          </cell>
        </row>
        <row r="138">
          <cell r="B138">
            <v>40600003</v>
          </cell>
          <cell r="C138">
            <v>26</v>
          </cell>
          <cell r="D138" t="str">
            <v>Other expenses</v>
          </cell>
          <cell r="E138" t="str">
            <v>Consumption of stores and spares</v>
          </cell>
          <cell r="F138" t="str">
            <v>Consumption of Consumable Item</v>
          </cell>
          <cell r="G138">
            <v>0</v>
          </cell>
          <cell r="H138">
            <v>-3088893.02</v>
          </cell>
          <cell r="I138">
            <v>-3088893.02</v>
          </cell>
        </row>
        <row r="139">
          <cell r="B139">
            <v>40600004</v>
          </cell>
          <cell r="C139">
            <v>26</v>
          </cell>
          <cell r="D139" t="str">
            <v>Other expenses</v>
          </cell>
          <cell r="E139" t="str">
            <v>Power and fuel</v>
          </cell>
          <cell r="F139" t="str">
            <v>Power Cost</v>
          </cell>
          <cell r="G139">
            <v>62587878.810000002</v>
          </cell>
          <cell r="H139">
            <v>0</v>
          </cell>
          <cell r="I139">
            <v>62587878.810000002</v>
          </cell>
        </row>
        <row r="140">
          <cell r="B140">
            <v>40600005</v>
          </cell>
          <cell r="C140">
            <v>26</v>
          </cell>
          <cell r="D140" t="str">
            <v>Other expenses</v>
          </cell>
          <cell r="E140" t="str">
            <v>Job work and labour charges</v>
          </cell>
          <cell r="F140" t="str">
            <v>Labour Charges</v>
          </cell>
          <cell r="G140">
            <v>36938477.93</v>
          </cell>
          <cell r="H140">
            <v>0</v>
          </cell>
          <cell r="I140">
            <v>36938477.93</v>
          </cell>
        </row>
        <row r="141">
          <cell r="B141">
            <v>40600007</v>
          </cell>
          <cell r="C141">
            <v>26</v>
          </cell>
          <cell r="D141" t="str">
            <v>Other expenses</v>
          </cell>
          <cell r="E141" t="str">
            <v>Job work and labour charges</v>
          </cell>
          <cell r="F141" t="str">
            <v>Effluent Treatment Charges</v>
          </cell>
          <cell r="G141">
            <v>12064087.279999901</v>
          </cell>
          <cell r="H141">
            <v>0</v>
          </cell>
          <cell r="I141">
            <v>12064087.279999901</v>
          </cell>
        </row>
        <row r="142">
          <cell r="B142">
            <v>40600008</v>
          </cell>
          <cell r="C142">
            <v>26</v>
          </cell>
          <cell r="D142" t="str">
            <v>Other expenses</v>
          </cell>
          <cell r="E142" t="str">
            <v>Rent expenses</v>
          </cell>
          <cell r="F142" t="str">
            <v>Lease Rent_Factory</v>
          </cell>
          <cell r="G142">
            <v>1149021</v>
          </cell>
          <cell r="H142">
            <v>0</v>
          </cell>
          <cell r="I142">
            <v>1149021</v>
          </cell>
        </row>
        <row r="143">
          <cell r="B143">
            <v>40700001</v>
          </cell>
          <cell r="C143">
            <v>26</v>
          </cell>
          <cell r="D143" t="str">
            <v>Other expenses</v>
          </cell>
          <cell r="E143" t="str">
            <v>Travelling and conveyance</v>
          </cell>
          <cell r="F143" t="str">
            <v>Conveyance Expenses</v>
          </cell>
          <cell r="G143">
            <v>675462.42</v>
          </cell>
          <cell r="H143">
            <v>0</v>
          </cell>
          <cell r="I143">
            <v>675462.42</v>
          </cell>
        </row>
        <row r="144">
          <cell r="B144">
            <v>40700003</v>
          </cell>
          <cell r="C144">
            <v>26</v>
          </cell>
          <cell r="D144" t="str">
            <v>Other expenses</v>
          </cell>
          <cell r="E144" t="str">
            <v>Travelling and conveyance</v>
          </cell>
          <cell r="F144" t="str">
            <v>Travelling Expenses_Domestic</v>
          </cell>
          <cell r="G144">
            <v>246557</v>
          </cell>
          <cell r="H144">
            <v>0</v>
          </cell>
          <cell r="I144">
            <v>246557</v>
          </cell>
        </row>
        <row r="145">
          <cell r="B145">
            <v>40700004</v>
          </cell>
          <cell r="C145">
            <v>26</v>
          </cell>
          <cell r="D145" t="str">
            <v>Other expenses</v>
          </cell>
          <cell r="E145" t="str">
            <v>Miscellaneous expenses</v>
          </cell>
          <cell r="F145" t="str">
            <v>Communication Expenses</v>
          </cell>
          <cell r="G145">
            <v>335436.76</v>
          </cell>
          <cell r="H145">
            <v>0</v>
          </cell>
          <cell r="I145">
            <v>335436.76</v>
          </cell>
        </row>
        <row r="146">
          <cell r="B146">
            <v>40700006</v>
          </cell>
          <cell r="C146">
            <v>26</v>
          </cell>
          <cell r="D146" t="str">
            <v>Other expenses</v>
          </cell>
          <cell r="E146" t="str">
            <v>Power and fuel</v>
          </cell>
          <cell r="F146" t="str">
            <v>Power Cost_Corporate office</v>
          </cell>
          <cell r="G146">
            <v>13396.95</v>
          </cell>
          <cell r="H146">
            <v>0</v>
          </cell>
          <cell r="I146">
            <v>13396.95</v>
          </cell>
        </row>
        <row r="147">
          <cell r="B147">
            <v>40700010</v>
          </cell>
          <cell r="C147">
            <v>26</v>
          </cell>
          <cell r="D147" t="str">
            <v>Other expenses</v>
          </cell>
          <cell r="E147" t="str">
            <v>Legal &amp; Professional Fees</v>
          </cell>
          <cell r="F147" t="str">
            <v>Reach Registration Charges</v>
          </cell>
          <cell r="G147">
            <v>6985478.4100000001</v>
          </cell>
          <cell r="H147">
            <v>0</v>
          </cell>
          <cell r="I147">
            <v>6985478.4100000001</v>
          </cell>
        </row>
        <row r="148">
          <cell r="B148">
            <v>40700011</v>
          </cell>
          <cell r="C148">
            <v>26</v>
          </cell>
          <cell r="D148" t="str">
            <v>Other expenses</v>
          </cell>
          <cell r="E148" t="str">
            <v>Rates &amp; Taxes</v>
          </cell>
          <cell r="F148" t="str">
            <v>Penalty Expense</v>
          </cell>
          <cell r="G148">
            <v>110000</v>
          </cell>
          <cell r="H148">
            <v>0</v>
          </cell>
          <cell r="I148">
            <v>110000</v>
          </cell>
        </row>
        <row r="149">
          <cell r="B149">
            <v>40700021</v>
          </cell>
          <cell r="C149">
            <v>26</v>
          </cell>
          <cell r="D149" t="str">
            <v>Other expenses</v>
          </cell>
          <cell r="E149" t="str">
            <v>Selling and distribution expenses</v>
          </cell>
          <cell r="F149" t="str">
            <v>Freight Outward</v>
          </cell>
          <cell r="G149">
            <v>2545233.98</v>
          </cell>
          <cell r="H149">
            <v>0</v>
          </cell>
          <cell r="I149">
            <v>2545233.98</v>
          </cell>
        </row>
        <row r="150">
          <cell r="B150">
            <v>40700023</v>
          </cell>
          <cell r="C150">
            <v>26</v>
          </cell>
          <cell r="D150" t="str">
            <v>Other expenses</v>
          </cell>
          <cell r="E150" t="str">
            <v>Security charges</v>
          </cell>
          <cell r="F150" t="str">
            <v>Security Charges</v>
          </cell>
          <cell r="G150">
            <v>4374584.74</v>
          </cell>
          <cell r="H150">
            <v>0</v>
          </cell>
          <cell r="I150">
            <v>4374584.74</v>
          </cell>
        </row>
        <row r="151">
          <cell r="B151">
            <v>40700024</v>
          </cell>
          <cell r="C151">
            <v>26</v>
          </cell>
          <cell r="D151" t="str">
            <v>Other expenses</v>
          </cell>
          <cell r="E151" t="str">
            <v>Miscellaneous expenses</v>
          </cell>
          <cell r="F151" t="str">
            <v>Printing and Stationery</v>
          </cell>
          <cell r="G151">
            <v>992407.66</v>
          </cell>
          <cell r="H151">
            <v>0</v>
          </cell>
          <cell r="I151">
            <v>992407.66</v>
          </cell>
        </row>
        <row r="152">
          <cell r="B152">
            <v>40700028</v>
          </cell>
          <cell r="C152">
            <v>26</v>
          </cell>
          <cell r="D152" t="str">
            <v>Other expenses</v>
          </cell>
          <cell r="E152" t="str">
            <v>Miscellaneous expenses</v>
          </cell>
          <cell r="F152" t="str">
            <v>Office Expenses</v>
          </cell>
          <cell r="G152">
            <v>868441.97999999905</v>
          </cell>
          <cell r="H152">
            <v>0</v>
          </cell>
          <cell r="I152">
            <v>868441.97999999905</v>
          </cell>
        </row>
        <row r="153">
          <cell r="B153">
            <v>40700045</v>
          </cell>
          <cell r="C153" t="str">
            <v>-</v>
          </cell>
          <cell r="D153" t="str">
            <v>Current income tax</v>
          </cell>
          <cell r="E153" t="str">
            <v>(a) Current Tax</v>
          </cell>
          <cell r="F153" t="str">
            <v>Prior year Tax Short/Excess</v>
          </cell>
          <cell r="G153">
            <v>0</v>
          </cell>
          <cell r="H153">
            <v>0</v>
          </cell>
          <cell r="I153">
            <v>0</v>
          </cell>
        </row>
        <row r="154">
          <cell r="B154">
            <v>40700007</v>
          </cell>
          <cell r="C154">
            <v>26</v>
          </cell>
          <cell r="D154" t="str">
            <v>Other expenses</v>
          </cell>
          <cell r="E154" t="str">
            <v>Legal &amp; Professional Fees</v>
          </cell>
          <cell r="F154" t="str">
            <v>Professional &amp; Consulting Fees</v>
          </cell>
          <cell r="G154">
            <v>8293377.3499999903</v>
          </cell>
          <cell r="H154">
            <v>0</v>
          </cell>
          <cell r="I154">
            <v>8293377.3499999903</v>
          </cell>
        </row>
        <row r="155">
          <cell r="B155">
            <v>40700008</v>
          </cell>
          <cell r="C155">
            <v>26</v>
          </cell>
          <cell r="D155" t="str">
            <v>Other expenses</v>
          </cell>
          <cell r="E155" t="str">
            <v>Rates &amp; Taxes</v>
          </cell>
          <cell r="F155" t="str">
            <v>Rates and Taxes</v>
          </cell>
          <cell r="G155">
            <v>1332588.78</v>
          </cell>
          <cell r="H155">
            <v>0</v>
          </cell>
          <cell r="I155">
            <v>1332588.78</v>
          </cell>
        </row>
        <row r="156">
          <cell r="B156">
            <v>40700014</v>
          </cell>
          <cell r="C156">
            <v>26</v>
          </cell>
          <cell r="D156" t="str">
            <v>Other expenses</v>
          </cell>
          <cell r="E156" t="str">
            <v>Insurance Expenses</v>
          </cell>
          <cell r="F156" t="str">
            <v>Insurance Expense</v>
          </cell>
          <cell r="G156">
            <v>3984491.6899999902</v>
          </cell>
          <cell r="H156">
            <v>0</v>
          </cell>
          <cell r="I156">
            <v>3984491.6899999902</v>
          </cell>
        </row>
        <row r="157">
          <cell r="B157">
            <v>40700015</v>
          </cell>
          <cell r="C157">
            <v>26</v>
          </cell>
          <cell r="D157" t="str">
            <v>Other expenses</v>
          </cell>
          <cell r="E157" t="str">
            <v>Miscellaneous expenses</v>
          </cell>
          <cell r="F157" t="str">
            <v>Rounding Adjustment</v>
          </cell>
          <cell r="G157">
            <v>14679.17</v>
          </cell>
          <cell r="H157">
            <v>0</v>
          </cell>
          <cell r="I157">
            <v>14679.17</v>
          </cell>
        </row>
        <row r="158">
          <cell r="B158">
            <v>40700022</v>
          </cell>
          <cell r="C158">
            <v>26</v>
          </cell>
          <cell r="D158" t="str">
            <v>Other expenses</v>
          </cell>
          <cell r="E158" t="str">
            <v>Consumption of stores and spares</v>
          </cell>
          <cell r="F158" t="str">
            <v>Consumable Items</v>
          </cell>
          <cell r="G158">
            <v>11166621.949999901</v>
          </cell>
          <cell r="H158">
            <v>0</v>
          </cell>
          <cell r="I158">
            <v>11166621.949999901</v>
          </cell>
        </row>
        <row r="159">
          <cell r="B159">
            <v>40700025</v>
          </cell>
          <cell r="C159">
            <v>26</v>
          </cell>
          <cell r="D159" t="str">
            <v>Other expenses</v>
          </cell>
          <cell r="E159" t="str">
            <v>Miscellaneous expenses</v>
          </cell>
          <cell r="F159" t="str">
            <v>IT Expenses</v>
          </cell>
          <cell r="G159">
            <v>2381518.75</v>
          </cell>
          <cell r="H159">
            <v>0</v>
          </cell>
          <cell r="I159">
            <v>2381518.75</v>
          </cell>
        </row>
        <row r="160">
          <cell r="B160">
            <v>40700040</v>
          </cell>
          <cell r="C160">
            <v>26</v>
          </cell>
          <cell r="D160" t="str">
            <v>Other expenses</v>
          </cell>
          <cell r="E160" t="str">
            <v>(b) Deferred Tax</v>
          </cell>
          <cell r="F160" t="str">
            <v>IND AS - Deferred Tax Expense</v>
          </cell>
          <cell r="G160"/>
          <cell r="H160"/>
          <cell r="I160">
            <v>0</v>
          </cell>
        </row>
        <row r="161">
          <cell r="B161">
            <v>40500000</v>
          </cell>
          <cell r="C161" t="str">
            <v>DEP</v>
          </cell>
          <cell r="D161" t="str">
            <v>Depreciation and Amortisation Expense</v>
          </cell>
          <cell r="E161" t="str">
            <v>Depreciation and Amortisation Expense</v>
          </cell>
          <cell r="F161" t="str">
            <v>ACC_DEP_Building</v>
          </cell>
          <cell r="G161">
            <v>38138596.1199999</v>
          </cell>
          <cell r="H161">
            <v>0</v>
          </cell>
          <cell r="I161">
            <v>38138596.1199999</v>
          </cell>
        </row>
        <row r="162">
          <cell r="B162">
            <v>40500001</v>
          </cell>
          <cell r="C162" t="str">
            <v>DEP</v>
          </cell>
          <cell r="D162" t="str">
            <v>Depreciation and Amortisation Expense</v>
          </cell>
          <cell r="E162" t="str">
            <v>Depreciation and Amortisation Expense</v>
          </cell>
          <cell r="F162" t="str">
            <v>ACC_DEP_Plant and machinery</v>
          </cell>
          <cell r="G162">
            <v>156203858.18000001</v>
          </cell>
          <cell r="H162">
            <v>0</v>
          </cell>
          <cell r="I162">
            <v>156203858.18000001</v>
          </cell>
        </row>
        <row r="163">
          <cell r="B163">
            <v>40500003</v>
          </cell>
          <cell r="C163" t="str">
            <v>DEP</v>
          </cell>
          <cell r="D163" t="str">
            <v>Depreciation and Amortisation Expense</v>
          </cell>
          <cell r="E163" t="str">
            <v>Depreciation and Amortisation Expense</v>
          </cell>
          <cell r="F163" t="str">
            <v>ACC_DEP_Computers</v>
          </cell>
          <cell r="G163">
            <v>2415431.29</v>
          </cell>
          <cell r="H163">
            <v>0</v>
          </cell>
          <cell r="I163">
            <v>2415431.29</v>
          </cell>
        </row>
        <row r="164">
          <cell r="B164">
            <v>40500008</v>
          </cell>
          <cell r="C164" t="str">
            <v>DEP</v>
          </cell>
          <cell r="D164" t="str">
            <v>Depreciation and Amortisation Expense</v>
          </cell>
          <cell r="E164" t="str">
            <v>Depreciation and Amortisation Expense</v>
          </cell>
          <cell r="F164" t="str">
            <v>ACC_DEP_Leasehold Land</v>
          </cell>
          <cell r="G164">
            <v>2311556.16</v>
          </cell>
          <cell r="H164">
            <v>0</v>
          </cell>
          <cell r="I164">
            <v>2311556.16</v>
          </cell>
        </row>
        <row r="165">
          <cell r="B165">
            <v>40500002</v>
          </cell>
          <cell r="C165" t="str">
            <v>DEP</v>
          </cell>
          <cell r="D165" t="str">
            <v>Depreciation and Amortisation Expense</v>
          </cell>
          <cell r="E165" t="str">
            <v>Depreciation and Amortisation Expense</v>
          </cell>
          <cell r="F165" t="str">
            <v>ACC_DEP_Office equim</v>
          </cell>
          <cell r="G165">
            <v>2488925.83</v>
          </cell>
          <cell r="H165">
            <v>0</v>
          </cell>
          <cell r="I165">
            <v>2488925.83</v>
          </cell>
        </row>
        <row r="166">
          <cell r="B166">
            <v>40500004</v>
          </cell>
          <cell r="C166" t="str">
            <v>DEP</v>
          </cell>
          <cell r="D166" t="str">
            <v>Depreciation and Amortisation Expense</v>
          </cell>
          <cell r="E166" t="str">
            <v>Depreciation and Amortisation Expense</v>
          </cell>
          <cell r="F166" t="str">
            <v>ACC_DEP_Furniture an</v>
          </cell>
          <cell r="G166">
            <v>1307451.6699999899</v>
          </cell>
          <cell r="H166">
            <v>0</v>
          </cell>
          <cell r="I166">
            <v>1307451.6699999899</v>
          </cell>
        </row>
        <row r="167">
          <cell r="B167">
            <v>40500005</v>
          </cell>
          <cell r="C167" t="str">
            <v>DEP</v>
          </cell>
          <cell r="D167" t="str">
            <v>Depreciation and Amortisation Expense</v>
          </cell>
          <cell r="E167" t="str">
            <v>Depreciation and Amortisation Expense</v>
          </cell>
          <cell r="F167" t="str">
            <v>ACC_DEP_Electrical f</v>
          </cell>
          <cell r="G167">
            <v>8477883.8399999905</v>
          </cell>
          <cell r="H167">
            <v>0</v>
          </cell>
          <cell r="I167">
            <v>8477883.8399999905</v>
          </cell>
        </row>
        <row r="168">
          <cell r="B168">
            <v>40500007</v>
          </cell>
          <cell r="C168" t="str">
            <v>DEP</v>
          </cell>
          <cell r="D168" t="str">
            <v>Depreciation and Amortisation Expense</v>
          </cell>
          <cell r="E168" t="str">
            <v>Depreciation and Amortisation Expense</v>
          </cell>
          <cell r="F168" t="str">
            <v>ACC_DEP_Computer Sof</v>
          </cell>
          <cell r="G168">
            <v>990573.34999999905</v>
          </cell>
          <cell r="H168">
            <v>0</v>
          </cell>
          <cell r="I168">
            <v>990573.34999999905</v>
          </cell>
        </row>
        <row r="169">
          <cell r="B169">
            <v>40700041</v>
          </cell>
          <cell r="C169" t="str">
            <v>-</v>
          </cell>
          <cell r="D169" t="str">
            <v>Tax Expense</v>
          </cell>
          <cell r="E169" t="str">
            <v>(a) Current Tax</v>
          </cell>
          <cell r="F169" t="str">
            <v>Income Tax Expense</v>
          </cell>
          <cell r="G169">
            <v>0</v>
          </cell>
          <cell r="H169">
            <v>0</v>
          </cell>
          <cell r="I169">
            <v>0</v>
          </cell>
        </row>
        <row r="170">
          <cell r="B170">
            <v>40300000</v>
          </cell>
          <cell r="C170">
            <v>24</v>
          </cell>
          <cell r="D170" t="str">
            <v>Employee benefits expense</v>
          </cell>
          <cell r="E170" t="str">
            <v>Staff welfare expenses</v>
          </cell>
          <cell r="F170" t="str">
            <v>Staff Welfare Expenses</v>
          </cell>
          <cell r="G170">
            <v>5929135.9400000004</v>
          </cell>
          <cell r="H170">
            <v>0</v>
          </cell>
          <cell r="I170">
            <v>5929135.9400000004</v>
          </cell>
        </row>
        <row r="171">
          <cell r="B171">
            <v>40300002</v>
          </cell>
          <cell r="C171">
            <v>24</v>
          </cell>
          <cell r="D171" t="str">
            <v>Employee benefits expense</v>
          </cell>
          <cell r="E171" t="str">
            <v>Staff welfare expenses</v>
          </cell>
          <cell r="F171" t="str">
            <v>Vehicle Hire Charges</v>
          </cell>
          <cell r="G171">
            <v>14702405.09</v>
          </cell>
          <cell r="H171">
            <v>0</v>
          </cell>
          <cell r="I171">
            <v>14702405.09</v>
          </cell>
        </row>
        <row r="172">
          <cell r="B172">
            <v>40300012</v>
          </cell>
          <cell r="C172">
            <v>24</v>
          </cell>
          <cell r="D172" t="str">
            <v>Employee benefits expense</v>
          </cell>
          <cell r="E172" t="str">
            <v xml:space="preserve">Salary, Wages, Allowances and Bonus etc. </v>
          </cell>
          <cell r="F172" t="str">
            <v>Leave Salary- BVCPL</v>
          </cell>
          <cell r="G172">
            <v>1280443</v>
          </cell>
          <cell r="H172">
            <v>0</v>
          </cell>
          <cell r="I172">
            <v>1280443</v>
          </cell>
        </row>
        <row r="173">
          <cell r="B173">
            <v>40300010</v>
          </cell>
          <cell r="C173">
            <v>24</v>
          </cell>
          <cell r="D173" t="str">
            <v>Employee benefits expense</v>
          </cell>
          <cell r="E173" t="str">
            <v xml:space="preserve">Salary, Wages, Allowances and Bonus etc. </v>
          </cell>
          <cell r="F173" t="str">
            <v>Gratuity Expenses</v>
          </cell>
          <cell r="G173">
            <v>480000</v>
          </cell>
          <cell r="H173">
            <v>0</v>
          </cell>
          <cell r="I173">
            <v>480000</v>
          </cell>
        </row>
        <row r="174">
          <cell r="B174">
            <v>10900017</v>
          </cell>
          <cell r="C174">
            <v>18</v>
          </cell>
          <cell r="D174" t="str">
            <v>Other financial liabilities</v>
          </cell>
          <cell r="E174" t="str">
            <v>Employee benefits payable</v>
          </cell>
          <cell r="F174" t="str">
            <v>Provision_Bonus</v>
          </cell>
          <cell r="G174">
            <v>0</v>
          </cell>
          <cell r="H174">
            <v>-185650.5</v>
          </cell>
          <cell r="I174">
            <v>-185650.5</v>
          </cell>
        </row>
        <row r="175">
          <cell r="B175">
            <v>11100000</v>
          </cell>
          <cell r="C175">
            <v>15</v>
          </cell>
          <cell r="D175" t="str">
            <v>Borrowings</v>
          </cell>
          <cell r="E175" t="str">
            <v>Working Capital Loans from Bank</v>
          </cell>
          <cell r="F175" t="str">
            <v>Interest Accrued but</v>
          </cell>
          <cell r="G175">
            <v>0</v>
          </cell>
          <cell r="H175">
            <v>-5482836</v>
          </cell>
          <cell r="I175">
            <v>-5482836</v>
          </cell>
        </row>
        <row r="176">
          <cell r="B176">
            <v>21100003</v>
          </cell>
          <cell r="C176">
            <v>6</v>
          </cell>
          <cell r="D176" t="str">
            <v>Other financial assets</v>
          </cell>
          <cell r="E176" t="str">
            <v>Security deposits</v>
          </cell>
          <cell r="F176" t="str">
            <v>Interest of GEB Deposit</v>
          </cell>
          <cell r="G176">
            <v>1528243.27</v>
          </cell>
          <cell r="H176">
            <v>0</v>
          </cell>
          <cell r="I176">
            <v>1528243.27</v>
          </cell>
        </row>
        <row r="177">
          <cell r="B177">
            <v>30000009</v>
          </cell>
          <cell r="C177">
            <v>20</v>
          </cell>
          <cell r="D177" t="str">
            <v>Revenue from operations</v>
          </cell>
          <cell r="E177" t="str">
            <v>Sales of Products</v>
          </cell>
          <cell r="F177" t="str">
            <v>Sales adjut-Manual</v>
          </cell>
          <cell r="G177">
            <v>0</v>
          </cell>
          <cell r="H177">
            <v>0</v>
          </cell>
          <cell r="I177">
            <v>0</v>
          </cell>
        </row>
        <row r="178">
          <cell r="B178">
            <v>30100003</v>
          </cell>
          <cell r="C178">
            <v>21</v>
          </cell>
          <cell r="D178" t="str">
            <v>Other Income</v>
          </cell>
          <cell r="E178" t="str">
            <v>- From banks</v>
          </cell>
          <cell r="F178" t="str">
            <v>Interest On Deposit</v>
          </cell>
          <cell r="G178">
            <v>0</v>
          </cell>
          <cell r="H178">
            <v>0</v>
          </cell>
          <cell r="I178">
            <v>0</v>
          </cell>
        </row>
        <row r="179">
          <cell r="B179">
            <v>30100008</v>
          </cell>
          <cell r="C179">
            <v>21</v>
          </cell>
          <cell r="D179" t="str">
            <v>Other Income</v>
          </cell>
          <cell r="E179" t="str">
            <v>- From others</v>
          </cell>
          <cell r="F179" t="str">
            <v>Interest on Income T</v>
          </cell>
          <cell r="G179">
            <v>0</v>
          </cell>
          <cell r="H179">
            <v>0</v>
          </cell>
          <cell r="I179">
            <v>0</v>
          </cell>
        </row>
        <row r="180">
          <cell r="B180">
            <v>40100012</v>
          </cell>
          <cell r="C180">
            <v>22</v>
          </cell>
          <cell r="D180" t="str">
            <v>Cost of material consumed</v>
          </cell>
          <cell r="E180" t="str">
            <v>Add : Purchases -RM</v>
          </cell>
          <cell r="F180" t="str">
            <v>Freight on Job Work</v>
          </cell>
          <cell r="G180">
            <v>3526119.16</v>
          </cell>
          <cell r="H180">
            <v>0</v>
          </cell>
          <cell r="I180">
            <v>3526119.16</v>
          </cell>
        </row>
        <row r="181">
          <cell r="B181">
            <v>40100014</v>
          </cell>
          <cell r="C181">
            <v>22</v>
          </cell>
          <cell r="D181" t="str">
            <v>Cost of material consumed</v>
          </cell>
          <cell r="E181" t="str">
            <v>Add : Purchases -RM</v>
          </cell>
          <cell r="F181" t="str">
            <v>Consumption_Manual</v>
          </cell>
          <cell r="G181">
            <v>0</v>
          </cell>
          <cell r="H181">
            <v>-14527437</v>
          </cell>
          <cell r="I181">
            <v>-14527437</v>
          </cell>
        </row>
        <row r="182">
          <cell r="B182">
            <v>40300003</v>
          </cell>
          <cell r="C182">
            <v>24</v>
          </cell>
          <cell r="D182" t="str">
            <v>Employee benefits expense</v>
          </cell>
          <cell r="E182" t="str">
            <v>Contribution to Provident and Other funds</v>
          </cell>
          <cell r="F182" t="str">
            <v>Admin Charges on PF</v>
          </cell>
          <cell r="G182">
            <v>119109</v>
          </cell>
          <cell r="H182">
            <v>0</v>
          </cell>
          <cell r="I182">
            <v>119109</v>
          </cell>
        </row>
        <row r="183">
          <cell r="B183">
            <v>40300005</v>
          </cell>
          <cell r="C183">
            <v>24</v>
          </cell>
          <cell r="D183" t="str">
            <v>Employee benefits expense</v>
          </cell>
          <cell r="E183" t="str">
            <v xml:space="preserve">Salary, Wages, Allowances and Bonus etc. </v>
          </cell>
          <cell r="F183" t="str">
            <v>Bonus_BVC Employee</v>
          </cell>
          <cell r="G183">
            <v>2113349</v>
          </cell>
          <cell r="H183">
            <v>0</v>
          </cell>
          <cell r="I183">
            <v>2113349</v>
          </cell>
        </row>
        <row r="184">
          <cell r="B184">
            <v>40300006</v>
          </cell>
          <cell r="C184">
            <v>24</v>
          </cell>
          <cell r="D184" t="str">
            <v>Employee benefits expense</v>
          </cell>
          <cell r="E184" t="str">
            <v>Contribution to Provident and Other funds</v>
          </cell>
          <cell r="F184" t="str">
            <v>Company Contribution</v>
          </cell>
          <cell r="G184">
            <v>2957279</v>
          </cell>
          <cell r="H184">
            <v>0</v>
          </cell>
          <cell r="I184">
            <v>2957279</v>
          </cell>
        </row>
        <row r="185">
          <cell r="B185">
            <v>40300008</v>
          </cell>
          <cell r="C185">
            <v>24</v>
          </cell>
          <cell r="D185" t="str">
            <v>Employee benefits expense</v>
          </cell>
          <cell r="E185" t="str">
            <v xml:space="preserve">Salary, Wages, Allowances and Bonus etc. </v>
          </cell>
          <cell r="F185" t="str">
            <v>Education Allowance</v>
          </cell>
          <cell r="G185">
            <v>32831.839999999902</v>
          </cell>
          <cell r="H185">
            <v>0</v>
          </cell>
          <cell r="I185">
            <v>32831.839999999902</v>
          </cell>
        </row>
        <row r="186">
          <cell r="B186">
            <v>40300011</v>
          </cell>
          <cell r="C186">
            <v>24</v>
          </cell>
          <cell r="D186" t="str">
            <v>Employee benefits expense</v>
          </cell>
          <cell r="E186" t="str">
            <v xml:space="preserve">Salary, Wages, Allowances and Bonus etc. </v>
          </cell>
          <cell r="F186" t="str">
            <v>House Rent Allowance</v>
          </cell>
          <cell r="G186">
            <v>12398547.960000001</v>
          </cell>
          <cell r="H186">
            <v>0</v>
          </cell>
          <cell r="I186">
            <v>12398547.960000001</v>
          </cell>
        </row>
        <row r="187">
          <cell r="B187">
            <v>40300015</v>
          </cell>
          <cell r="C187">
            <v>24</v>
          </cell>
          <cell r="D187" t="str">
            <v>Employee benefits expense</v>
          </cell>
          <cell r="E187" t="str">
            <v>Staff welfare expenses</v>
          </cell>
          <cell r="F187" t="str">
            <v>Medical Expenses</v>
          </cell>
          <cell r="G187">
            <v>1001917.17</v>
          </cell>
          <cell r="H187">
            <v>0</v>
          </cell>
          <cell r="I187">
            <v>1001917.17</v>
          </cell>
        </row>
        <row r="188">
          <cell r="B188">
            <v>40300016</v>
          </cell>
          <cell r="C188">
            <v>24</v>
          </cell>
          <cell r="D188" t="str">
            <v>Employee benefits expense</v>
          </cell>
          <cell r="E188" t="str">
            <v xml:space="preserve">Salary, Wages, Allowances and Bonus etc. </v>
          </cell>
          <cell r="F188" t="str">
            <v>Other Allowance</v>
          </cell>
          <cell r="G188">
            <v>15781538.16</v>
          </cell>
          <cell r="H188">
            <v>0</v>
          </cell>
          <cell r="I188">
            <v>15781538.16</v>
          </cell>
        </row>
        <row r="189">
          <cell r="B189">
            <v>40300019</v>
          </cell>
          <cell r="C189">
            <v>24</v>
          </cell>
          <cell r="D189" t="str">
            <v>Employee benefits expense</v>
          </cell>
          <cell r="E189" t="str">
            <v xml:space="preserve">Salary, Wages, Allowances and Bonus etc. </v>
          </cell>
          <cell r="F189" t="str">
            <v>Helper Allowance</v>
          </cell>
          <cell r="G189">
            <v>533677.42000000004</v>
          </cell>
          <cell r="H189">
            <v>0</v>
          </cell>
          <cell r="I189">
            <v>533677.42000000004</v>
          </cell>
        </row>
        <row r="190">
          <cell r="B190">
            <v>40300024</v>
          </cell>
          <cell r="C190">
            <v>24</v>
          </cell>
          <cell r="D190" t="str">
            <v>Employee benefits expense</v>
          </cell>
          <cell r="E190" t="str">
            <v xml:space="preserve">Salary, Wages, Allowances and Bonus etc. </v>
          </cell>
          <cell r="F190" t="str">
            <v>Monthly Prod Incenti</v>
          </cell>
          <cell r="G190">
            <v>2548430</v>
          </cell>
          <cell r="H190">
            <v>0</v>
          </cell>
          <cell r="I190">
            <v>2548430</v>
          </cell>
        </row>
        <row r="191">
          <cell r="B191">
            <v>40400001</v>
          </cell>
          <cell r="C191">
            <v>26</v>
          </cell>
          <cell r="D191" t="str">
            <v>Other expenses</v>
          </cell>
          <cell r="E191" t="str">
            <v>Bank charges</v>
          </cell>
          <cell r="F191" t="str">
            <v>Other Bank Charges</v>
          </cell>
          <cell r="G191">
            <v>1053621.96</v>
          </cell>
          <cell r="H191">
            <v>0</v>
          </cell>
          <cell r="I191">
            <v>1053621.96</v>
          </cell>
        </row>
        <row r="192">
          <cell r="B192">
            <v>40400008</v>
          </cell>
          <cell r="C192">
            <v>25</v>
          </cell>
          <cell r="D192" t="str">
            <v>Finance costs</v>
          </cell>
          <cell r="E192" t="str">
            <v>- From Bank (Secured Loan)</v>
          </cell>
          <cell r="F192" t="str">
            <v>Interest on Cash Cre</v>
          </cell>
          <cell r="G192">
            <v>8509203</v>
          </cell>
          <cell r="H192">
            <v>0</v>
          </cell>
          <cell r="I192">
            <v>8509203</v>
          </cell>
        </row>
        <row r="193">
          <cell r="B193">
            <v>40700000</v>
          </cell>
          <cell r="C193">
            <v>26</v>
          </cell>
          <cell r="D193" t="str">
            <v>Other expenses</v>
          </cell>
          <cell r="E193" t="str">
            <v>- Plant and machinery</v>
          </cell>
          <cell r="F193" t="str">
            <v>Repair and Maintance</v>
          </cell>
          <cell r="G193">
            <v>17808106.960000001</v>
          </cell>
          <cell r="H193">
            <v>0</v>
          </cell>
          <cell r="I193">
            <v>17808106.960000001</v>
          </cell>
        </row>
        <row r="194">
          <cell r="B194">
            <v>40700009</v>
          </cell>
          <cell r="C194">
            <v>26</v>
          </cell>
          <cell r="D194" t="str">
            <v>Other expenses</v>
          </cell>
          <cell r="E194" t="str">
            <v>Rent expenses</v>
          </cell>
          <cell r="F194" t="str">
            <v>Lease Rent_Office</v>
          </cell>
          <cell r="G194">
            <v>0</v>
          </cell>
          <cell r="H194">
            <v>0</v>
          </cell>
          <cell r="I194">
            <v>0</v>
          </cell>
        </row>
        <row r="195">
          <cell r="B195">
            <v>40700018</v>
          </cell>
          <cell r="C195">
            <v>26</v>
          </cell>
          <cell r="D195" t="str">
            <v>Other expenses</v>
          </cell>
          <cell r="E195" t="str">
            <v>Laboratory expenses</v>
          </cell>
          <cell r="F195" t="str">
            <v>EHS Expense</v>
          </cell>
          <cell r="G195">
            <v>12512524.130000001</v>
          </cell>
          <cell r="H195">
            <v>0</v>
          </cell>
          <cell r="I195">
            <v>12512524.130000001</v>
          </cell>
        </row>
        <row r="196">
          <cell r="B196">
            <v>40700020</v>
          </cell>
          <cell r="C196">
            <v>26</v>
          </cell>
          <cell r="D196" t="str">
            <v>Other expenses</v>
          </cell>
          <cell r="E196" t="str">
            <v>Selling and distribution expenses</v>
          </cell>
          <cell r="F196" t="str">
            <v>Selling and Distribu</v>
          </cell>
          <cell r="G196">
            <v>11201622.68</v>
          </cell>
          <cell r="H196">
            <v>0</v>
          </cell>
          <cell r="I196">
            <v>11201622.68</v>
          </cell>
        </row>
        <row r="197">
          <cell r="B197">
            <v>40700027</v>
          </cell>
          <cell r="C197">
            <v>26</v>
          </cell>
          <cell r="D197" t="str">
            <v>Other expenses</v>
          </cell>
          <cell r="E197" t="str">
            <v>Membership and subscription</v>
          </cell>
          <cell r="F197" t="str">
            <v>Membership and Subsc</v>
          </cell>
          <cell r="G197">
            <v>80000</v>
          </cell>
          <cell r="H197">
            <v>0</v>
          </cell>
          <cell r="I197">
            <v>80000</v>
          </cell>
        </row>
        <row r="198">
          <cell r="B198">
            <v>40700032</v>
          </cell>
          <cell r="C198">
            <v>26</v>
          </cell>
          <cell r="D198" t="str">
            <v>Other expenses</v>
          </cell>
          <cell r="E198" t="str">
            <v>Miscellaneous expenses</v>
          </cell>
          <cell r="F198" t="str">
            <v>Other expenses</v>
          </cell>
          <cell r="G198">
            <v>795145.64</v>
          </cell>
          <cell r="H198">
            <v>0</v>
          </cell>
          <cell r="I198">
            <v>795145.64</v>
          </cell>
        </row>
        <row r="199">
          <cell r="B199">
            <v>40700035</v>
          </cell>
          <cell r="C199">
            <v>22</v>
          </cell>
          <cell r="D199" t="str">
            <v>Cost of material consumed</v>
          </cell>
          <cell r="E199" t="str">
            <v>Add : Purchases -RM</v>
          </cell>
          <cell r="F199" t="str">
            <v>Detention Charges</v>
          </cell>
          <cell r="G199">
            <v>1808951.59</v>
          </cell>
          <cell r="H199">
            <v>0</v>
          </cell>
          <cell r="I199">
            <v>1808951.59</v>
          </cell>
        </row>
        <row r="200">
          <cell r="B200">
            <v>10000004</v>
          </cell>
          <cell r="C200">
            <v>13</v>
          </cell>
          <cell r="D200" t="str">
            <v>Equity share capital</v>
          </cell>
          <cell r="E200" t="str">
            <v>Pref Shar CCPS-BVCPL</v>
          </cell>
          <cell r="F200" t="str">
            <v>0.01% Non-Cumulative CCPS</v>
          </cell>
          <cell r="G200">
            <v>868680</v>
          </cell>
          <cell r="H200">
            <v>0</v>
          </cell>
          <cell r="I200">
            <v>868680</v>
          </cell>
        </row>
        <row r="201">
          <cell r="B201">
            <v>10100000</v>
          </cell>
          <cell r="C201">
            <v>14</v>
          </cell>
          <cell r="D201" t="str">
            <v>Other equity</v>
          </cell>
          <cell r="E201" t="str">
            <v>Closing balance - Securities Premium</v>
          </cell>
          <cell r="F201" t="str">
            <v>Security Premium Account</v>
          </cell>
          <cell r="G201">
            <v>1999104969</v>
          </cell>
          <cell r="H201">
            <v>0</v>
          </cell>
          <cell r="I201">
            <v>1999104969</v>
          </cell>
        </row>
        <row r="202">
          <cell r="B202">
            <v>10000004</v>
          </cell>
          <cell r="C202">
            <v>13</v>
          </cell>
          <cell r="D202" t="str">
            <v>Other equity</v>
          </cell>
          <cell r="E202" t="str">
            <v>INSTRUMENT ENTIRELY EQUITY IN NATURE</v>
          </cell>
          <cell r="F202" t="str">
            <v>0.01% Non-Cumulative CCPS</v>
          </cell>
          <cell r="G202">
            <v>0</v>
          </cell>
          <cell r="H202">
            <v>-1999973649</v>
          </cell>
          <cell r="I202">
            <v>-1999973649</v>
          </cell>
        </row>
        <row r="203">
          <cell r="B203" t="str">
            <v>Manual Entry</v>
          </cell>
          <cell r="C203"/>
          <cell r="D203" t="str">
            <v>Other Comprehensive Income</v>
          </cell>
          <cell r="E203" t="str">
            <v>Remeasurement of defined benefit plans</v>
          </cell>
          <cell r="F203" t="str">
            <v>Remeasurement of defined benefit plans</v>
          </cell>
          <cell r="G203">
            <v>0</v>
          </cell>
          <cell r="H203">
            <v>0</v>
          </cell>
          <cell r="I203">
            <v>0</v>
          </cell>
        </row>
        <row r="204">
          <cell r="B204" t="str">
            <v>Manual Entry</v>
          </cell>
          <cell r="C204"/>
          <cell r="D204" t="str">
            <v>Other Comprehensive Income</v>
          </cell>
          <cell r="E204" t="str">
            <v>Income tax relating to items that will not be reclassified to profit or loss</v>
          </cell>
          <cell r="F204" t="str">
            <v>Income tax relating to items that will not be reclassified to profit or loss</v>
          </cell>
          <cell r="G204">
            <v>0</v>
          </cell>
          <cell r="H204">
            <v>0</v>
          </cell>
          <cell r="I204">
            <v>0</v>
          </cell>
        </row>
        <row r="205">
          <cell r="B205" t="str">
            <v>Manual Entry</v>
          </cell>
          <cell r="C205"/>
          <cell r="D205" t="str">
            <v>Other equity</v>
          </cell>
          <cell r="E205" t="str">
            <v>Closing balance - Retained Earnings</v>
          </cell>
          <cell r="F205" t="str">
            <v>IND AS -I.Tax on OCI</v>
          </cell>
          <cell r="G205">
            <v>0</v>
          </cell>
          <cell r="H205">
            <v>0</v>
          </cell>
          <cell r="I205">
            <v>0</v>
          </cell>
        </row>
        <row r="206">
          <cell r="B206">
            <v>10400001</v>
          </cell>
          <cell r="C206">
            <v>4</v>
          </cell>
          <cell r="D206" t="str">
            <v>Deferred Tax Liabilities (Net)</v>
          </cell>
          <cell r="E206" t="str">
            <v>Deferred Tax</v>
          </cell>
          <cell r="F206" t="str">
            <v>IND AS - Deferred Tax Liability</v>
          </cell>
          <cell r="G206">
            <v>238523.489999999</v>
          </cell>
          <cell r="H206">
            <v>0</v>
          </cell>
          <cell r="I206">
            <v>238523.489999999</v>
          </cell>
        </row>
        <row r="207">
          <cell r="B207">
            <v>20400001</v>
          </cell>
          <cell r="C207">
            <v>4</v>
          </cell>
          <cell r="D207" t="str">
            <v>Deferred Tax Liabilities (Net)</v>
          </cell>
          <cell r="E207" t="str">
            <v>Deferred Tax Liabilities (Net)</v>
          </cell>
          <cell r="F207" t="str">
            <v>IND AS - Deferred Tax Assets</v>
          </cell>
          <cell r="G207">
            <v>0</v>
          </cell>
          <cell r="H207">
            <v>-95917.279999999897</v>
          </cell>
          <cell r="I207">
            <v>-95917.279999999897</v>
          </cell>
        </row>
        <row r="208">
          <cell r="B208">
            <v>40700040</v>
          </cell>
          <cell r="C208">
            <v>26</v>
          </cell>
          <cell r="D208" t="str">
            <v>Other expenses</v>
          </cell>
          <cell r="E208" t="str">
            <v>(b) Deferred Tax</v>
          </cell>
          <cell r="F208" t="str">
            <v>IND AS - Deferred Tax Expense</v>
          </cell>
          <cell r="G208"/>
          <cell r="H208"/>
          <cell r="I208">
            <v>0</v>
          </cell>
        </row>
        <row r="209">
          <cell r="B209">
            <v>10600014</v>
          </cell>
          <cell r="C209">
            <v>15</v>
          </cell>
          <cell r="D209" t="str">
            <v>Borrowings</v>
          </cell>
          <cell r="E209" t="str">
            <v>Working Capital Loans from Bank</v>
          </cell>
          <cell r="F209" t="str">
            <v>HDFC Buyer’s Credit</v>
          </cell>
          <cell r="G209">
            <v>0</v>
          </cell>
          <cell r="H209">
            <v>-12255859.41</v>
          </cell>
          <cell r="I209">
            <v>-12255859.41</v>
          </cell>
        </row>
        <row r="210">
          <cell r="B210">
            <v>10900012</v>
          </cell>
          <cell r="C210">
            <v>17</v>
          </cell>
          <cell r="D210" t="str">
            <v>Trade Payables</v>
          </cell>
          <cell r="E210" t="str">
            <v>Total outstanding dues of creditors other than micro enterprises and small enterprises</v>
          </cell>
          <cell r="F210" t="str">
            <v>Provision_C&amp;F Export</v>
          </cell>
          <cell r="G210">
            <v>0</v>
          </cell>
          <cell r="H210">
            <v>-8000000</v>
          </cell>
          <cell r="I210">
            <v>-8000000</v>
          </cell>
        </row>
        <row r="211">
          <cell r="B211">
            <v>20500004</v>
          </cell>
          <cell r="C211">
            <v>9</v>
          </cell>
          <cell r="D211" t="str">
            <v>Inventories</v>
          </cell>
          <cell r="E211" t="str">
            <v>Finished goods*</v>
          </cell>
          <cell r="F211" t="str">
            <v>Finish Goods Stock</v>
          </cell>
          <cell r="G211">
            <v>68436969.390000001</v>
          </cell>
          <cell r="H211">
            <v>0</v>
          </cell>
          <cell r="I211">
            <v>68436969.390000001</v>
          </cell>
        </row>
        <row r="212">
          <cell r="B212">
            <v>20600000</v>
          </cell>
          <cell r="C212">
            <v>10</v>
          </cell>
          <cell r="D212" t="str">
            <v>Trade receivables</v>
          </cell>
          <cell r="E212" t="str">
            <v>Considered good - unsecured</v>
          </cell>
          <cell r="F212" t="str">
            <v>Receivables- Export</v>
          </cell>
          <cell r="G212">
            <v>273608432.54000002</v>
          </cell>
          <cell r="H212">
            <v>0</v>
          </cell>
          <cell r="I212">
            <v>273608432.54000002</v>
          </cell>
        </row>
        <row r="213">
          <cell r="B213">
            <v>20600002</v>
          </cell>
          <cell r="C213">
            <v>10</v>
          </cell>
          <cell r="D213" t="str">
            <v>Trade receivables</v>
          </cell>
          <cell r="E213" t="str">
            <v>Considered good - unsecured</v>
          </cell>
          <cell r="F213" t="str">
            <v>Receivables- SEZ</v>
          </cell>
          <cell r="G213">
            <v>252950</v>
          </cell>
          <cell r="H213">
            <v>0</v>
          </cell>
          <cell r="I213">
            <v>252950</v>
          </cell>
        </row>
        <row r="214">
          <cell r="B214">
            <v>20600007</v>
          </cell>
          <cell r="C214">
            <v>10</v>
          </cell>
          <cell r="D214" t="str">
            <v>Trade receivables</v>
          </cell>
          <cell r="E214" t="str">
            <v>Considered good - unsecured</v>
          </cell>
          <cell r="F214" t="str">
            <v>Receivables- Forex</v>
          </cell>
          <cell r="G214">
            <v>6953442.4800000004</v>
          </cell>
          <cell r="H214">
            <v>0</v>
          </cell>
          <cell r="I214">
            <v>6953442.4800000004</v>
          </cell>
        </row>
        <row r="215">
          <cell r="B215">
            <v>20800152</v>
          </cell>
          <cell r="C215">
            <v>15</v>
          </cell>
          <cell r="D215" t="str">
            <v>Borrowings</v>
          </cell>
          <cell r="E215" t="str">
            <v>Working Capital Loans from Bank</v>
          </cell>
          <cell r="F215" t="str">
            <v>CC_Axis_925030026102</v>
          </cell>
          <cell r="G215">
            <v>0</v>
          </cell>
          <cell r="H215">
            <v>-120843464.5</v>
          </cell>
          <cell r="I215">
            <v>-120843464.5</v>
          </cell>
        </row>
        <row r="216">
          <cell r="B216">
            <v>21000007</v>
          </cell>
          <cell r="C216">
            <v>12</v>
          </cell>
          <cell r="D216" t="str">
            <v>Other Current Assets</v>
          </cell>
          <cell r="E216" t="str">
            <v>Balances with Government Authorities</v>
          </cell>
          <cell r="F216" t="str">
            <v>GST Refund_Custom De</v>
          </cell>
          <cell r="G216">
            <v>28490601.039999899</v>
          </cell>
          <cell r="H216">
            <v>0</v>
          </cell>
          <cell r="I216">
            <v>28490601.039999899</v>
          </cell>
        </row>
        <row r="217">
          <cell r="B217">
            <v>40100006</v>
          </cell>
          <cell r="C217">
            <v>22</v>
          </cell>
          <cell r="D217" t="str">
            <v>Cost of material consumed</v>
          </cell>
          <cell r="E217" t="str">
            <v>Add : Purchases -PM</v>
          </cell>
          <cell r="F217" t="str">
            <v>COGS Packing Mat</v>
          </cell>
          <cell r="G217">
            <v>6996287.5499999896</v>
          </cell>
          <cell r="H217">
            <v>0</v>
          </cell>
          <cell r="I217">
            <v>6996287.5499999896</v>
          </cell>
        </row>
        <row r="218">
          <cell r="B218">
            <v>40200010</v>
          </cell>
          <cell r="C218">
            <v>23</v>
          </cell>
          <cell r="D218" t="str">
            <v xml:space="preserve">Changes in inventories of finished goods and work-in-progress </v>
          </cell>
          <cell r="E218" t="str">
            <v>Changes in inventories of finished goods and work in progress</v>
          </cell>
          <cell r="F218" t="str">
            <v>Change in Stock</v>
          </cell>
          <cell r="G218">
            <v>0</v>
          </cell>
          <cell r="H218">
            <v>-359171423.36000001</v>
          </cell>
          <cell r="I218">
            <v>-359171423.36000001</v>
          </cell>
        </row>
        <row r="219">
          <cell r="B219">
            <v>40300001</v>
          </cell>
          <cell r="C219">
            <v>24</v>
          </cell>
          <cell r="D219" t="str">
            <v>Employee benefits expense</v>
          </cell>
          <cell r="E219" t="str">
            <v>Staff welfare expenses</v>
          </cell>
          <cell r="F219" t="str">
            <v>Staff Recruitment an</v>
          </cell>
          <cell r="G219">
            <v>971434.64</v>
          </cell>
          <cell r="H219">
            <v>0</v>
          </cell>
          <cell r="I219">
            <v>971434.64</v>
          </cell>
        </row>
        <row r="220">
          <cell r="B220">
            <v>40300013</v>
          </cell>
          <cell r="C220">
            <v>24</v>
          </cell>
          <cell r="D220" t="str">
            <v>Employee benefits expense</v>
          </cell>
          <cell r="E220" t="str">
            <v>Staff welfare expenses</v>
          </cell>
          <cell r="F220" t="str">
            <v>Staff Training Expen</v>
          </cell>
          <cell r="G220">
            <v>228700</v>
          </cell>
          <cell r="H220">
            <v>0</v>
          </cell>
          <cell r="I220">
            <v>228700</v>
          </cell>
        </row>
        <row r="221">
          <cell r="B221">
            <v>40300017</v>
          </cell>
          <cell r="C221">
            <v>24</v>
          </cell>
          <cell r="D221" t="str">
            <v>Employee benefits expense</v>
          </cell>
          <cell r="E221" t="str">
            <v xml:space="preserve">Salary, Wages, Allowances and Bonus etc. </v>
          </cell>
          <cell r="F221" t="str">
            <v>Productivity Incenti</v>
          </cell>
          <cell r="G221">
            <v>767647</v>
          </cell>
          <cell r="H221">
            <v>0</v>
          </cell>
          <cell r="I221">
            <v>767647</v>
          </cell>
        </row>
        <row r="222">
          <cell r="B222">
            <v>40300018</v>
          </cell>
          <cell r="C222">
            <v>24</v>
          </cell>
          <cell r="D222" t="str">
            <v>Employee benefits expense</v>
          </cell>
          <cell r="E222" t="str">
            <v xml:space="preserve">Salary, Wages, Allowances and Bonus etc. </v>
          </cell>
          <cell r="F222" t="str">
            <v>Trainee Stipend</v>
          </cell>
          <cell r="G222">
            <v>253468.959999999</v>
          </cell>
          <cell r="H222">
            <v>0</v>
          </cell>
          <cell r="I222">
            <v>253468.959999999</v>
          </cell>
        </row>
        <row r="223">
          <cell r="B223">
            <v>40300020</v>
          </cell>
          <cell r="C223">
            <v>24</v>
          </cell>
          <cell r="D223" t="str">
            <v>Employee benefits expense</v>
          </cell>
          <cell r="E223" t="str">
            <v xml:space="preserve">Salary, Wages, Allowances and Bonus etc. </v>
          </cell>
          <cell r="F223" t="str">
            <v>Uniform Allowance</v>
          </cell>
          <cell r="G223">
            <v>47250</v>
          </cell>
          <cell r="H223">
            <v>0</v>
          </cell>
          <cell r="I223">
            <v>47250</v>
          </cell>
        </row>
        <row r="224">
          <cell r="B224">
            <v>40400005</v>
          </cell>
          <cell r="C224">
            <v>26</v>
          </cell>
          <cell r="D224" t="str">
            <v>Other expenses</v>
          </cell>
          <cell r="E224" t="str">
            <v>Bank Charges</v>
          </cell>
          <cell r="F224" t="str">
            <v>International Bank C</v>
          </cell>
          <cell r="G224">
            <v>181779.75</v>
          </cell>
          <cell r="H224">
            <v>0</v>
          </cell>
          <cell r="I224">
            <v>181779.75</v>
          </cell>
        </row>
        <row r="225">
          <cell r="B225">
            <v>40400024</v>
          </cell>
          <cell r="C225">
            <v>25</v>
          </cell>
          <cell r="D225" t="str">
            <v>Finance costs</v>
          </cell>
          <cell r="E225" t="str">
            <v>- From Bank (Secured Loan)</v>
          </cell>
          <cell r="F225" t="str">
            <v>Interest on Buyer’s</v>
          </cell>
          <cell r="G225">
            <v>733328.47999999905</v>
          </cell>
          <cell r="H225">
            <v>0</v>
          </cell>
          <cell r="I225">
            <v>733328.47999999905</v>
          </cell>
        </row>
        <row r="226">
          <cell r="B226">
            <v>40600006</v>
          </cell>
          <cell r="C226">
            <v>26</v>
          </cell>
          <cell r="D226" t="str">
            <v>Other expenses</v>
          </cell>
          <cell r="E226" t="str">
            <v>Job work and labour charges</v>
          </cell>
          <cell r="F226" t="str">
            <v>Jobwork Charges</v>
          </cell>
          <cell r="G226">
            <v>64562625.130000003</v>
          </cell>
          <cell r="H226">
            <v>0</v>
          </cell>
          <cell r="I226">
            <v>64562625.130000003</v>
          </cell>
        </row>
        <row r="227">
          <cell r="B227">
            <v>40700016</v>
          </cell>
          <cell r="C227">
            <v>25</v>
          </cell>
          <cell r="D227" t="str">
            <v>Finance costs</v>
          </cell>
          <cell r="E227" t="str">
            <v>Other Interest Expenses</v>
          </cell>
          <cell r="F227" t="str">
            <v>Interest On TDS</v>
          </cell>
          <cell r="G227">
            <v>10247</v>
          </cell>
          <cell r="H227">
            <v>0</v>
          </cell>
          <cell r="I227">
            <v>10247</v>
          </cell>
        </row>
        <row r="228">
          <cell r="B228">
            <v>40700036</v>
          </cell>
          <cell r="C228">
            <v>22</v>
          </cell>
          <cell r="D228" t="str">
            <v>Cost of material consumed</v>
          </cell>
          <cell r="E228" t="str">
            <v>Add : Purchases -RM</v>
          </cell>
          <cell r="F228" t="str">
            <v>Ground Rent and Sto</v>
          </cell>
          <cell r="G228">
            <v>160100</v>
          </cell>
          <cell r="H228">
            <v>0</v>
          </cell>
          <cell r="I228">
            <v>160100</v>
          </cell>
        </row>
        <row r="229">
          <cell r="B229">
            <v>80000001</v>
          </cell>
          <cell r="C229">
            <v>17</v>
          </cell>
          <cell r="D229" t="str">
            <v>Trade Payables</v>
          </cell>
          <cell r="E229" t="str">
            <v>Total outstanding dues of creditors other than micro enterprises and small enterprises</v>
          </cell>
          <cell r="F229" t="str">
            <v>Clearing  SFG and FG</v>
          </cell>
          <cell r="G229">
            <v>0</v>
          </cell>
          <cell r="H229">
            <v>-7188353.1600000001</v>
          </cell>
          <cell r="I229">
            <v>-7188353.1600000001</v>
          </cell>
        </row>
        <row r="230">
          <cell r="B230">
            <v>20200009</v>
          </cell>
          <cell r="C230">
            <v>4</v>
          </cell>
          <cell r="D230" t="str">
            <v>Investments</v>
          </cell>
          <cell r="E230" t="str">
            <v>Investments</v>
          </cell>
          <cell r="F230" t="str">
            <v>Investment Equit-JSW</v>
          </cell>
          <cell r="G230">
            <v>9480000</v>
          </cell>
          <cell r="H230">
            <v>0</v>
          </cell>
          <cell r="I230">
            <v>9480000</v>
          </cell>
        </row>
        <row r="231">
          <cell r="B231">
            <v>20800151</v>
          </cell>
          <cell r="C231">
            <v>15</v>
          </cell>
          <cell r="D231" t="str">
            <v>Borrowings</v>
          </cell>
          <cell r="E231" t="str">
            <v>Working Capital Loans from Bank</v>
          </cell>
          <cell r="F231" t="str">
            <v>CC_Axis_925030026102</v>
          </cell>
          <cell r="G231">
            <v>23815000</v>
          </cell>
          <cell r="H231">
            <v>0</v>
          </cell>
          <cell r="I231">
            <v>23815000</v>
          </cell>
        </row>
        <row r="232">
          <cell r="B232">
            <v>30000005</v>
          </cell>
          <cell r="C232">
            <v>21</v>
          </cell>
          <cell r="D232" t="str">
            <v>Other Income</v>
          </cell>
          <cell r="E232" t="str">
            <v>- From others</v>
          </cell>
          <cell r="F232" t="str">
            <v>Duty Drawback Receiv</v>
          </cell>
          <cell r="G232">
            <v>0</v>
          </cell>
          <cell r="H232">
            <v>-582862</v>
          </cell>
          <cell r="I232">
            <v>-582862</v>
          </cell>
        </row>
        <row r="233">
          <cell r="B233">
            <v>40100010</v>
          </cell>
          <cell r="C233">
            <v>23</v>
          </cell>
          <cell r="D233" t="str">
            <v xml:space="preserve">Changes in inventories of finished goods and work-in-progress </v>
          </cell>
          <cell r="E233" t="str">
            <v>Changes in inventories of finished goods and work in progress</v>
          </cell>
          <cell r="F233" t="str">
            <v>Consumption of FG</v>
          </cell>
          <cell r="G233">
            <v>15305370.02</v>
          </cell>
          <cell r="H233">
            <v>0</v>
          </cell>
          <cell r="I233">
            <v>15305370.02</v>
          </cell>
        </row>
        <row r="234">
          <cell r="B234">
            <v>40400003</v>
          </cell>
          <cell r="C234">
            <v>26</v>
          </cell>
          <cell r="D234" t="str">
            <v>Other expenses</v>
          </cell>
          <cell r="E234" t="str">
            <v>Bank Charges</v>
          </cell>
          <cell r="F234" t="str">
            <v>Export Collection_Ch</v>
          </cell>
          <cell r="G234">
            <v>58160.98</v>
          </cell>
          <cell r="H234">
            <v>0</v>
          </cell>
          <cell r="I234">
            <v>58160.98</v>
          </cell>
        </row>
        <row r="235">
          <cell r="B235">
            <v>40700017</v>
          </cell>
          <cell r="C235">
            <v>26</v>
          </cell>
          <cell r="D235" t="str">
            <v>Other expenses</v>
          </cell>
          <cell r="E235" t="str">
            <v>Miscellaneous expenses</v>
          </cell>
          <cell r="F235" t="str">
            <v>GST Expense</v>
          </cell>
          <cell r="G235">
            <v>95168.07</v>
          </cell>
          <cell r="H235">
            <v>0</v>
          </cell>
          <cell r="I235">
            <v>95168.07</v>
          </cell>
        </row>
        <row r="236">
          <cell r="B236">
            <v>40300007</v>
          </cell>
          <cell r="C236">
            <v>26</v>
          </cell>
          <cell r="D236" t="str">
            <v>Other expenses</v>
          </cell>
          <cell r="E236" t="str">
            <v>Travelling and conveyance</v>
          </cell>
          <cell r="F236" t="str">
            <v>Conveyance Allowance</v>
          </cell>
          <cell r="G236">
            <v>189677.42</v>
          </cell>
          <cell r="H236">
            <v>0</v>
          </cell>
          <cell r="I236">
            <v>189677.42</v>
          </cell>
        </row>
        <row r="237">
          <cell r="B237">
            <v>40700047</v>
          </cell>
          <cell r="C237">
            <v>22</v>
          </cell>
          <cell r="D237" t="str">
            <v>Cost of material consumed</v>
          </cell>
          <cell r="E237" t="str">
            <v>Add : Purchases -RM</v>
          </cell>
          <cell r="F237" t="str">
            <v>Freight cost– Others</v>
          </cell>
          <cell r="G237">
            <v>1218350</v>
          </cell>
          <cell r="H237">
            <v>0</v>
          </cell>
          <cell r="I237">
            <v>1218350</v>
          </cell>
        </row>
        <row r="238">
          <cell r="B238">
            <v>40700040</v>
          </cell>
          <cell r="C238">
            <v>26</v>
          </cell>
          <cell r="D238" t="str">
            <v>Other expenses</v>
          </cell>
          <cell r="E238" t="str">
            <v>(b) Deferred Tax</v>
          </cell>
          <cell r="F238" t="str">
            <v>IND AS - Deferred Tax Expense</v>
          </cell>
          <cell r="G238">
            <v>0</v>
          </cell>
          <cell r="H238">
            <v>-142606.20999999909</v>
          </cell>
          <cell r="I238">
            <v>-142606.20999999909</v>
          </cell>
        </row>
        <row r="239">
          <cell r="B239">
            <v>10600005</v>
          </cell>
          <cell r="C239">
            <v>15</v>
          </cell>
          <cell r="D239" t="str">
            <v>Borrowings</v>
          </cell>
          <cell r="E239" t="str">
            <v>Working Capital Loans from Bank</v>
          </cell>
          <cell r="F239" t="str">
            <v>WCDL_HDFC</v>
          </cell>
          <cell r="G239">
            <v>0</v>
          </cell>
          <cell r="H239">
            <v>-270000000</v>
          </cell>
          <cell r="I239">
            <v>-270000000</v>
          </cell>
        </row>
        <row r="240">
          <cell r="B240">
            <v>30000002</v>
          </cell>
          <cell r="C240">
            <v>20</v>
          </cell>
          <cell r="D240" t="str">
            <v>Revenue from operations</v>
          </cell>
          <cell r="E240" t="str">
            <v>Sales of Products</v>
          </cell>
          <cell r="F240" t="str">
            <v>Sales_Rate Differenc</v>
          </cell>
          <cell r="G240">
            <v>389578.5</v>
          </cell>
          <cell r="H240">
            <v>0</v>
          </cell>
          <cell r="I240">
            <v>389578.5</v>
          </cell>
        </row>
        <row r="241">
          <cell r="B241">
            <v>40700005</v>
          </cell>
          <cell r="C241">
            <v>26</v>
          </cell>
          <cell r="D241" t="str">
            <v>Other expenses</v>
          </cell>
          <cell r="E241" t="str">
            <v>- Plant and machinery</v>
          </cell>
          <cell r="F241" t="str">
            <v>Annual Maintainance</v>
          </cell>
          <cell r="G241">
            <v>1982531.7</v>
          </cell>
          <cell r="H241">
            <v>0</v>
          </cell>
          <cell r="I241">
            <v>1982531.7</v>
          </cell>
        </row>
        <row r="242">
          <cell r="B242">
            <v>40400011</v>
          </cell>
          <cell r="C242">
            <v>25</v>
          </cell>
          <cell r="D242" t="str">
            <v>Finance costs</v>
          </cell>
          <cell r="E242" t="str">
            <v>- From Bank (Secured Loan)</v>
          </cell>
          <cell r="F242" t="str">
            <v>Interest on WCDL</v>
          </cell>
          <cell r="G242">
            <v>3787890</v>
          </cell>
          <cell r="H242">
            <v>0</v>
          </cell>
          <cell r="I242">
            <v>3787890</v>
          </cell>
        </row>
        <row r="243">
          <cell r="B243">
            <v>20600003</v>
          </cell>
          <cell r="C243">
            <v>10</v>
          </cell>
          <cell r="D243" t="str">
            <v>Trade receivables</v>
          </cell>
          <cell r="E243" t="str">
            <v>Considered good - unsecured</v>
          </cell>
          <cell r="F243" t="str">
            <v>Receivables- Deemed</v>
          </cell>
          <cell r="G243">
            <v>5449494.0499999896</v>
          </cell>
          <cell r="H243">
            <v>0</v>
          </cell>
          <cell r="I243">
            <v>5449494.0499999896</v>
          </cell>
        </row>
        <row r="244">
          <cell r="B244">
            <v>21000021</v>
          </cell>
          <cell r="C244">
            <v>12</v>
          </cell>
          <cell r="D244" t="str">
            <v>Other Current Assets</v>
          </cell>
          <cell r="E244" t="str">
            <v>Balances with Government Authorities</v>
          </cell>
          <cell r="F244" t="str">
            <v>ITC appearing in 2B</v>
          </cell>
          <cell r="G244">
            <v>0</v>
          </cell>
          <cell r="H244">
            <v>-3843162</v>
          </cell>
          <cell r="I244">
            <v>-3843162</v>
          </cell>
        </row>
        <row r="245">
          <cell r="B245">
            <v>21100009</v>
          </cell>
          <cell r="C245">
            <v>12</v>
          </cell>
          <cell r="D245" t="str">
            <v>Other Current Assets</v>
          </cell>
          <cell r="E245" t="str">
            <v>Balances with Government Authorities</v>
          </cell>
          <cell r="F245" t="str">
            <v>MEIS/RODTEP Script</v>
          </cell>
          <cell r="G245">
            <v>333918.15000000002</v>
          </cell>
          <cell r="H245">
            <v>0</v>
          </cell>
          <cell r="I245">
            <v>333918.15000000002</v>
          </cell>
        </row>
        <row r="246">
          <cell r="B246">
            <v>30100016</v>
          </cell>
          <cell r="C246">
            <v>20</v>
          </cell>
          <cell r="D246" t="str">
            <v>Revenue from operations</v>
          </cell>
          <cell r="E246" t="str">
            <v>Sales of Products</v>
          </cell>
          <cell r="F246" t="str">
            <v>MEIS/RODTEP Script</v>
          </cell>
          <cell r="G246">
            <v>0</v>
          </cell>
          <cell r="H246">
            <v>-650238</v>
          </cell>
          <cell r="I246">
            <v>-650238</v>
          </cell>
        </row>
        <row r="247">
          <cell r="B247">
            <v>40700037</v>
          </cell>
          <cell r="C247">
            <v>26</v>
          </cell>
          <cell r="D247" t="str">
            <v>Other expenses</v>
          </cell>
          <cell r="E247" t="str">
            <v>Miscellaneous expenses</v>
          </cell>
          <cell r="F247" t="str">
            <v>Garden Expense</v>
          </cell>
          <cell r="G247">
            <v>749000</v>
          </cell>
          <cell r="H247">
            <v>0</v>
          </cell>
          <cell r="I247">
            <v>749000</v>
          </cell>
        </row>
      </sheetData>
      <sheetData sheetId="6">
        <row r="8">
          <cell r="D8">
            <v>4818188.2109599998</v>
          </cell>
        </row>
      </sheetData>
      <sheetData sheetId="7">
        <row r="8">
          <cell r="D8">
            <v>1475196</v>
          </cell>
        </row>
      </sheetData>
      <sheetData sheetId="8"/>
      <sheetData sheetId="9"/>
      <sheetData sheetId="10"/>
      <sheetData sheetId="11"/>
      <sheetData sheetId="12"/>
      <sheetData sheetId="13"/>
      <sheetData sheetId="14">
        <row r="314">
          <cell r="G314">
            <v>2653876</v>
          </cell>
        </row>
      </sheetData>
      <sheetData sheetId="15">
        <row r="28">
          <cell r="C28">
            <v>265</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0.6.25"/>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row r="1">
          <cell r="G1" t="str">
            <v>BS</v>
          </cell>
          <cell r="H1" t="str">
            <v>CFS</v>
          </cell>
        </row>
        <row r="2">
          <cell r="G2">
            <v>0.23464999999850988</v>
          </cell>
          <cell r="H2" t="e">
            <v>#REF!</v>
          </cell>
        </row>
        <row r="4">
          <cell r="G4">
            <v>25046409.18999999</v>
          </cell>
          <cell r="H4">
            <v>0</v>
          </cell>
          <cell r="I4">
            <v>25046409.18999999</v>
          </cell>
        </row>
        <row r="5">
          <cell r="C5" t="str">
            <v>Ind AS</v>
          </cell>
          <cell r="D5" t="str">
            <v>Ind AS</v>
          </cell>
          <cell r="E5" t="str">
            <v>Ind AS</v>
          </cell>
        </row>
        <row r="6">
          <cell r="B6" t="str">
            <v>Code No.</v>
          </cell>
          <cell r="C6" t="str">
            <v>Note</v>
          </cell>
          <cell r="D6" t="str">
            <v>Ind AS Head</v>
          </cell>
          <cell r="E6" t="str">
            <v>Ind AS Sub Head</v>
          </cell>
          <cell r="F6" t="str">
            <v>Particulars</v>
          </cell>
          <cell r="G6" t="str">
            <v>Debit</v>
          </cell>
          <cell r="H6" t="str">
            <v>Credit</v>
          </cell>
          <cell r="I6" t="str">
            <v>Total</v>
          </cell>
        </row>
        <row r="7">
          <cell r="B7">
            <v>10000000</v>
          </cell>
          <cell r="C7">
            <v>13</v>
          </cell>
          <cell r="D7" t="str">
            <v>Equity share capital</v>
          </cell>
          <cell r="E7" t="str">
            <v>315,940 (previous year: 315,940) equity shares of Rs 10 each fully paid up</v>
          </cell>
          <cell r="F7" t="str">
            <v>Equity Share Capital</v>
          </cell>
          <cell r="G7">
            <v>0</v>
          </cell>
          <cell r="H7">
            <v>-1365970</v>
          </cell>
          <cell r="I7">
            <v>-1365970</v>
          </cell>
        </row>
        <row r="8">
          <cell r="B8">
            <v>10000004</v>
          </cell>
          <cell r="C8">
            <v>13</v>
          </cell>
          <cell r="D8" t="str">
            <v>Equity share capital</v>
          </cell>
          <cell r="E8" t="str">
            <v>Pref Shar CCPS-BVCPL</v>
          </cell>
          <cell r="F8" t="str">
            <v>0.01% Non-Cumulative CCPS</v>
          </cell>
          <cell r="G8">
            <v>0</v>
          </cell>
          <cell r="H8">
            <v>-868680</v>
          </cell>
          <cell r="I8">
            <v>-868680</v>
          </cell>
        </row>
        <row r="9">
          <cell r="B9">
            <v>10100000</v>
          </cell>
          <cell r="C9">
            <v>14</v>
          </cell>
          <cell r="D9" t="str">
            <v>Other equity</v>
          </cell>
          <cell r="E9" t="str">
            <v>Closing balance - Securities Premium</v>
          </cell>
          <cell r="F9" t="str">
            <v>Security Premium Account</v>
          </cell>
          <cell r="G9">
            <v>0</v>
          </cell>
          <cell r="H9">
            <v>-2888560445.96</v>
          </cell>
          <cell r="I9">
            <v>-2888560445.96</v>
          </cell>
        </row>
        <row r="10">
          <cell r="B10">
            <v>10100001</v>
          </cell>
          <cell r="C10">
            <v>14</v>
          </cell>
          <cell r="D10" t="str">
            <v>Other equity</v>
          </cell>
          <cell r="E10" t="str">
            <v>Closing balance - Retained Earnings</v>
          </cell>
          <cell r="F10" t="str">
            <v>Retained earnings</v>
          </cell>
          <cell r="G10">
            <v>205255407.87</v>
          </cell>
          <cell r="H10">
            <v>0</v>
          </cell>
          <cell r="I10">
            <v>205255407.87</v>
          </cell>
        </row>
        <row r="11">
          <cell r="B11">
            <v>10100002</v>
          </cell>
          <cell r="C11">
            <v>14</v>
          </cell>
          <cell r="D11" t="str">
            <v>Other equity</v>
          </cell>
          <cell r="E11" t="str">
            <v>Closing balance - Retained Earnings</v>
          </cell>
          <cell r="F11" t="str">
            <v>Profit &amp; Loss Account</v>
          </cell>
          <cell r="G11">
            <v>7941080.54</v>
          </cell>
          <cell r="H11">
            <v>0</v>
          </cell>
          <cell r="I11">
            <v>7941080.54</v>
          </cell>
        </row>
        <row r="12">
          <cell r="B12">
            <v>10100009</v>
          </cell>
          <cell r="C12">
            <v>14</v>
          </cell>
          <cell r="D12" t="str">
            <v>Other equity</v>
          </cell>
          <cell r="E12" t="str">
            <v>Closing balance - Retained Earnings</v>
          </cell>
          <cell r="F12" t="str">
            <v>IND AS - Opening Balance - Retained Earnings</v>
          </cell>
          <cell r="G12">
            <v>0</v>
          </cell>
          <cell r="H12">
            <v>-38668.9</v>
          </cell>
          <cell r="I12">
            <v>-38668.9</v>
          </cell>
        </row>
        <row r="13">
          <cell r="B13">
            <v>10200015</v>
          </cell>
          <cell r="C13">
            <v>15</v>
          </cell>
          <cell r="D13" t="str">
            <v>Borrowings</v>
          </cell>
          <cell r="E13" t="str">
            <v>Term Loan from Bank</v>
          </cell>
          <cell r="F13" t="str">
            <v>IND AS - Transaction Cost Impact on TL</v>
          </cell>
          <cell r="G13">
            <v>1223808.4299999899</v>
          </cell>
          <cell r="H13">
            <v>0</v>
          </cell>
          <cell r="I13">
            <v>1223808.4299999899</v>
          </cell>
        </row>
        <row r="14">
          <cell r="B14">
            <v>10200016</v>
          </cell>
          <cell r="C14">
            <v>15</v>
          </cell>
          <cell r="D14" t="str">
            <v>Borrowings</v>
          </cell>
          <cell r="E14" t="str">
            <v>Term Loan from Bank</v>
          </cell>
          <cell r="F14" t="str">
            <v>TL_AXIS_ 923060053143888</v>
          </cell>
          <cell r="G14">
            <v>0</v>
          </cell>
          <cell r="H14">
            <v>-2000000000</v>
          </cell>
          <cell r="I14">
            <v>-2000000000</v>
          </cell>
        </row>
        <row r="15">
          <cell r="B15">
            <v>10200018</v>
          </cell>
          <cell r="C15">
            <v>15</v>
          </cell>
          <cell r="D15" t="str">
            <v>Borrowings</v>
          </cell>
          <cell r="E15" t="str">
            <v>Term Loan from Bank</v>
          </cell>
          <cell r="F15" t="str">
            <v>TL_AXIS_924060051723539</v>
          </cell>
          <cell r="G15">
            <v>0</v>
          </cell>
          <cell r="H15">
            <v>-400000000</v>
          </cell>
          <cell r="I15">
            <v>-400000000</v>
          </cell>
        </row>
        <row r="16">
          <cell r="B16">
            <v>10300002</v>
          </cell>
          <cell r="C16">
            <v>15</v>
          </cell>
          <cell r="D16" t="str">
            <v>Borrowings</v>
          </cell>
          <cell r="E16" t="str">
            <v>Term Loan from Bank</v>
          </cell>
          <cell r="F16" t="str">
            <v>TL_HDFC_02400930000746</v>
          </cell>
          <cell r="G16">
            <v>0</v>
          </cell>
          <cell r="H16">
            <v>-399999043.79000002</v>
          </cell>
          <cell r="I16">
            <v>-399999043.79000002</v>
          </cell>
        </row>
        <row r="17">
          <cell r="B17">
            <v>10400001</v>
          </cell>
          <cell r="C17">
            <v>4</v>
          </cell>
          <cell r="D17" t="str">
            <v>Deferred Tax Liabilities (Net)</v>
          </cell>
          <cell r="E17" t="str">
            <v>Deferred Tax</v>
          </cell>
          <cell r="F17" t="str">
            <v>IND AS - Deferred Tax Liability</v>
          </cell>
          <cell r="G17">
            <v>0</v>
          </cell>
          <cell r="H17">
            <v>-238523.489999999</v>
          </cell>
          <cell r="I17">
            <v>-238523.489999999</v>
          </cell>
        </row>
        <row r="18">
          <cell r="B18">
            <v>10500000</v>
          </cell>
          <cell r="C18">
            <v>16</v>
          </cell>
          <cell r="D18" t="str">
            <v>Provisions</v>
          </cell>
          <cell r="E18" t="str">
            <v>Provision for employee benefits - Gratuity</v>
          </cell>
          <cell r="F18" t="str">
            <v>Provision for Gratuity</v>
          </cell>
          <cell r="G18">
            <v>0</v>
          </cell>
          <cell r="H18">
            <v>-2120219</v>
          </cell>
          <cell r="I18">
            <v>-2120219</v>
          </cell>
        </row>
        <row r="19">
          <cell r="B19">
            <v>10500001</v>
          </cell>
          <cell r="C19">
            <v>16</v>
          </cell>
          <cell r="D19" t="str">
            <v>Provisions</v>
          </cell>
          <cell r="E19" t="str">
            <v>Provision for compensated absences</v>
          </cell>
          <cell r="F19" t="str">
            <v>Provision for Leave Salary</v>
          </cell>
          <cell r="G19">
            <v>0</v>
          </cell>
          <cell r="H19">
            <v>-2607951</v>
          </cell>
          <cell r="I19">
            <v>-2607951</v>
          </cell>
        </row>
        <row r="20">
          <cell r="B20">
            <v>10600010</v>
          </cell>
          <cell r="C20">
            <v>15</v>
          </cell>
          <cell r="D20" t="str">
            <v>Borrowings</v>
          </cell>
          <cell r="E20" t="str">
            <v>Unsecured loan from related parties</v>
          </cell>
          <cell r="F20" t="str">
            <v>Best Value Chem Pvt Ltd.</v>
          </cell>
          <cell r="G20">
            <v>0</v>
          </cell>
          <cell r="H20">
            <v>-265968343.41</v>
          </cell>
          <cell r="I20">
            <v>-265968343.41</v>
          </cell>
        </row>
        <row r="21">
          <cell r="B21">
            <v>10800000</v>
          </cell>
          <cell r="C21">
            <v>17</v>
          </cell>
          <cell r="D21" t="str">
            <v>Trade payables</v>
          </cell>
          <cell r="E21" t="str">
            <v>Total outstanding dues of creditors other than micro enterprises and small enterprises</v>
          </cell>
          <cell r="F21" t="str">
            <v>Payable - Raw Material Import</v>
          </cell>
          <cell r="G21">
            <v>0</v>
          </cell>
          <cell r="H21">
            <v>-84434755.430000007</v>
          </cell>
          <cell r="I21">
            <v>-84434755.430000007</v>
          </cell>
        </row>
        <row r="22">
          <cell r="B22">
            <v>10800001</v>
          </cell>
          <cell r="C22">
            <v>17</v>
          </cell>
          <cell r="D22" t="str">
            <v>Trade payables</v>
          </cell>
          <cell r="E22" t="str">
            <v>Total outstanding dues of creditors other than micro enterprises and small enterprises</v>
          </cell>
          <cell r="F22" t="str">
            <v>Payable - Raw Material Domestic</v>
          </cell>
          <cell r="G22">
            <v>0</v>
          </cell>
          <cell r="H22">
            <v>-99935998.950000003</v>
          </cell>
          <cell r="I22">
            <v>-99935998.950000003</v>
          </cell>
        </row>
        <row r="23">
          <cell r="B23">
            <v>10800002</v>
          </cell>
          <cell r="C23">
            <v>17</v>
          </cell>
          <cell r="D23" t="str">
            <v>Trade payables</v>
          </cell>
          <cell r="E23" t="str">
            <v>Total outstanding dues of creditors other than micro enterprises and small enterprises</v>
          </cell>
          <cell r="F23" t="str">
            <v>Payable - Packing Material</v>
          </cell>
          <cell r="G23">
            <v>0</v>
          </cell>
          <cell r="H23">
            <v>-7862613.2000000002</v>
          </cell>
          <cell r="I23">
            <v>-7862613.2000000002</v>
          </cell>
        </row>
        <row r="24">
          <cell r="B24">
            <v>10800003</v>
          </cell>
          <cell r="C24">
            <v>17</v>
          </cell>
          <cell r="D24" t="str">
            <v>Trade payables</v>
          </cell>
          <cell r="E24" t="str">
            <v>Total outstanding dues of creditors other than micro enterprises and small enterprises</v>
          </cell>
          <cell r="F24" t="str">
            <v>Payable - Fuel</v>
          </cell>
          <cell r="G24">
            <v>0</v>
          </cell>
          <cell r="H24">
            <v>-7541013.46</v>
          </cell>
          <cell r="I24">
            <v>-7541013.46</v>
          </cell>
        </row>
        <row r="25">
          <cell r="B25">
            <v>10800004</v>
          </cell>
          <cell r="C25">
            <v>17</v>
          </cell>
          <cell r="D25" t="str">
            <v>Trade payables</v>
          </cell>
          <cell r="E25" t="str">
            <v>Total outstanding dues of creditors other than micro enterprises and small enterprises</v>
          </cell>
          <cell r="F25" t="str">
            <v>Payable - Others</v>
          </cell>
          <cell r="G25">
            <v>0</v>
          </cell>
          <cell r="H25">
            <v>-316992962.81</v>
          </cell>
          <cell r="I25">
            <v>-316992962.81</v>
          </cell>
        </row>
        <row r="26">
          <cell r="B26">
            <v>10800005</v>
          </cell>
          <cell r="C26">
            <v>18</v>
          </cell>
          <cell r="D26" t="str">
            <v>Other financial liabilities</v>
          </cell>
          <cell r="E26" t="str">
            <v>Employee benefits payable</v>
          </cell>
          <cell r="F26" t="str">
            <v>Payables - Employees</v>
          </cell>
          <cell r="G26">
            <v>35924.22</v>
          </cell>
          <cell r="H26">
            <v>0</v>
          </cell>
          <cell r="I26">
            <v>35924.22</v>
          </cell>
        </row>
        <row r="27">
          <cell r="B27">
            <v>10900000</v>
          </cell>
          <cell r="C27">
            <v>17</v>
          </cell>
          <cell r="D27" t="str">
            <v>Trade payables</v>
          </cell>
          <cell r="E27" t="str">
            <v>Total outstanding dues of creditors other than micro enterprises and small enterprises</v>
          </cell>
          <cell r="F27" t="str">
            <v>Provision_Other Expenses</v>
          </cell>
          <cell r="G27">
            <v>0</v>
          </cell>
          <cell r="H27">
            <v>-8925974</v>
          </cell>
          <cell r="I27">
            <v>-8925974</v>
          </cell>
        </row>
        <row r="28">
          <cell r="B28">
            <v>20100001</v>
          </cell>
          <cell r="C28">
            <v>17</v>
          </cell>
          <cell r="D28" t="str">
            <v>Trade payables</v>
          </cell>
          <cell r="E28" t="str">
            <v>Total outstanding dues of creditors other than micro enterprises and small enterprises</v>
          </cell>
          <cell r="F28" t="str">
            <v>Capital Advances</v>
          </cell>
          <cell r="G28">
            <v>8778689.9600000009</v>
          </cell>
          <cell r="H28">
            <v>0</v>
          </cell>
          <cell r="I28">
            <v>8778689.9600000009</v>
          </cell>
        </row>
        <row r="29">
          <cell r="B29">
            <v>10900003</v>
          </cell>
          <cell r="C29">
            <v>18</v>
          </cell>
          <cell r="D29" t="str">
            <v>Other financial liabilities</v>
          </cell>
          <cell r="E29" t="str">
            <v>Employee benefits payable</v>
          </cell>
          <cell r="F29" t="str">
            <v>Provision_PF and ESIC Contribution by Company</v>
          </cell>
          <cell r="G29">
            <v>0</v>
          </cell>
          <cell r="H29">
            <v>-311807</v>
          </cell>
          <cell r="I29">
            <v>-311807</v>
          </cell>
        </row>
        <row r="30">
          <cell r="B30">
            <v>10900018</v>
          </cell>
          <cell r="C30">
            <v>18</v>
          </cell>
          <cell r="D30" t="str">
            <v>Other financial liabilities</v>
          </cell>
          <cell r="E30" t="str">
            <v>Employee benefits payable</v>
          </cell>
          <cell r="F30" t="str">
            <v>Salary Payable</v>
          </cell>
          <cell r="G30">
            <v>0</v>
          </cell>
          <cell r="H30">
            <v>-9835879.1999999899</v>
          </cell>
          <cell r="I30">
            <v>-9835879.1999999899</v>
          </cell>
        </row>
        <row r="31">
          <cell r="B31">
            <v>11000001</v>
          </cell>
          <cell r="C31">
            <v>19</v>
          </cell>
          <cell r="D31" t="str">
            <v>Other Current Liabilities</v>
          </cell>
          <cell r="E31" t="str">
            <v xml:space="preserve">Statutory liabilities </v>
          </cell>
          <cell r="F31" t="str">
            <v>TDS_Professional and Consulting_194J</v>
          </cell>
          <cell r="G31">
            <v>53941.440000000002</v>
          </cell>
          <cell r="H31">
            <v>0</v>
          </cell>
          <cell r="I31">
            <v>53941.440000000002</v>
          </cell>
        </row>
        <row r="32">
          <cell r="B32">
            <v>11000002</v>
          </cell>
          <cell r="C32">
            <v>19</v>
          </cell>
          <cell r="D32" t="str">
            <v>Other Current Liabilities</v>
          </cell>
          <cell r="E32" t="str">
            <v xml:space="preserve">Statutory liabilities </v>
          </cell>
          <cell r="F32" t="str">
            <v>TDS_Contractors_194C</v>
          </cell>
          <cell r="G32">
            <v>0</v>
          </cell>
          <cell r="H32">
            <v>-336176.31</v>
          </cell>
          <cell r="I32">
            <v>-336176.31</v>
          </cell>
        </row>
        <row r="33">
          <cell r="B33">
            <v>11000003</v>
          </cell>
          <cell r="C33">
            <v>19</v>
          </cell>
          <cell r="D33" t="str">
            <v>Other Current Liabilities</v>
          </cell>
          <cell r="E33" t="str">
            <v xml:space="preserve">Statutory liabilities </v>
          </cell>
          <cell r="F33" t="str">
            <v>TDS_Interest on borrowing_194A</v>
          </cell>
          <cell r="G33">
            <v>501331.83</v>
          </cell>
          <cell r="H33">
            <v>0</v>
          </cell>
          <cell r="I33">
            <v>501331.83</v>
          </cell>
        </row>
        <row r="34">
          <cell r="B34">
            <v>11000005</v>
          </cell>
          <cell r="C34">
            <v>19</v>
          </cell>
          <cell r="D34" t="str">
            <v>Other Current Liabilities</v>
          </cell>
          <cell r="E34" t="str">
            <v xml:space="preserve">Statutory liabilities </v>
          </cell>
          <cell r="F34" t="str">
            <v>TDS_Rent_194I</v>
          </cell>
          <cell r="G34">
            <v>9503</v>
          </cell>
          <cell r="H34">
            <v>0</v>
          </cell>
          <cell r="I34">
            <v>9503</v>
          </cell>
        </row>
        <row r="35">
          <cell r="B35">
            <v>11000006</v>
          </cell>
          <cell r="C35">
            <v>19</v>
          </cell>
          <cell r="D35" t="str">
            <v>Other Current Liabilities</v>
          </cell>
          <cell r="E35" t="str">
            <v xml:space="preserve">Statutory liabilities </v>
          </cell>
          <cell r="F35" t="str">
            <v>TDS_Purchase on Goods_194Q</v>
          </cell>
          <cell r="G35">
            <v>0</v>
          </cell>
          <cell r="H35">
            <v>-63397.5</v>
          </cell>
          <cell r="I35">
            <v>-63397.5</v>
          </cell>
        </row>
        <row r="36">
          <cell r="B36">
            <v>11000007</v>
          </cell>
          <cell r="C36">
            <v>19</v>
          </cell>
          <cell r="D36" t="str">
            <v>Other Current Liabilities</v>
          </cell>
          <cell r="E36" t="str">
            <v xml:space="preserve">Statutory liabilities </v>
          </cell>
          <cell r="F36" t="str">
            <v>TDS_Salary_192</v>
          </cell>
          <cell r="G36">
            <v>0</v>
          </cell>
          <cell r="H36">
            <v>-384318</v>
          </cell>
          <cell r="I36">
            <v>-384318</v>
          </cell>
        </row>
        <row r="37">
          <cell r="B37">
            <v>11000011</v>
          </cell>
          <cell r="C37">
            <v>19</v>
          </cell>
          <cell r="D37" t="str">
            <v>Other Current Liabilities</v>
          </cell>
          <cell r="E37" t="str">
            <v xml:space="preserve">Statutory liabilities </v>
          </cell>
          <cell r="F37" t="str">
            <v>PF Employee Contribution</v>
          </cell>
          <cell r="G37">
            <v>0</v>
          </cell>
          <cell r="H37">
            <v>-348863</v>
          </cell>
          <cell r="I37">
            <v>-348863</v>
          </cell>
        </row>
        <row r="38">
          <cell r="B38">
            <v>11000012</v>
          </cell>
          <cell r="C38">
            <v>19</v>
          </cell>
          <cell r="D38" t="str">
            <v>Other Current Liabilities</v>
          </cell>
          <cell r="E38" t="str">
            <v xml:space="preserve">Statutory liabilities </v>
          </cell>
          <cell r="F38" t="str">
            <v>Professional Tax</v>
          </cell>
          <cell r="G38">
            <v>0</v>
          </cell>
          <cell r="H38">
            <v>-34000</v>
          </cell>
          <cell r="I38">
            <v>-34000</v>
          </cell>
        </row>
        <row r="39">
          <cell r="B39">
            <v>11100002</v>
          </cell>
          <cell r="C39">
            <v>18</v>
          </cell>
          <cell r="D39" t="str">
            <v>Other financial liabilities</v>
          </cell>
          <cell r="E39" t="str">
            <v>Payable for capital goods</v>
          </cell>
          <cell r="F39" t="str">
            <v>Retention Money</v>
          </cell>
          <cell r="G39">
            <v>0</v>
          </cell>
          <cell r="H39">
            <v>-86083192.260000005</v>
          </cell>
          <cell r="I39">
            <v>-86083192.260000005</v>
          </cell>
        </row>
        <row r="40">
          <cell r="B40">
            <v>21000008</v>
          </cell>
          <cell r="C40">
            <v>19</v>
          </cell>
          <cell r="D40" t="str">
            <v>Other Current Liabilities</v>
          </cell>
          <cell r="E40" t="str">
            <v xml:space="preserve">Statutory liabilities </v>
          </cell>
          <cell r="F40" t="str">
            <v>CGST Payable</v>
          </cell>
          <cell r="G40">
            <v>0</v>
          </cell>
          <cell r="H40">
            <v>-6856990.8499999903</v>
          </cell>
          <cell r="I40">
            <v>-6856990.8499999903</v>
          </cell>
        </row>
        <row r="41">
          <cell r="B41">
            <v>21000009</v>
          </cell>
          <cell r="C41">
            <v>19</v>
          </cell>
          <cell r="D41" t="str">
            <v>Other Current Liabilities</v>
          </cell>
          <cell r="E41" t="str">
            <v xml:space="preserve">Statutory liabilities </v>
          </cell>
          <cell r="F41" t="str">
            <v>SGST Payable</v>
          </cell>
          <cell r="G41">
            <v>0</v>
          </cell>
          <cell r="H41">
            <v>-6856990.8499999903</v>
          </cell>
          <cell r="I41">
            <v>-6856990.8499999903</v>
          </cell>
        </row>
        <row r="42">
          <cell r="B42">
            <v>21000010</v>
          </cell>
          <cell r="C42">
            <v>19</v>
          </cell>
          <cell r="D42" t="str">
            <v>Other Current Liabilities</v>
          </cell>
          <cell r="E42" t="str">
            <v xml:space="preserve">Statutory liabilities </v>
          </cell>
          <cell r="F42" t="str">
            <v>IGST Payable</v>
          </cell>
          <cell r="G42">
            <v>0</v>
          </cell>
          <cell r="H42">
            <v>-7704337.71</v>
          </cell>
          <cell r="I42">
            <v>-7704337.71</v>
          </cell>
        </row>
        <row r="43">
          <cell r="B43">
            <v>80000000</v>
          </cell>
          <cell r="C43">
            <v>17</v>
          </cell>
          <cell r="D43" t="str">
            <v>Trade payables</v>
          </cell>
          <cell r="E43" t="str">
            <v>Total outstanding dues of creditors other than micro enterprises and small enterprises</v>
          </cell>
          <cell r="F43" t="str">
            <v>Clearing Material</v>
          </cell>
          <cell r="G43">
            <v>0</v>
          </cell>
          <cell r="H43">
            <v>-11415016.460000001</v>
          </cell>
          <cell r="I43">
            <v>-11415016.460000001</v>
          </cell>
        </row>
        <row r="44">
          <cell r="B44">
            <v>80000002</v>
          </cell>
          <cell r="C44">
            <v>17</v>
          </cell>
          <cell r="D44" t="str">
            <v>Trade payables</v>
          </cell>
          <cell r="E44" t="str">
            <v>Total outstanding dues of creditors other than micro enterprises and small enterprises</v>
          </cell>
          <cell r="F44" t="str">
            <v>Cntrl Stores&amp; Spares</v>
          </cell>
          <cell r="G44">
            <v>0</v>
          </cell>
          <cell r="H44">
            <v>-1558366.4399999899</v>
          </cell>
          <cell r="I44">
            <v>-1558366.4399999899</v>
          </cell>
        </row>
        <row r="45">
          <cell r="B45">
            <v>80000003</v>
          </cell>
          <cell r="C45">
            <v>17</v>
          </cell>
          <cell r="D45" t="str">
            <v>Trade payables</v>
          </cell>
          <cell r="E45" t="str">
            <v>Total outstanding dues of creditors other than micro enterprises and small enterprises</v>
          </cell>
          <cell r="F45" t="str">
            <v>Import cost Ctrl GL</v>
          </cell>
          <cell r="G45">
            <v>0</v>
          </cell>
          <cell r="H45">
            <v>0</v>
          </cell>
          <cell r="I45">
            <v>0</v>
          </cell>
        </row>
        <row r="46">
          <cell r="B46">
            <v>80000008</v>
          </cell>
          <cell r="C46">
            <v>17</v>
          </cell>
          <cell r="D46" t="str">
            <v>Trade payables</v>
          </cell>
          <cell r="E46" t="str">
            <v>Total outstanding dues of creditors other than micro enterprises and small enterprises</v>
          </cell>
          <cell r="F46" t="str">
            <v>Clearing  Services</v>
          </cell>
          <cell r="G46">
            <v>0</v>
          </cell>
          <cell r="H46">
            <v>-4930772.3600000003</v>
          </cell>
          <cell r="I46">
            <v>-4930772.3600000003</v>
          </cell>
        </row>
        <row r="47">
          <cell r="B47">
            <v>80000022</v>
          </cell>
          <cell r="C47">
            <v>17</v>
          </cell>
          <cell r="D47" t="str">
            <v>Trade payables</v>
          </cell>
          <cell r="E47" t="str">
            <v>Total outstanding dues of creditors other than micro enterprises and small enterprises</v>
          </cell>
          <cell r="F47" t="str">
            <v>AUC Down Payment</v>
          </cell>
          <cell r="I47">
            <v>0</v>
          </cell>
        </row>
        <row r="48">
          <cell r="B48">
            <v>10800007</v>
          </cell>
          <cell r="C48">
            <v>17</v>
          </cell>
          <cell r="D48" t="str">
            <v>Trade payables</v>
          </cell>
          <cell r="E48" t="str">
            <v>Total outstanding dues of creditors other than micro enterprises and small enterprises</v>
          </cell>
          <cell r="F48" t="str">
            <v>Payable - Forex</v>
          </cell>
          <cell r="G48">
            <v>983116.42</v>
          </cell>
          <cell r="H48">
            <v>0</v>
          </cell>
          <cell r="I48">
            <v>983116.42</v>
          </cell>
        </row>
        <row r="49">
          <cell r="B49">
            <v>10900016</v>
          </cell>
          <cell r="C49">
            <v>18</v>
          </cell>
          <cell r="D49" t="str">
            <v>Other financial liabilities</v>
          </cell>
          <cell r="E49" t="str">
            <v>Employee benefits payable</v>
          </cell>
          <cell r="F49" t="str">
            <v>Provision_Incentive</v>
          </cell>
          <cell r="G49">
            <v>0</v>
          </cell>
          <cell r="H49">
            <v>-105000</v>
          </cell>
          <cell r="I49">
            <v>-105000</v>
          </cell>
        </row>
        <row r="50">
          <cell r="B50">
            <v>10900013</v>
          </cell>
          <cell r="C50">
            <v>17</v>
          </cell>
          <cell r="D50" t="str">
            <v>Trade payables</v>
          </cell>
          <cell r="E50" t="str">
            <v>Total outstanding dues of creditors other than micro enterprises and small enterprises</v>
          </cell>
          <cell r="F50" t="str">
            <v>Provision_MSME Interest</v>
          </cell>
          <cell r="G50">
            <v>0</v>
          </cell>
          <cell r="H50">
            <v>-6369417.54</v>
          </cell>
          <cell r="I50">
            <v>-6369417.54</v>
          </cell>
        </row>
        <row r="51">
          <cell r="B51">
            <v>10900015</v>
          </cell>
          <cell r="C51">
            <v>7</v>
          </cell>
          <cell r="D51" t="str">
            <v>Other Tax Assets (Net)</v>
          </cell>
          <cell r="E51" t="str">
            <v>Income tax liabilities (Net)</v>
          </cell>
          <cell r="F51" t="str">
            <v>Provision_Income Tax</v>
          </cell>
          <cell r="G51">
            <v>0</v>
          </cell>
          <cell r="H51">
            <v>0</v>
          </cell>
          <cell r="I51">
            <v>0</v>
          </cell>
        </row>
        <row r="52">
          <cell r="B52">
            <v>20000000</v>
          </cell>
          <cell r="C52">
            <v>3</v>
          </cell>
          <cell r="D52" t="str">
            <v>Property, Plant and Equipment</v>
          </cell>
          <cell r="E52" t="str">
            <v>Property, plant &amp; equipment</v>
          </cell>
          <cell r="F52" t="str">
            <v>Freehold land</v>
          </cell>
          <cell r="G52">
            <v>93599471</v>
          </cell>
          <cell r="H52">
            <v>0</v>
          </cell>
          <cell r="I52">
            <v>93599471</v>
          </cell>
        </row>
        <row r="53">
          <cell r="B53">
            <v>20000001</v>
          </cell>
          <cell r="C53">
            <v>3</v>
          </cell>
          <cell r="D53" t="str">
            <v>Property, Plant and Equipment</v>
          </cell>
          <cell r="E53" t="str">
            <v>Building</v>
          </cell>
          <cell r="F53" t="str">
            <v>Building</v>
          </cell>
          <cell r="G53">
            <v>1479119263.8</v>
          </cell>
          <cell r="H53">
            <v>0</v>
          </cell>
          <cell r="I53">
            <v>1479119263.8</v>
          </cell>
        </row>
        <row r="54">
          <cell r="B54">
            <v>20000002</v>
          </cell>
          <cell r="C54">
            <v>3</v>
          </cell>
          <cell r="D54" t="str">
            <v>Property, Plant and Equipment</v>
          </cell>
          <cell r="E54" t="str">
            <v>Building</v>
          </cell>
          <cell r="F54" t="str">
            <v>ACC_DEP_Building</v>
          </cell>
          <cell r="G54">
            <v>0</v>
          </cell>
          <cell r="H54">
            <v>-23521985.120000001</v>
          </cell>
          <cell r="I54">
            <v>-23521985.120000001</v>
          </cell>
        </row>
        <row r="55">
          <cell r="B55">
            <v>20000003</v>
          </cell>
          <cell r="C55">
            <v>3</v>
          </cell>
          <cell r="D55" t="str">
            <v>Property, Plant and Equipment</v>
          </cell>
          <cell r="E55" t="str">
            <v>Property, plant &amp; equipment</v>
          </cell>
          <cell r="F55" t="str">
            <v>Plant and machinery</v>
          </cell>
          <cell r="G55">
            <v>3385169564.52</v>
          </cell>
          <cell r="H55">
            <v>0</v>
          </cell>
          <cell r="I55">
            <v>3385169564.52</v>
          </cell>
        </row>
        <row r="56">
          <cell r="B56">
            <v>20000004</v>
          </cell>
          <cell r="C56">
            <v>3</v>
          </cell>
          <cell r="D56" t="str">
            <v>Property, Plant and Equipment</v>
          </cell>
          <cell r="E56" t="str">
            <v>Property, plant &amp; equipment</v>
          </cell>
          <cell r="F56" t="str">
            <v>ACC_DEP_Plant and machinery</v>
          </cell>
          <cell r="G56">
            <v>0</v>
          </cell>
          <cell r="H56">
            <v>-98387307.799999893</v>
          </cell>
          <cell r="I56">
            <v>-98387307.799999893</v>
          </cell>
        </row>
        <row r="57">
          <cell r="B57">
            <v>20000007</v>
          </cell>
          <cell r="C57">
            <v>3</v>
          </cell>
          <cell r="D57" t="str">
            <v>Property, Plant and Equipment</v>
          </cell>
          <cell r="E57" t="str">
            <v>Computers</v>
          </cell>
          <cell r="F57" t="str">
            <v>Computers</v>
          </cell>
          <cell r="G57">
            <v>16903685.710000001</v>
          </cell>
          <cell r="H57">
            <v>0</v>
          </cell>
          <cell r="I57">
            <v>16903685.710000001</v>
          </cell>
        </row>
        <row r="58">
          <cell r="B58">
            <v>20000008</v>
          </cell>
          <cell r="C58">
            <v>3</v>
          </cell>
          <cell r="D58" t="str">
            <v>Property, Plant and Equipment</v>
          </cell>
          <cell r="E58" t="str">
            <v>Computers</v>
          </cell>
          <cell r="F58" t="str">
            <v>ACC_DEP_Computers</v>
          </cell>
          <cell r="G58">
            <v>0</v>
          </cell>
          <cell r="H58">
            <v>-1509878.12</v>
          </cell>
          <cell r="I58">
            <v>-1509878.12</v>
          </cell>
        </row>
        <row r="59">
          <cell r="B59">
            <v>20000006</v>
          </cell>
          <cell r="C59">
            <v>3</v>
          </cell>
          <cell r="D59" t="str">
            <v>Property, Plant and Equipment</v>
          </cell>
          <cell r="E59" t="str">
            <v>Office Equipment</v>
          </cell>
          <cell r="F59" t="str">
            <v>ACC_DEP_Office equim</v>
          </cell>
          <cell r="G59">
            <v>0</v>
          </cell>
          <cell r="H59">
            <v>-1127057.1200000001</v>
          </cell>
          <cell r="I59">
            <v>-1127057.1200000001</v>
          </cell>
        </row>
        <row r="60">
          <cell r="B60">
            <v>20000010</v>
          </cell>
          <cell r="C60">
            <v>3</v>
          </cell>
          <cell r="D60" t="str">
            <v>Property, Plant and Equipment</v>
          </cell>
          <cell r="E60" t="str">
            <v>Furniture &amp; Fixture</v>
          </cell>
          <cell r="F60" t="str">
            <v>ACC_DEP_Furniture an</v>
          </cell>
          <cell r="G60">
            <v>0</v>
          </cell>
          <cell r="H60">
            <v>-594660.09999999905</v>
          </cell>
          <cell r="I60">
            <v>-594660.09999999905</v>
          </cell>
        </row>
        <row r="61">
          <cell r="B61">
            <v>20000012</v>
          </cell>
          <cell r="C61">
            <v>3</v>
          </cell>
          <cell r="D61" t="str">
            <v>Property, Plant and Equipment</v>
          </cell>
          <cell r="E61" t="str">
            <v>Electrical Fittings</v>
          </cell>
          <cell r="F61" t="str">
            <v>ACC_DEP_Electrical f</v>
          </cell>
          <cell r="G61">
            <v>0</v>
          </cell>
          <cell r="H61">
            <v>-3890620.1499999901</v>
          </cell>
          <cell r="I61">
            <v>-3890620.1499999901</v>
          </cell>
        </row>
        <row r="62">
          <cell r="B62">
            <v>20000016</v>
          </cell>
          <cell r="C62">
            <v>3</v>
          </cell>
          <cell r="D62" t="str">
            <v>Property, Plant and Equipment</v>
          </cell>
          <cell r="E62" t="str">
            <v>Intangible Assets</v>
          </cell>
          <cell r="F62" t="str">
            <v>ACC_DEP_Computer Sof</v>
          </cell>
          <cell r="G62">
            <v>0</v>
          </cell>
          <cell r="H62">
            <v>-314295.84999999899</v>
          </cell>
          <cell r="I62">
            <v>-314295.84999999899</v>
          </cell>
        </row>
        <row r="63">
          <cell r="B63">
            <v>20000017</v>
          </cell>
          <cell r="C63">
            <v>3</v>
          </cell>
          <cell r="D63" t="str">
            <v>Property, Plant and Equipment</v>
          </cell>
          <cell r="E63" t="str">
            <v>Right of Use Assets</v>
          </cell>
          <cell r="F63" t="str">
            <v>Leasehold Land</v>
          </cell>
          <cell r="G63">
            <v>324389641</v>
          </cell>
          <cell r="H63">
            <v>0</v>
          </cell>
          <cell r="I63">
            <v>324389641</v>
          </cell>
        </row>
        <row r="64">
          <cell r="B64">
            <v>20000018</v>
          </cell>
          <cell r="C64">
            <v>3</v>
          </cell>
          <cell r="D64" t="str">
            <v>Property, Plant and Equipment</v>
          </cell>
          <cell r="E64" t="str">
            <v>Right of Use Assets</v>
          </cell>
          <cell r="F64" t="str">
            <v>ACC_DEP_Leased Land</v>
          </cell>
          <cell r="G64">
            <v>0</v>
          </cell>
          <cell r="H64">
            <v>-9297332.9299999904</v>
          </cell>
          <cell r="I64">
            <v>-9297332.9299999904</v>
          </cell>
        </row>
        <row r="65">
          <cell r="B65">
            <v>20100000</v>
          </cell>
          <cell r="C65">
            <v>3</v>
          </cell>
          <cell r="D65" t="str">
            <v>Property, Plant and Equipment</v>
          </cell>
          <cell r="E65" t="str">
            <v>Capital work-in-progress</v>
          </cell>
          <cell r="F65" t="str">
            <v>Capital Work In Progress</v>
          </cell>
          <cell r="G65">
            <v>37539192.240000002</v>
          </cell>
          <cell r="H65">
            <v>0</v>
          </cell>
          <cell r="I65">
            <v>37539192.240000002</v>
          </cell>
        </row>
        <row r="66">
          <cell r="B66">
            <v>20100002</v>
          </cell>
          <cell r="C66">
            <v>3</v>
          </cell>
          <cell r="D66" t="str">
            <v>Property, Plant and Equipment</v>
          </cell>
          <cell r="E66" t="str">
            <v>Capital work-in-progress</v>
          </cell>
          <cell r="F66" t="str">
            <v>Capital Work In Progress - Internal Orders</v>
          </cell>
          <cell r="G66">
            <v>0</v>
          </cell>
          <cell r="H66">
            <v>0</v>
          </cell>
          <cell r="I66">
            <v>0</v>
          </cell>
        </row>
        <row r="67">
          <cell r="B67">
            <v>20100004</v>
          </cell>
          <cell r="C67">
            <v>3</v>
          </cell>
          <cell r="D67" t="str">
            <v>Property, Plant and Equipment</v>
          </cell>
          <cell r="E67" t="str">
            <v>Capital work-in-progress</v>
          </cell>
          <cell r="F67" t="str">
            <v>AUC Cost</v>
          </cell>
          <cell r="G67">
            <v>41000</v>
          </cell>
          <cell r="H67">
            <v>0</v>
          </cell>
          <cell r="I67">
            <v>41000</v>
          </cell>
        </row>
        <row r="68">
          <cell r="B68">
            <v>40700034</v>
          </cell>
          <cell r="C68">
            <v>3</v>
          </cell>
          <cell r="D68" t="str">
            <v>Property, Plant and Equipment</v>
          </cell>
          <cell r="E68" t="str">
            <v>Capital work-in-progress</v>
          </cell>
          <cell r="F68" t="str">
            <v>Project Expenses</v>
          </cell>
          <cell r="G68">
            <v>0</v>
          </cell>
          <cell r="H68">
            <v>-32419215.73</v>
          </cell>
          <cell r="I68">
            <v>-32419215.73</v>
          </cell>
        </row>
        <row r="69">
          <cell r="B69">
            <v>20000005</v>
          </cell>
          <cell r="C69">
            <v>3</v>
          </cell>
          <cell r="D69" t="str">
            <v>Property, Plant and Equipment</v>
          </cell>
          <cell r="E69" t="str">
            <v>Office Equipment</v>
          </cell>
          <cell r="F69" t="str">
            <v>Office Equipment</v>
          </cell>
          <cell r="G69">
            <v>19595727</v>
          </cell>
          <cell r="H69">
            <v>0</v>
          </cell>
          <cell r="I69">
            <v>19595727</v>
          </cell>
        </row>
        <row r="70">
          <cell r="B70">
            <v>20000009</v>
          </cell>
          <cell r="C70">
            <v>3</v>
          </cell>
          <cell r="D70" t="str">
            <v>Property, Plant and Equipment</v>
          </cell>
          <cell r="E70" t="str">
            <v>Furniture &amp; Fixture</v>
          </cell>
          <cell r="F70" t="str">
            <v>Furniture &amp; Fixture</v>
          </cell>
          <cell r="G70">
            <v>20587570.109999899</v>
          </cell>
          <cell r="H70">
            <v>0</v>
          </cell>
          <cell r="I70">
            <v>20587570.109999899</v>
          </cell>
        </row>
        <row r="71">
          <cell r="B71">
            <v>20000011</v>
          </cell>
          <cell r="C71">
            <v>3</v>
          </cell>
          <cell r="D71" t="str">
            <v>Property, Plant and Equipment</v>
          </cell>
          <cell r="E71" t="str">
            <v>Electrical Fittings</v>
          </cell>
          <cell r="F71" t="str">
            <v>Electrical Fittings</v>
          </cell>
          <cell r="G71">
            <v>133494755.59</v>
          </cell>
          <cell r="H71">
            <v>0</v>
          </cell>
          <cell r="I71">
            <v>133494755.59</v>
          </cell>
        </row>
        <row r="72">
          <cell r="B72">
            <v>20000015</v>
          </cell>
          <cell r="C72">
            <v>3</v>
          </cell>
          <cell r="D72" t="str">
            <v>Property, Plant and Equipment</v>
          </cell>
          <cell r="E72" t="str">
            <v>Intangible Assets</v>
          </cell>
          <cell r="F72" t="str">
            <v>Computer Software</v>
          </cell>
          <cell r="G72">
            <v>4679369.24</v>
          </cell>
          <cell r="H72">
            <v>0</v>
          </cell>
          <cell r="I72">
            <v>4679369.24</v>
          </cell>
        </row>
        <row r="73">
          <cell r="B73">
            <v>20100003</v>
          </cell>
          <cell r="C73">
            <v>3</v>
          </cell>
          <cell r="D73" t="str">
            <v>Property, Plant and Equipment</v>
          </cell>
          <cell r="E73" t="str">
            <v>Capital work-in-progress</v>
          </cell>
          <cell r="F73" t="str">
            <v>Capita Adv Audit Adj</v>
          </cell>
          <cell r="G73">
            <v>0</v>
          </cell>
          <cell r="H73">
            <v>-41060</v>
          </cell>
          <cell r="I73">
            <v>-41060</v>
          </cell>
        </row>
        <row r="74">
          <cell r="B74">
            <v>20300000</v>
          </cell>
          <cell r="C74">
            <v>6</v>
          </cell>
          <cell r="D74" t="str">
            <v>Other financial assets</v>
          </cell>
          <cell r="E74" t="str">
            <v>Security deposits</v>
          </cell>
          <cell r="F74" t="str">
            <v>Deposit_Other</v>
          </cell>
          <cell r="G74">
            <v>28163904</v>
          </cell>
          <cell r="H74">
            <v>0</v>
          </cell>
          <cell r="I74">
            <v>28163904</v>
          </cell>
        </row>
        <row r="75">
          <cell r="B75">
            <v>20300004</v>
          </cell>
          <cell r="C75">
            <v>6</v>
          </cell>
          <cell r="D75" t="str">
            <v>Other financial assets</v>
          </cell>
          <cell r="E75" t="str">
            <v>Security deposits</v>
          </cell>
          <cell r="F75" t="str">
            <v>Deposit_Prohibition and Excise</v>
          </cell>
          <cell r="G75">
            <v>1000</v>
          </cell>
          <cell r="H75">
            <v>0</v>
          </cell>
          <cell r="I75">
            <v>1000</v>
          </cell>
        </row>
        <row r="76">
          <cell r="B76">
            <v>20400001</v>
          </cell>
          <cell r="C76">
            <v>4</v>
          </cell>
          <cell r="D76" t="str">
            <v>Deferred Tax Liabilities (Net)</v>
          </cell>
          <cell r="E76" t="str">
            <v>Deferred Tax Liabilities (Net)</v>
          </cell>
          <cell r="F76" t="str">
            <v>IND AS - Deferred Tax Assets</v>
          </cell>
          <cell r="G76">
            <v>95917.279999999897</v>
          </cell>
          <cell r="H76">
            <v>0</v>
          </cell>
          <cell r="I76">
            <v>95917.279999999897</v>
          </cell>
        </row>
        <row r="77">
          <cell r="B77">
            <v>20500000</v>
          </cell>
          <cell r="C77">
            <v>9</v>
          </cell>
          <cell r="D77" t="str">
            <v>Inventories</v>
          </cell>
          <cell r="E77" t="str">
            <v>Raw materials</v>
          </cell>
          <cell r="F77" t="str">
            <v>Raw Material Stock</v>
          </cell>
          <cell r="G77">
            <v>116440482.87</v>
          </cell>
          <cell r="H77">
            <v>0</v>
          </cell>
          <cell r="I77">
            <v>116440482.87</v>
          </cell>
        </row>
        <row r="78">
          <cell r="B78">
            <v>20500001</v>
          </cell>
          <cell r="C78">
            <v>9</v>
          </cell>
          <cell r="D78" t="str">
            <v>Inventories</v>
          </cell>
          <cell r="E78" t="str">
            <v>Packing material</v>
          </cell>
          <cell r="F78" t="str">
            <v>Packing Material Stock</v>
          </cell>
          <cell r="G78">
            <v>5085105.6699999897</v>
          </cell>
          <cell r="H78">
            <v>0</v>
          </cell>
          <cell r="I78">
            <v>5085105.6699999897</v>
          </cell>
        </row>
        <row r="79">
          <cell r="B79">
            <v>20500002</v>
          </cell>
          <cell r="C79">
            <v>9</v>
          </cell>
          <cell r="D79" t="str">
            <v>Inventories</v>
          </cell>
          <cell r="E79" t="str">
            <v>Stores and spares</v>
          </cell>
          <cell r="F79" t="str">
            <v>Fuel Stock</v>
          </cell>
          <cell r="G79">
            <v>2473584.6</v>
          </cell>
          <cell r="H79">
            <v>0</v>
          </cell>
          <cell r="I79">
            <v>2473584.6</v>
          </cell>
        </row>
        <row r="80">
          <cell r="B80">
            <v>20500003</v>
          </cell>
          <cell r="C80">
            <v>9</v>
          </cell>
          <cell r="D80" t="str">
            <v>Inventories</v>
          </cell>
          <cell r="E80" t="str">
            <v>Work-in-progress</v>
          </cell>
          <cell r="F80" t="str">
            <v>SFG Stock in Plants</v>
          </cell>
          <cell r="G80">
            <v>147255794.99000001</v>
          </cell>
          <cell r="H80">
            <v>0</v>
          </cell>
          <cell r="I80">
            <v>147255794.99000001</v>
          </cell>
        </row>
        <row r="81">
          <cell r="B81">
            <v>20500005</v>
          </cell>
          <cell r="C81">
            <v>9</v>
          </cell>
          <cell r="D81" t="str">
            <v>Inventories</v>
          </cell>
          <cell r="E81" t="str">
            <v>Stores and spares</v>
          </cell>
          <cell r="F81" t="str">
            <v>Store and Spares -</v>
          </cell>
          <cell r="G81">
            <v>11148095.59</v>
          </cell>
          <cell r="H81">
            <v>0</v>
          </cell>
          <cell r="I81">
            <v>11148095.59</v>
          </cell>
        </row>
        <row r="82">
          <cell r="B82">
            <v>20500006</v>
          </cell>
          <cell r="C82">
            <v>9</v>
          </cell>
          <cell r="D82" t="str">
            <v>Inventories</v>
          </cell>
          <cell r="E82" t="str">
            <v>Finished goods*</v>
          </cell>
          <cell r="F82" t="str">
            <v>Goods In Transit - Sales</v>
          </cell>
          <cell r="G82">
            <v>0</v>
          </cell>
          <cell r="H82">
            <v>0</v>
          </cell>
          <cell r="I82">
            <v>0</v>
          </cell>
        </row>
        <row r="83">
          <cell r="B83">
            <v>20500008</v>
          </cell>
          <cell r="C83">
            <v>9</v>
          </cell>
          <cell r="D83" t="str">
            <v>Inventories</v>
          </cell>
          <cell r="E83" t="str">
            <v>Work-in-progress</v>
          </cell>
          <cell r="F83" t="str">
            <v>Inventory_Manual Entry</v>
          </cell>
          <cell r="G83">
            <v>0</v>
          </cell>
          <cell r="H83">
            <v>-117896</v>
          </cell>
          <cell r="I83">
            <v>-117896</v>
          </cell>
        </row>
        <row r="84">
          <cell r="B84">
            <v>20600001</v>
          </cell>
          <cell r="C84">
            <v>10</v>
          </cell>
          <cell r="D84" t="str">
            <v>Trade receivables</v>
          </cell>
          <cell r="E84" t="str">
            <v>Considered good - unsecured</v>
          </cell>
          <cell r="F84" t="str">
            <v>Receivables-Domestic</v>
          </cell>
          <cell r="G84">
            <v>62518613.170000002</v>
          </cell>
          <cell r="H84">
            <v>0</v>
          </cell>
          <cell r="I84">
            <v>62518613.170000002</v>
          </cell>
        </row>
        <row r="85">
          <cell r="B85">
            <v>20600004</v>
          </cell>
          <cell r="C85">
            <v>10</v>
          </cell>
          <cell r="D85" t="str">
            <v>Trade receivables</v>
          </cell>
          <cell r="E85" t="str">
            <v>Considered good - unsecured</v>
          </cell>
          <cell r="F85" t="str">
            <v>Receivables- Scrap</v>
          </cell>
          <cell r="G85">
            <v>561124.69999999902</v>
          </cell>
          <cell r="H85">
            <v>0</v>
          </cell>
          <cell r="I85">
            <v>561124.69999999902</v>
          </cell>
        </row>
        <row r="86">
          <cell r="B86">
            <v>20600006</v>
          </cell>
          <cell r="C86">
            <v>10</v>
          </cell>
          <cell r="D86" t="str">
            <v>Trade receivables</v>
          </cell>
          <cell r="E86" t="str">
            <v>Considered good - unsecured</v>
          </cell>
          <cell r="F86" t="str">
            <v>Receivables- GIT</v>
          </cell>
          <cell r="I86">
            <v>0</v>
          </cell>
        </row>
        <row r="87">
          <cell r="B87">
            <v>20600009</v>
          </cell>
          <cell r="C87">
            <v>10</v>
          </cell>
          <cell r="D87" t="str">
            <v>Trade receivables</v>
          </cell>
          <cell r="E87" t="str">
            <v>Considered good - unsecured</v>
          </cell>
          <cell r="F87" t="str">
            <v>Receivables- Advance</v>
          </cell>
          <cell r="G87">
            <v>0</v>
          </cell>
          <cell r="H87">
            <v>-3393920.35</v>
          </cell>
          <cell r="I87">
            <v>-3393920.35</v>
          </cell>
        </row>
        <row r="88">
          <cell r="B88">
            <v>20800110</v>
          </cell>
          <cell r="C88">
            <v>15</v>
          </cell>
          <cell r="D88" t="str">
            <v>Borrowings</v>
          </cell>
          <cell r="E88" t="str">
            <v>Working Capital Loans from Bank</v>
          </cell>
          <cell r="F88" t="str">
            <v>CA_HDFC_57500000732637</v>
          </cell>
          <cell r="G88">
            <v>475424.47999999899</v>
          </cell>
          <cell r="H88">
            <v>0</v>
          </cell>
          <cell r="I88">
            <v>475424.47999999899</v>
          </cell>
        </row>
        <row r="89">
          <cell r="B89">
            <v>20800111</v>
          </cell>
          <cell r="C89">
            <v>15</v>
          </cell>
          <cell r="D89" t="str">
            <v>Borrowings</v>
          </cell>
          <cell r="E89" t="str">
            <v>Working Capital Loans from Bank</v>
          </cell>
          <cell r="F89" t="str">
            <v>CA_HDFC_57500000732637</v>
          </cell>
          <cell r="G89">
            <v>1428141623.03</v>
          </cell>
          <cell r="H89">
            <v>0</v>
          </cell>
          <cell r="I89">
            <v>1428141623.03</v>
          </cell>
        </row>
        <row r="90">
          <cell r="B90">
            <v>20800112</v>
          </cell>
          <cell r="C90">
            <v>15</v>
          </cell>
          <cell r="D90" t="str">
            <v>Borrowings</v>
          </cell>
          <cell r="E90" t="str">
            <v>Working Capital Loans from Bank</v>
          </cell>
          <cell r="F90" t="str">
            <v>CA_HDFC_57500000732637</v>
          </cell>
          <cell r="G90">
            <v>0</v>
          </cell>
          <cell r="H90">
            <v>-1474266639.6400001</v>
          </cell>
          <cell r="I90">
            <v>-1474266639.6400001</v>
          </cell>
        </row>
        <row r="91">
          <cell r="B91">
            <v>20800121</v>
          </cell>
          <cell r="C91">
            <v>11</v>
          </cell>
          <cell r="D91" t="str">
            <v>Cash &amp; Cash Equivalents</v>
          </cell>
          <cell r="E91" t="str">
            <v>Balance with banks</v>
          </cell>
          <cell r="F91" t="str">
            <v>CA_Axis_923020022099965</v>
          </cell>
          <cell r="G91">
            <v>5701610870.0799904</v>
          </cell>
          <cell r="H91">
            <v>0</v>
          </cell>
          <cell r="I91">
            <v>5701610870.0799904</v>
          </cell>
        </row>
        <row r="92">
          <cell r="B92">
            <v>20800122</v>
          </cell>
          <cell r="C92">
            <v>11</v>
          </cell>
          <cell r="D92" t="str">
            <v>Cash &amp; Cash Equivalents</v>
          </cell>
          <cell r="E92" t="str">
            <v>Balance with banks</v>
          </cell>
          <cell r="F92" t="str">
            <v>CA_Axis_923020022099965</v>
          </cell>
          <cell r="G92">
            <v>0</v>
          </cell>
          <cell r="H92">
            <v>-5698398592.0799904</v>
          </cell>
          <cell r="I92">
            <v>-5698398592.0799904</v>
          </cell>
        </row>
        <row r="93">
          <cell r="B93">
            <v>20900003</v>
          </cell>
          <cell r="C93">
            <v>6</v>
          </cell>
          <cell r="D93" t="str">
            <v>Other financial assets</v>
          </cell>
          <cell r="E93" t="str">
            <v>Bank Deposit with more than 12 months of maturity</v>
          </cell>
          <cell r="F93" t="str">
            <v>FD_Axis</v>
          </cell>
          <cell r="G93">
            <v>5194985</v>
          </cell>
          <cell r="H93">
            <v>0</v>
          </cell>
          <cell r="I93">
            <v>5194985</v>
          </cell>
        </row>
        <row r="94">
          <cell r="B94">
            <v>21000003</v>
          </cell>
          <cell r="C94">
            <v>7</v>
          </cell>
          <cell r="D94" t="str">
            <v>Other Tax Assets (Net)</v>
          </cell>
          <cell r="E94" t="str">
            <v>Other Tax Asset (Net)</v>
          </cell>
          <cell r="F94" t="str">
            <v>TDS Receiveable_194Q</v>
          </cell>
          <cell r="G94">
            <v>36492</v>
          </cell>
          <cell r="H94">
            <v>0</v>
          </cell>
          <cell r="I94">
            <v>36492</v>
          </cell>
        </row>
        <row r="95">
          <cell r="B95">
            <v>21000004</v>
          </cell>
          <cell r="C95">
            <v>7</v>
          </cell>
          <cell r="D95" t="str">
            <v>Other Tax Assets (Net)</v>
          </cell>
          <cell r="E95" t="str">
            <v>Other Tax Asset (Net)</v>
          </cell>
          <cell r="F95" t="str">
            <v>TDS Receivable_Other</v>
          </cell>
          <cell r="G95">
            <v>1298777.08</v>
          </cell>
          <cell r="H95">
            <v>0</v>
          </cell>
          <cell r="I95">
            <v>1298777.08</v>
          </cell>
        </row>
        <row r="96">
          <cell r="B96">
            <v>21000011</v>
          </cell>
          <cell r="C96">
            <v>12</v>
          </cell>
          <cell r="D96" t="str">
            <v>Other Current Assets</v>
          </cell>
          <cell r="E96" t="str">
            <v>Balances with Government Authorities</v>
          </cell>
          <cell r="F96" t="str">
            <v>CGST Receivable</v>
          </cell>
          <cell r="G96">
            <v>236553363.16</v>
          </cell>
          <cell r="H96">
            <v>0</v>
          </cell>
          <cell r="I96">
            <v>236553363.16</v>
          </cell>
        </row>
        <row r="97">
          <cell r="B97">
            <v>21000012</v>
          </cell>
          <cell r="C97">
            <v>12</v>
          </cell>
          <cell r="D97" t="str">
            <v>Other Current Assets</v>
          </cell>
          <cell r="E97" t="str">
            <v>Balances with Government Authorities</v>
          </cell>
          <cell r="F97" t="str">
            <v>IGST Receivable</v>
          </cell>
          <cell r="G97">
            <v>75621196.400000006</v>
          </cell>
          <cell r="H97">
            <v>0</v>
          </cell>
          <cell r="I97">
            <v>75621196.400000006</v>
          </cell>
        </row>
        <row r="98">
          <cell r="B98">
            <v>21000013</v>
          </cell>
          <cell r="C98">
            <v>12</v>
          </cell>
          <cell r="D98" t="str">
            <v>Other Current Assets</v>
          </cell>
          <cell r="E98" t="str">
            <v>Balances with Government Authorities</v>
          </cell>
          <cell r="F98" t="str">
            <v>SGST Receivable</v>
          </cell>
          <cell r="G98">
            <v>236553363.16</v>
          </cell>
          <cell r="H98">
            <v>0</v>
          </cell>
          <cell r="I98">
            <v>236553363.16</v>
          </cell>
        </row>
        <row r="99">
          <cell r="B99">
            <v>21000016</v>
          </cell>
          <cell r="C99">
            <v>7</v>
          </cell>
          <cell r="D99" t="str">
            <v>Other Tax Assets (Net)</v>
          </cell>
          <cell r="E99" t="str">
            <v>Other Tax Asset (Net)</v>
          </cell>
          <cell r="F99" t="str">
            <v>TCS Receivable</v>
          </cell>
          <cell r="G99">
            <v>38961.160000000003</v>
          </cell>
          <cell r="H99">
            <v>0</v>
          </cell>
          <cell r="I99">
            <v>38961.160000000003</v>
          </cell>
        </row>
        <row r="100">
          <cell r="B100">
            <v>21000018</v>
          </cell>
          <cell r="C100">
            <v>12</v>
          </cell>
          <cell r="D100" t="str">
            <v>Other Current Assets</v>
          </cell>
          <cell r="E100" t="str">
            <v>Balances with Government Authorities</v>
          </cell>
          <cell r="F100" t="str">
            <v>ITC not in GSTR 2B</v>
          </cell>
          <cell r="G100">
            <v>2582494</v>
          </cell>
          <cell r="H100">
            <v>0</v>
          </cell>
          <cell r="I100">
            <v>2582494</v>
          </cell>
        </row>
        <row r="101">
          <cell r="B101">
            <v>21100004</v>
          </cell>
          <cell r="C101">
            <v>12</v>
          </cell>
          <cell r="D101" t="str">
            <v>Other Current Assets</v>
          </cell>
          <cell r="E101" t="str">
            <v>Advance to employees</v>
          </cell>
          <cell r="F101" t="str">
            <v>Advances to Employees_IOU</v>
          </cell>
          <cell r="G101">
            <v>758</v>
          </cell>
          <cell r="H101">
            <v>0</v>
          </cell>
          <cell r="I101">
            <v>758</v>
          </cell>
        </row>
        <row r="102">
          <cell r="B102">
            <v>21100008</v>
          </cell>
          <cell r="C102">
            <v>12</v>
          </cell>
          <cell r="D102" t="str">
            <v>Other Current Assets</v>
          </cell>
          <cell r="E102" t="str">
            <v>Prepaid Expenses</v>
          </cell>
          <cell r="F102" t="str">
            <v>Prepaid Expenses</v>
          </cell>
          <cell r="G102">
            <v>4976027.5599999903</v>
          </cell>
          <cell r="H102">
            <v>0</v>
          </cell>
          <cell r="I102">
            <v>4976027.5599999903</v>
          </cell>
        </row>
        <row r="103">
          <cell r="B103">
            <v>21100011</v>
          </cell>
          <cell r="C103">
            <v>17</v>
          </cell>
          <cell r="D103" t="str">
            <v>Trade payables</v>
          </cell>
          <cell r="E103" t="str">
            <v>Total outstanding dues of creditors other than micro enterprises and small enterprises</v>
          </cell>
          <cell r="F103" t="str">
            <v>Advance to Vendor</v>
          </cell>
          <cell r="G103">
            <v>11377079.6</v>
          </cell>
          <cell r="H103">
            <v>0</v>
          </cell>
          <cell r="I103">
            <v>11377079.6</v>
          </cell>
        </row>
        <row r="104">
          <cell r="B104">
            <v>21100014</v>
          </cell>
          <cell r="C104">
            <v>6</v>
          </cell>
          <cell r="D104" t="str">
            <v>Other financial assets</v>
          </cell>
          <cell r="E104" t="str">
            <v>Finance lease receivable (Unsecured - considered good)</v>
          </cell>
          <cell r="F104" t="str">
            <v>IND AS - Receivable from employee (Finance Lease)</v>
          </cell>
          <cell r="G104">
            <v>1141673.8999999899</v>
          </cell>
          <cell r="H104">
            <v>0</v>
          </cell>
          <cell r="I104">
            <v>1141673.8999999899</v>
          </cell>
        </row>
        <row r="105">
          <cell r="B105">
            <v>30000000</v>
          </cell>
          <cell r="C105">
            <v>20</v>
          </cell>
          <cell r="D105" t="str">
            <v>Revenue from operations</v>
          </cell>
          <cell r="E105" t="str">
            <v>Sales of Products</v>
          </cell>
          <cell r="F105" t="str">
            <v>Sales Export</v>
          </cell>
          <cell r="G105">
            <v>0</v>
          </cell>
          <cell r="H105">
            <v>-60037787.149999902</v>
          </cell>
          <cell r="I105">
            <v>-60037787.149999902</v>
          </cell>
        </row>
        <row r="106">
          <cell r="B106">
            <v>30000001</v>
          </cell>
          <cell r="C106">
            <v>20</v>
          </cell>
          <cell r="D106" t="str">
            <v>Revenue from operations</v>
          </cell>
          <cell r="E106" t="str">
            <v>Sales of Products</v>
          </cell>
          <cell r="F106" t="str">
            <v>Domestic Sales</v>
          </cell>
          <cell r="G106">
            <v>0</v>
          </cell>
          <cell r="H106">
            <v>-60396509.380000003</v>
          </cell>
          <cell r="I106">
            <v>-60396509.380000003</v>
          </cell>
        </row>
        <row r="107">
          <cell r="B107">
            <v>30000004</v>
          </cell>
          <cell r="C107">
            <v>20</v>
          </cell>
          <cell r="D107" t="str">
            <v>Revenue from operations</v>
          </cell>
          <cell r="E107" t="str">
            <v>Sales of Products</v>
          </cell>
          <cell r="F107" t="str">
            <v>Scrap Sales</v>
          </cell>
          <cell r="G107">
            <v>0</v>
          </cell>
          <cell r="H107">
            <v>-824220</v>
          </cell>
          <cell r="I107">
            <v>-824220</v>
          </cell>
        </row>
        <row r="108">
          <cell r="B108">
            <v>30000007</v>
          </cell>
          <cell r="C108">
            <v>20</v>
          </cell>
          <cell r="D108" t="str">
            <v>Revenue from operations</v>
          </cell>
          <cell r="E108" t="str">
            <v>Sales of Products</v>
          </cell>
          <cell r="F108" t="str">
            <v>Sales In transit</v>
          </cell>
          <cell r="I108">
            <v>0</v>
          </cell>
        </row>
        <row r="109">
          <cell r="B109">
            <v>30000008</v>
          </cell>
          <cell r="C109">
            <v>20</v>
          </cell>
          <cell r="D109" t="str">
            <v>Revenue from operations</v>
          </cell>
          <cell r="E109" t="str">
            <v>Sales of Products</v>
          </cell>
          <cell r="F109" t="str">
            <v>Domestic Sales Inter Company</v>
          </cell>
          <cell r="G109">
            <v>0</v>
          </cell>
          <cell r="H109">
            <v>-158075495.09999901</v>
          </cell>
          <cell r="I109">
            <v>-158075495.09999901</v>
          </cell>
        </row>
        <row r="110">
          <cell r="B110">
            <v>30100001</v>
          </cell>
          <cell r="C110">
            <v>21</v>
          </cell>
          <cell r="D110" t="str">
            <v>Other Income</v>
          </cell>
          <cell r="E110" t="str">
            <v>Foreign exchange gain (net)</v>
          </cell>
          <cell r="F110" t="str">
            <v>Realised Forex Gain/loss</v>
          </cell>
          <cell r="G110">
            <v>1189802.3600000001</v>
          </cell>
          <cell r="H110">
            <v>0</v>
          </cell>
          <cell r="I110">
            <v>1189802.3600000001</v>
          </cell>
        </row>
        <row r="111">
          <cell r="B111">
            <v>30100004</v>
          </cell>
          <cell r="C111">
            <v>21</v>
          </cell>
          <cell r="D111" t="str">
            <v>Other Income</v>
          </cell>
          <cell r="E111" t="str">
            <v>- From banks</v>
          </cell>
          <cell r="F111" t="str">
            <v>Interest on Bank Deposit</v>
          </cell>
          <cell r="G111">
            <v>0</v>
          </cell>
          <cell r="H111">
            <v>-175897</v>
          </cell>
          <cell r="I111">
            <v>-175897</v>
          </cell>
        </row>
        <row r="112">
          <cell r="B112">
            <v>30100005</v>
          </cell>
          <cell r="C112">
            <v>21</v>
          </cell>
          <cell r="D112" t="str">
            <v>Other Income</v>
          </cell>
          <cell r="E112" t="str">
            <v>- From others</v>
          </cell>
          <cell r="F112" t="str">
            <v>Other Income</v>
          </cell>
          <cell r="I112">
            <v>0</v>
          </cell>
        </row>
        <row r="113">
          <cell r="B113">
            <v>30100013</v>
          </cell>
          <cell r="C113">
            <v>21</v>
          </cell>
          <cell r="D113" t="str">
            <v>Other Income</v>
          </cell>
          <cell r="E113" t="str">
            <v>Profit on Sale of Mutual Fund</v>
          </cell>
          <cell r="F113" t="str">
            <v>Gain / Loss from MF Investment</v>
          </cell>
          <cell r="I113">
            <v>0</v>
          </cell>
        </row>
        <row r="114">
          <cell r="B114">
            <v>30100015</v>
          </cell>
          <cell r="C114">
            <v>21</v>
          </cell>
          <cell r="D114" t="str">
            <v>Other Income</v>
          </cell>
          <cell r="E114" t="str">
            <v>- From others</v>
          </cell>
          <cell r="F114" t="str">
            <v>IND AS - Interest Income</v>
          </cell>
          <cell r="G114">
            <v>0</v>
          </cell>
          <cell r="H114">
            <v>-21228.68</v>
          </cell>
          <cell r="I114">
            <v>-21228.68</v>
          </cell>
        </row>
        <row r="115">
          <cell r="B115">
            <v>30100000</v>
          </cell>
          <cell r="C115">
            <v>21</v>
          </cell>
          <cell r="D115" t="str">
            <v>Other Income</v>
          </cell>
          <cell r="E115" t="str">
            <v>Foreign exchange gain (net)</v>
          </cell>
          <cell r="F115" t="str">
            <v>Unrealised Forex Gain/loss</v>
          </cell>
          <cell r="G115">
            <v>0</v>
          </cell>
          <cell r="H115">
            <v>-1326437.1799999899</v>
          </cell>
          <cell r="I115">
            <v>-1326437.1799999899</v>
          </cell>
        </row>
        <row r="116">
          <cell r="B116">
            <v>40100000</v>
          </cell>
          <cell r="C116">
            <v>22</v>
          </cell>
          <cell r="D116" t="str">
            <v>Cost of material consumed</v>
          </cell>
          <cell r="E116" t="str">
            <v>Add : Purchases -RM</v>
          </cell>
          <cell r="F116" t="str">
            <v>Custom Duty</v>
          </cell>
          <cell r="G116">
            <v>0</v>
          </cell>
          <cell r="H116">
            <v>-1.57</v>
          </cell>
          <cell r="I116">
            <v>-1.57</v>
          </cell>
        </row>
        <row r="117">
          <cell r="B117">
            <v>40100001</v>
          </cell>
          <cell r="C117">
            <v>22</v>
          </cell>
          <cell r="D117" t="str">
            <v>Cost of material consumed</v>
          </cell>
          <cell r="E117" t="str">
            <v>Add : Purchases -RM</v>
          </cell>
          <cell r="F117" t="str">
            <v>Import Cost on Material</v>
          </cell>
          <cell r="G117">
            <v>0</v>
          </cell>
          <cell r="H117">
            <v>-893101.07999999903</v>
          </cell>
          <cell r="I117">
            <v>-893101.07999999903</v>
          </cell>
        </row>
        <row r="118">
          <cell r="B118">
            <v>40100002</v>
          </cell>
          <cell r="C118">
            <v>22</v>
          </cell>
          <cell r="D118" t="str">
            <v>Cost of material consumed</v>
          </cell>
          <cell r="E118" t="str">
            <v>Add : Purchases -RM</v>
          </cell>
          <cell r="F118" t="str">
            <v>Freight Inward Local</v>
          </cell>
          <cell r="G118">
            <v>248255</v>
          </cell>
          <cell r="H118">
            <v>0</v>
          </cell>
          <cell r="I118">
            <v>248255</v>
          </cell>
        </row>
        <row r="119">
          <cell r="B119">
            <v>40100005</v>
          </cell>
          <cell r="C119">
            <v>22</v>
          </cell>
          <cell r="D119" t="str">
            <v>Cost of material consumed</v>
          </cell>
          <cell r="E119" t="str">
            <v>Add : Purchases -RM</v>
          </cell>
          <cell r="F119" t="str">
            <v>Interest on Custom Duty</v>
          </cell>
          <cell r="G119">
            <v>3990</v>
          </cell>
          <cell r="H119">
            <v>0</v>
          </cell>
          <cell r="I119">
            <v>3990</v>
          </cell>
        </row>
        <row r="120">
          <cell r="B120">
            <v>40100008</v>
          </cell>
          <cell r="C120">
            <v>22</v>
          </cell>
          <cell r="D120" t="str">
            <v>Cost of material consumed</v>
          </cell>
          <cell r="E120" t="str">
            <v>Add : Purchases -RM</v>
          </cell>
          <cell r="F120" t="str">
            <v>Consumption of Raw Material</v>
          </cell>
          <cell r="G120">
            <v>172305554.22</v>
          </cell>
          <cell r="H120">
            <v>0</v>
          </cell>
          <cell r="I120">
            <v>172305554.22</v>
          </cell>
        </row>
        <row r="121">
          <cell r="B121">
            <v>40200003</v>
          </cell>
          <cell r="C121">
            <v>22</v>
          </cell>
          <cell r="D121" t="str">
            <v>Cost of material consumed</v>
          </cell>
          <cell r="E121" t="str">
            <v>Add : Purchases -RM</v>
          </cell>
          <cell r="F121" t="str">
            <v>Price Difference Material</v>
          </cell>
          <cell r="G121">
            <v>0</v>
          </cell>
          <cell r="H121">
            <v>-17550.34</v>
          </cell>
          <cell r="I121">
            <v>-17550.34</v>
          </cell>
        </row>
        <row r="122">
          <cell r="B122">
            <v>40100011</v>
          </cell>
          <cell r="C122">
            <v>22</v>
          </cell>
          <cell r="D122" t="str">
            <v>Cost of material consumed</v>
          </cell>
          <cell r="E122" t="str">
            <v>Add : Purchases -PM</v>
          </cell>
          <cell r="F122" t="str">
            <v>Consumption of Packing Material</v>
          </cell>
          <cell r="G122">
            <v>3447558.96</v>
          </cell>
          <cell r="H122">
            <v>0</v>
          </cell>
          <cell r="I122">
            <v>3447558.96</v>
          </cell>
        </row>
        <row r="123">
          <cell r="B123">
            <v>40100007</v>
          </cell>
          <cell r="C123">
            <v>23</v>
          </cell>
          <cell r="D123" t="str">
            <v xml:space="preserve">Changes in inventories of finished goods and work-in-progress </v>
          </cell>
          <cell r="E123" t="str">
            <v>Changes in inventories of finished goods and work in progress</v>
          </cell>
          <cell r="F123" t="str">
            <v>COGS SFG and FG</v>
          </cell>
          <cell r="G123">
            <v>214965742.71000001</v>
          </cell>
          <cell r="H123">
            <v>0</v>
          </cell>
          <cell r="I123">
            <v>214965742.71000001</v>
          </cell>
        </row>
        <row r="124">
          <cell r="B124">
            <v>40100009</v>
          </cell>
          <cell r="C124">
            <v>23</v>
          </cell>
          <cell r="D124" t="str">
            <v xml:space="preserve">Changes in inventories of finished goods and work-in-progress </v>
          </cell>
          <cell r="E124" t="str">
            <v>Changes in inventories of finished goods and work in progress</v>
          </cell>
          <cell r="F124" t="str">
            <v>Consumption of Semi-Finished Goods</v>
          </cell>
          <cell r="G124">
            <v>758703851.57000005</v>
          </cell>
          <cell r="H124">
            <v>0</v>
          </cell>
          <cell r="I124">
            <v>758703851.57000005</v>
          </cell>
        </row>
        <row r="125">
          <cell r="B125">
            <v>40200000</v>
          </cell>
          <cell r="C125">
            <v>23</v>
          </cell>
          <cell r="D125" t="str">
            <v xml:space="preserve">Changes in inventories of finished goods and work-in-progress </v>
          </cell>
          <cell r="E125" t="str">
            <v>Changes in inventories of finished goods and work in progress</v>
          </cell>
          <cell r="F125" t="str">
            <v>COGM Material</v>
          </cell>
          <cell r="G125">
            <v>0</v>
          </cell>
          <cell r="H125">
            <v>-780512282.92999899</v>
          </cell>
          <cell r="I125">
            <v>-780512282.92999899</v>
          </cell>
        </row>
        <row r="126">
          <cell r="B126">
            <v>40200001</v>
          </cell>
          <cell r="C126">
            <v>23</v>
          </cell>
          <cell r="D126" t="str">
            <v xml:space="preserve">Changes in inventories of finished goods and work-in-progress </v>
          </cell>
          <cell r="E126" t="str">
            <v>Changes in inventories of finished goods and work in progress</v>
          </cell>
          <cell r="F126" t="str">
            <v>COGM SFG and FG</v>
          </cell>
          <cell r="G126">
            <v>0</v>
          </cell>
          <cell r="H126">
            <v>-162494301.96000001</v>
          </cell>
          <cell r="I126">
            <v>-162494301.96000001</v>
          </cell>
        </row>
        <row r="127">
          <cell r="B127">
            <v>40200004</v>
          </cell>
          <cell r="C127">
            <v>23</v>
          </cell>
          <cell r="D127" t="str">
            <v xml:space="preserve">Changes in inventories of finished goods and work-in-progress </v>
          </cell>
          <cell r="E127" t="str">
            <v>Changes in inventories of finished goods and work in progress</v>
          </cell>
          <cell r="F127" t="str">
            <v>Price difference SFG and FG</v>
          </cell>
          <cell r="G127">
            <v>4853183.9400000004</v>
          </cell>
          <cell r="H127">
            <v>0</v>
          </cell>
          <cell r="I127">
            <v>4853183.9400000004</v>
          </cell>
        </row>
        <row r="128">
          <cell r="B128">
            <v>40200006</v>
          </cell>
          <cell r="C128">
            <v>23</v>
          </cell>
          <cell r="D128" t="str">
            <v xml:space="preserve">Changes in inventories of finished goods and work-in-progress </v>
          </cell>
          <cell r="E128" t="str">
            <v>Changes in inventories of finished goods and work in progress</v>
          </cell>
          <cell r="F128" t="str">
            <v>Month end Adjustment  - Material</v>
          </cell>
          <cell r="G128">
            <v>496582.02</v>
          </cell>
          <cell r="H128">
            <v>0</v>
          </cell>
          <cell r="I128">
            <v>496582.02</v>
          </cell>
        </row>
        <row r="129">
          <cell r="B129">
            <v>40200011</v>
          </cell>
          <cell r="C129">
            <v>23</v>
          </cell>
          <cell r="D129" t="str">
            <v xml:space="preserve">Changes in inventories of finished goods and work-in-progress </v>
          </cell>
          <cell r="E129" t="str">
            <v>Changes in inventories of finished goods and work in progress</v>
          </cell>
          <cell r="F129" t="str">
            <v>COGM Material_Manual Entry</v>
          </cell>
          <cell r="G129">
            <v>39813642.710000001</v>
          </cell>
          <cell r="H129">
            <v>0</v>
          </cell>
          <cell r="I129">
            <v>39813642.710000001</v>
          </cell>
        </row>
        <row r="130">
          <cell r="B130">
            <v>40300004</v>
          </cell>
          <cell r="C130">
            <v>24</v>
          </cell>
          <cell r="D130" t="str">
            <v>Employee benefits expense</v>
          </cell>
          <cell r="E130" t="str">
            <v xml:space="preserve">Salary, Wages, Allowances and Bonus etc. </v>
          </cell>
          <cell r="F130" t="str">
            <v>Basic Salary</v>
          </cell>
          <cell r="G130">
            <v>12114521.41</v>
          </cell>
          <cell r="H130">
            <v>0</v>
          </cell>
          <cell r="I130">
            <v>12114521.41</v>
          </cell>
        </row>
        <row r="131">
          <cell r="B131">
            <v>40400009</v>
          </cell>
          <cell r="C131">
            <v>25</v>
          </cell>
          <cell r="D131" t="str">
            <v>Finance costs</v>
          </cell>
          <cell r="E131" t="str">
            <v>- From Bank (Secured Loan)</v>
          </cell>
          <cell r="F131" t="str">
            <v>Interest on Term Loan</v>
          </cell>
          <cell r="G131">
            <v>53157933</v>
          </cell>
          <cell r="H131">
            <v>0</v>
          </cell>
          <cell r="I131">
            <v>53157933</v>
          </cell>
        </row>
        <row r="132">
          <cell r="B132">
            <v>40400014</v>
          </cell>
          <cell r="C132">
            <v>25</v>
          </cell>
          <cell r="D132" t="str">
            <v>Finance costs</v>
          </cell>
          <cell r="E132" t="str">
            <v>Other Borrowing Cost</v>
          </cell>
          <cell r="F132" t="str">
            <v>Processing and Stamp Duty Expense</v>
          </cell>
          <cell r="G132">
            <v>24999</v>
          </cell>
          <cell r="H132">
            <v>0</v>
          </cell>
          <cell r="I132">
            <v>24999</v>
          </cell>
        </row>
        <row r="133">
          <cell r="B133">
            <v>40400019</v>
          </cell>
          <cell r="C133">
            <v>25</v>
          </cell>
          <cell r="D133" t="str">
            <v>Finance costs</v>
          </cell>
          <cell r="E133" t="str">
            <v>- From Bank (Secured Loan)</v>
          </cell>
          <cell r="F133" t="str">
            <v>IND AS - Interest on TL</v>
          </cell>
          <cell r="G133">
            <v>35715</v>
          </cell>
          <cell r="H133">
            <v>0</v>
          </cell>
          <cell r="I133">
            <v>35715</v>
          </cell>
        </row>
        <row r="134">
          <cell r="B134">
            <v>40400000</v>
          </cell>
          <cell r="C134">
            <v>25</v>
          </cell>
          <cell r="D134" t="str">
            <v>Finance costs</v>
          </cell>
          <cell r="E134" t="str">
            <v>Other Interest Expenses</v>
          </cell>
          <cell r="F134" t="str">
            <v>Interest on MSME</v>
          </cell>
          <cell r="I134">
            <v>0</v>
          </cell>
        </row>
        <row r="135">
          <cell r="B135">
            <v>40400004</v>
          </cell>
          <cell r="C135">
            <v>26</v>
          </cell>
          <cell r="D135" t="str">
            <v>Other expenses</v>
          </cell>
          <cell r="E135" t="str">
            <v>Bank charges</v>
          </cell>
          <cell r="F135" t="str">
            <v>Import Payment_Charges</v>
          </cell>
          <cell r="G135">
            <v>82240.369999999893</v>
          </cell>
          <cell r="H135">
            <v>0</v>
          </cell>
          <cell r="I135">
            <v>82240.369999999893</v>
          </cell>
        </row>
        <row r="136">
          <cell r="B136">
            <v>40600000</v>
          </cell>
          <cell r="C136">
            <v>26</v>
          </cell>
          <cell r="D136" t="str">
            <v>Other expenses</v>
          </cell>
          <cell r="E136" t="str">
            <v>Power and fuel</v>
          </cell>
          <cell r="F136" t="str">
            <v>Consumption of Fuel</v>
          </cell>
          <cell r="G136">
            <v>23394359.199999899</v>
          </cell>
          <cell r="H136">
            <v>0</v>
          </cell>
          <cell r="I136">
            <v>23394359.199999899</v>
          </cell>
        </row>
        <row r="137">
          <cell r="B137">
            <v>40600002</v>
          </cell>
          <cell r="C137">
            <v>26</v>
          </cell>
          <cell r="D137" t="str">
            <v>Other expenses</v>
          </cell>
          <cell r="E137" t="str">
            <v>Consumption of stores and spares</v>
          </cell>
          <cell r="F137" t="str">
            <v>Consumption of Stores and Spares</v>
          </cell>
          <cell r="G137">
            <v>3143353.74</v>
          </cell>
          <cell r="H137">
            <v>0</v>
          </cell>
          <cell r="I137">
            <v>3143353.74</v>
          </cell>
        </row>
        <row r="138">
          <cell r="B138">
            <v>40600003</v>
          </cell>
          <cell r="C138">
            <v>26</v>
          </cell>
          <cell r="D138" t="str">
            <v>Other expenses</v>
          </cell>
          <cell r="E138" t="str">
            <v>Consumption of stores and spares</v>
          </cell>
          <cell r="F138" t="str">
            <v>Consumption of Consumable Item</v>
          </cell>
          <cell r="G138">
            <v>0</v>
          </cell>
          <cell r="H138">
            <v>-839987.06999999902</v>
          </cell>
          <cell r="I138">
            <v>-839987.06999999902</v>
          </cell>
        </row>
        <row r="139">
          <cell r="B139">
            <v>40600004</v>
          </cell>
          <cell r="C139">
            <v>26</v>
          </cell>
          <cell r="D139" t="str">
            <v>Other expenses</v>
          </cell>
          <cell r="E139" t="str">
            <v>Power and fuel</v>
          </cell>
          <cell r="F139" t="str">
            <v>Power Cost</v>
          </cell>
          <cell r="G139">
            <v>23319332.100000001</v>
          </cell>
          <cell r="H139">
            <v>0</v>
          </cell>
          <cell r="I139">
            <v>23319332.100000001</v>
          </cell>
        </row>
        <row r="140">
          <cell r="B140">
            <v>40600005</v>
          </cell>
          <cell r="C140">
            <v>26</v>
          </cell>
          <cell r="D140" t="str">
            <v>Other expenses</v>
          </cell>
          <cell r="E140" t="str">
            <v>Job work and labour charges</v>
          </cell>
          <cell r="F140" t="str">
            <v>Labour Charges</v>
          </cell>
          <cell r="G140">
            <v>11955041.9</v>
          </cell>
          <cell r="H140">
            <v>0</v>
          </cell>
          <cell r="I140">
            <v>11955041.9</v>
          </cell>
        </row>
        <row r="141">
          <cell r="B141">
            <v>40600007</v>
          </cell>
          <cell r="C141">
            <v>26</v>
          </cell>
          <cell r="D141" t="str">
            <v>Other expenses</v>
          </cell>
          <cell r="E141" t="str">
            <v>Job work and labour charges</v>
          </cell>
          <cell r="F141" t="str">
            <v>Effluent Treatment Charges</v>
          </cell>
          <cell r="G141">
            <v>3305927.96</v>
          </cell>
          <cell r="H141">
            <v>0</v>
          </cell>
          <cell r="I141">
            <v>3305927.96</v>
          </cell>
        </row>
        <row r="142">
          <cell r="B142">
            <v>40600008</v>
          </cell>
          <cell r="C142">
            <v>26</v>
          </cell>
          <cell r="D142" t="str">
            <v>Other expenses</v>
          </cell>
          <cell r="E142" t="str">
            <v>Rent expenses</v>
          </cell>
          <cell r="F142" t="str">
            <v>Lease Rent_Factory</v>
          </cell>
          <cell r="G142">
            <v>102000</v>
          </cell>
          <cell r="H142">
            <v>0</v>
          </cell>
          <cell r="I142">
            <v>102000</v>
          </cell>
        </row>
        <row r="143">
          <cell r="B143">
            <v>40700001</v>
          </cell>
          <cell r="C143">
            <v>26</v>
          </cell>
          <cell r="D143" t="str">
            <v>Other expenses</v>
          </cell>
          <cell r="E143" t="str">
            <v>Travelling and conveyance</v>
          </cell>
          <cell r="F143" t="str">
            <v>Conveyance Expenses</v>
          </cell>
          <cell r="G143">
            <v>120000</v>
          </cell>
          <cell r="H143">
            <v>0</v>
          </cell>
          <cell r="I143">
            <v>120000</v>
          </cell>
        </row>
        <row r="144">
          <cell r="B144">
            <v>40700003</v>
          </cell>
          <cell r="C144">
            <v>26</v>
          </cell>
          <cell r="D144" t="str">
            <v>Other expenses</v>
          </cell>
          <cell r="E144" t="str">
            <v>Travelling and conveyance</v>
          </cell>
          <cell r="F144" t="str">
            <v>Travelling Expenses_Domestic</v>
          </cell>
          <cell r="G144">
            <v>78120</v>
          </cell>
          <cell r="H144">
            <v>0</v>
          </cell>
          <cell r="I144">
            <v>78120</v>
          </cell>
        </row>
        <row r="145">
          <cell r="B145">
            <v>40700004</v>
          </cell>
          <cell r="C145">
            <v>26</v>
          </cell>
          <cell r="D145" t="str">
            <v>Other expenses</v>
          </cell>
          <cell r="E145" t="str">
            <v>Miscellaneous expenses</v>
          </cell>
          <cell r="F145" t="str">
            <v>Communication Expenses</v>
          </cell>
          <cell r="G145">
            <v>25839.0999999999</v>
          </cell>
          <cell r="H145">
            <v>0</v>
          </cell>
          <cell r="I145">
            <v>25839.0999999999</v>
          </cell>
        </row>
        <row r="146">
          <cell r="B146">
            <v>40700006</v>
          </cell>
          <cell r="C146">
            <v>26</v>
          </cell>
          <cell r="D146" t="str">
            <v>Other expenses</v>
          </cell>
          <cell r="E146" t="str">
            <v>Power and fuel</v>
          </cell>
          <cell r="F146" t="str">
            <v>Power Cost_Corporate office</v>
          </cell>
          <cell r="G146">
            <v>1521.6099999999899</v>
          </cell>
          <cell r="H146">
            <v>0</v>
          </cell>
          <cell r="I146">
            <v>1521.6099999999899</v>
          </cell>
        </row>
        <row r="147">
          <cell r="B147">
            <v>40700010</v>
          </cell>
          <cell r="C147">
            <v>26</v>
          </cell>
          <cell r="D147" t="str">
            <v>Other expenses</v>
          </cell>
          <cell r="E147" t="str">
            <v>Legal &amp; Professional Fees</v>
          </cell>
          <cell r="F147" t="str">
            <v>Reach Registration Charges</v>
          </cell>
          <cell r="G147">
            <v>6913478.4100000001</v>
          </cell>
          <cell r="H147">
            <v>0</v>
          </cell>
          <cell r="I147">
            <v>6913478.4100000001</v>
          </cell>
        </row>
        <row r="148">
          <cell r="B148">
            <v>40700011</v>
          </cell>
          <cell r="C148">
            <v>26</v>
          </cell>
          <cell r="D148" t="str">
            <v>Other expenses</v>
          </cell>
          <cell r="E148" t="str">
            <v>Rates &amp; Taxes</v>
          </cell>
          <cell r="F148" t="str">
            <v>Penalty Expense</v>
          </cell>
          <cell r="G148">
            <v>95000</v>
          </cell>
          <cell r="H148">
            <v>0</v>
          </cell>
          <cell r="I148">
            <v>95000</v>
          </cell>
        </row>
        <row r="149">
          <cell r="B149">
            <v>40700021</v>
          </cell>
          <cell r="C149">
            <v>26</v>
          </cell>
          <cell r="D149" t="str">
            <v>Other expenses</v>
          </cell>
          <cell r="E149" t="str">
            <v>Selling and distribution expenses</v>
          </cell>
          <cell r="F149" t="str">
            <v>Freight Outward</v>
          </cell>
          <cell r="G149">
            <v>146030</v>
          </cell>
          <cell r="H149">
            <v>0</v>
          </cell>
          <cell r="I149">
            <v>146030</v>
          </cell>
        </row>
        <row r="150">
          <cell r="B150">
            <v>40700023</v>
          </cell>
          <cell r="C150">
            <v>26</v>
          </cell>
          <cell r="D150" t="str">
            <v>Other expenses</v>
          </cell>
          <cell r="E150" t="str">
            <v>Security charges</v>
          </cell>
          <cell r="F150" t="str">
            <v>Security Charges</v>
          </cell>
          <cell r="G150">
            <v>1830250</v>
          </cell>
          <cell r="H150">
            <v>0</v>
          </cell>
          <cell r="I150">
            <v>1830250</v>
          </cell>
        </row>
        <row r="151">
          <cell r="B151">
            <v>40700024</v>
          </cell>
          <cell r="C151">
            <v>26</v>
          </cell>
          <cell r="D151" t="str">
            <v>Other expenses</v>
          </cell>
          <cell r="E151" t="str">
            <v>Miscellaneous expenses</v>
          </cell>
          <cell r="F151" t="str">
            <v>Printing and Stationery</v>
          </cell>
          <cell r="G151">
            <v>404923.26</v>
          </cell>
          <cell r="H151">
            <v>0</v>
          </cell>
          <cell r="I151">
            <v>404923.26</v>
          </cell>
        </row>
        <row r="152">
          <cell r="B152">
            <v>40700028</v>
          </cell>
          <cell r="C152">
            <v>26</v>
          </cell>
          <cell r="D152" t="str">
            <v>Other expenses</v>
          </cell>
          <cell r="E152" t="str">
            <v>Miscellaneous expenses</v>
          </cell>
          <cell r="F152" t="str">
            <v>Office Expenses</v>
          </cell>
          <cell r="G152">
            <v>553841.12</v>
          </cell>
          <cell r="H152">
            <v>0</v>
          </cell>
          <cell r="I152">
            <v>553841.12</v>
          </cell>
        </row>
        <row r="153">
          <cell r="B153">
            <v>40700045</v>
          </cell>
          <cell r="C153" t="str">
            <v>-</v>
          </cell>
          <cell r="D153" t="str">
            <v>Current income tax</v>
          </cell>
          <cell r="E153" t="str">
            <v>(a) Current Tax</v>
          </cell>
          <cell r="F153" t="str">
            <v>Prior year Tax Short/Excess</v>
          </cell>
          <cell r="I153">
            <v>0</v>
          </cell>
        </row>
        <row r="154">
          <cell r="B154">
            <v>40700007</v>
          </cell>
          <cell r="C154">
            <v>26</v>
          </cell>
          <cell r="D154" t="str">
            <v>Other expenses</v>
          </cell>
          <cell r="E154" t="str">
            <v>Legal &amp; Professional Fees</v>
          </cell>
          <cell r="F154" t="str">
            <v>Professional &amp; Consulting Fees</v>
          </cell>
          <cell r="G154">
            <v>1959997.76</v>
          </cell>
          <cell r="H154">
            <v>0</v>
          </cell>
          <cell r="I154">
            <v>1959997.76</v>
          </cell>
        </row>
        <row r="155">
          <cell r="B155">
            <v>40700008</v>
          </cell>
          <cell r="C155">
            <v>26</v>
          </cell>
          <cell r="D155" t="str">
            <v>Other expenses</v>
          </cell>
          <cell r="E155" t="str">
            <v>Rates &amp; Taxes</v>
          </cell>
          <cell r="F155" t="str">
            <v>Rates and Taxes</v>
          </cell>
          <cell r="G155">
            <v>628011.78</v>
          </cell>
          <cell r="H155">
            <v>0</v>
          </cell>
          <cell r="I155">
            <v>628011.78</v>
          </cell>
        </row>
        <row r="156">
          <cell r="B156">
            <v>40700014</v>
          </cell>
          <cell r="C156">
            <v>26</v>
          </cell>
          <cell r="D156" t="str">
            <v>Other expenses</v>
          </cell>
          <cell r="E156" t="str">
            <v>Insurance Expenses</v>
          </cell>
          <cell r="F156" t="str">
            <v>Insurance Expense</v>
          </cell>
          <cell r="G156">
            <v>1467740.81</v>
          </cell>
          <cell r="H156">
            <v>0</v>
          </cell>
          <cell r="I156">
            <v>1467740.81</v>
          </cell>
        </row>
        <row r="157">
          <cell r="B157">
            <v>40700015</v>
          </cell>
          <cell r="C157">
            <v>26</v>
          </cell>
          <cell r="D157" t="str">
            <v>Other expenses</v>
          </cell>
          <cell r="E157" t="str">
            <v>Miscellaneous expenses</v>
          </cell>
          <cell r="F157" t="str">
            <v>Rounding Adjustment</v>
          </cell>
          <cell r="G157">
            <v>50.939999999999898</v>
          </cell>
          <cell r="H157">
            <v>0</v>
          </cell>
          <cell r="I157">
            <v>50.939999999999898</v>
          </cell>
        </row>
        <row r="158">
          <cell r="B158">
            <v>40700022</v>
          </cell>
          <cell r="C158">
            <v>26</v>
          </cell>
          <cell r="D158" t="str">
            <v>Other expenses</v>
          </cell>
          <cell r="E158" t="str">
            <v>Consumption of stores and spares</v>
          </cell>
          <cell r="F158" t="str">
            <v>Consumable Items</v>
          </cell>
          <cell r="G158">
            <v>4681807.2699999902</v>
          </cell>
          <cell r="H158">
            <v>0</v>
          </cell>
          <cell r="I158">
            <v>4681807.2699999902</v>
          </cell>
        </row>
        <row r="159">
          <cell r="B159">
            <v>40700025</v>
          </cell>
          <cell r="C159">
            <v>26</v>
          </cell>
          <cell r="D159" t="str">
            <v>Other expenses</v>
          </cell>
          <cell r="E159" t="str">
            <v>Miscellaneous expenses</v>
          </cell>
          <cell r="F159" t="str">
            <v>IT Expenses</v>
          </cell>
          <cell r="G159">
            <v>777122.83999999904</v>
          </cell>
          <cell r="H159">
            <v>0</v>
          </cell>
          <cell r="I159">
            <v>777122.83999999904</v>
          </cell>
        </row>
        <row r="160">
          <cell r="B160">
            <v>40700040</v>
          </cell>
          <cell r="C160">
            <v>26</v>
          </cell>
          <cell r="D160" t="str">
            <v>Other expenses</v>
          </cell>
          <cell r="E160" t="str">
            <v>(b) Deferred Tax</v>
          </cell>
          <cell r="F160" t="str">
            <v>IND AS - Deferred Tax Expense</v>
          </cell>
          <cell r="I160">
            <v>0</v>
          </cell>
        </row>
        <row r="161">
          <cell r="B161">
            <v>40500000</v>
          </cell>
          <cell r="C161">
            <v>3</v>
          </cell>
          <cell r="D161" t="str">
            <v>Depreciation and Amortisation Expense</v>
          </cell>
          <cell r="E161" t="str">
            <v>Depreciation and Amortisation Expense</v>
          </cell>
          <cell r="F161" t="str">
            <v>ACC_DEP_Building</v>
          </cell>
          <cell r="I161">
            <v>0</v>
          </cell>
        </row>
        <row r="162">
          <cell r="B162">
            <v>40500001</v>
          </cell>
          <cell r="C162">
            <v>3</v>
          </cell>
          <cell r="D162" t="str">
            <v>Depreciation and Amortisation Expense</v>
          </cell>
          <cell r="E162" t="str">
            <v>Depreciation and Amortisation Expense</v>
          </cell>
          <cell r="F162" t="str">
            <v>ACC_DEP_Plant and machinery</v>
          </cell>
          <cell r="I162">
            <v>0</v>
          </cell>
        </row>
        <row r="163">
          <cell r="B163">
            <v>40500003</v>
          </cell>
          <cell r="C163">
            <v>3</v>
          </cell>
          <cell r="D163" t="str">
            <v>Depreciation and Amortisation Expense</v>
          </cell>
          <cell r="E163" t="str">
            <v>Depreciation and Amortisation Expense</v>
          </cell>
          <cell r="F163" t="str">
            <v>ACC_DEP_Computers</v>
          </cell>
          <cell r="I163">
            <v>0</v>
          </cell>
        </row>
        <row r="164">
          <cell r="B164">
            <v>40500008</v>
          </cell>
          <cell r="C164">
            <v>3</v>
          </cell>
          <cell r="D164" t="str">
            <v>Depreciation and Amortisation Expense</v>
          </cell>
          <cell r="E164" t="str">
            <v>Depreciation and Amortisation Expense</v>
          </cell>
          <cell r="F164" t="str">
            <v>ACC_DEP_Leasehold Land</v>
          </cell>
          <cell r="I164">
            <v>0</v>
          </cell>
        </row>
        <row r="165">
          <cell r="B165">
            <v>40500002</v>
          </cell>
          <cell r="C165">
            <v>3</v>
          </cell>
          <cell r="D165" t="str">
            <v>Depreciation and Amortisation Expense</v>
          </cell>
          <cell r="E165" t="str">
            <v>Depreciation and Amortisation Expense</v>
          </cell>
          <cell r="F165" t="str">
            <v>ACC_DEP_Office equim</v>
          </cell>
          <cell r="I165">
            <v>0</v>
          </cell>
        </row>
        <row r="166">
          <cell r="B166">
            <v>40500004</v>
          </cell>
          <cell r="C166">
            <v>3</v>
          </cell>
          <cell r="D166" t="str">
            <v>Depreciation and Amortisation Expense</v>
          </cell>
          <cell r="E166" t="str">
            <v>Depreciation and Amortisation Expense</v>
          </cell>
          <cell r="F166" t="str">
            <v>ACC_DEP_Furniture an</v>
          </cell>
          <cell r="I166">
            <v>0</v>
          </cell>
        </row>
        <row r="167">
          <cell r="B167">
            <v>40500005</v>
          </cell>
          <cell r="C167">
            <v>3</v>
          </cell>
          <cell r="D167" t="str">
            <v>Depreciation and Amortisation Expense</v>
          </cell>
          <cell r="E167" t="str">
            <v>Depreciation and Amortisation Expense</v>
          </cell>
          <cell r="F167" t="str">
            <v>ACC_DEP_Electrical f</v>
          </cell>
          <cell r="I167">
            <v>0</v>
          </cell>
        </row>
        <row r="168">
          <cell r="B168">
            <v>40500007</v>
          </cell>
          <cell r="C168">
            <v>3</v>
          </cell>
          <cell r="D168" t="str">
            <v>Depreciation and Amortisation Expense</v>
          </cell>
          <cell r="E168" t="str">
            <v>Depreciation and Amortisation Expense</v>
          </cell>
          <cell r="F168" t="str">
            <v>ACC_DEP_Computer Sof</v>
          </cell>
          <cell r="I168">
            <v>0</v>
          </cell>
        </row>
        <row r="169">
          <cell r="B169">
            <v>40700041</v>
          </cell>
          <cell r="C169" t="str">
            <v>-</v>
          </cell>
          <cell r="D169" t="str">
            <v>Tax Expense</v>
          </cell>
          <cell r="E169" t="str">
            <v>(a) Current Tax</v>
          </cell>
          <cell r="F169" t="str">
            <v>Income Tax Expense</v>
          </cell>
          <cell r="I169">
            <v>0</v>
          </cell>
        </row>
        <row r="170">
          <cell r="B170">
            <v>40300000</v>
          </cell>
          <cell r="C170">
            <v>24</v>
          </cell>
          <cell r="D170" t="str">
            <v>Employee benefits expense</v>
          </cell>
          <cell r="E170" t="str">
            <v>Staff welfare expenses</v>
          </cell>
          <cell r="F170" t="str">
            <v>Staff Welfare Expenses</v>
          </cell>
          <cell r="G170">
            <v>1609247.12</v>
          </cell>
          <cell r="H170">
            <v>0</v>
          </cell>
          <cell r="I170">
            <v>1609247.12</v>
          </cell>
        </row>
        <row r="171">
          <cell r="B171">
            <v>40300002</v>
          </cell>
          <cell r="C171">
            <v>24</v>
          </cell>
          <cell r="D171" t="str">
            <v>Employee benefits expense</v>
          </cell>
          <cell r="E171" t="str">
            <v>Staff welfare expenses</v>
          </cell>
          <cell r="F171" t="str">
            <v>Vehicle Hire Charges</v>
          </cell>
          <cell r="G171">
            <v>5578543.5499999896</v>
          </cell>
          <cell r="H171">
            <v>0</v>
          </cell>
          <cell r="I171">
            <v>5578543.5499999896</v>
          </cell>
        </row>
        <row r="172">
          <cell r="B172">
            <v>40300012</v>
          </cell>
          <cell r="C172">
            <v>24</v>
          </cell>
          <cell r="D172" t="str">
            <v>Employee benefits expense</v>
          </cell>
          <cell r="E172" t="str">
            <v xml:space="preserve">Salary, Wages, Allowances and Bonus etc. </v>
          </cell>
          <cell r="F172" t="str">
            <v>Leave Salary- BVCPL</v>
          </cell>
          <cell r="G172">
            <v>389990</v>
          </cell>
          <cell r="H172">
            <v>0</v>
          </cell>
          <cell r="I172">
            <v>389990</v>
          </cell>
        </row>
        <row r="173">
          <cell r="B173">
            <v>40300010</v>
          </cell>
          <cell r="C173">
            <v>24</v>
          </cell>
          <cell r="D173" t="str">
            <v>Employee benefits expense</v>
          </cell>
          <cell r="E173" t="str">
            <v xml:space="preserve">Salary, Wages, Allowances and Bonus etc. </v>
          </cell>
          <cell r="F173" t="str">
            <v>Gratuity Expenses</v>
          </cell>
          <cell r="G173">
            <v>180000</v>
          </cell>
          <cell r="H173">
            <v>0</v>
          </cell>
          <cell r="I173">
            <v>180000</v>
          </cell>
        </row>
        <row r="174">
          <cell r="B174">
            <v>10900017</v>
          </cell>
          <cell r="C174">
            <v>18</v>
          </cell>
          <cell r="D174" t="str">
            <v>Other financial liabilities</v>
          </cell>
          <cell r="E174" t="str">
            <v>Employee benefits payable</v>
          </cell>
          <cell r="F174" t="str">
            <v>Provision_Bonus</v>
          </cell>
          <cell r="G174">
            <v>0</v>
          </cell>
          <cell r="H174">
            <v>-2015206.5</v>
          </cell>
          <cell r="I174">
            <v>-2015206.5</v>
          </cell>
        </row>
        <row r="175">
          <cell r="B175">
            <v>11100000</v>
          </cell>
          <cell r="C175">
            <v>15</v>
          </cell>
          <cell r="D175" t="str">
            <v>Borrowings</v>
          </cell>
          <cell r="E175" t="str">
            <v>Working Capital Loans from Bank</v>
          </cell>
          <cell r="F175" t="str">
            <v>Interest Accrued but</v>
          </cell>
          <cell r="G175">
            <v>0</v>
          </cell>
          <cell r="H175">
            <v>-2792845.75999999</v>
          </cell>
          <cell r="I175">
            <v>-2792845.75999999</v>
          </cell>
        </row>
        <row r="176">
          <cell r="B176">
            <v>21100003</v>
          </cell>
          <cell r="C176">
            <v>6</v>
          </cell>
          <cell r="D176" t="str">
            <v>Other financial assets</v>
          </cell>
          <cell r="E176" t="str">
            <v>Security deposits</v>
          </cell>
          <cell r="F176" t="str">
            <v>Interest of GEB Deposit</v>
          </cell>
          <cell r="G176">
            <v>1538643.27</v>
          </cell>
          <cell r="H176">
            <v>0</v>
          </cell>
          <cell r="I176">
            <v>1538643.27</v>
          </cell>
        </row>
        <row r="177">
          <cell r="B177">
            <v>30000009</v>
          </cell>
          <cell r="C177">
            <v>20</v>
          </cell>
          <cell r="D177" t="str">
            <v>Revenue from operations</v>
          </cell>
          <cell r="E177" t="str">
            <v>Sales of Products</v>
          </cell>
          <cell r="F177" t="str">
            <v>Sales adjut-Manual</v>
          </cell>
          <cell r="I177">
            <v>0</v>
          </cell>
        </row>
        <row r="178">
          <cell r="B178">
            <v>30100003</v>
          </cell>
          <cell r="C178">
            <v>21</v>
          </cell>
          <cell r="D178" t="str">
            <v>Other Income</v>
          </cell>
          <cell r="E178" t="str">
            <v>- From banks</v>
          </cell>
          <cell r="F178" t="str">
            <v>Interest On Deposit</v>
          </cell>
          <cell r="I178">
            <v>0</v>
          </cell>
        </row>
        <row r="179">
          <cell r="B179">
            <v>30100008</v>
          </cell>
          <cell r="C179">
            <v>21</v>
          </cell>
          <cell r="D179" t="str">
            <v>Other Income</v>
          </cell>
          <cell r="E179" t="str">
            <v>- From others</v>
          </cell>
          <cell r="F179" t="str">
            <v>Interest on Income T</v>
          </cell>
          <cell r="I179">
            <v>0</v>
          </cell>
        </row>
        <row r="180">
          <cell r="B180">
            <v>40100012</v>
          </cell>
          <cell r="C180">
            <v>22</v>
          </cell>
          <cell r="D180" t="str">
            <v>Cost of material consumed</v>
          </cell>
          <cell r="E180" t="str">
            <v>Add : Purchases -RM</v>
          </cell>
          <cell r="F180" t="str">
            <v>Freight on Job Work</v>
          </cell>
          <cell r="G180">
            <v>565430</v>
          </cell>
          <cell r="H180">
            <v>0</v>
          </cell>
          <cell r="I180">
            <v>565430</v>
          </cell>
        </row>
        <row r="181">
          <cell r="B181">
            <v>40100014</v>
          </cell>
          <cell r="C181">
            <v>22</v>
          </cell>
          <cell r="D181" t="str">
            <v>Cost of material consumed</v>
          </cell>
          <cell r="E181" t="str">
            <v>Add : Purchases -RM</v>
          </cell>
          <cell r="F181" t="str">
            <v>Consumption_Manual</v>
          </cell>
          <cell r="I181">
            <v>0</v>
          </cell>
        </row>
        <row r="182">
          <cell r="B182">
            <v>40300003</v>
          </cell>
          <cell r="C182">
            <v>24</v>
          </cell>
          <cell r="D182" t="str">
            <v>Employee benefits expense</v>
          </cell>
          <cell r="E182" t="str">
            <v>Contribution to Provident and Other funds</v>
          </cell>
          <cell r="F182" t="str">
            <v>Admin Charges on PF</v>
          </cell>
          <cell r="G182">
            <v>40111</v>
          </cell>
          <cell r="H182">
            <v>0</v>
          </cell>
          <cell r="I182">
            <v>40111</v>
          </cell>
        </row>
        <row r="183">
          <cell r="B183">
            <v>40300005</v>
          </cell>
          <cell r="C183">
            <v>24</v>
          </cell>
          <cell r="D183" t="str">
            <v>Employee benefits expense</v>
          </cell>
          <cell r="E183" t="str">
            <v xml:space="preserve">Salary, Wages, Allowances and Bonus etc. </v>
          </cell>
          <cell r="F183" t="str">
            <v>Bonus_BVC Employee</v>
          </cell>
          <cell r="G183">
            <v>750000</v>
          </cell>
          <cell r="H183">
            <v>0</v>
          </cell>
          <cell r="I183">
            <v>750000</v>
          </cell>
        </row>
        <row r="184">
          <cell r="B184">
            <v>40300006</v>
          </cell>
          <cell r="C184">
            <v>24</v>
          </cell>
          <cell r="D184" t="str">
            <v>Employee benefits expense</v>
          </cell>
          <cell r="E184" t="str">
            <v>Contribution to Provident and Other funds</v>
          </cell>
          <cell r="F184" t="str">
            <v>Company Contribution</v>
          </cell>
          <cell r="G184">
            <v>996912</v>
          </cell>
          <cell r="H184">
            <v>0</v>
          </cell>
          <cell r="I184">
            <v>996912</v>
          </cell>
        </row>
        <row r="185">
          <cell r="B185">
            <v>40300008</v>
          </cell>
          <cell r="C185">
            <v>24</v>
          </cell>
          <cell r="D185" t="str">
            <v>Employee benefits expense</v>
          </cell>
          <cell r="E185" t="str">
            <v xml:space="preserve">Salary, Wages, Allowances and Bonus etc. </v>
          </cell>
          <cell r="F185" t="str">
            <v>Education Allowance</v>
          </cell>
          <cell r="G185">
            <v>10173.77</v>
          </cell>
          <cell r="H185">
            <v>0</v>
          </cell>
          <cell r="I185">
            <v>10173.77</v>
          </cell>
        </row>
        <row r="186">
          <cell r="B186">
            <v>40300011</v>
          </cell>
          <cell r="C186">
            <v>24</v>
          </cell>
          <cell r="D186" t="str">
            <v>Employee benefits expense</v>
          </cell>
          <cell r="E186" t="str">
            <v xml:space="preserve">Salary, Wages, Allowances and Bonus etc. </v>
          </cell>
          <cell r="F186" t="str">
            <v>House Rent Allowance</v>
          </cell>
          <cell r="G186">
            <v>4202924.3899999904</v>
          </cell>
          <cell r="H186">
            <v>0</v>
          </cell>
          <cell r="I186">
            <v>4202924.3899999904</v>
          </cell>
        </row>
        <row r="187">
          <cell r="B187">
            <v>40300015</v>
          </cell>
          <cell r="C187">
            <v>24</v>
          </cell>
          <cell r="D187" t="str">
            <v>Employee benefits expense</v>
          </cell>
          <cell r="E187" t="str">
            <v>Staff welfare expenses</v>
          </cell>
          <cell r="F187" t="str">
            <v>Medical Expenses</v>
          </cell>
          <cell r="G187">
            <v>160975.299999999</v>
          </cell>
          <cell r="H187">
            <v>0</v>
          </cell>
          <cell r="I187">
            <v>160975.299999999</v>
          </cell>
        </row>
        <row r="188">
          <cell r="B188">
            <v>40300016</v>
          </cell>
          <cell r="C188">
            <v>24</v>
          </cell>
          <cell r="D188" t="str">
            <v>Employee benefits expense</v>
          </cell>
          <cell r="E188" t="str">
            <v xml:space="preserve">Salary, Wages, Allowances and Bonus etc. </v>
          </cell>
          <cell r="F188" t="str">
            <v>Other Allowance</v>
          </cell>
          <cell r="G188">
            <v>5284715.3600000003</v>
          </cell>
          <cell r="H188">
            <v>0</v>
          </cell>
          <cell r="I188">
            <v>5284715.3600000003</v>
          </cell>
        </row>
        <row r="189">
          <cell r="B189">
            <v>40300019</v>
          </cell>
          <cell r="C189">
            <v>24</v>
          </cell>
          <cell r="D189" t="str">
            <v>Employee benefits expense</v>
          </cell>
          <cell r="E189" t="str">
            <v xml:space="preserve">Salary, Wages, Allowances and Bonus etc. </v>
          </cell>
          <cell r="F189" t="str">
            <v>Helper Allowance</v>
          </cell>
          <cell r="G189">
            <v>144000</v>
          </cell>
          <cell r="H189">
            <v>0</v>
          </cell>
          <cell r="I189">
            <v>144000</v>
          </cell>
        </row>
        <row r="190">
          <cell r="B190">
            <v>40300024</v>
          </cell>
          <cell r="C190">
            <v>24</v>
          </cell>
          <cell r="D190" t="str">
            <v>Employee benefits expense</v>
          </cell>
          <cell r="E190" t="str">
            <v xml:space="preserve">Salary, Wages, Allowances and Bonus etc. </v>
          </cell>
          <cell r="F190" t="str">
            <v>Monthly Prod Incenti</v>
          </cell>
          <cell r="G190">
            <v>603695</v>
          </cell>
          <cell r="H190">
            <v>0</v>
          </cell>
          <cell r="I190">
            <v>603695</v>
          </cell>
        </row>
        <row r="191">
          <cell r="B191">
            <v>40400001</v>
          </cell>
          <cell r="C191">
            <v>26</v>
          </cell>
          <cell r="D191" t="str">
            <v>Other expenses</v>
          </cell>
          <cell r="E191" t="str">
            <v>Bank charges</v>
          </cell>
          <cell r="F191" t="str">
            <v>Other Bank Charges</v>
          </cell>
          <cell r="G191">
            <v>476438.5</v>
          </cell>
          <cell r="H191">
            <v>0</v>
          </cell>
          <cell r="I191">
            <v>476438.5</v>
          </cell>
        </row>
        <row r="192">
          <cell r="B192">
            <v>40400008</v>
          </cell>
          <cell r="C192">
            <v>25</v>
          </cell>
          <cell r="D192" t="str">
            <v>Finance costs</v>
          </cell>
          <cell r="E192" t="str">
            <v>- From Bank (Secured Loan)</v>
          </cell>
          <cell r="F192" t="str">
            <v>Interest on Cash Cre</v>
          </cell>
          <cell r="G192">
            <v>397443.76</v>
          </cell>
          <cell r="H192">
            <v>0</v>
          </cell>
          <cell r="I192">
            <v>397443.76</v>
          </cell>
        </row>
        <row r="193">
          <cell r="B193">
            <v>40700000</v>
          </cell>
          <cell r="C193">
            <v>26</v>
          </cell>
          <cell r="D193" t="str">
            <v>Other expenses</v>
          </cell>
          <cell r="E193" t="str">
            <v>- Plant and machinery</v>
          </cell>
          <cell r="F193" t="str">
            <v>Repair and Maintance</v>
          </cell>
          <cell r="G193">
            <v>4359565.57</v>
          </cell>
          <cell r="H193">
            <v>0</v>
          </cell>
          <cell r="I193">
            <v>4359565.57</v>
          </cell>
        </row>
        <row r="194">
          <cell r="B194">
            <v>40700009</v>
          </cell>
          <cell r="C194">
            <v>26</v>
          </cell>
          <cell r="D194" t="str">
            <v>Other expenses</v>
          </cell>
          <cell r="E194" t="str">
            <v>Rent expenses</v>
          </cell>
          <cell r="F194" t="str">
            <v>Lease Rent_Office</v>
          </cell>
          <cell r="I194">
            <v>0</v>
          </cell>
        </row>
        <row r="195">
          <cell r="B195">
            <v>40700018</v>
          </cell>
          <cell r="C195">
            <v>26</v>
          </cell>
          <cell r="D195" t="str">
            <v>Other expenses</v>
          </cell>
          <cell r="E195" t="str">
            <v>Laboratory expenses</v>
          </cell>
          <cell r="F195" t="str">
            <v>EHS Expense</v>
          </cell>
          <cell r="G195">
            <v>3454217</v>
          </cell>
          <cell r="H195">
            <v>0</v>
          </cell>
          <cell r="I195">
            <v>3454217</v>
          </cell>
        </row>
        <row r="196">
          <cell r="B196">
            <v>40700020</v>
          </cell>
          <cell r="C196">
            <v>26</v>
          </cell>
          <cell r="D196" t="str">
            <v>Other expenses</v>
          </cell>
          <cell r="E196" t="str">
            <v>Selling and distribution expenses</v>
          </cell>
          <cell r="F196" t="str">
            <v>Selling and Distribu</v>
          </cell>
          <cell r="G196">
            <v>2630634</v>
          </cell>
          <cell r="H196">
            <v>0</v>
          </cell>
          <cell r="I196">
            <v>2630634</v>
          </cell>
        </row>
        <row r="197">
          <cell r="B197">
            <v>40700027</v>
          </cell>
          <cell r="C197">
            <v>26</v>
          </cell>
          <cell r="D197" t="str">
            <v>Other expenses</v>
          </cell>
          <cell r="E197" t="str">
            <v>Membership and subscription</v>
          </cell>
          <cell r="F197" t="str">
            <v>Membership and Subsc</v>
          </cell>
          <cell r="G197">
            <v>60000</v>
          </cell>
          <cell r="H197">
            <v>0</v>
          </cell>
          <cell r="I197">
            <v>60000</v>
          </cell>
        </row>
        <row r="198">
          <cell r="B198">
            <v>40700032</v>
          </cell>
          <cell r="C198">
            <v>26</v>
          </cell>
          <cell r="D198" t="str">
            <v>Other expenses</v>
          </cell>
          <cell r="E198" t="str">
            <v>Miscellaneous expenses</v>
          </cell>
          <cell r="F198" t="str">
            <v>Other expenses</v>
          </cell>
          <cell r="G198">
            <v>175974.92</v>
          </cell>
          <cell r="H198">
            <v>0</v>
          </cell>
          <cell r="I198">
            <v>175974.92</v>
          </cell>
        </row>
        <row r="199">
          <cell r="B199">
            <v>40700035</v>
          </cell>
          <cell r="C199">
            <v>22</v>
          </cell>
          <cell r="D199" t="str">
            <v>Cost of material consumed</v>
          </cell>
          <cell r="E199" t="str">
            <v>Add : Purchases -RM</v>
          </cell>
          <cell r="F199" t="str">
            <v>Detention Charges</v>
          </cell>
          <cell r="G199">
            <v>342683.32</v>
          </cell>
          <cell r="H199">
            <v>0</v>
          </cell>
          <cell r="I199">
            <v>342683.32</v>
          </cell>
        </row>
        <row r="200">
          <cell r="B200">
            <v>10000004</v>
          </cell>
          <cell r="C200">
            <v>13</v>
          </cell>
          <cell r="D200" t="str">
            <v>Equity share capital</v>
          </cell>
          <cell r="E200" t="str">
            <v>Pref Shar CCPS-BVCPL</v>
          </cell>
          <cell r="F200" t="str">
            <v>0.01% Non-Cumulative CCPS</v>
          </cell>
          <cell r="G200">
            <v>868680</v>
          </cell>
          <cell r="I200">
            <v>868680</v>
          </cell>
        </row>
        <row r="201">
          <cell r="B201">
            <v>10100000</v>
          </cell>
          <cell r="C201">
            <v>14</v>
          </cell>
          <cell r="D201" t="str">
            <v>Other equity</v>
          </cell>
          <cell r="E201" t="str">
            <v>Closing balance - Securities Premium</v>
          </cell>
          <cell r="F201" t="str">
            <v>Security Premium Account</v>
          </cell>
          <cell r="G201">
            <v>1999104969</v>
          </cell>
          <cell r="I201">
            <v>1999104969</v>
          </cell>
        </row>
        <row r="202">
          <cell r="B202">
            <v>10000004</v>
          </cell>
          <cell r="C202">
            <v>13</v>
          </cell>
          <cell r="D202" t="str">
            <v>Other equity</v>
          </cell>
          <cell r="E202" t="str">
            <v>INSTRUMENT ENTIRELY EQUITY IN NATURE</v>
          </cell>
          <cell r="F202" t="str">
            <v>0.01% Non-Cumulative CCPS</v>
          </cell>
          <cell r="G202">
            <v>0</v>
          </cell>
          <cell r="H202">
            <v>-1999973649</v>
          </cell>
          <cell r="I202">
            <v>-1999973649</v>
          </cell>
        </row>
        <row r="203">
          <cell r="B203" t="str">
            <v>Manual Entry</v>
          </cell>
          <cell r="D203" t="str">
            <v>Other Comprehensive Income</v>
          </cell>
          <cell r="E203" t="str">
            <v>Remeasurement of defined benefit plans</v>
          </cell>
          <cell r="F203" t="str">
            <v>Remeasurement of defined benefit plans</v>
          </cell>
          <cell r="I203">
            <v>0</v>
          </cell>
        </row>
        <row r="204">
          <cell r="B204" t="str">
            <v>Manual Entry</v>
          </cell>
          <cell r="D204" t="str">
            <v>Other Comprehensive Income</v>
          </cell>
          <cell r="E204" t="str">
            <v>Income tax relating to items that will not be reclassified to profit or loss</v>
          </cell>
          <cell r="F204" t="str">
            <v>Income tax relating to items that will not be reclassified to profit or loss</v>
          </cell>
          <cell r="I204">
            <v>0</v>
          </cell>
        </row>
        <row r="205">
          <cell r="B205" t="str">
            <v>Manual Entry</v>
          </cell>
          <cell r="D205" t="str">
            <v>Other equity</v>
          </cell>
          <cell r="E205" t="str">
            <v>Closing balance - Retained Earnings</v>
          </cell>
          <cell r="F205" t="str">
            <v>IND AS -I.Tax on OCI</v>
          </cell>
          <cell r="I205">
            <v>0</v>
          </cell>
        </row>
        <row r="206">
          <cell r="B206">
            <v>10400001</v>
          </cell>
          <cell r="C206">
            <v>4</v>
          </cell>
          <cell r="D206" t="str">
            <v>Deferred Tax Liabilities (Net)</v>
          </cell>
          <cell r="E206" t="str">
            <v>Deferred Tax</v>
          </cell>
          <cell r="F206" t="str">
            <v>IND AS - Deferred Tax Liability</v>
          </cell>
          <cell r="G206">
            <v>238523.489999999</v>
          </cell>
          <cell r="H206">
            <v>0</v>
          </cell>
          <cell r="I206">
            <v>238523.489999999</v>
          </cell>
        </row>
        <row r="207">
          <cell r="B207">
            <v>20400001</v>
          </cell>
          <cell r="C207">
            <v>4</v>
          </cell>
          <cell r="D207" t="str">
            <v>Deferred Tax Liabilities (Net)</v>
          </cell>
          <cell r="E207" t="str">
            <v>Deferred Tax Liabilities (Net)</v>
          </cell>
          <cell r="F207" t="str">
            <v>IND AS - Deferred Tax Assets</v>
          </cell>
          <cell r="G207">
            <v>0</v>
          </cell>
          <cell r="H207">
            <v>-95917.279999999897</v>
          </cell>
          <cell r="I207">
            <v>-95917.279999999897</v>
          </cell>
        </row>
        <row r="208">
          <cell r="B208">
            <v>40700040</v>
          </cell>
          <cell r="C208">
            <v>26</v>
          </cell>
          <cell r="D208" t="str">
            <v>Other expenses</v>
          </cell>
          <cell r="E208" t="str">
            <v>(b) Deferred Tax</v>
          </cell>
          <cell r="F208" t="str">
            <v>IND AS - Deferred Tax Expense</v>
          </cell>
          <cell r="G208">
            <v>0</v>
          </cell>
          <cell r="H208">
            <v>-142606</v>
          </cell>
          <cell r="I208">
            <v>-142606</v>
          </cell>
        </row>
        <row r="209">
          <cell r="B209">
            <v>10600014</v>
          </cell>
          <cell r="C209">
            <v>15</v>
          </cell>
          <cell r="D209" t="str">
            <v>Borrowings</v>
          </cell>
          <cell r="E209" t="str">
            <v>Working Capital Loans from Bank</v>
          </cell>
          <cell r="F209" t="str">
            <v>HDFC Buyer’s Credit</v>
          </cell>
          <cell r="G209">
            <v>0</v>
          </cell>
          <cell r="H209">
            <v>-15551029.66</v>
          </cell>
          <cell r="I209">
            <v>-15551029.66</v>
          </cell>
        </row>
        <row r="210">
          <cell r="B210">
            <v>10900012</v>
          </cell>
          <cell r="C210">
            <v>17</v>
          </cell>
          <cell r="D210" t="str">
            <v>Trade Payables</v>
          </cell>
          <cell r="E210" t="str">
            <v>Total outstanding dues of creditors other than micro enterprises and small enterprises</v>
          </cell>
          <cell r="F210" t="str">
            <v>Provision_C&amp;F Export</v>
          </cell>
          <cell r="G210">
            <v>0</v>
          </cell>
          <cell r="H210">
            <v>-2500000</v>
          </cell>
          <cell r="I210">
            <v>-2500000</v>
          </cell>
        </row>
        <row r="211">
          <cell r="B211">
            <v>20500004</v>
          </cell>
          <cell r="C211">
            <v>9</v>
          </cell>
          <cell r="D211" t="str">
            <v>Inventories</v>
          </cell>
          <cell r="E211" t="str">
            <v>Finished goods*</v>
          </cell>
          <cell r="F211" t="str">
            <v>Finish Goods Stock</v>
          </cell>
          <cell r="G211">
            <v>29310285.850000001</v>
          </cell>
          <cell r="H211">
            <v>0</v>
          </cell>
          <cell r="I211">
            <v>29310285.850000001</v>
          </cell>
        </row>
        <row r="212">
          <cell r="B212">
            <v>20600000</v>
          </cell>
          <cell r="C212">
            <v>10</v>
          </cell>
          <cell r="D212" t="str">
            <v>Trade receivables</v>
          </cell>
          <cell r="E212" t="str">
            <v>Considered good - unsecured</v>
          </cell>
          <cell r="F212" t="str">
            <v>Receivables- Export</v>
          </cell>
          <cell r="G212">
            <v>54337636.780000001</v>
          </cell>
          <cell r="H212">
            <v>0</v>
          </cell>
          <cell r="I212">
            <v>54337636.780000001</v>
          </cell>
        </row>
        <row r="213">
          <cell r="B213">
            <v>20600002</v>
          </cell>
          <cell r="C213">
            <v>10</v>
          </cell>
          <cell r="D213" t="str">
            <v>Trade receivables</v>
          </cell>
          <cell r="E213" t="str">
            <v>Considered good - unsecured</v>
          </cell>
          <cell r="F213" t="str">
            <v>Receivables- SEZ</v>
          </cell>
          <cell r="G213">
            <v>161700</v>
          </cell>
          <cell r="H213">
            <v>0</v>
          </cell>
          <cell r="I213">
            <v>161700</v>
          </cell>
        </row>
        <row r="214">
          <cell r="B214">
            <v>20600007</v>
          </cell>
          <cell r="C214">
            <v>10</v>
          </cell>
          <cell r="D214" t="str">
            <v>Trade receivables</v>
          </cell>
          <cell r="E214" t="str">
            <v>Considered good - unsecured</v>
          </cell>
          <cell r="F214" t="str">
            <v>Receivables- Forex</v>
          </cell>
          <cell r="G214">
            <v>522703.65</v>
          </cell>
          <cell r="H214">
            <v>0</v>
          </cell>
          <cell r="I214">
            <v>522703.65</v>
          </cell>
        </row>
        <row r="215">
          <cell r="B215">
            <v>20800152</v>
          </cell>
          <cell r="C215">
            <v>15</v>
          </cell>
          <cell r="D215" t="str">
            <v>Borrowings</v>
          </cell>
          <cell r="E215" t="str">
            <v>Working Capital Loans from Bank</v>
          </cell>
          <cell r="F215" t="str">
            <v>CC_Axis_925030026102</v>
          </cell>
          <cell r="G215">
            <v>0</v>
          </cell>
          <cell r="H215">
            <v>-30000000</v>
          </cell>
          <cell r="I215">
            <v>-30000000</v>
          </cell>
        </row>
        <row r="216">
          <cell r="B216">
            <v>21000007</v>
          </cell>
          <cell r="C216">
            <v>12</v>
          </cell>
          <cell r="D216" t="str">
            <v>Other Current Assets</v>
          </cell>
          <cell r="E216" t="str">
            <v>Balances with Government Authorities</v>
          </cell>
          <cell r="F216" t="str">
            <v>GST Refund_Custom De</v>
          </cell>
          <cell r="G216">
            <v>8902203.6400000006</v>
          </cell>
          <cell r="H216">
            <v>0</v>
          </cell>
          <cell r="I216">
            <v>8902203.6400000006</v>
          </cell>
        </row>
        <row r="217">
          <cell r="B217">
            <v>40100006</v>
          </cell>
          <cell r="C217">
            <v>22</v>
          </cell>
          <cell r="D217" t="str">
            <v>Cost of material consumed</v>
          </cell>
          <cell r="E217" t="str">
            <v>Add : Purchases -PM</v>
          </cell>
          <cell r="F217" t="str">
            <v>COGS Packing Mat</v>
          </cell>
          <cell r="G217">
            <v>825481.51</v>
          </cell>
          <cell r="H217">
            <v>0</v>
          </cell>
          <cell r="I217">
            <v>825481.51</v>
          </cell>
        </row>
        <row r="218">
          <cell r="B218">
            <v>40200010</v>
          </cell>
          <cell r="C218">
            <v>23</v>
          </cell>
          <cell r="D218" t="str">
            <v xml:space="preserve">Changes in inventories of finished goods and work-in-progress </v>
          </cell>
          <cell r="E218" t="str">
            <v>Changes in inventories of finished goods and work in progress</v>
          </cell>
          <cell r="F218" t="str">
            <v>Change in Stock</v>
          </cell>
          <cell r="G218">
            <v>0</v>
          </cell>
          <cell r="H218">
            <v>-49136088.740000002</v>
          </cell>
          <cell r="I218">
            <v>-49136088.740000002</v>
          </cell>
        </row>
        <row r="219">
          <cell r="B219">
            <v>40300001</v>
          </cell>
          <cell r="C219">
            <v>24</v>
          </cell>
          <cell r="D219" t="str">
            <v>Employee benefits expense</v>
          </cell>
          <cell r="E219" t="str">
            <v>Staff welfare expenses</v>
          </cell>
          <cell r="F219" t="str">
            <v>Staff Recruitment an</v>
          </cell>
          <cell r="G219">
            <v>279840.81</v>
          </cell>
          <cell r="H219">
            <v>0</v>
          </cell>
          <cell r="I219">
            <v>279840.81</v>
          </cell>
        </row>
        <row r="220">
          <cell r="B220">
            <v>40300013</v>
          </cell>
          <cell r="C220">
            <v>24</v>
          </cell>
          <cell r="D220" t="str">
            <v>Employee benefits expense</v>
          </cell>
          <cell r="E220" t="str">
            <v>Staff welfare expenses</v>
          </cell>
          <cell r="F220" t="str">
            <v>Staff Training Expen</v>
          </cell>
          <cell r="G220">
            <v>5000</v>
          </cell>
          <cell r="H220">
            <v>0</v>
          </cell>
          <cell r="I220">
            <v>5000</v>
          </cell>
        </row>
        <row r="221">
          <cell r="B221">
            <v>40300017</v>
          </cell>
          <cell r="C221">
            <v>24</v>
          </cell>
          <cell r="D221" t="str">
            <v>Employee benefits expense</v>
          </cell>
          <cell r="E221" t="str">
            <v xml:space="preserve">Salary, Wages, Allowances and Bonus etc. </v>
          </cell>
          <cell r="F221" t="str">
            <v>Productivity Incenti</v>
          </cell>
          <cell r="G221">
            <v>105000</v>
          </cell>
          <cell r="H221">
            <v>0</v>
          </cell>
          <cell r="I221">
            <v>105000</v>
          </cell>
        </row>
        <row r="222">
          <cell r="B222">
            <v>40300018</v>
          </cell>
          <cell r="C222">
            <v>24</v>
          </cell>
          <cell r="D222" t="str">
            <v>Employee benefits expense</v>
          </cell>
          <cell r="E222" t="str">
            <v xml:space="preserve">Salary, Wages, Allowances and Bonus etc. </v>
          </cell>
          <cell r="F222" t="str">
            <v>Trainee Stipend</v>
          </cell>
          <cell r="G222">
            <v>16140.959999999901</v>
          </cell>
          <cell r="H222">
            <v>0</v>
          </cell>
          <cell r="I222">
            <v>16140.959999999901</v>
          </cell>
        </row>
        <row r="223">
          <cell r="B223">
            <v>40300020</v>
          </cell>
          <cell r="C223">
            <v>24</v>
          </cell>
          <cell r="D223" t="str">
            <v>Employee benefits expense</v>
          </cell>
          <cell r="E223" t="str">
            <v xml:space="preserve">Salary, Wages, Allowances and Bonus etc. </v>
          </cell>
          <cell r="F223" t="str">
            <v>Uniform Allowance</v>
          </cell>
          <cell r="G223">
            <v>47250</v>
          </cell>
          <cell r="H223">
            <v>0</v>
          </cell>
          <cell r="I223">
            <v>47250</v>
          </cell>
        </row>
        <row r="224">
          <cell r="B224">
            <v>40400005</v>
          </cell>
          <cell r="C224">
            <v>26</v>
          </cell>
          <cell r="D224" t="str">
            <v>Other expenses</v>
          </cell>
          <cell r="E224" t="str">
            <v>Miscellaneous expenses</v>
          </cell>
          <cell r="F224" t="str">
            <v>International Bank C</v>
          </cell>
          <cell r="G224">
            <v>27943.23</v>
          </cell>
          <cell r="H224">
            <v>0</v>
          </cell>
          <cell r="I224">
            <v>27943.23</v>
          </cell>
        </row>
        <row r="225">
          <cell r="B225">
            <v>40400024</v>
          </cell>
          <cell r="C225">
            <v>25</v>
          </cell>
          <cell r="D225" t="str">
            <v>Finance costs</v>
          </cell>
          <cell r="E225" t="str">
            <v>- From Bank (Secured Loan)</v>
          </cell>
          <cell r="F225" t="str">
            <v>Interest on Buyer’s</v>
          </cell>
          <cell r="G225">
            <v>210509.459999999</v>
          </cell>
          <cell r="H225">
            <v>0</v>
          </cell>
          <cell r="I225">
            <v>210509.459999999</v>
          </cell>
        </row>
        <row r="226">
          <cell r="B226">
            <v>40600006</v>
          </cell>
          <cell r="C226">
            <v>26</v>
          </cell>
          <cell r="D226" t="str">
            <v>Other expenses</v>
          </cell>
          <cell r="E226" t="str">
            <v>Job work and labour charges</v>
          </cell>
          <cell r="F226" t="str">
            <v>Jobwork Charges</v>
          </cell>
          <cell r="G226">
            <v>14171839.779999901</v>
          </cell>
          <cell r="H226">
            <v>0</v>
          </cell>
          <cell r="I226">
            <v>14171839.779999901</v>
          </cell>
        </row>
        <row r="227">
          <cell r="B227">
            <v>40700016</v>
          </cell>
          <cell r="C227">
            <v>25</v>
          </cell>
          <cell r="D227" t="str">
            <v>Finance costs</v>
          </cell>
          <cell r="E227" t="str">
            <v>Other Interest Expenses</v>
          </cell>
          <cell r="F227" t="str">
            <v>Interest On TDS</v>
          </cell>
          <cell r="G227">
            <v>10247</v>
          </cell>
          <cell r="H227">
            <v>0</v>
          </cell>
          <cell r="I227">
            <v>10247</v>
          </cell>
        </row>
        <row r="228">
          <cell r="B228">
            <v>40700036</v>
          </cell>
          <cell r="C228">
            <v>22</v>
          </cell>
          <cell r="D228" t="str">
            <v>Cost of material consumed</v>
          </cell>
          <cell r="E228" t="str">
            <v>Add : Purchases -RM</v>
          </cell>
          <cell r="F228" t="str">
            <v>Ground Rent and Sto</v>
          </cell>
          <cell r="G228">
            <v>400</v>
          </cell>
          <cell r="H228">
            <v>0</v>
          </cell>
          <cell r="I228">
            <v>400</v>
          </cell>
        </row>
        <row r="229">
          <cell r="B229">
            <v>80000001</v>
          </cell>
          <cell r="C229">
            <v>17</v>
          </cell>
          <cell r="D229" t="str">
            <v>Trade Payables</v>
          </cell>
          <cell r="E229" t="str">
            <v>Total outstanding dues of creditors other than micro enterprises and small enterprises</v>
          </cell>
          <cell r="F229" t="str">
            <v>Clearing  SFG and FG</v>
          </cell>
          <cell r="G229">
            <v>0</v>
          </cell>
          <cell r="H229">
            <v>-2936458</v>
          </cell>
          <cell r="I229">
            <v>-2936458</v>
          </cell>
        </row>
      </sheetData>
      <sheetData sheetId="5"/>
      <sheetData sheetId="6"/>
      <sheetData sheetId="7"/>
      <sheetData sheetId="8"/>
      <sheetData sheetId="9"/>
      <sheetData sheetId="10"/>
      <sheetData sheetId="11"/>
      <sheetData sheetId="12"/>
      <sheetData sheetId="13"/>
      <sheetData sheetId="14">
        <row r="192">
          <cell r="G192">
            <v>4976</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RL"/>
      <sheetName val="EPS"/>
      <sheetName val="Input"/>
      <sheetName val="reserve movement"/>
      <sheetName val="Pivot"/>
      <sheetName val="TB - SNS - 31.3.25"/>
      <sheetName val="TB - SNS - 31.3.24"/>
      <sheetName val="CFS Working"/>
      <sheetName val="DT"/>
      <sheetName val="BS"/>
      <sheetName val="TB Pivot"/>
      <sheetName val="PL"/>
      <sheetName val="Cash Flow"/>
      <sheetName val="SOCIE"/>
      <sheetName val="PPE- note 3"/>
      <sheetName val="BS  Notes  4-18"/>
      <sheetName val="Borrowings - note 15"/>
      <sheetName val="PL Notes 19-27"/>
      <sheetName val="CFH Reserve Movement_FY24"/>
      <sheetName val="Share based Payment Res_FY24"/>
      <sheetName val="SAP TB 24"/>
      <sheetName val="IT WDV from Akash"/>
      <sheetName val="TB - SNS - 31.3.23"/>
      <sheetName val="Note 28-32"/>
      <sheetName val="Derivative Instrument - Note 33"/>
      <sheetName val="Related party - Note 34"/>
      <sheetName val="Share based payments - Note 35"/>
      <sheetName val="Note 36 -37"/>
      <sheetName val="FI -38"/>
      <sheetName val="Ratios &amp; Capital Manage-39 - 40"/>
      <sheetName val="Sheet1"/>
      <sheetName val="Employee Car Receivable_FY25"/>
      <sheetName val="Interest on EMI Car"/>
      <sheetName val="Workings &gt;&gt;&gt;"/>
      <sheetName val="WA Share Working"/>
      <sheetName val="Share based Payment Res_FY25"/>
      <sheetName val="CFH Reserve_FY25"/>
      <sheetName val="Ind AS 101 - Note 40 &amp; 41"/>
      <sheetName val="IT_FY24"/>
      <sheetName val="Transactions costs summary"/>
      <sheetName val="Assets Block_FY24"/>
      <sheetName val="Lease Liability Movement_FY24"/>
      <sheetName val="TB - SNS - 31.3.22"/>
      <sheetName val="TB - SNS - 31.3.21"/>
      <sheetName val="Client TB 23"/>
      <sheetName val="Change in Policy - FIFO to WAM"/>
      <sheetName val="FA_Book_FY23"/>
      <sheetName val="Employee Car_FY23"/>
      <sheetName val="OCPS - BVO"/>
      <sheetName val="OCPS - BVS"/>
      <sheetName val="MTM in USD FY 2022"/>
      <sheetName val="MTM in USD FY 2021"/>
      <sheetName val="FAR Summary_FY23"/>
      <sheetName val="R&amp;D Exp_FY24"/>
      <sheetName val="Sheet2"/>
      <sheetName val="R&amp;D Exp_FY25"/>
      <sheetName val="TL and WC Movement_FY24"/>
      <sheetName val="Other Receivable - GST Interest"/>
      <sheetName val="Transactions costs summary_FY24"/>
      <sheetName val="YOY Tax"/>
      <sheetName val="Sheet2 (2)"/>
      <sheetName val="AXIS MTM-M"/>
      <sheetName val="CITI MTM-M"/>
      <sheetName val="Updated FAR_31-March-2023"/>
      <sheetName val="IT"/>
      <sheetName val="MTM 2023"/>
    </sheetNames>
    <sheetDataSet>
      <sheetData sheetId="0" refreshError="1"/>
      <sheetData sheetId="1" refreshError="1"/>
      <sheetData sheetId="2" refreshError="1"/>
      <sheetData sheetId="3">
        <row r="2">
          <cell r="C2">
            <v>100000</v>
          </cell>
        </row>
      </sheetData>
      <sheetData sheetId="4" refreshError="1"/>
      <sheetData sheetId="5" refreshError="1"/>
      <sheetData sheetId="6" refreshError="1">
        <row r="3">
          <cell r="E3"/>
        </row>
        <row r="4">
          <cell r="D4"/>
          <cell r="E4"/>
        </row>
        <row r="5">
          <cell r="D5" t="str">
            <v>Ind AS Head</v>
          </cell>
          <cell r="E5" t="str">
            <v>Ind AS Sub Head</v>
          </cell>
        </row>
        <row r="6">
          <cell r="D6" t="str">
            <v>Equity share capital</v>
          </cell>
          <cell r="E6" t="str">
            <v>315,940 (previous year: 315,940) equity shares of Rs 10 each fully paid up</v>
          </cell>
        </row>
        <row r="7">
          <cell r="D7" t="str">
            <v>Instruments entirely equity in nature</v>
          </cell>
          <cell r="E7" t="str">
            <v>Instrument Entirely Equity in Nature</v>
          </cell>
        </row>
        <row r="8">
          <cell r="D8" t="str">
            <v>Instruments entirely equity in nature</v>
          </cell>
          <cell r="E8" t="str">
            <v>Instrument Entirely Equity in Nature</v>
          </cell>
        </row>
        <row r="9">
          <cell r="D9" t="str">
            <v>Other equity</v>
          </cell>
          <cell r="E9" t="str">
            <v>Closing balance - Securities Premium</v>
          </cell>
        </row>
        <row r="10">
          <cell r="D10" t="str">
            <v>Other equity</v>
          </cell>
          <cell r="E10" t="str">
            <v>Opening Balance - Retained Earnings</v>
          </cell>
        </row>
        <row r="11">
          <cell r="D11" t="str">
            <v>Other equity</v>
          </cell>
          <cell r="E11" t="str">
            <v>Opening Balance - Retained Earnings</v>
          </cell>
        </row>
        <row r="12">
          <cell r="D12" t="str">
            <v>Other equity</v>
          </cell>
          <cell r="E12" t="str">
            <v>Opening Balance - Retained Earnings</v>
          </cell>
        </row>
        <row r="13">
          <cell r="D13" t="str">
            <v>Other equity</v>
          </cell>
          <cell r="E13" t="str">
            <v>Closing balance - Capital redemption reserve</v>
          </cell>
        </row>
        <row r="14">
          <cell r="D14" t="str">
            <v>Other equity</v>
          </cell>
          <cell r="E14" t="str">
            <v>Closing balance - Cashflow hedge reserve</v>
          </cell>
        </row>
        <row r="15">
          <cell r="D15" t="str">
            <v>Other equity</v>
          </cell>
          <cell r="E15" t="str">
            <v>At the commencement of the year - DRR</v>
          </cell>
        </row>
        <row r="16">
          <cell r="D16" t="str">
            <v>Other equity</v>
          </cell>
          <cell r="E16" t="str">
            <v>Closing balance - Share based payment reserve</v>
          </cell>
        </row>
        <row r="17">
          <cell r="D17" t="str">
            <v>Instruments entirely equity in nature</v>
          </cell>
          <cell r="E17" t="str">
            <v>Receipt of share application money</v>
          </cell>
        </row>
        <row r="18">
          <cell r="D18" t="str">
            <v>Borrowings</v>
          </cell>
          <cell r="E18" t="str">
            <v>Term Loan from Bank</v>
          </cell>
        </row>
        <row r="19">
          <cell r="D19" t="str">
            <v>Borrowings</v>
          </cell>
          <cell r="E19" t="str">
            <v>Term Loan from Bank</v>
          </cell>
        </row>
        <row r="20">
          <cell r="D20" t="str">
            <v>Borrowings</v>
          </cell>
          <cell r="E20" t="str">
            <v>Term Loan from Bank</v>
          </cell>
        </row>
        <row r="21">
          <cell r="D21" t="str">
            <v>Borrowings</v>
          </cell>
          <cell r="E21" t="str">
            <v>Term Loan from Bank</v>
          </cell>
        </row>
        <row r="22">
          <cell r="D22" t="str">
            <v>Borrowings</v>
          </cell>
          <cell r="E22" t="str">
            <v>Term Loan from Bank</v>
          </cell>
        </row>
        <row r="23">
          <cell r="D23" t="str">
            <v>Borrowings</v>
          </cell>
          <cell r="E23" t="str">
            <v>Term Loan from Bank</v>
          </cell>
        </row>
        <row r="24">
          <cell r="D24" t="str">
            <v>Borrowings</v>
          </cell>
          <cell r="E24" t="str">
            <v>Term Loan from Bank</v>
          </cell>
        </row>
        <row r="25">
          <cell r="D25" t="str">
            <v>Borrowings</v>
          </cell>
          <cell r="E25" t="str">
            <v>Term Loan from Bank</v>
          </cell>
        </row>
        <row r="26">
          <cell r="D26" t="str">
            <v>Borrowings</v>
          </cell>
          <cell r="E26" t="str">
            <v>Term Loan from Bank</v>
          </cell>
        </row>
        <row r="27">
          <cell r="D27" t="str">
            <v>Borrowings</v>
          </cell>
          <cell r="E27" t="str">
            <v>Term Loan from Bank</v>
          </cell>
        </row>
        <row r="28">
          <cell r="D28" t="str">
            <v>Borrowings</v>
          </cell>
          <cell r="E28" t="str">
            <v>Term Loan from Bank</v>
          </cell>
        </row>
        <row r="29">
          <cell r="D29" t="str">
            <v>Deferred Tax Assets (Net)</v>
          </cell>
          <cell r="E29" t="str">
            <v>Deferred Tax Liabilities (Net)</v>
          </cell>
        </row>
        <row r="30">
          <cell r="D30" t="str">
            <v>Deferred Tax Assets (Net)</v>
          </cell>
          <cell r="E30" t="str">
            <v>Deferred Tax Liabilities (Net)</v>
          </cell>
        </row>
        <row r="31">
          <cell r="D31" t="str">
            <v>Deferred Tax Assets (Net)</v>
          </cell>
          <cell r="E31" t="str">
            <v>Deferred Tax Liabilities (Net)</v>
          </cell>
        </row>
        <row r="32">
          <cell r="D32" t="str">
            <v>Borrowings</v>
          </cell>
          <cell r="E32" t="str">
            <v>Working Capital Loans from Bank</v>
          </cell>
        </row>
        <row r="33">
          <cell r="D33" t="str">
            <v>Borrowings</v>
          </cell>
          <cell r="E33" t="str">
            <v>Working Capital Loans from Bank</v>
          </cell>
        </row>
        <row r="34">
          <cell r="D34" t="str">
            <v>Borrowings</v>
          </cell>
          <cell r="E34" t="str">
            <v>Working Capital Loans from Bank</v>
          </cell>
        </row>
        <row r="35">
          <cell r="D35" t="str">
            <v>Other Current Liabilities</v>
          </cell>
          <cell r="E35" t="str">
            <v xml:space="preserve">Statutory liabilities </v>
          </cell>
        </row>
        <row r="36">
          <cell r="D36" t="str">
            <v>Other Current Liabilities</v>
          </cell>
          <cell r="E36" t="str">
            <v xml:space="preserve">Statutory liabilities </v>
          </cell>
        </row>
        <row r="37">
          <cell r="D37" t="str">
            <v>Other Current Liabilities</v>
          </cell>
          <cell r="E37" t="str">
            <v xml:space="preserve">Statutory liabilities </v>
          </cell>
        </row>
        <row r="38">
          <cell r="D38" t="str">
            <v>Other Current Liabilities</v>
          </cell>
          <cell r="E38" t="str">
            <v xml:space="preserve">Statutory liabilities </v>
          </cell>
        </row>
        <row r="39">
          <cell r="D39" t="str">
            <v>Other Current Liabilities</v>
          </cell>
          <cell r="E39" t="str">
            <v xml:space="preserve">Statutory liabilities </v>
          </cell>
        </row>
        <row r="40">
          <cell r="D40" t="str">
            <v>Other Current Liabilities</v>
          </cell>
          <cell r="E40" t="str">
            <v xml:space="preserve">Statutory liabilities </v>
          </cell>
        </row>
        <row r="41">
          <cell r="D41" t="str">
            <v>Other Current Liabilities</v>
          </cell>
          <cell r="E41" t="str">
            <v xml:space="preserve">Statutory liabilities </v>
          </cell>
        </row>
        <row r="42">
          <cell r="D42" t="str">
            <v>Other Current Liabilities</v>
          </cell>
          <cell r="E42" t="str">
            <v xml:space="preserve">Statutory liabilities </v>
          </cell>
        </row>
        <row r="43">
          <cell r="D43" t="str">
            <v>Trade payables</v>
          </cell>
          <cell r="E43" t="str">
            <v>Total outstanding dues of creditors other than micro enterprises and small enterprises</v>
          </cell>
        </row>
        <row r="44">
          <cell r="D44" t="str">
            <v>Trade payables</v>
          </cell>
          <cell r="E44" t="str">
            <v>Total outstanding dues of creditors other than micro enterprises and small enterprises</v>
          </cell>
        </row>
        <row r="45">
          <cell r="D45" t="str">
            <v>Other financial liabilities</v>
          </cell>
          <cell r="E45" t="str">
            <v xml:space="preserve">Statutory liabilities </v>
          </cell>
        </row>
        <row r="46">
          <cell r="D46" t="str">
            <v>Other financial liabilities</v>
          </cell>
          <cell r="E46" t="str">
            <v>Employee benefits payable</v>
          </cell>
        </row>
        <row r="47">
          <cell r="D47" t="str">
            <v>Other financial liabilities</v>
          </cell>
          <cell r="E47" t="str">
            <v>Employee benefits payable</v>
          </cell>
        </row>
        <row r="48">
          <cell r="D48" t="str">
            <v>Trade payables</v>
          </cell>
          <cell r="E48" t="str">
            <v>Total outstanding dues of creditors other than micro enterprises and small enterprises</v>
          </cell>
        </row>
        <row r="49">
          <cell r="D49" t="str">
            <v>Trade payables</v>
          </cell>
          <cell r="E49" t="str">
            <v>Total outstanding dues of creditors other than micro enterprises and small enterprises</v>
          </cell>
        </row>
        <row r="50">
          <cell r="D50" t="str">
            <v>Provisions</v>
          </cell>
          <cell r="E50" t="str">
            <v>Provision for employee benefits - Gratuity</v>
          </cell>
        </row>
        <row r="51">
          <cell r="D51" t="str">
            <v>Provisions</v>
          </cell>
          <cell r="E51" t="str">
            <v>Provision for compensated absences</v>
          </cell>
        </row>
        <row r="52">
          <cell r="D52" t="str">
            <v>Trade payables</v>
          </cell>
          <cell r="E52" t="str">
            <v>Total outstanding dues of creditors other than micro enterprises and small enterprises</v>
          </cell>
        </row>
        <row r="53">
          <cell r="D53" t="str">
            <v>Trade payables</v>
          </cell>
          <cell r="E53" t="str">
            <v>Total outstanding dues of creditors other than micro enterprises and small enterprises</v>
          </cell>
        </row>
        <row r="54">
          <cell r="D54" t="str">
            <v>Trade payables</v>
          </cell>
          <cell r="E54" t="str">
            <v>Total outstanding dues of creditors other than micro enterprises and small enterprises</v>
          </cell>
        </row>
        <row r="55">
          <cell r="D55" t="str">
            <v>Borrowings</v>
          </cell>
          <cell r="E55" t="str">
            <v>Working Capital Loans from Bank</v>
          </cell>
        </row>
        <row r="56">
          <cell r="D56" t="str">
            <v>Trade payables</v>
          </cell>
          <cell r="E56" t="str">
            <v>Total outstanding dues of creditors other than micro enterprises and small enterprises</v>
          </cell>
        </row>
        <row r="57">
          <cell r="D57" t="str">
            <v>Trade payables</v>
          </cell>
          <cell r="E57" t="str">
            <v>Total outstanding dues of creditors other than micro enterprises and small enterprises</v>
          </cell>
        </row>
        <row r="58">
          <cell r="D58" t="str">
            <v>Trade payables</v>
          </cell>
          <cell r="E58" t="str">
            <v>Total outstanding dues of creditors other than micro enterprises and small enterprises</v>
          </cell>
        </row>
        <row r="59">
          <cell r="D59" t="str">
            <v>Trade payables</v>
          </cell>
          <cell r="E59" t="str">
            <v>Total outstanding dues of creditors other than micro enterprises and small enterprises</v>
          </cell>
        </row>
        <row r="60">
          <cell r="D60" t="str">
            <v>Trade payables</v>
          </cell>
          <cell r="E60" t="str">
            <v>Total outstanding dues of creditors other than micro enterprises and small enterprises</v>
          </cell>
        </row>
        <row r="61">
          <cell r="D61" t="str">
            <v>Trade payables</v>
          </cell>
          <cell r="E61" t="str">
            <v>Total outstanding dues of creditors other than micro enterprises and small enterprises</v>
          </cell>
        </row>
        <row r="62">
          <cell r="D62" t="str">
            <v>Trade payables</v>
          </cell>
          <cell r="E62" t="str">
            <v>Total outstanding dues of creditors other than micro enterprises and small enterprises</v>
          </cell>
        </row>
        <row r="63">
          <cell r="D63" t="str">
            <v>Trade payables</v>
          </cell>
          <cell r="E63" t="str">
            <v>Total outstanding dues of creditors other than micro enterprises and small enterprises</v>
          </cell>
        </row>
        <row r="64">
          <cell r="D64" t="str">
            <v>Other financial liabilities</v>
          </cell>
          <cell r="E64" t="str">
            <v>Employee benefits payable</v>
          </cell>
        </row>
        <row r="65">
          <cell r="D65" t="str">
            <v>Trade payables</v>
          </cell>
          <cell r="E65" t="str">
            <v>Total outstanding dues of creditors other than micro enterprises and small enterprises</v>
          </cell>
        </row>
        <row r="66">
          <cell r="D66" t="str">
            <v>Trade payables</v>
          </cell>
          <cell r="E66" t="str">
            <v>Total outstanding dues of creditors other than micro enterprises and small enterprises</v>
          </cell>
        </row>
        <row r="67">
          <cell r="D67" t="str">
            <v>Trade payables</v>
          </cell>
          <cell r="E67" t="str">
            <v>Total outstanding dues of creditors other than micro enterprises and small enterprises</v>
          </cell>
        </row>
        <row r="68">
          <cell r="D68" t="str">
            <v>Trade payables</v>
          </cell>
          <cell r="E68" t="str">
            <v>Total outstanding dues of creditors other than micro enterprises and small enterprises</v>
          </cell>
        </row>
        <row r="69">
          <cell r="D69" t="str">
            <v>Trade payables</v>
          </cell>
          <cell r="E69" t="str">
            <v>Total outstanding dues of creditors other than micro enterprises and small enterprises</v>
          </cell>
        </row>
        <row r="70">
          <cell r="D70" t="str">
            <v>Trade payables</v>
          </cell>
          <cell r="E70" t="str">
            <v>Total outstanding dues of creditors other than micro enterprises and small enterprises</v>
          </cell>
        </row>
        <row r="71">
          <cell r="D71" t="str">
            <v>Trade payables</v>
          </cell>
          <cell r="E71" t="str">
            <v>Total outstanding dues of creditors other than micro enterprises and small enterprises</v>
          </cell>
        </row>
        <row r="72">
          <cell r="D72" t="str">
            <v>Trade payables</v>
          </cell>
          <cell r="E72" t="str">
            <v>Total outstanding dues of creditors other than micro enterprises and small enterprises</v>
          </cell>
        </row>
        <row r="73">
          <cell r="D73" t="str">
            <v>Trade payables</v>
          </cell>
          <cell r="E73" t="str">
            <v>Total outstanding dues of creditors other than micro enterprises and small enterprises</v>
          </cell>
        </row>
        <row r="74">
          <cell r="D74" t="str">
            <v>Other Current Liabilities</v>
          </cell>
          <cell r="E74" t="str">
            <v xml:space="preserve">Statutory liabilities </v>
          </cell>
        </row>
        <row r="75">
          <cell r="D75" t="str">
            <v>Other Current Liabilities</v>
          </cell>
          <cell r="E75" t="str">
            <v xml:space="preserve">Statutory liabilities </v>
          </cell>
        </row>
        <row r="76">
          <cell r="D76" t="str">
            <v>Other Current Liabilities</v>
          </cell>
          <cell r="E76" t="str">
            <v xml:space="preserve">Statutory liabilities </v>
          </cell>
        </row>
        <row r="77">
          <cell r="D77" t="str">
            <v>Trade payables</v>
          </cell>
          <cell r="E77" t="str">
            <v>Total outstanding dues of creditors other than micro enterprises and small enterprises</v>
          </cell>
        </row>
        <row r="78">
          <cell r="D78" t="str">
            <v>Other financial liabilities</v>
          </cell>
          <cell r="E78" t="str">
            <v>Employee benefits payable</v>
          </cell>
        </row>
        <row r="79">
          <cell r="D79" t="str">
            <v>Trade payables</v>
          </cell>
          <cell r="E79" t="str">
            <v>Total outstanding dues of creditors other than micro enterprises and small enterprises</v>
          </cell>
        </row>
        <row r="80">
          <cell r="D80" t="str">
            <v>Borrowings</v>
          </cell>
          <cell r="E80" t="str">
            <v>Non Convertible Debentures @6% from Related Party</v>
          </cell>
        </row>
        <row r="81">
          <cell r="D81" t="str">
            <v>Borrowings</v>
          </cell>
          <cell r="E81" t="str">
            <v>Working Capital Loans from Bank</v>
          </cell>
        </row>
        <row r="82">
          <cell r="D82" t="str">
            <v>Borrowings</v>
          </cell>
          <cell r="E82" t="str">
            <v>Working Capital Loans from Bank</v>
          </cell>
        </row>
        <row r="83">
          <cell r="D83" t="str">
            <v>Borrowings</v>
          </cell>
          <cell r="E83" t="str">
            <v>Working Capital Loans from Bank</v>
          </cell>
        </row>
        <row r="84">
          <cell r="D84" t="str">
            <v>Borrowings</v>
          </cell>
          <cell r="E84" t="str">
            <v>Working Capital Loans from Bank</v>
          </cell>
        </row>
        <row r="85">
          <cell r="D85" t="str">
            <v>Borrowings</v>
          </cell>
          <cell r="E85" t="str">
            <v>Working Capital Loans from Bank</v>
          </cell>
        </row>
        <row r="86">
          <cell r="D86" t="str">
            <v>Trade payables</v>
          </cell>
          <cell r="E86" t="str">
            <v>Total outstanding dues of creditors other than micro enterprises and small enterprises</v>
          </cell>
        </row>
        <row r="87">
          <cell r="D87" t="str">
            <v>Other financial liabilities</v>
          </cell>
          <cell r="E87" t="str">
            <v>Forward contract payable</v>
          </cell>
        </row>
        <row r="88">
          <cell r="D88" t="str">
            <v>Lease Liabilities</v>
          </cell>
          <cell r="E88" t="str">
            <v>(ii) Lease Liabilities</v>
          </cell>
        </row>
        <row r="89">
          <cell r="D89" t="str">
            <v>Other Current Liabilities</v>
          </cell>
          <cell r="E89" t="str">
            <v xml:space="preserve">Statutory liabilities </v>
          </cell>
        </row>
        <row r="90">
          <cell r="D90" t="str">
            <v>Other Current Liabilities</v>
          </cell>
          <cell r="E90" t="str">
            <v xml:space="preserve">Statutory liabilities </v>
          </cell>
        </row>
        <row r="91">
          <cell r="D91" t="str">
            <v>Other Current Liabilities</v>
          </cell>
          <cell r="E91" t="str">
            <v xml:space="preserve">Statutory liabilities </v>
          </cell>
        </row>
        <row r="92">
          <cell r="D92" t="str">
            <v>Other Current Liabilities</v>
          </cell>
          <cell r="E92" t="str">
            <v xml:space="preserve">Statutory liabilities </v>
          </cell>
        </row>
        <row r="93">
          <cell r="D93" t="str">
            <v>Cash &amp; Cash Equivalents</v>
          </cell>
          <cell r="E93" t="str">
            <v>Balance with banks</v>
          </cell>
        </row>
        <row r="94">
          <cell r="D94" t="str">
            <v>Cash &amp; Cash Equivalents</v>
          </cell>
          <cell r="E94" t="str">
            <v>Balance with banks</v>
          </cell>
        </row>
        <row r="95">
          <cell r="D95" t="str">
            <v>Cash &amp; Cash Equivalents</v>
          </cell>
          <cell r="E95" t="str">
            <v>Balance with banks</v>
          </cell>
        </row>
        <row r="96">
          <cell r="D96" t="str">
            <v>Cash &amp; Cash Equivalents</v>
          </cell>
          <cell r="E96" t="str">
            <v>Balance with banks</v>
          </cell>
        </row>
        <row r="97">
          <cell r="D97" t="str">
            <v>Cash &amp; Cash Equivalents</v>
          </cell>
          <cell r="E97" t="str">
            <v>Balance with banks</v>
          </cell>
        </row>
        <row r="98">
          <cell r="D98" t="str">
            <v>Cash &amp; Cash Equivalents</v>
          </cell>
          <cell r="E98" t="str">
            <v>Balance with banks</v>
          </cell>
        </row>
        <row r="99">
          <cell r="D99" t="str">
            <v>Borrowings</v>
          </cell>
          <cell r="E99" t="str">
            <v>Working Capital Loans from Bank</v>
          </cell>
        </row>
        <row r="100">
          <cell r="D100" t="str">
            <v>Borrowings</v>
          </cell>
          <cell r="E100" t="str">
            <v>Working Capital Loans from Bank</v>
          </cell>
        </row>
        <row r="101">
          <cell r="D101" t="str">
            <v>Borrowings</v>
          </cell>
          <cell r="E101" t="str">
            <v>Working Capital Loans from Bank</v>
          </cell>
        </row>
        <row r="102">
          <cell r="D102" t="str">
            <v>Cash &amp; Cash Equivalents</v>
          </cell>
          <cell r="E102" t="str">
            <v>Balance with banks</v>
          </cell>
        </row>
        <row r="103">
          <cell r="D103" t="str">
            <v>Cash &amp; Cash Equivalents</v>
          </cell>
          <cell r="E103" t="str">
            <v>Balance with banks</v>
          </cell>
        </row>
        <row r="104">
          <cell r="D104" t="str">
            <v>Cash &amp; Cash Equivalents</v>
          </cell>
          <cell r="E104" t="str">
            <v>Balance with banks</v>
          </cell>
        </row>
        <row r="105">
          <cell r="D105" t="str">
            <v>Cash &amp; Cash Equivalents</v>
          </cell>
          <cell r="E105" t="str">
            <v>Balance with banks</v>
          </cell>
        </row>
        <row r="106">
          <cell r="D106" t="str">
            <v>Cash &amp; Cash Equivalents</v>
          </cell>
          <cell r="E106" t="str">
            <v>Balance with banks</v>
          </cell>
        </row>
        <row r="107">
          <cell r="D107" t="str">
            <v>Cash &amp; Cash Equivalents</v>
          </cell>
          <cell r="E107" t="str">
            <v>Balance with banks</v>
          </cell>
        </row>
        <row r="108">
          <cell r="D108" t="str">
            <v>Cash &amp; Cash Equivalents</v>
          </cell>
          <cell r="E108" t="str">
            <v>Balance with banks</v>
          </cell>
        </row>
        <row r="109">
          <cell r="D109" t="str">
            <v>Cash &amp; Cash Equivalents</v>
          </cell>
          <cell r="E109" t="str">
            <v>Balance with banks</v>
          </cell>
        </row>
        <row r="110">
          <cell r="D110" t="str">
            <v>Cash &amp; Cash Equivalents</v>
          </cell>
          <cell r="E110" t="str">
            <v>Balance with banks</v>
          </cell>
        </row>
        <row r="111">
          <cell r="D111" t="str">
            <v>Cash &amp; Cash Equivalents</v>
          </cell>
          <cell r="E111" t="str">
            <v>Balance with banks</v>
          </cell>
        </row>
        <row r="112">
          <cell r="D112" t="str">
            <v>Cash &amp; Cash Equivalents</v>
          </cell>
          <cell r="E112" t="str">
            <v>Balance with banks</v>
          </cell>
        </row>
        <row r="113">
          <cell r="D113" t="str">
            <v>Cash &amp; Cash Equivalents</v>
          </cell>
          <cell r="E113" t="str">
            <v>Balance with banks</v>
          </cell>
        </row>
        <row r="114">
          <cell r="D114" t="str">
            <v>Cash &amp; Cash Equivalents</v>
          </cell>
          <cell r="E114" t="str">
            <v>Balance with banks</v>
          </cell>
        </row>
        <row r="115">
          <cell r="D115" t="str">
            <v>Cash &amp; Cash Equivalents</v>
          </cell>
          <cell r="E115" t="str">
            <v>Balance with banks</v>
          </cell>
        </row>
        <row r="116">
          <cell r="D116" t="str">
            <v>Cash &amp; Cash Equivalents</v>
          </cell>
          <cell r="E116" t="str">
            <v>Balance with banks</v>
          </cell>
        </row>
        <row r="117">
          <cell r="D117" t="str">
            <v>Cash &amp; Cash Equivalents</v>
          </cell>
          <cell r="E117" t="str">
            <v>Balance with banks</v>
          </cell>
        </row>
        <row r="118">
          <cell r="D118" t="str">
            <v>Cash &amp; Cash Equivalents</v>
          </cell>
          <cell r="E118" t="str">
            <v>Balance with banks</v>
          </cell>
        </row>
        <row r="119">
          <cell r="D119" t="str">
            <v>Cash &amp; Cash Equivalents</v>
          </cell>
          <cell r="E119" t="str">
            <v>Balance with banks</v>
          </cell>
        </row>
        <row r="120">
          <cell r="D120" t="str">
            <v>Cash &amp; Cash Equivalents</v>
          </cell>
          <cell r="E120" t="str">
            <v>Balance with banks</v>
          </cell>
        </row>
        <row r="121">
          <cell r="D121" t="str">
            <v>Cash &amp; Cash Equivalents</v>
          </cell>
          <cell r="E121" t="str">
            <v>Balance with banks</v>
          </cell>
        </row>
        <row r="122">
          <cell r="D122" t="str">
            <v>Cash &amp; Cash Equivalents</v>
          </cell>
          <cell r="E122" t="str">
            <v>Balance with banks</v>
          </cell>
        </row>
        <row r="123">
          <cell r="D123" t="str">
            <v>Cash &amp; Cash Equivalents</v>
          </cell>
          <cell r="E123" t="str">
            <v>Balance with banks</v>
          </cell>
        </row>
        <row r="124">
          <cell r="D124" t="str">
            <v>Other Balances with Banks</v>
          </cell>
          <cell r="E124" t="str">
            <v>Earmarked funds</v>
          </cell>
        </row>
        <row r="125">
          <cell r="D125" t="str">
            <v>Cash &amp; Cash Equivalents</v>
          </cell>
          <cell r="E125" t="str">
            <v>Balance with banks</v>
          </cell>
        </row>
        <row r="126">
          <cell r="D126" t="str">
            <v>Cash &amp; Cash Equivalents</v>
          </cell>
          <cell r="E126" t="str">
            <v>Balance with banks</v>
          </cell>
        </row>
        <row r="127">
          <cell r="D127" t="str">
            <v>Other Balances with Banks</v>
          </cell>
          <cell r="E127" t="str">
            <v>Deposits with original maturity for more than 3 months and less than 12 Months</v>
          </cell>
        </row>
        <row r="128">
          <cell r="D128" t="str">
            <v>Other Balances with Banks</v>
          </cell>
          <cell r="E128" t="str">
            <v>Deposits with original maturity for more than 3 months and less than 12 Months</v>
          </cell>
        </row>
        <row r="129">
          <cell r="D129" t="str">
            <v>Other Balances with Banks</v>
          </cell>
          <cell r="E129" t="str">
            <v>Deposits with original maturity for more than 3 months and less than 12 Months</v>
          </cell>
        </row>
        <row r="130">
          <cell r="D130" t="str">
            <v>Other Balances with Banks</v>
          </cell>
          <cell r="E130" t="str">
            <v>Deposits with original maturity for more than 3 months and less than 12 Months</v>
          </cell>
        </row>
        <row r="131">
          <cell r="D131" t="str">
            <v>Other Balances with Banks</v>
          </cell>
          <cell r="E131" t="str">
            <v>Deposits with original maturity for more than 3 months and less than 12 Months</v>
          </cell>
        </row>
        <row r="132">
          <cell r="D132" t="str">
            <v>Other Tax Assets (Net)</v>
          </cell>
          <cell r="E132" t="str">
            <v>Other Tax Assets (Net)</v>
          </cell>
        </row>
        <row r="133">
          <cell r="D133" t="str">
            <v>Other Current Assets</v>
          </cell>
          <cell r="E133" t="str">
            <v>Balances with Government Authorities</v>
          </cell>
        </row>
        <row r="134">
          <cell r="D134" t="str">
            <v>Other Current Assets</v>
          </cell>
          <cell r="E134" t="str">
            <v>Balances with Government Authorities</v>
          </cell>
        </row>
        <row r="135">
          <cell r="D135" t="str">
            <v>Property, Plant &amp; Equipment</v>
          </cell>
          <cell r="E135" t="str">
            <v>Property, plant &amp; equipment</v>
          </cell>
        </row>
        <row r="136">
          <cell r="D136" t="str">
            <v>Property, Plant &amp; Equipment</v>
          </cell>
          <cell r="E136" t="str">
            <v>Property, plant &amp; equipment</v>
          </cell>
        </row>
        <row r="137">
          <cell r="D137" t="str">
            <v>Property, Plant &amp; Equipment</v>
          </cell>
          <cell r="E137" t="str">
            <v>Property, plant &amp; equipment</v>
          </cell>
        </row>
        <row r="138">
          <cell r="D138" t="str">
            <v>Property, Plant &amp; Equipment</v>
          </cell>
          <cell r="E138" t="str">
            <v>Property, plant &amp; equipment</v>
          </cell>
        </row>
        <row r="139">
          <cell r="D139" t="str">
            <v>Property, Plant &amp; Equipment</v>
          </cell>
          <cell r="E139" t="str">
            <v>Property, plant &amp; equipment</v>
          </cell>
        </row>
        <row r="140">
          <cell r="D140" t="str">
            <v>Property, Plant &amp; Equipment</v>
          </cell>
          <cell r="E140" t="str">
            <v>Property, plant &amp; equipment</v>
          </cell>
        </row>
        <row r="141">
          <cell r="D141" t="str">
            <v>Property, Plant &amp; Equipment</v>
          </cell>
          <cell r="E141" t="str">
            <v>Property, plant &amp; equipment</v>
          </cell>
        </row>
        <row r="142">
          <cell r="D142" t="str">
            <v>Property, Plant &amp; Equipment</v>
          </cell>
          <cell r="E142" t="str">
            <v>Property, plant &amp; equipment</v>
          </cell>
        </row>
        <row r="143">
          <cell r="D143" t="str">
            <v>Property, Plant &amp; Equipment</v>
          </cell>
          <cell r="E143" t="str">
            <v>Property, plant &amp; equipment</v>
          </cell>
        </row>
        <row r="144">
          <cell r="D144" t="str">
            <v>Property, Plant &amp; Equipment</v>
          </cell>
          <cell r="E144" t="str">
            <v>Property, plant &amp; equipment</v>
          </cell>
        </row>
        <row r="145">
          <cell r="D145" t="str">
            <v>Property, Plant &amp; Equipment</v>
          </cell>
          <cell r="E145" t="str">
            <v>Property, plant &amp; equipment</v>
          </cell>
        </row>
        <row r="146">
          <cell r="D146" t="str">
            <v>Property, Plant &amp; Equipment</v>
          </cell>
          <cell r="E146" t="str">
            <v>Property, plant &amp; equipment</v>
          </cell>
        </row>
        <row r="147">
          <cell r="D147" t="str">
            <v>Property, Plant &amp; Equipment</v>
          </cell>
          <cell r="E147" t="str">
            <v>Property, plant &amp; equipment</v>
          </cell>
        </row>
        <row r="148">
          <cell r="D148" t="str">
            <v>Property, Plant &amp; Equipment</v>
          </cell>
          <cell r="E148" t="str">
            <v>Property, plant &amp; equipment</v>
          </cell>
        </row>
        <row r="149">
          <cell r="D149" t="str">
            <v>Property, Plant &amp; Equipment</v>
          </cell>
          <cell r="E149" t="str">
            <v>Property, plant &amp; equipment</v>
          </cell>
        </row>
        <row r="150">
          <cell r="D150" t="str">
            <v>Property, Plant &amp; Equipment</v>
          </cell>
          <cell r="E150" t="str">
            <v>Property, plant &amp; equipment</v>
          </cell>
        </row>
        <row r="151">
          <cell r="D151" t="str">
            <v>Property, Plant &amp; Equipment</v>
          </cell>
          <cell r="E151" t="str">
            <v>Property, plant &amp; equipment</v>
          </cell>
        </row>
        <row r="152">
          <cell r="D152" t="str">
            <v>Property, Plant &amp; Equipment</v>
          </cell>
          <cell r="E152" t="str">
            <v>Capital work-in-progress</v>
          </cell>
        </row>
        <row r="153">
          <cell r="D153" t="str">
            <v>Property, Plant &amp; Equipment</v>
          </cell>
          <cell r="E153" t="str">
            <v>Capital work-in-progress</v>
          </cell>
        </row>
        <row r="154">
          <cell r="D154" t="str">
            <v>Investments in Subsidiaries</v>
          </cell>
          <cell r="E154" t="str">
            <v>10,000 (31 March 2024: 10,000) fully paid up equity shares of par value of ₹ 10 each of Best Value Organics Private Limited (wholly owned subsidiary)</v>
          </cell>
        </row>
        <row r="155">
          <cell r="D155" t="str">
            <v>Investments in Subsidiaries</v>
          </cell>
          <cell r="E155" t="str">
            <v>1,36,597 (31 March 2024: 1,07,276) fully paid up equity shares of par value of ₹ 10 each of Best Value Specialities Private Limited (wholly owned subsidiary)*</v>
          </cell>
        </row>
        <row r="156">
          <cell r="D156" t="str">
            <v>Investments in Subsidiaries</v>
          </cell>
          <cell r="E156" t="str">
            <v>96,061 (31 March 2023: 96,061) fully paid up OCPS of par value of ₹ 10 each issued at premium of ₹ 2072 of Best Value Organics Private Limited (wholly owned subsidiary)</v>
          </cell>
        </row>
        <row r="157">
          <cell r="D157" t="str">
            <v>Investments in Subsidiaries</v>
          </cell>
          <cell r="E157" t="str">
            <v>97,276 (31 March 2023: 97,276) fully paid up OCPS of par value of ₹ 10 each issued at premium of ₹ 2046 of Best Value Specialities Private Limited (wholly owned subsidiary)</v>
          </cell>
        </row>
        <row r="158">
          <cell r="D158" t="str">
            <v>Investments in Subsidiaries</v>
          </cell>
          <cell r="E158" t="str">
            <v>44,097 (31 March 2024: 44,097) fully paid up CCPS of par value of ₹ 10 each issued at premium of ₹ 22,667 of Best Value Specialities Private Limited (wholly owned subsidiary)</v>
          </cell>
        </row>
        <row r="159">
          <cell r="D159" t="str">
            <v>Investments in Subsidiaries</v>
          </cell>
          <cell r="E159" t="str">
            <v>24,729 (31 March 2024: Nil) fully paid up CCPS of par value of ₹ 10 each issued at premium of ₹ 41,640 of Best Value Specialities Private Limited (wholly owned subsidiary)</v>
          </cell>
        </row>
        <row r="160">
          <cell r="D160" t="str">
            <v>Investments in Subsidiaries</v>
          </cell>
          <cell r="E160" t="str">
            <v>1,36,597 (31 March 2024: 1,07,276) fully paid up equity shares of par value of ₹ 10 each of Best Value Specialities Private Limited (wholly owned subsidiary)</v>
          </cell>
        </row>
        <row r="161">
          <cell r="D161" t="str">
            <v>Loans</v>
          </cell>
          <cell r="E161" t="str">
            <v>Loans to related party - subsidiaries (Considered good - unsecured)</v>
          </cell>
        </row>
        <row r="162">
          <cell r="D162" t="str">
            <v>Loans</v>
          </cell>
          <cell r="E162" t="str">
            <v>Loans to related party - subsidiaries (Considered good - unsecured)</v>
          </cell>
        </row>
        <row r="163">
          <cell r="D163" t="str">
            <v>Other Current Assets</v>
          </cell>
          <cell r="E163" t="str">
            <v>Export Incentive Scheme receivable</v>
          </cell>
        </row>
        <row r="164">
          <cell r="D164" t="str">
            <v>Other Current Assets</v>
          </cell>
          <cell r="E164" t="str">
            <v>Export Incentive Scheme receivable</v>
          </cell>
        </row>
        <row r="165">
          <cell r="D165" t="str">
            <v>Other Current Assets</v>
          </cell>
          <cell r="E165" t="str">
            <v>Balances with Government Authorities</v>
          </cell>
        </row>
        <row r="166">
          <cell r="D166" t="str">
            <v>Other Tax Assets (Net)</v>
          </cell>
          <cell r="E166" t="str">
            <v>Other Tax Assets (Net)</v>
          </cell>
        </row>
        <row r="167">
          <cell r="D167" t="str">
            <v>Other Current Assets</v>
          </cell>
          <cell r="E167" t="str">
            <v>Taxes paid under protest</v>
          </cell>
        </row>
        <row r="168">
          <cell r="D168" t="str">
            <v>Other financial assets</v>
          </cell>
          <cell r="E168" t="str">
            <v>Forward contract receivables</v>
          </cell>
        </row>
        <row r="169">
          <cell r="D169" t="str">
            <v>Inventories</v>
          </cell>
          <cell r="E169" t="str">
            <v>Raw materials*</v>
          </cell>
        </row>
        <row r="170">
          <cell r="D170" t="str">
            <v>Inventories</v>
          </cell>
          <cell r="E170" t="str">
            <v>Packing material</v>
          </cell>
        </row>
        <row r="171">
          <cell r="D171" t="str">
            <v>Inventories</v>
          </cell>
          <cell r="E171" t="str">
            <v>Stores and spares</v>
          </cell>
        </row>
        <row r="172">
          <cell r="D172" t="str">
            <v>Inventories</v>
          </cell>
          <cell r="E172" t="str">
            <v>Work-in-progress</v>
          </cell>
        </row>
        <row r="173">
          <cell r="D173" t="str">
            <v>Inventories</v>
          </cell>
          <cell r="E173" t="str">
            <v>Finished goods**</v>
          </cell>
        </row>
        <row r="174">
          <cell r="D174" t="str">
            <v>Inventories</v>
          </cell>
          <cell r="E174" t="str">
            <v>Stores and spares</v>
          </cell>
        </row>
        <row r="175">
          <cell r="D175" t="str">
            <v>Inventories</v>
          </cell>
          <cell r="E175" t="str">
            <v>Finished goods**</v>
          </cell>
        </row>
        <row r="176">
          <cell r="D176" t="str">
            <v>Inventories</v>
          </cell>
          <cell r="E176" t="str">
            <v>Raw materials*</v>
          </cell>
        </row>
        <row r="177">
          <cell r="D177" t="str">
            <v>Inventories</v>
          </cell>
          <cell r="E177" t="str">
            <v>Work-in-progress</v>
          </cell>
        </row>
        <row r="178">
          <cell r="D178" t="str">
            <v>Inventories</v>
          </cell>
          <cell r="E178" t="str">
            <v>Work-in-progress</v>
          </cell>
        </row>
        <row r="179">
          <cell r="D179" t="str">
            <v>Trade receivables</v>
          </cell>
          <cell r="E179" t="str">
            <v>Considered good - unsecured</v>
          </cell>
        </row>
        <row r="180">
          <cell r="D180" t="str">
            <v>Trade receivables</v>
          </cell>
          <cell r="E180" t="str">
            <v>Considered good - unsecured</v>
          </cell>
        </row>
        <row r="181">
          <cell r="D181" t="str">
            <v>Trade receivables</v>
          </cell>
          <cell r="E181" t="str">
            <v>Considered good - unsecured</v>
          </cell>
        </row>
        <row r="182">
          <cell r="D182" t="str">
            <v>Trade receivables</v>
          </cell>
          <cell r="E182" t="str">
            <v>Considered good - unsecured</v>
          </cell>
        </row>
        <row r="183">
          <cell r="D183" t="str">
            <v>Trade receivables</v>
          </cell>
          <cell r="E183" t="str">
            <v>Considered good - unsecured</v>
          </cell>
        </row>
        <row r="184">
          <cell r="D184" t="str">
            <v>Trade receivables</v>
          </cell>
          <cell r="E184" t="str">
            <v>Considered good - unsecured</v>
          </cell>
        </row>
        <row r="185">
          <cell r="D185" t="str">
            <v>Trade receivables</v>
          </cell>
          <cell r="E185" t="str">
            <v>Considered good - unsecured</v>
          </cell>
        </row>
        <row r="186">
          <cell r="D186" t="str">
            <v>Trade receivables</v>
          </cell>
          <cell r="E186" t="str">
            <v>Considered good - unsecured</v>
          </cell>
        </row>
        <row r="187">
          <cell r="D187" t="str">
            <v>Trade receivables</v>
          </cell>
          <cell r="E187" t="str">
            <v>Trade receivable which have significant increase in credit risk</v>
          </cell>
        </row>
        <row r="188">
          <cell r="D188" t="str">
            <v>Cash &amp; Cash Equivalents</v>
          </cell>
          <cell r="E188" t="str">
            <v>Cash on hand</v>
          </cell>
        </row>
        <row r="189">
          <cell r="D189" t="str">
            <v>Cash &amp; Cash Equivalents</v>
          </cell>
          <cell r="E189" t="str">
            <v>Cash on hand</v>
          </cell>
        </row>
        <row r="190">
          <cell r="D190" t="str">
            <v>Cash &amp; Cash Equivalents</v>
          </cell>
          <cell r="E190" t="str">
            <v>Cash on hand</v>
          </cell>
        </row>
        <row r="191">
          <cell r="D191" t="str">
            <v>Cash &amp; Cash Equivalents</v>
          </cell>
          <cell r="E191" t="str">
            <v>Cash on hand</v>
          </cell>
        </row>
        <row r="192">
          <cell r="D192" t="str">
            <v>Other Current Assets</v>
          </cell>
          <cell r="E192" t="str">
            <v>Advance to employees</v>
          </cell>
        </row>
        <row r="193">
          <cell r="D193" t="str">
            <v>Other Current Assets</v>
          </cell>
          <cell r="E193" t="str">
            <v>Advance to employees</v>
          </cell>
        </row>
        <row r="194">
          <cell r="D194" t="str">
            <v>Other Current Assets</v>
          </cell>
          <cell r="E194" t="str">
            <v>Advance to employees</v>
          </cell>
        </row>
        <row r="195">
          <cell r="D195" t="str">
            <v>Other financial assets</v>
          </cell>
          <cell r="E195" t="str">
            <v>Security deposits</v>
          </cell>
        </row>
        <row r="196">
          <cell r="D196" t="str">
            <v>Other financial assets</v>
          </cell>
          <cell r="E196" t="str">
            <v>Security deposits</v>
          </cell>
        </row>
        <row r="197">
          <cell r="D197" t="str">
            <v>Other financial assets</v>
          </cell>
          <cell r="E197" t="str">
            <v>Security deposits</v>
          </cell>
        </row>
        <row r="198">
          <cell r="D198" t="str">
            <v>Other financial assets</v>
          </cell>
          <cell r="E198" t="str">
            <v>Security deposits</v>
          </cell>
        </row>
        <row r="199">
          <cell r="D199" t="str">
            <v>Other financial assets</v>
          </cell>
          <cell r="E199" t="str">
            <v>Security deposits</v>
          </cell>
        </row>
        <row r="200">
          <cell r="D200" t="str">
            <v>Other financial assets</v>
          </cell>
          <cell r="E200" t="str">
            <v>Security deposits</v>
          </cell>
        </row>
        <row r="201">
          <cell r="D201" t="str">
            <v>Other financial assets</v>
          </cell>
          <cell r="E201" t="str">
            <v>Security deposits</v>
          </cell>
        </row>
        <row r="202">
          <cell r="D202" t="str">
            <v>Other Current Assets</v>
          </cell>
          <cell r="E202" t="str">
            <v>Balances with Government Authorities</v>
          </cell>
        </row>
        <row r="203">
          <cell r="D203" t="str">
            <v>Other Current Assets</v>
          </cell>
          <cell r="E203" t="str">
            <v>Balances with Government Authorities</v>
          </cell>
        </row>
        <row r="204">
          <cell r="D204" t="str">
            <v>Other Current Assets</v>
          </cell>
          <cell r="E204" t="str">
            <v>Balances with Government Authorities</v>
          </cell>
        </row>
        <row r="205">
          <cell r="D205" t="str">
            <v>Other Current Assets</v>
          </cell>
          <cell r="E205" t="str">
            <v>Taxes paid under protest</v>
          </cell>
        </row>
        <row r="206">
          <cell r="D206" t="str">
            <v>Other Current Assets</v>
          </cell>
          <cell r="E206" t="str">
            <v>Balances with Government Authorities</v>
          </cell>
        </row>
        <row r="207">
          <cell r="D207" t="str">
            <v>Other Tax Assets (Net)</v>
          </cell>
          <cell r="E207" t="str">
            <v>Other Tax Assets (Net)</v>
          </cell>
        </row>
        <row r="208">
          <cell r="D208" t="str">
            <v>Other Tax Assets (Net)</v>
          </cell>
          <cell r="E208" t="str">
            <v>Other Tax Assets (Net)</v>
          </cell>
        </row>
        <row r="209">
          <cell r="D209" t="str">
            <v>Other Current Assets</v>
          </cell>
          <cell r="E209" t="str">
            <v>Balances with Government Authorities</v>
          </cell>
        </row>
        <row r="210">
          <cell r="D210" t="str">
            <v>Other Tax Assets (Net)</v>
          </cell>
          <cell r="E210" t="str">
            <v>Other Tax Assets (Net)</v>
          </cell>
        </row>
        <row r="211">
          <cell r="D211" t="str">
            <v>Other Tax Assets (Net)</v>
          </cell>
          <cell r="E211" t="str">
            <v>Other Tax Assets (Net)</v>
          </cell>
        </row>
        <row r="212">
          <cell r="D212" t="str">
            <v>Other Current Assets</v>
          </cell>
          <cell r="E212" t="str">
            <v>Prepaid expenses</v>
          </cell>
        </row>
        <row r="213">
          <cell r="D213" t="str">
            <v>Other financial assets</v>
          </cell>
          <cell r="E213" t="str">
            <v>Security Deposits</v>
          </cell>
        </row>
        <row r="214">
          <cell r="D214" t="str">
            <v>Other financial assets</v>
          </cell>
          <cell r="E214" t="str">
            <v>Other receivable</v>
          </cell>
        </row>
        <row r="215">
          <cell r="D215" t="str">
            <v>Property, Plant &amp; Equipment</v>
          </cell>
          <cell r="E215" t="str">
            <v>Right of Use Assets</v>
          </cell>
        </row>
        <row r="216">
          <cell r="D216" t="str">
            <v>Property, Plant &amp; Equipment</v>
          </cell>
          <cell r="E216" t="str">
            <v>Right of Use Assets</v>
          </cell>
        </row>
        <row r="217">
          <cell r="D217" t="str">
            <v>Other financial assets</v>
          </cell>
          <cell r="E217" t="str">
            <v>Security deposits</v>
          </cell>
        </row>
        <row r="218">
          <cell r="D218" t="str">
            <v>Other financial assets</v>
          </cell>
          <cell r="E218" t="str">
            <v>Finance lease receivable (Unsecured - considered good)</v>
          </cell>
        </row>
        <row r="219">
          <cell r="D219" t="str">
            <v>Other financial assets</v>
          </cell>
          <cell r="E219" t="str">
            <v>Derivative Receivable (Interest Rate Swap)</v>
          </cell>
        </row>
        <row r="220">
          <cell r="D220" t="str">
            <v>Revenue from operations</v>
          </cell>
          <cell r="E220" t="str">
            <v>Sales of Products</v>
          </cell>
        </row>
        <row r="221">
          <cell r="D221" t="str">
            <v>Revenue from operations</v>
          </cell>
          <cell r="E221" t="str">
            <v>Sales of Products</v>
          </cell>
        </row>
        <row r="222">
          <cell r="D222" t="str">
            <v>Revenue from operations</v>
          </cell>
          <cell r="E222" t="str">
            <v>Scrap sales</v>
          </cell>
        </row>
        <row r="223">
          <cell r="D223" t="str">
            <v>Revenue from operations</v>
          </cell>
          <cell r="E223" t="str">
            <v>Sales of Products</v>
          </cell>
        </row>
        <row r="224">
          <cell r="D224" t="str">
            <v>Other Income</v>
          </cell>
          <cell r="E224" t="str">
            <v>Foreign exchange gain (net)</v>
          </cell>
        </row>
        <row r="225">
          <cell r="D225" t="str">
            <v>Other Income</v>
          </cell>
          <cell r="E225" t="str">
            <v>- From banks</v>
          </cell>
        </row>
        <row r="226">
          <cell r="D226" t="str">
            <v>Other Income</v>
          </cell>
          <cell r="E226" t="str">
            <v>- From banks</v>
          </cell>
        </row>
        <row r="227">
          <cell r="D227" t="str">
            <v>Other Income</v>
          </cell>
          <cell r="E227" t="str">
            <v>- From others</v>
          </cell>
        </row>
        <row r="228">
          <cell r="D228" t="str">
            <v>Other Income</v>
          </cell>
          <cell r="E228" t="str">
            <v>- From others</v>
          </cell>
        </row>
        <row r="229">
          <cell r="D229" t="str">
            <v>Other Income</v>
          </cell>
          <cell r="E229" t="str">
            <v>Gain on Sale of assets</v>
          </cell>
        </row>
        <row r="230">
          <cell r="D230" t="str">
            <v>Other Income</v>
          </cell>
          <cell r="E230" t="str">
            <v>Revenue from Sale of assets</v>
          </cell>
        </row>
        <row r="231">
          <cell r="D231" t="str">
            <v>Other Income</v>
          </cell>
          <cell r="E231" t="str">
            <v>- From others</v>
          </cell>
        </row>
        <row r="232">
          <cell r="D232" t="str">
            <v>Revenue from operations</v>
          </cell>
          <cell r="E232" t="str">
            <v>RODTEP Script income</v>
          </cell>
        </row>
        <row r="233">
          <cell r="D233" t="str">
            <v>Other Income</v>
          </cell>
          <cell r="E233" t="str">
            <v>Foreign exchange gain (net)</v>
          </cell>
        </row>
        <row r="234">
          <cell r="D234" t="str">
            <v>Revenue from operations</v>
          </cell>
          <cell r="E234" t="str">
            <v>Duty drawback income</v>
          </cell>
        </row>
        <row r="235">
          <cell r="D235" t="str">
            <v>Other Income</v>
          </cell>
          <cell r="E235" t="str">
            <v>Foreign exchange gain (net)</v>
          </cell>
        </row>
        <row r="236">
          <cell r="D236" t="str">
            <v>Revenue from operations</v>
          </cell>
          <cell r="E236" t="str">
            <v>Duty drawback income</v>
          </cell>
        </row>
        <row r="237">
          <cell r="D237" t="str">
            <v>Revenue from operations</v>
          </cell>
          <cell r="E237" t="str">
            <v>Sales of Products</v>
          </cell>
        </row>
        <row r="238">
          <cell r="D238" t="str">
            <v>Other Income</v>
          </cell>
          <cell r="E238" t="str">
            <v>Foreign exchange gain (net)</v>
          </cell>
        </row>
        <row r="239">
          <cell r="D239" t="str">
            <v>Other expenses</v>
          </cell>
          <cell r="E239" t="str">
            <v>Miscellaneous expenses</v>
          </cell>
        </row>
        <row r="240">
          <cell r="D240" t="str">
            <v>Other expenses</v>
          </cell>
          <cell r="E240" t="str">
            <v>Loss on redumption of Investment</v>
          </cell>
        </row>
        <row r="241">
          <cell r="D241" t="str">
            <v>Cost of material consumed</v>
          </cell>
          <cell r="E241" t="str">
            <v>Add : Purchases -RM</v>
          </cell>
        </row>
        <row r="242">
          <cell r="D242" t="str">
            <v>Cost of material consumed</v>
          </cell>
          <cell r="E242" t="str">
            <v>Add : Purchases -RM</v>
          </cell>
        </row>
        <row r="243">
          <cell r="D243" t="str">
            <v>Cost of material consumed</v>
          </cell>
          <cell r="E243" t="str">
            <v>Add : Purchases -RM</v>
          </cell>
        </row>
        <row r="244">
          <cell r="D244" t="str">
            <v>Other expenses</v>
          </cell>
          <cell r="E244" t="str">
            <v>Power and fuel</v>
          </cell>
        </row>
        <row r="245">
          <cell r="D245" t="str">
            <v>Other expenses</v>
          </cell>
          <cell r="E245" t="str">
            <v>Consumption of stores and spares</v>
          </cell>
        </row>
        <row r="246">
          <cell r="D246" t="str">
            <v>Other expenses</v>
          </cell>
          <cell r="E246" t="str">
            <v>Consumption of stores and spares</v>
          </cell>
        </row>
        <row r="247">
          <cell r="D247" t="str">
            <v>Other expenses</v>
          </cell>
          <cell r="E247" t="str">
            <v>Power and fuel</v>
          </cell>
        </row>
        <row r="248">
          <cell r="D248" t="str">
            <v>Other expenses</v>
          </cell>
          <cell r="E248" t="str">
            <v>Power and fuel</v>
          </cell>
        </row>
        <row r="249">
          <cell r="D249" t="str">
            <v>Other expenses</v>
          </cell>
          <cell r="E249" t="str">
            <v>Job work and labour charges</v>
          </cell>
        </row>
        <row r="250">
          <cell r="D250" t="str">
            <v>Other expenses</v>
          </cell>
          <cell r="E250" t="str">
            <v>Job work and labour charges</v>
          </cell>
        </row>
        <row r="251">
          <cell r="D251" t="str">
            <v>Other expenses</v>
          </cell>
          <cell r="E251" t="str">
            <v>Job work and labour charges</v>
          </cell>
        </row>
        <row r="252">
          <cell r="D252" t="str">
            <v>Other expenses</v>
          </cell>
          <cell r="E252" t="str">
            <v>- Plant and machinery</v>
          </cell>
        </row>
        <row r="253">
          <cell r="D253" t="str">
            <v>Other expenses</v>
          </cell>
          <cell r="E253" t="str">
            <v>Consumption of stores and spares</v>
          </cell>
        </row>
        <row r="254">
          <cell r="D254" t="str">
            <v>Other expenses</v>
          </cell>
          <cell r="E254" t="str">
            <v>Job work and labour charges</v>
          </cell>
        </row>
        <row r="255">
          <cell r="D255" t="str">
            <v>Other expenses</v>
          </cell>
          <cell r="E255" t="str">
            <v>Security charges</v>
          </cell>
        </row>
        <row r="256">
          <cell r="D256" t="str">
            <v>Cost of material consumed</v>
          </cell>
          <cell r="E256" t="str">
            <v>Add : Purchases -RM</v>
          </cell>
        </row>
        <row r="257">
          <cell r="D257" t="str">
            <v>Cost of material consumed</v>
          </cell>
          <cell r="E257" t="str">
            <v>Add : Purchases -RM</v>
          </cell>
        </row>
        <row r="258">
          <cell r="D258" t="str">
            <v>Other expenses</v>
          </cell>
          <cell r="E258" t="str">
            <v>Travelling and conveyance</v>
          </cell>
        </row>
        <row r="259">
          <cell r="D259" t="str">
            <v>Other expenses</v>
          </cell>
          <cell r="E259" t="str">
            <v>Travelling and conveyance</v>
          </cell>
        </row>
        <row r="260">
          <cell r="D260" t="str">
            <v>Other expenses</v>
          </cell>
          <cell r="E260" t="str">
            <v>Travelling and conveyance</v>
          </cell>
        </row>
        <row r="261">
          <cell r="D261" t="str">
            <v>Other expenses</v>
          </cell>
          <cell r="E261" t="str">
            <v>Miscellaneous expenses</v>
          </cell>
        </row>
        <row r="262">
          <cell r="D262" t="str">
            <v>Other expenses</v>
          </cell>
          <cell r="E262" t="str">
            <v>IT Expenses</v>
          </cell>
        </row>
        <row r="263">
          <cell r="D263" t="str">
            <v>Other expenses</v>
          </cell>
          <cell r="E263" t="str">
            <v>Miscellaneous expenses</v>
          </cell>
        </row>
        <row r="264">
          <cell r="D264" t="str">
            <v>Employee benefits expense</v>
          </cell>
          <cell r="E264" t="str">
            <v>Staff welfare expenses</v>
          </cell>
        </row>
        <row r="265">
          <cell r="D265" t="str">
            <v>Employee benefits expense</v>
          </cell>
          <cell r="E265" t="str">
            <v>Staff welfare expenses</v>
          </cell>
        </row>
        <row r="266">
          <cell r="D266" t="str">
            <v>Employee benefits expense</v>
          </cell>
          <cell r="E266" t="str">
            <v>Staff welfare expenses</v>
          </cell>
        </row>
        <row r="267">
          <cell r="D267" t="str">
            <v>Employee benefits expense</v>
          </cell>
          <cell r="E267" t="str">
            <v>Contribution to Provident and Other funds</v>
          </cell>
        </row>
        <row r="268">
          <cell r="D268" t="str">
            <v>Employee benefits expense</v>
          </cell>
          <cell r="E268" t="str">
            <v xml:space="preserve">Salary, Wages, Allowances and Bonus etc. </v>
          </cell>
        </row>
        <row r="269">
          <cell r="D269" t="str">
            <v>Employee benefits expense</v>
          </cell>
          <cell r="E269" t="str">
            <v xml:space="preserve">Salary, Wages, Allowances and Bonus etc. </v>
          </cell>
        </row>
        <row r="270">
          <cell r="D270" t="str">
            <v>Employee benefits expense</v>
          </cell>
          <cell r="E270" t="str">
            <v>Contribution to Provident and Other funds</v>
          </cell>
        </row>
        <row r="271">
          <cell r="D271" t="str">
            <v>Employee benefits expense</v>
          </cell>
          <cell r="E271" t="str">
            <v xml:space="preserve">Salary, Wages, Allowances and Bonus etc. </v>
          </cell>
        </row>
        <row r="272">
          <cell r="D272" t="str">
            <v>Employee benefits expense</v>
          </cell>
          <cell r="E272" t="str">
            <v xml:space="preserve">Salary, Wages, Allowances and Bonus etc. </v>
          </cell>
        </row>
        <row r="273">
          <cell r="D273" t="str">
            <v>Employee benefits expense</v>
          </cell>
          <cell r="E273" t="str">
            <v>Contribution to Provident and Other funds</v>
          </cell>
        </row>
        <row r="274">
          <cell r="D274" t="str">
            <v>Employee benefits expense</v>
          </cell>
          <cell r="E274" t="str">
            <v xml:space="preserve">Salary, Wages, Allowances and Bonus etc. </v>
          </cell>
        </row>
        <row r="275">
          <cell r="D275" t="str">
            <v>Employee benefits expense</v>
          </cell>
          <cell r="E275" t="str">
            <v xml:space="preserve">Salary, Wages, Allowances and Bonus etc. </v>
          </cell>
        </row>
        <row r="276">
          <cell r="D276" t="str">
            <v>Employee benefits expense</v>
          </cell>
          <cell r="E276" t="str">
            <v xml:space="preserve">Salary, Wages, Allowances and Bonus etc. </v>
          </cell>
        </row>
        <row r="277">
          <cell r="D277" t="str">
            <v>Employee benefits expense</v>
          </cell>
          <cell r="E277" t="str">
            <v>Staff welfare expenses</v>
          </cell>
        </row>
        <row r="278">
          <cell r="D278" t="str">
            <v>Employee benefits expense</v>
          </cell>
          <cell r="E278" t="str">
            <v>Staff welfare expenses</v>
          </cell>
        </row>
        <row r="279">
          <cell r="D279" t="str">
            <v>Employee benefits expense</v>
          </cell>
          <cell r="E279" t="str">
            <v>Staff welfare expenses</v>
          </cell>
        </row>
        <row r="280">
          <cell r="D280" t="str">
            <v>Employee benefits expense</v>
          </cell>
          <cell r="E280" t="str">
            <v xml:space="preserve">Salary, Wages, Allowances and Bonus etc. </v>
          </cell>
        </row>
        <row r="281">
          <cell r="D281" t="str">
            <v>Employee benefits expense</v>
          </cell>
          <cell r="E281" t="str">
            <v xml:space="preserve">Salary, Wages, Allowances and Bonus etc. </v>
          </cell>
        </row>
        <row r="282">
          <cell r="D282" t="str">
            <v>Employee benefits expense</v>
          </cell>
          <cell r="E282" t="str">
            <v xml:space="preserve">Salary, Wages, Allowances and Bonus etc. </v>
          </cell>
        </row>
        <row r="283">
          <cell r="D283" t="str">
            <v>Employee benefits expense</v>
          </cell>
          <cell r="E283" t="str">
            <v xml:space="preserve">Salary, Wages, Allowances and Bonus etc. </v>
          </cell>
        </row>
        <row r="284">
          <cell r="D284" t="str">
            <v>Employee benefits expense</v>
          </cell>
          <cell r="E284" t="str">
            <v xml:space="preserve">Salary, Wages, Allowances and Bonus etc. </v>
          </cell>
        </row>
        <row r="285">
          <cell r="D285" t="str">
            <v>Employee benefits expense</v>
          </cell>
          <cell r="E285" t="str">
            <v xml:space="preserve">Salary, Wages, Allowances and Bonus etc. </v>
          </cell>
        </row>
        <row r="286">
          <cell r="D286" t="str">
            <v>Other expenses</v>
          </cell>
          <cell r="E286" t="str">
            <v>- Others</v>
          </cell>
        </row>
        <row r="287">
          <cell r="D287" t="str">
            <v>Other expenses</v>
          </cell>
          <cell r="E287" t="str">
            <v>Donation</v>
          </cell>
        </row>
        <row r="288">
          <cell r="D288" t="str">
            <v>Other expenses</v>
          </cell>
          <cell r="E288" t="str">
            <v>Rent expenses</v>
          </cell>
        </row>
        <row r="289">
          <cell r="D289" t="str">
            <v>Other expenses</v>
          </cell>
          <cell r="E289" t="str">
            <v>Rent expenses</v>
          </cell>
        </row>
        <row r="290">
          <cell r="D290" t="str">
            <v>Other expenses</v>
          </cell>
          <cell r="E290" t="str">
            <v>Rent expenses</v>
          </cell>
        </row>
        <row r="291">
          <cell r="D291" t="str">
            <v>Other expenses</v>
          </cell>
          <cell r="E291" t="str">
            <v>Rent expenses</v>
          </cell>
        </row>
        <row r="292">
          <cell r="D292" t="str">
            <v>Other expenses</v>
          </cell>
          <cell r="E292" t="str">
            <v>Membership and subscription</v>
          </cell>
        </row>
        <row r="293">
          <cell r="D293" t="str">
            <v>Other expenses</v>
          </cell>
          <cell r="E293" t="str">
            <v>Miscellaneous expenses</v>
          </cell>
        </row>
        <row r="294">
          <cell r="D294" t="str">
            <v>Other expenses</v>
          </cell>
          <cell r="E294" t="str">
            <v>Legal &amp; Professional Fees</v>
          </cell>
        </row>
        <row r="295">
          <cell r="D295" t="str">
            <v>Other expenses</v>
          </cell>
          <cell r="E295" t="str">
            <v>Rates &amp; Taxes</v>
          </cell>
        </row>
        <row r="296">
          <cell r="D296" t="str">
            <v>Other expenses</v>
          </cell>
          <cell r="E296" t="str">
            <v>Rates &amp; Taxes</v>
          </cell>
        </row>
        <row r="297">
          <cell r="D297" t="str">
            <v>Other expenses</v>
          </cell>
          <cell r="E297" t="str">
            <v>Job work and labour charges</v>
          </cell>
        </row>
        <row r="298">
          <cell r="D298" t="str">
            <v>Finance costs</v>
          </cell>
          <cell r="E298" t="str">
            <v>Interest on MSME</v>
          </cell>
        </row>
        <row r="299">
          <cell r="D299" t="str">
            <v>Other expenses</v>
          </cell>
          <cell r="E299" t="str">
            <v>IT Expenses</v>
          </cell>
        </row>
        <row r="300">
          <cell r="D300" t="str">
            <v>Other expenses</v>
          </cell>
          <cell r="E300" t="str">
            <v>Legal &amp; Professional Fees</v>
          </cell>
        </row>
        <row r="301">
          <cell r="D301" t="str">
            <v>Other expenses</v>
          </cell>
          <cell r="E301" t="str">
            <v>Miscellaneous expenses</v>
          </cell>
        </row>
        <row r="302">
          <cell r="D302" t="str">
            <v>Other expenses</v>
          </cell>
          <cell r="E302" t="str">
            <v>Miscellaneous expenses</v>
          </cell>
        </row>
        <row r="303">
          <cell r="D303" t="str">
            <v>Other expenses</v>
          </cell>
          <cell r="E303" t="str">
            <v>Directors' sitting fees</v>
          </cell>
        </row>
        <row r="304">
          <cell r="D304" t="str">
            <v>Other expenses</v>
          </cell>
          <cell r="E304" t="str">
            <v>Corporate Social Responsibility Expenses</v>
          </cell>
        </row>
        <row r="305">
          <cell r="D305" t="str">
            <v>Other expenses</v>
          </cell>
          <cell r="E305" t="str">
            <v>Miscellaneous expenses</v>
          </cell>
        </row>
        <row r="306">
          <cell r="D306" t="str">
            <v>Other expenses</v>
          </cell>
          <cell r="E306" t="str">
            <v>Insurance Expenses</v>
          </cell>
        </row>
        <row r="307">
          <cell r="D307" t="str">
            <v>Cost of material consumed</v>
          </cell>
          <cell r="E307" t="str">
            <v>Add : Purchases -RM</v>
          </cell>
        </row>
        <row r="308">
          <cell r="D308" t="str">
            <v>Cost of material consumed</v>
          </cell>
          <cell r="E308" t="str">
            <v>Add : Purchases -RM</v>
          </cell>
        </row>
        <row r="309">
          <cell r="D309" t="str">
            <v>Other expenses</v>
          </cell>
          <cell r="E309" t="str">
            <v>Miscellaneous expenses</v>
          </cell>
        </row>
        <row r="310">
          <cell r="D310" t="str">
            <v>Other expenses</v>
          </cell>
          <cell r="E310" t="str">
            <v>Miscellaneous expenses</v>
          </cell>
        </row>
        <row r="311">
          <cell r="D311" t="str">
            <v>Other expenses</v>
          </cell>
          <cell r="E311" t="str">
            <v>Other Interest Expenses</v>
          </cell>
        </row>
        <row r="312">
          <cell r="D312" t="str">
            <v>Other expenses</v>
          </cell>
          <cell r="E312" t="str">
            <v>Bank charges</v>
          </cell>
        </row>
        <row r="313">
          <cell r="D313" t="str">
            <v>Other expenses</v>
          </cell>
          <cell r="E313" t="str">
            <v>Bank charges</v>
          </cell>
        </row>
        <row r="314">
          <cell r="D314" t="str">
            <v>Other expenses</v>
          </cell>
          <cell r="E314" t="str">
            <v>Bank charges</v>
          </cell>
        </row>
        <row r="315">
          <cell r="D315" t="str">
            <v>Other expenses</v>
          </cell>
          <cell r="E315" t="str">
            <v>Bank charges</v>
          </cell>
        </row>
        <row r="316">
          <cell r="D316" t="str">
            <v>Finance costs</v>
          </cell>
          <cell r="E316" t="str">
            <v>- From Bank (Secured Loan)</v>
          </cell>
        </row>
        <row r="317">
          <cell r="D317" t="str">
            <v>Finance costs</v>
          </cell>
          <cell r="E317" t="str">
            <v>- From Bank (Secured Loan)</v>
          </cell>
        </row>
        <row r="318">
          <cell r="D318" t="str">
            <v>Finance costs</v>
          </cell>
          <cell r="E318" t="str">
            <v>- From Bank (Secured Loan)</v>
          </cell>
        </row>
        <row r="319">
          <cell r="D319" t="str">
            <v>Finance costs</v>
          </cell>
          <cell r="E319" t="str">
            <v>- From Others (Unsecured Loan)</v>
          </cell>
        </row>
        <row r="320">
          <cell r="D320" t="str">
            <v>Finance costs</v>
          </cell>
          <cell r="E320" t="str">
            <v>- From Bank (Secured Loan)</v>
          </cell>
        </row>
        <row r="321">
          <cell r="D321" t="str">
            <v>Finance costs</v>
          </cell>
          <cell r="E321" t="str">
            <v>Other Interest Expenses</v>
          </cell>
        </row>
        <row r="322">
          <cell r="D322" t="str">
            <v>Finance costs</v>
          </cell>
          <cell r="E322" t="str">
            <v>Exchange difference to the extent considered as an adjustment to borrowing cost</v>
          </cell>
        </row>
        <row r="323">
          <cell r="D323" t="str">
            <v>Finance costs</v>
          </cell>
          <cell r="E323" t="str">
            <v>Other Interest Expenses</v>
          </cell>
        </row>
        <row r="324">
          <cell r="D324" t="str">
            <v>Cost of material consumed</v>
          </cell>
          <cell r="E324" t="str">
            <v>Add : Purchases -PM</v>
          </cell>
        </row>
        <row r="325">
          <cell r="D325" t="str">
            <v xml:space="preserve">Changes in inventories of finished goods and work-in-progress </v>
          </cell>
          <cell r="E325" t="str">
            <v>Changes in inventories of finished goods and work in progress</v>
          </cell>
        </row>
        <row r="326">
          <cell r="D326" t="str">
            <v>Cost of material consumed</v>
          </cell>
          <cell r="E326" t="str">
            <v>Add : Purchases -RM</v>
          </cell>
        </row>
        <row r="327">
          <cell r="D327" t="str">
            <v xml:space="preserve">Changes in inventories of finished goods and work-in-progress </v>
          </cell>
          <cell r="E327" t="str">
            <v>Changes in inventories of finished goods and work in progress</v>
          </cell>
        </row>
        <row r="328">
          <cell r="D328" t="str">
            <v xml:space="preserve">Changes in inventories of finished goods and work-in-progress </v>
          </cell>
          <cell r="E328" t="str">
            <v>Changes in inventories of finished goods and work in progress</v>
          </cell>
        </row>
        <row r="329">
          <cell r="D329" t="str">
            <v>Cost of material consumed</v>
          </cell>
          <cell r="E329" t="str">
            <v>Add : Purchases -PM</v>
          </cell>
        </row>
        <row r="330">
          <cell r="D330" t="str">
            <v>Cost of material consumed</v>
          </cell>
          <cell r="E330" t="str">
            <v>Add : Purchases -RM</v>
          </cell>
        </row>
        <row r="331">
          <cell r="D331" t="str">
            <v>Cost of material consumed</v>
          </cell>
          <cell r="E331" t="str">
            <v>Add : Purchases -RM</v>
          </cell>
        </row>
        <row r="332">
          <cell r="D332" t="str">
            <v xml:space="preserve">Changes in inventories of finished goods and work-in-progress </v>
          </cell>
          <cell r="E332" t="str">
            <v>Changes in inventories of finished goods and work in progress</v>
          </cell>
        </row>
        <row r="333">
          <cell r="D333" t="str">
            <v xml:space="preserve">Changes in inventories of finished goods and work-in-progress </v>
          </cell>
          <cell r="E333" t="str">
            <v>Changes in inventories of finished goods and work in progress</v>
          </cell>
        </row>
        <row r="334">
          <cell r="D334" t="str">
            <v>Cost of material consumed</v>
          </cell>
          <cell r="E334" t="str">
            <v>Add : Purchases -RM</v>
          </cell>
        </row>
        <row r="335">
          <cell r="D335" t="str">
            <v xml:space="preserve">Changes in inventories of finished goods and work-in-progress </v>
          </cell>
          <cell r="E335" t="str">
            <v>Changes in inventories of finished goods and work in progress</v>
          </cell>
        </row>
        <row r="336">
          <cell r="D336" t="str">
            <v xml:space="preserve">Changes in inventories of finished goods and work-in-progress </v>
          </cell>
          <cell r="E336" t="str">
            <v>Changes in inventories of finished goods and work in progress</v>
          </cell>
        </row>
        <row r="337">
          <cell r="D337" t="str">
            <v xml:space="preserve">Changes in inventories of finished goods and work-in-progress </v>
          </cell>
          <cell r="E337" t="str">
            <v>Changes in inventories of finished goods and work in progress</v>
          </cell>
        </row>
        <row r="338">
          <cell r="D338" t="str">
            <v xml:space="preserve">Changes in inventories of finished goods and work-in-progress </v>
          </cell>
          <cell r="E338" t="str">
            <v>Changes in inventories of finished goods and work in progress</v>
          </cell>
        </row>
        <row r="339">
          <cell r="D339" t="str">
            <v xml:space="preserve">Changes in inventories of finished goods and work-in-progress </v>
          </cell>
          <cell r="E339" t="str">
            <v>Changes in inventories of finished goods and work in progress</v>
          </cell>
        </row>
        <row r="340">
          <cell r="D340" t="str">
            <v xml:space="preserve">Changes in inventories of finished goods and work-in-progress </v>
          </cell>
          <cell r="E340" t="str">
            <v>Changes in inventories of finished goods and work in progress</v>
          </cell>
        </row>
        <row r="341">
          <cell r="D341" t="str">
            <v xml:space="preserve">Changes in inventories of finished goods and work-in-progress </v>
          </cell>
          <cell r="E341" t="str">
            <v>Changes in inventories of finished goods and work in progress</v>
          </cell>
        </row>
        <row r="342">
          <cell r="D342" t="str">
            <v xml:space="preserve">Changes in inventories of finished goods and work-in-progress </v>
          </cell>
          <cell r="E342" t="str">
            <v>Changes in inventories of finished goods and work in progress</v>
          </cell>
        </row>
        <row r="343">
          <cell r="D343" t="str">
            <v>Finance costs</v>
          </cell>
          <cell r="E343" t="str">
            <v>- From Bank (Secured Loan)</v>
          </cell>
        </row>
        <row r="344">
          <cell r="D344" t="str">
            <v>Finance costs</v>
          </cell>
          <cell r="E344" t="str">
            <v>Interest on Lease Liabilities</v>
          </cell>
        </row>
        <row r="345">
          <cell r="D345" t="str">
            <v>Finance costs</v>
          </cell>
          <cell r="E345" t="str">
            <v>- From Bank (Secured Loan)</v>
          </cell>
        </row>
        <row r="346">
          <cell r="D346" t="str">
            <v>Finance costs</v>
          </cell>
          <cell r="E346" t="str">
            <v>Other Interest Expenses</v>
          </cell>
        </row>
        <row r="347">
          <cell r="D347" t="str">
            <v>Finance costs</v>
          </cell>
          <cell r="E347" t="str">
            <v>Other Interest Expenses</v>
          </cell>
        </row>
        <row r="348">
          <cell r="D348" t="str">
            <v>Finance costs</v>
          </cell>
          <cell r="E348" t="str">
            <v>Other Interest Expenses</v>
          </cell>
        </row>
        <row r="349">
          <cell r="D349" t="str">
            <v>Other expenses</v>
          </cell>
          <cell r="E349" t="str">
            <v>Rates &amp; Taxes</v>
          </cell>
        </row>
        <row r="350">
          <cell r="D350" t="str">
            <v>Other expenses</v>
          </cell>
          <cell r="E350" t="str">
            <v>Laboratory expenses</v>
          </cell>
        </row>
        <row r="351">
          <cell r="D351" t="str">
            <v>Other expenses</v>
          </cell>
          <cell r="E351" t="str">
            <v>Selling and distribution expenses</v>
          </cell>
        </row>
        <row r="352">
          <cell r="D352" t="str">
            <v>Other expenses</v>
          </cell>
          <cell r="E352" t="str">
            <v>Selling and distribution expenses</v>
          </cell>
        </row>
        <row r="353">
          <cell r="D353" t="str">
            <v>Other expenses</v>
          </cell>
          <cell r="E353" t="str">
            <v>Sales commission</v>
          </cell>
        </row>
        <row r="354">
          <cell r="D354" t="str">
            <v>Other expenses</v>
          </cell>
          <cell r="E354" t="str">
            <v>Selling and distribution expenses</v>
          </cell>
        </row>
        <row r="355">
          <cell r="D355" t="str">
            <v>Employee benefits expense</v>
          </cell>
          <cell r="E355" t="str">
            <v>Employee share based payment expense</v>
          </cell>
        </row>
        <row r="356">
          <cell r="D356" t="str">
            <v>Other expenses</v>
          </cell>
          <cell r="E356" t="str">
            <v>Legal &amp; Professional Fees</v>
          </cell>
        </row>
        <row r="357">
          <cell r="D357" t="str">
            <v>Depreciation and Amortisation Expense</v>
          </cell>
          <cell r="E357" t="str">
            <v>Depreciation and Amortisation Expense</v>
          </cell>
        </row>
        <row r="358">
          <cell r="D358" t="str">
            <v>Depreciation and Amortisation Expense</v>
          </cell>
          <cell r="E358" t="str">
            <v>Depreciation and Amortisation Expense</v>
          </cell>
        </row>
        <row r="359">
          <cell r="D359" t="str">
            <v>Depreciation and Amortisation Expense</v>
          </cell>
          <cell r="E359" t="str">
            <v>Depreciation and Amortisation Expense</v>
          </cell>
        </row>
        <row r="360">
          <cell r="D360" t="str">
            <v>Depreciation and Amortisation Expense</v>
          </cell>
          <cell r="E360" t="str">
            <v>Depreciation and Amortisation Expense</v>
          </cell>
        </row>
        <row r="361">
          <cell r="D361" t="str">
            <v>Depreciation and Amortisation Expense</v>
          </cell>
          <cell r="E361" t="str">
            <v>Depreciation and Amortisation Expense</v>
          </cell>
        </row>
        <row r="362">
          <cell r="D362" t="str">
            <v>Depreciation and Amortisation Expense</v>
          </cell>
          <cell r="E362" t="str">
            <v>Depreciation and Amortisation Expense</v>
          </cell>
        </row>
        <row r="363">
          <cell r="D363" t="str">
            <v>Depreciation and Amortisation Expense</v>
          </cell>
          <cell r="E363" t="str">
            <v>Depreciation and Amortisation Expense</v>
          </cell>
        </row>
        <row r="364">
          <cell r="D364" t="str">
            <v>Depreciation and Amortisation Expense</v>
          </cell>
          <cell r="E364" t="str">
            <v>Depreciation and Amortisation Expense</v>
          </cell>
        </row>
        <row r="365">
          <cell r="D365" t="str">
            <v>Depreciation and Amortisation Expense</v>
          </cell>
          <cell r="E365" t="str">
            <v>Depreciation and Amortisation Expense</v>
          </cell>
        </row>
        <row r="366">
          <cell r="D366" t="str">
            <v>(a) Current Tax</v>
          </cell>
          <cell r="E366" t="str">
            <v>Current income tax</v>
          </cell>
        </row>
        <row r="367">
          <cell r="D367" t="str">
            <v>(a) Current Tax</v>
          </cell>
          <cell r="E367" t="str">
            <v>Current income tax</v>
          </cell>
        </row>
        <row r="368">
          <cell r="D368" t="str">
            <v>Other expenses</v>
          </cell>
          <cell r="E368" t="str">
            <v>Allowance for expected credit loss on trade receivables</v>
          </cell>
        </row>
        <row r="369">
          <cell r="D369" t="str">
            <v>Other expenses</v>
          </cell>
          <cell r="E369" t="str">
            <v>Selling and distribution expenses</v>
          </cell>
        </row>
        <row r="370">
          <cell r="D370" t="str">
            <v>(b) Deferred Tax Expense/(Benefit)</v>
          </cell>
          <cell r="E370" t="str">
            <v>(b) Deferred Tax</v>
          </cell>
        </row>
        <row r="371">
          <cell r="D371" t="str">
            <v>Cost of material consumed</v>
          </cell>
          <cell r="E371" t="str">
            <v>Add : Purchases -RM</v>
          </cell>
        </row>
        <row r="372">
          <cell r="D372" t="str">
            <v>IND AS -I.Tax on OCI</v>
          </cell>
          <cell r="E372" t="str">
            <v>Effective portion of gains/(losses) on hedging instruments in cash flow hedges</v>
          </cell>
        </row>
        <row r="373">
          <cell r="D373" t="str">
            <v>Other Comprehensive Income</v>
          </cell>
          <cell r="E373" t="str">
            <v>Remeasurement of defined benefit plans</v>
          </cell>
        </row>
        <row r="374">
          <cell r="D374" t="str">
            <v>Other Comprehensive Income</v>
          </cell>
          <cell r="E374" t="str">
            <v>Income tax relating to items that will not be reclassified to profit or loss</v>
          </cell>
        </row>
        <row r="375">
          <cell r="D375" t="str">
            <v>Other equity</v>
          </cell>
          <cell r="E375" t="str">
            <v>Closing balance - Securities Premium</v>
          </cell>
        </row>
        <row r="376">
          <cell r="D376" t="str">
            <v>Instruments entirely equity in nature</v>
          </cell>
          <cell r="E376" t="str">
            <v>Instrument Entirely Equity in Nature</v>
          </cell>
        </row>
        <row r="377">
          <cell r="D377" t="str">
            <v>Trade Receivables</v>
          </cell>
          <cell r="E377" t="str">
            <v>Considered good - unsecured</v>
          </cell>
        </row>
        <row r="378">
          <cell r="D378" t="str">
            <v>Other Current Liabilities</v>
          </cell>
          <cell r="E378" t="str">
            <v xml:space="preserve">Advance from customers </v>
          </cell>
        </row>
        <row r="379">
          <cell r="D379" t="str">
            <v>Trade Receivables</v>
          </cell>
          <cell r="E379" t="str">
            <v>Considered good - unsecured</v>
          </cell>
        </row>
        <row r="380">
          <cell r="D380" t="str">
            <v>Other Non Current Assets</v>
          </cell>
          <cell r="E380" t="str">
            <v>Capital advances</v>
          </cell>
        </row>
        <row r="381">
          <cell r="D381" t="str">
            <v>Trade payables</v>
          </cell>
          <cell r="E381" t="str">
            <v>Total outstanding dues of creditors other than micro enterprises and small enterprises</v>
          </cell>
        </row>
        <row r="382">
          <cell r="D382" t="str">
            <v>other current assets</v>
          </cell>
          <cell r="E382" t="str">
            <v>Advances paid to Creditors</v>
          </cell>
        </row>
        <row r="383">
          <cell r="D383" t="str">
            <v>Trade payables</v>
          </cell>
          <cell r="E383" t="str">
            <v>Total outstanding dues of creditors other than micro enterprises and small enterprises</v>
          </cell>
        </row>
        <row r="384">
          <cell r="D384" t="str">
            <v>Other Current Assets</v>
          </cell>
          <cell r="E384" t="str">
            <v>Advance to employees</v>
          </cell>
        </row>
        <row r="385">
          <cell r="D385" t="str">
            <v>Trade payables</v>
          </cell>
          <cell r="E385" t="str">
            <v>Total outstanding dues of creditors other than micro enterprises and small enterprises</v>
          </cell>
        </row>
        <row r="386">
          <cell r="D386" t="str">
            <v>Trade payables</v>
          </cell>
          <cell r="E386" t="str">
            <v>Total outstanding dues of creditors other than micro enterprises and small enterprises</v>
          </cell>
        </row>
        <row r="387">
          <cell r="D387" t="str">
            <v>Other Financial Liabilities</v>
          </cell>
          <cell r="E387" t="str">
            <v>Payable for capital goods</v>
          </cell>
        </row>
        <row r="388">
          <cell r="D388" t="str">
            <v>Other expenses</v>
          </cell>
          <cell r="E388" t="str">
            <v>Payment to Auditors</v>
          </cell>
        </row>
        <row r="389">
          <cell r="D389" t="str">
            <v>Other expenses</v>
          </cell>
          <cell r="E389" t="str">
            <v>Legal &amp; Professional Fees</v>
          </cell>
        </row>
        <row r="395">
          <cell r="D395" t="str">
            <v>Cost of material consumed</v>
          </cell>
          <cell r="E395" t="str">
            <v>Add : Purchases -RM</v>
          </cell>
        </row>
        <row r="396">
          <cell r="D396" t="str">
            <v>Cost of material consumed</v>
          </cell>
          <cell r="E396" t="str">
            <v>Add : Purchases -PM</v>
          </cell>
        </row>
        <row r="397">
          <cell r="D397" t="str">
            <v>Finance costs</v>
          </cell>
          <cell r="E397" t="str">
            <v>Exchange difference to the extent considered as an adjustment to borrowing cost</v>
          </cell>
        </row>
        <row r="398">
          <cell r="D398" t="str">
            <v>Other Income</v>
          </cell>
          <cell r="E398" t="str">
            <v>Foreign exchange gain (net)</v>
          </cell>
        </row>
        <row r="399">
          <cell r="D399" t="str">
            <v>Other expenses</v>
          </cell>
          <cell r="E399" t="str">
            <v>Research &amp; Development Cost</v>
          </cell>
        </row>
        <row r="400">
          <cell r="D400" t="str">
            <v>Employee benefits expense</v>
          </cell>
          <cell r="E400" t="str">
            <v>Less : Expenses in relation to research and development shown separately</v>
          </cell>
        </row>
        <row r="401">
          <cell r="D401" t="str">
            <v>Other expenses</v>
          </cell>
          <cell r="E401" t="str">
            <v>Less : Research and development expenses shown separately</v>
          </cell>
        </row>
        <row r="402">
          <cell r="D402" t="str">
            <v>Provisions</v>
          </cell>
          <cell r="E402" t="str">
            <v>Provision for compensated absences</v>
          </cell>
        </row>
        <row r="403">
          <cell r="D403" t="str">
            <v>Other financial liabilities</v>
          </cell>
          <cell r="E403" t="str">
            <v>Employee benefits payable</v>
          </cell>
        </row>
        <row r="404">
          <cell r="D404" t="str">
            <v>Other Current Assets</v>
          </cell>
          <cell r="E404" t="str">
            <v>Prepaid expenses</v>
          </cell>
        </row>
        <row r="405">
          <cell r="D405" t="str">
            <v>Other current assets</v>
          </cell>
          <cell r="E405" t="str">
            <v>Advances paid to Creditors</v>
          </cell>
        </row>
        <row r="406">
          <cell r="D406" t="str">
            <v>Other Current Assets</v>
          </cell>
          <cell r="E406" t="str">
            <v>Taxes paid under protest</v>
          </cell>
        </row>
        <row r="407">
          <cell r="D407" t="str">
            <v>Other financial assets</v>
          </cell>
          <cell r="E407" t="str">
            <v>Other receivable</v>
          </cell>
        </row>
        <row r="408">
          <cell r="D408" t="str">
            <v>Other Comprehensive Income</v>
          </cell>
          <cell r="E408" t="str">
            <v>Income tax relating to items that will not be reclassified to profit or loss</v>
          </cell>
        </row>
        <row r="409">
          <cell r="D409" t="str">
            <v>IND AS -I.Tax on OCI</v>
          </cell>
          <cell r="E409" t="str">
            <v>Income tax relating to items that will be reclassified to profit or loss</v>
          </cell>
        </row>
        <row r="410">
          <cell r="D410" t="str">
            <v>Finance costs</v>
          </cell>
          <cell r="E410" t="str">
            <v>Interest on MSME</v>
          </cell>
        </row>
        <row r="411">
          <cell r="D411" t="str">
            <v>Other Income</v>
          </cell>
          <cell r="E411" t="str">
            <v>Reversal of excess liability no longer required</v>
          </cell>
        </row>
        <row r="412">
          <cell r="D412" t="str">
            <v>Borrowings</v>
          </cell>
          <cell r="E412" t="str">
            <v>Term Loan from Bank</v>
          </cell>
        </row>
        <row r="413">
          <cell r="D413" t="str">
            <v>Borrowings</v>
          </cell>
          <cell r="E413" t="str">
            <v>Working Capital Loans from Bank</v>
          </cell>
        </row>
        <row r="414">
          <cell r="D414" t="str">
            <v>Other expenses</v>
          </cell>
          <cell r="E414" t="str">
            <v>Allowance for expected credit loss on trade receivables</v>
          </cell>
        </row>
        <row r="415">
          <cell r="D415" t="str">
            <v>Other Income</v>
          </cell>
          <cell r="E415" t="str">
            <v>Reversal of Expected credit Loss provision on trade receivable (net)</v>
          </cell>
        </row>
        <row r="416">
          <cell r="D416" t="str">
            <v>Other financial assets</v>
          </cell>
          <cell r="E416" t="str">
            <v>Other receivable</v>
          </cell>
        </row>
        <row r="417">
          <cell r="D417" t="str">
            <v>Other Current Assets</v>
          </cell>
          <cell r="E417" t="str">
            <v>Export Incentive Scheme receivable</v>
          </cell>
        </row>
        <row r="418">
          <cell r="D418" t="str">
            <v>Employee benefits expense</v>
          </cell>
          <cell r="E418" t="str">
            <v xml:space="preserve">Salary, Wages, Allowances and Bonus etc. </v>
          </cell>
        </row>
        <row r="419">
          <cell r="D419" t="str">
            <v>Other Comprehensive Income</v>
          </cell>
          <cell r="E419" t="str">
            <v>Remeasurement of defined benefit plans</v>
          </cell>
        </row>
        <row r="420">
          <cell r="D420" t="str">
            <v>Other Comprehensive Income</v>
          </cell>
          <cell r="E420" t="str">
            <v>Income tax relating to items that will not be reclassified to profit or loss</v>
          </cell>
        </row>
        <row r="421">
          <cell r="D421" t="str">
            <v>IND AS -I.Tax on OCI</v>
          </cell>
          <cell r="E421" t="str">
            <v>Income tax relating to items that will not be reclassified to profit or loss</v>
          </cell>
        </row>
        <row r="422">
          <cell r="D422" t="str">
            <v>Other Comprehensive Income</v>
          </cell>
          <cell r="E422" t="str">
            <v>Income tax relating to items that will not be reclassified to profit or loss</v>
          </cell>
        </row>
        <row r="423">
          <cell r="D423" t="str">
            <v>IND AS -I.Tax on OCI</v>
          </cell>
          <cell r="E423" t="str">
            <v>Income tax relating to items that will be reclassified to profit or loss</v>
          </cell>
        </row>
        <row r="424">
          <cell r="D424" t="str">
            <v>(a) Current Tax</v>
          </cell>
          <cell r="E424" t="str">
            <v>Current income tax</v>
          </cell>
        </row>
        <row r="425">
          <cell r="D425" t="str">
            <v>Other Tax Assets (Net)</v>
          </cell>
          <cell r="E425" t="str">
            <v>Other Tax Assets (Net)</v>
          </cell>
        </row>
        <row r="426">
          <cell r="D426" t="str">
            <v>(b) Deferred Tax Expense/(Benefit)</v>
          </cell>
          <cell r="E426" t="str">
            <v>(b) Deferred Tax</v>
          </cell>
        </row>
        <row r="427">
          <cell r="D427" t="str">
            <v>Deferred Tax Assets (Net)</v>
          </cell>
          <cell r="E427" t="str">
            <v>Deferred Tax Liabilities (Net)</v>
          </cell>
        </row>
        <row r="428">
          <cell r="D428" t="str">
            <v>IND AS -I.Tax on OCI</v>
          </cell>
          <cell r="E428" t="str">
            <v>Effective portion of gains/(losses) on hedging instruments in cash flow hedges</v>
          </cell>
        </row>
        <row r="429">
          <cell r="D429" t="str">
            <v>Deferred Tax Assets (Net)</v>
          </cell>
          <cell r="E429" t="str">
            <v>Deferred Tax Liabilities (Net)</v>
          </cell>
        </row>
        <row r="430">
          <cell r="D430" t="str">
            <v>IND AS -I.Tax on OCI</v>
          </cell>
          <cell r="E430" t="str">
            <v>Effective portion of gains/(losses) on hedging instruments in cash flow hedges</v>
          </cell>
        </row>
        <row r="431">
          <cell r="D431" t="str">
            <v>Other equity</v>
          </cell>
          <cell r="E431" t="str">
            <v>Opening Balance - Retained Earnings</v>
          </cell>
        </row>
        <row r="432">
          <cell r="D432" t="str">
            <v>Other Current Assets</v>
          </cell>
          <cell r="E432" t="str">
            <v>Balances with Government Authorities</v>
          </cell>
        </row>
        <row r="433">
          <cell r="D433" t="str">
            <v>Other current assets</v>
          </cell>
          <cell r="E433" t="str">
            <v>Advances paid to Creditors</v>
          </cell>
        </row>
        <row r="434">
          <cell r="D434" t="str">
            <v>Other financial assets</v>
          </cell>
          <cell r="E434" t="str">
            <v>Security deposits</v>
          </cell>
        </row>
        <row r="435">
          <cell r="D435" t="str">
            <v>Other financial assets</v>
          </cell>
          <cell r="E435" t="str">
            <v>Other receivable</v>
          </cell>
        </row>
        <row r="436">
          <cell r="D436" t="str">
            <v>Borrowings</v>
          </cell>
          <cell r="E436" t="str">
            <v>Term Loan from Bank</v>
          </cell>
        </row>
        <row r="437">
          <cell r="D437" t="str">
            <v>Other Income</v>
          </cell>
          <cell r="E437" t="str">
            <v>Foreign exchange gain (net)</v>
          </cell>
        </row>
        <row r="438">
          <cell r="D438" t="str">
            <v>Other Income</v>
          </cell>
          <cell r="E438" t="str">
            <v>Foreign exchange gain (net)</v>
          </cell>
        </row>
        <row r="439">
          <cell r="D439" t="str">
            <v>Finance costs</v>
          </cell>
          <cell r="E439" t="str">
            <v>Exchange difference to the extent considered as an adjustment to borrowing cost</v>
          </cell>
        </row>
        <row r="440">
          <cell r="D440" t="str">
            <v>Other Income</v>
          </cell>
          <cell r="E440" t="str">
            <v>Foreign exchange gain (net)</v>
          </cell>
        </row>
        <row r="441">
          <cell r="D441" t="str">
            <v>Finance costs</v>
          </cell>
          <cell r="E441" t="str">
            <v>Exchange difference to the extent considered as an adjustment to borrowing cost</v>
          </cell>
        </row>
        <row r="442">
          <cell r="D442" t="str">
            <v>Revenue from operations</v>
          </cell>
          <cell r="E442" t="str">
            <v>Sales of Products</v>
          </cell>
        </row>
        <row r="443">
          <cell r="D443" t="str">
            <v>Trade receivables</v>
          </cell>
          <cell r="E443" t="str">
            <v>Considered good - unsecured</v>
          </cell>
        </row>
        <row r="444">
          <cell r="D444" t="str">
            <v>Other equity</v>
          </cell>
          <cell r="E444" t="str">
            <v>Closing balance - Share based payment reserve</v>
          </cell>
        </row>
        <row r="445">
          <cell r="D445" t="str">
            <v>Other financial liabilities</v>
          </cell>
          <cell r="E445" t="str">
            <v>Employee benefits payable</v>
          </cell>
        </row>
        <row r="446">
          <cell r="D446" t="str">
            <v>Other equity</v>
          </cell>
          <cell r="E446" t="str">
            <v>Closing balance - Cashflow hedge reserve</v>
          </cell>
        </row>
        <row r="447">
          <cell r="D447" t="str">
            <v>IND AS -I.Tax on OCI</v>
          </cell>
          <cell r="E447" t="str">
            <v>Effective portion of gains/(losses) on hedging instruments in cash flow hedges</v>
          </cell>
        </row>
        <row r="448">
          <cell r="D448" t="str">
            <v>Borrowings</v>
          </cell>
          <cell r="E448" t="str">
            <v>Mynd Solutions Private Limited</v>
          </cell>
        </row>
        <row r="449">
          <cell r="D449" t="str">
            <v>Trade payables</v>
          </cell>
          <cell r="E449" t="str">
            <v>Total outstanding dues of creditors other than micro enterprises and small enterprises</v>
          </cell>
        </row>
        <row r="450">
          <cell r="D450" t="str">
            <v>Other Tax Assets (Net)</v>
          </cell>
          <cell r="E450" t="str">
            <v>Other Tax Assets (Net)</v>
          </cell>
        </row>
        <row r="451">
          <cell r="D451" t="str">
            <v>(a) Current Tax</v>
          </cell>
          <cell r="E451" t="str">
            <v>Current income tax</v>
          </cell>
        </row>
      </sheetData>
      <sheetData sheetId="7" refreshError="1"/>
      <sheetData sheetId="8" refreshError="1"/>
      <sheetData sheetId="9" refreshError="1"/>
      <sheetData sheetId="10">
        <row r="5">
          <cell r="D5" t="str">
            <v>31 March 2025</v>
          </cell>
        </row>
      </sheetData>
      <sheetData sheetId="11" refreshError="1"/>
      <sheetData sheetId="12">
        <row r="1">
          <cell r="A1" t="str">
            <v>Best Value Chem Private Limited</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40">
          <cell r="D40" t="str">
            <v>31 March 2025</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BS"/>
      <sheetName val="PL"/>
      <sheetName val="SOCIE"/>
      <sheetName val="IT Comp workings"/>
      <sheetName val="IT Computation"/>
      <sheetName val="Cash Flow"/>
      <sheetName val="PPE- note 3"/>
      <sheetName val="TB BVS 31.3.24"/>
      <sheetName val="BS  Notes  4-17"/>
      <sheetName val="PL Notes 18-25"/>
      <sheetName val="Note 26 - 30"/>
      <sheetName val="FI -31"/>
      <sheetName val="Ratios -32"/>
      <sheetName val="Note 33"/>
      <sheetName val="Note 34"/>
      <sheetName val="Note 35"/>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sheetData sheetId="5"/>
      <sheetData sheetId="6"/>
      <sheetData sheetId="7"/>
      <sheetData sheetId="8"/>
      <sheetData sheetId="9">
        <row r="73">
          <cell r="I73">
            <v>-17331137.02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TB BVS 31.3.24"/>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row r="2">
          <cell r="C2">
            <v>1000</v>
          </cell>
          <cell r="E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1.03.26"/>
      <sheetName val="BS"/>
      <sheetName val="PL"/>
      <sheetName val="Draft-TC"/>
      <sheetName val="IT Dep_FY26"/>
      <sheetName val="43B"/>
      <sheetName val="Segment"/>
      <sheetName val="CFS Working"/>
      <sheetName val="IT Computation_FY24"/>
      <sheetName val="IT Comp workings_FY24"/>
      <sheetName val="Lease"/>
      <sheetName val="DT-FY26"/>
      <sheetName val="Cash Flow_FY26"/>
      <sheetName val="SOCIE"/>
      <sheetName val="PPE- note 3"/>
      <sheetName val="BS  Notes  4-19"/>
      <sheetName val="PL Notes 20-27"/>
      <sheetName val="WA-Shares"/>
      <sheetName val="Note 28-32"/>
      <sheetName val="FI -33"/>
      <sheetName val="Ratios -34"/>
      <sheetName val="Note - 35-36"/>
      <sheetName val="Note -37"/>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ow r="111">
          <cell r="I111">
            <v>-414006</v>
          </cell>
        </row>
        <row r="112">
          <cell r="I112">
            <v>-1670492.49</v>
          </cell>
        </row>
        <row r="114">
          <cell r="I114">
            <v>-192594.37</v>
          </cell>
        </row>
        <row r="148">
          <cell r="I148">
            <v>130000</v>
          </cell>
        </row>
        <row r="254">
          <cell r="I254">
            <v>-1495028</v>
          </cell>
        </row>
      </sheetData>
      <sheetData sheetId="6" refreshError="1"/>
      <sheetData sheetId="7">
        <row r="17">
          <cell r="D17">
            <v>3181.1830227999999</v>
          </cell>
        </row>
      </sheetData>
      <sheetData sheetId="8">
        <row r="18">
          <cell r="E18">
            <v>1495028</v>
          </cell>
        </row>
      </sheetData>
      <sheetData sheetId="9">
        <row r="8">
          <cell r="Q8">
            <v>1251729689.8900001</v>
          </cell>
        </row>
        <row r="17">
          <cell r="P17">
            <v>633596523</v>
          </cell>
        </row>
      </sheetData>
      <sheetData sheetId="10">
        <row r="13">
          <cell r="F13">
            <v>2156593</v>
          </cell>
        </row>
        <row r="31">
          <cell r="J31">
            <v>-7925794.5</v>
          </cell>
        </row>
      </sheetData>
      <sheetData sheetId="11" refreshError="1"/>
      <sheetData sheetId="12" refreshError="1"/>
      <sheetData sheetId="13" refreshError="1"/>
      <sheetData sheetId="14" refreshError="1"/>
      <sheetData sheetId="15">
        <row r="27">
          <cell r="C27">
            <v>3556823.5151225771</v>
          </cell>
        </row>
      </sheetData>
      <sheetData sheetId="16" refreshError="1"/>
      <sheetData sheetId="17" refreshError="1"/>
      <sheetData sheetId="18" refreshError="1"/>
      <sheetData sheetId="19">
        <row r="11">
          <cell r="N11">
            <v>1399043842.2199998</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1.03.26"/>
      <sheetName val="BS"/>
      <sheetName val="PL"/>
      <sheetName val="Segment"/>
      <sheetName val="CFS Working"/>
      <sheetName val="IT Computation_FY24"/>
      <sheetName val="IT Comp workings_FY24"/>
      <sheetName val="Cash Flow_FY26"/>
      <sheetName val="SOCIE"/>
      <sheetName val="PPE- note 3"/>
      <sheetName val="BS  Notes  4-19"/>
      <sheetName val="TDS"/>
      <sheetName val="IT Com"/>
      <sheetName val="DT FY2025-26"/>
      <sheetName val="DT FY2024-25"/>
      <sheetName val="DTFY2023-24"/>
      <sheetName val="Lease"/>
      <sheetName val="43B"/>
      <sheetName val="IT Depn"/>
      <sheetName val="PL Notes 20-27"/>
      <sheetName val="WA-Shares"/>
      <sheetName val="Note 28-32"/>
      <sheetName val="FI -33"/>
      <sheetName val="Ratios -34"/>
      <sheetName val="Note - 35-36"/>
      <sheetName val="Note -37"/>
      <sheetName val="Note - 40"/>
      <sheetName val="DT"/>
      <sheetName val="WA Share Working"/>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6">
          <cell r="D26">
            <v>2941166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1.03.26"/>
      <sheetName val="BS"/>
      <sheetName val="PL"/>
      <sheetName val="Segment"/>
      <sheetName val="CFS Working"/>
      <sheetName val="IT Computation_FY24"/>
      <sheetName val="IT Comp workings_FY24"/>
      <sheetName val="Cash Flow_FY26"/>
      <sheetName val="SOCIE"/>
      <sheetName val="PPE- note 3"/>
      <sheetName val="BS  Notes  4-19"/>
      <sheetName val="Forecast"/>
      <sheetName val="Draft-TC"/>
      <sheetName val="DT-FY26"/>
      <sheetName val="IT DP"/>
      <sheetName val="PL Notes 20-27"/>
      <sheetName val="WA-Shares"/>
      <sheetName val="Note 28-31"/>
      <sheetName val="FI -32"/>
      <sheetName val="Ratios -33"/>
      <sheetName val="Note - 34-35"/>
      <sheetName val="Note -36"/>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84">
          <cell r="G84">
            <v>59756367</v>
          </cell>
        </row>
      </sheetData>
      <sheetData sheetId="17">
        <row r="26">
          <cell r="E26">
            <v>-633596523</v>
          </cell>
        </row>
        <row r="43">
          <cell r="H43">
            <v>-432524925.18512273</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Input"/>
      <sheetName val="Pivot"/>
      <sheetName val="Master Grouping"/>
      <sheetName val="TB BVS 31.3.25"/>
      <sheetName val="TB BVS 31.03.26"/>
      <sheetName val="BS"/>
      <sheetName val="PL"/>
      <sheetName val="Draft-TC"/>
      <sheetName val="IT Dep_FY26"/>
      <sheetName val="43B"/>
      <sheetName val="Segment"/>
      <sheetName val="CFS Working"/>
      <sheetName val="IT Computation_FY24"/>
      <sheetName val="IT Comp workings_FY24"/>
      <sheetName val="Lease"/>
      <sheetName val="DT-FY26"/>
      <sheetName val="Cash Flow_FY26"/>
      <sheetName val="SOCIE"/>
      <sheetName val="PPE- note 3"/>
      <sheetName val="BS  Notes  4-19"/>
      <sheetName val="PL Notes 20-27"/>
      <sheetName val="WA-Shares"/>
      <sheetName val="Note 28-32"/>
      <sheetName val="FI -33"/>
      <sheetName val="Ratios -34"/>
      <sheetName val="Note - 35-36"/>
      <sheetName val="Note -37"/>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ow r="111">
          <cell r="I111">
            <v>-414006</v>
          </cell>
        </row>
      </sheetData>
      <sheetData sheetId="6" refreshError="1"/>
      <sheetData sheetId="7">
        <row r="17">
          <cell r="D17">
            <v>3181.1830227999999</v>
          </cell>
        </row>
      </sheetData>
      <sheetData sheetId="8">
        <row r="18">
          <cell r="E18">
            <v>1495028</v>
          </cell>
        </row>
      </sheetData>
      <sheetData sheetId="9">
        <row r="8">
          <cell r="Q8">
            <v>1251729689.8900001</v>
          </cell>
        </row>
        <row r="10">
          <cell r="Q10">
            <v>2759008560.6362996</v>
          </cell>
        </row>
        <row r="12">
          <cell r="Q12">
            <v>17602372.107657302</v>
          </cell>
        </row>
        <row r="14">
          <cell r="Q14">
            <v>9737700.8900000006</v>
          </cell>
        </row>
      </sheetData>
      <sheetData sheetId="10">
        <row r="13">
          <cell r="F13">
            <v>2156593</v>
          </cell>
        </row>
        <row r="26">
          <cell r="E26">
            <v>5684697</v>
          </cell>
        </row>
        <row r="27">
          <cell r="E27">
            <v>2616286</v>
          </cell>
        </row>
        <row r="28">
          <cell r="E28">
            <v>4499741</v>
          </cell>
        </row>
      </sheetData>
      <sheetData sheetId="11" refreshError="1"/>
      <sheetData sheetId="12" refreshError="1"/>
      <sheetData sheetId="13" refreshError="1"/>
      <sheetData sheetId="14" refreshError="1"/>
      <sheetData sheetId="15">
        <row r="27">
          <cell r="C27">
            <v>3556823.5151225771</v>
          </cell>
        </row>
      </sheetData>
      <sheetData sheetId="16" refreshError="1"/>
      <sheetData sheetId="17" refreshError="1"/>
      <sheetData sheetId="18" refreshError="1"/>
      <sheetData sheetId="19">
        <row r="11">
          <cell r="N11">
            <v>1399043842.2199998</v>
          </cell>
        </row>
        <row r="12">
          <cell r="N12">
            <v>3077161369.2099996</v>
          </cell>
        </row>
        <row r="13">
          <cell r="N13">
            <v>14776811.89000001</v>
          </cell>
        </row>
        <row r="14">
          <cell r="N14">
            <v>11739752.339999998</v>
          </cell>
        </row>
        <row r="15">
          <cell r="N15">
            <v>18044180.73</v>
          </cell>
        </row>
        <row r="16">
          <cell r="N16">
            <v>117366556.87</v>
          </cell>
        </row>
        <row r="26">
          <cell r="N26">
            <v>2918199.74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Interest"/>
      <sheetName val="MF CG"/>
      <sheetName val="TDS TCS"/>
      <sheetName val="Lease"/>
      <sheetName val="Gratuity"/>
      <sheetName val="43B - 3CD"/>
      <sheetName val="Incentive"/>
      <sheetName val="Leave"/>
      <sheetName val="MSME Wrkng"/>
      <sheetName val="Bonus"/>
      <sheetName val="TB BVS 31.3.24"/>
      <sheetName val="TB BVS 31.3.25"/>
      <sheetName val="IT Comp"/>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DT_V1-Final"/>
      <sheetName val="IT Dep"/>
      <sheetName val="CA Dep"/>
      <sheetName val="LA"/>
      <sheetName val="PM"/>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1">
          <cell r="C11">
            <v>1314115835</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0">
          <cell r="P10">
            <v>290007616</v>
          </cell>
        </row>
      </sheetData>
      <sheetData sheetId="36">
        <row r="3">
          <cell r="I3">
            <v>93599471</v>
          </cell>
        </row>
      </sheetData>
      <sheetData sheetId="37">
        <row r="217">
          <cell r="P217">
            <v>21550.68493150685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 and Loss"/>
      <sheetName val="CFS Working"/>
      <sheetName val="Cash Flow"/>
      <sheetName val="Policy"/>
      <sheetName val="BS Notes"/>
      <sheetName val="Note 11-1"/>
      <sheetName val="Note 11-2"/>
      <sheetName val="PL Notes"/>
      <sheetName val="Note 12 (2)"/>
      <sheetName val="Disclosure notes"/>
      <sheetName val="Schedule III Disclosure&gt;&gt;&gt;"/>
      <sheetName val="Ratio"/>
      <sheetName val="PL"/>
      <sheetName val="BS"/>
      <sheetName val="Entry Tracker"/>
    </sheetNames>
    <sheetDataSet>
      <sheetData sheetId="0">
        <row r="24">
          <cell r="E24">
            <v>116692.16100067808</v>
          </cell>
        </row>
      </sheetData>
      <sheetData sheetId="1"/>
      <sheetData sheetId="2"/>
      <sheetData sheetId="3">
        <row r="22">
          <cell r="E22">
            <v>-109595.26921999999</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RL"/>
      <sheetName val="EPS"/>
      <sheetName val="Input"/>
      <sheetName val="reserve movement"/>
      <sheetName val="BS"/>
      <sheetName val="PL"/>
      <sheetName val="TB - SNS - 31.3.24"/>
      <sheetName val="SAP TB 24"/>
      <sheetName val="Cash Flow"/>
      <sheetName val="SOCIE"/>
      <sheetName val="PPE- note 3"/>
      <sheetName val="BS  Notes  4-18"/>
      <sheetName val="Borrowings - note 14"/>
      <sheetName val="PL Notes 19-26"/>
      <sheetName val="Note 27-31"/>
      <sheetName val="Derivative Instrument - Note 32"/>
      <sheetName val="Related party - Note 33"/>
      <sheetName val="Share based payments - Note 34"/>
      <sheetName val="Note 35 -36"/>
      <sheetName val="FI -37"/>
      <sheetName val="Ratios -39"/>
      <sheetName val="TB - SNS - 31.3.23"/>
      <sheetName val="Ind AS 101 - Note 40 &amp; 41"/>
      <sheetName val="TB - SNS - 31.3.22"/>
      <sheetName val="TB - SNS - 31.3.21"/>
      <sheetName val="Client TB 23"/>
      <sheetName val="Change in Policy - FIFO to WAM"/>
      <sheetName val="DT"/>
      <sheetName val="FA_Book_FY23"/>
      <sheetName val="Employee Car_FY23"/>
      <sheetName val="OCPS - BVO"/>
      <sheetName val="OCPS - BVS"/>
      <sheetName val="Transactions costs summary"/>
      <sheetName val="MTM in USD FY 2022"/>
      <sheetName val="MTM in USD FY 2021"/>
      <sheetName val="FAR Summary_FY23"/>
      <sheetName val="CFH Reserve Movement_FY24"/>
      <sheetName val="Lease Liability Movement_FY24"/>
      <sheetName val="Employee Car Receivable_FY24"/>
      <sheetName val="R&amp;D Exp_FY24"/>
      <sheetName val="Share based Payment Res_FY24"/>
      <sheetName val="TL and WC Movement_FY24"/>
      <sheetName val="Assets Block_FY24"/>
      <sheetName val="Other Receivable - GST Interest"/>
      <sheetName val="IT_FY24"/>
      <sheetName val="Updated FAR_31-March-2023"/>
      <sheetName val="IT"/>
      <sheetName val="MTM 2023"/>
    </sheetNames>
    <sheetDataSet>
      <sheetData sheetId="0" refreshError="1"/>
      <sheetData sheetId="1" refreshError="1"/>
      <sheetData sheetId="2" refreshError="1"/>
      <sheetData sheetId="3" refreshError="1">
        <row r="2">
          <cell r="C2">
            <v>100000</v>
          </cell>
          <cell r="E2">
            <v>0</v>
          </cell>
        </row>
        <row r="6">
          <cell r="C6" t="str">
            <v>31 March 2022</v>
          </cell>
        </row>
        <row r="8">
          <cell r="C8" t="str">
            <v>1 April 2021</v>
          </cell>
        </row>
        <row r="93">
          <cell r="D93">
            <v>37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Gratuity"/>
      <sheetName val="Leave"/>
      <sheetName val="TDS TCS"/>
      <sheetName val="Lease"/>
      <sheetName val="Working"/>
      <sheetName val="IT Com"/>
      <sheetName val="Depre_IT"/>
      <sheetName val="MF CG"/>
      <sheetName val="TB BVS 31.3.25"/>
      <sheetName val="BS"/>
      <sheetName val="PL"/>
      <sheetName val="Cash Flow_FY25"/>
      <sheetName val="CFS Working"/>
      <sheetName val="Pivot"/>
      <sheetName val="SOCIE"/>
      <sheetName val="IT Computation_FY24"/>
      <sheetName val="IT Comp workings_FY24"/>
      <sheetName val="PPE- note 3"/>
      <sheetName val="BS  Notes  4-19"/>
      <sheetName val="TB BVS 31.3.24"/>
      <sheetName val="PL Notes 20-27"/>
      <sheetName val="Note 28-34"/>
      <sheetName val="FI -35"/>
      <sheetName val="Ratios -36"/>
      <sheetName val="Note - 37-38"/>
      <sheetName val="Note -39"/>
      <sheetName val="Note - 40"/>
      <sheetName val="DT"/>
      <sheetName val="WA Share Working"/>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row r="9">
          <cell r="H9">
            <v>761373</v>
          </cell>
        </row>
      </sheetData>
      <sheetData sheetId="3">
        <row r="11">
          <cell r="H11">
            <v>1613446</v>
          </cell>
        </row>
      </sheetData>
      <sheetData sheetId="4">
        <row r="10">
          <cell r="F10">
            <v>5883010</v>
          </cell>
        </row>
        <row r="15">
          <cell r="D15">
            <v>2198448</v>
          </cell>
        </row>
        <row r="25">
          <cell r="D25">
            <v>31725</v>
          </cell>
        </row>
      </sheetData>
      <sheetData sheetId="5">
        <row r="25">
          <cell r="C25">
            <v>3556823.5151225771</v>
          </cell>
        </row>
      </sheetData>
      <sheetData sheetId="6">
        <row r="30">
          <cell r="Q30">
            <v>-11996625.380000001</v>
          </cell>
        </row>
      </sheetData>
      <sheetData sheetId="7"/>
      <sheetData sheetId="8">
        <row r="23">
          <cell r="P23">
            <v>379719185</v>
          </cell>
        </row>
      </sheetData>
      <sheetData sheetId="9">
        <row r="20">
          <cell r="D20">
            <v>550000000</v>
          </cell>
          <cell r="H20">
            <v>554891456.13</v>
          </cell>
        </row>
      </sheetData>
      <sheetData sheetId="10">
        <row r="101">
          <cell r="I101">
            <v>-250440</v>
          </cell>
        </row>
        <row r="103">
          <cell r="I103">
            <v>-4891456.1299999896</v>
          </cell>
        </row>
        <row r="104">
          <cell r="I104">
            <v>-90892.479999999894</v>
          </cell>
        </row>
        <row r="138">
          <cell r="I138">
            <v>5000</v>
          </cell>
        </row>
        <row r="160">
          <cell r="I160">
            <v>-1443331.5</v>
          </cell>
        </row>
        <row r="165">
          <cell r="I165">
            <v>-59812</v>
          </cell>
        </row>
      </sheetData>
      <sheetData sheetId="11"/>
      <sheetData sheetId="12"/>
      <sheetData sheetId="13"/>
      <sheetData sheetId="14"/>
      <sheetData sheetId="15"/>
      <sheetData sheetId="16"/>
      <sheetData sheetId="17"/>
      <sheetData sheetId="18"/>
      <sheetData sheetId="19"/>
      <sheetData sheetId="20"/>
      <sheetData sheetId="21"/>
      <sheetData sheetId="22">
        <row r="82">
          <cell r="C82">
            <v>5013</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TB BVS 31.3.24"/>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row r="2">
          <cell r="C2">
            <v>1000</v>
          </cell>
        </row>
      </sheetData>
      <sheetData sheetId="2"/>
      <sheetData sheetId="3">
        <row r="4">
          <cell r="J4">
            <v>0</v>
          </cell>
        </row>
      </sheetData>
      <sheetData sheetId="4">
        <row r="4">
          <cell r="I4">
            <v>-181331848.3199991</v>
          </cell>
        </row>
      </sheetData>
      <sheetData sheetId="5">
        <row r="5">
          <cell r="D5" t="str">
            <v>31 March 2025</v>
          </cell>
        </row>
      </sheetData>
      <sheetData sheetId="6">
        <row r="1">
          <cell r="A1" t="str">
            <v>BVC Specialities Private Limited</v>
          </cell>
        </row>
        <row r="17">
          <cell r="D17">
            <v>129491</v>
          </cell>
        </row>
      </sheetData>
      <sheetData sheetId="7"/>
      <sheetData sheetId="8"/>
      <sheetData sheetId="9"/>
      <sheetData sheetId="10"/>
      <sheetData sheetId="11"/>
      <sheetData sheetId="12"/>
      <sheetData sheetId="13"/>
      <sheetData sheetId="14">
        <row r="83">
          <cell r="C83">
            <v>5013</v>
          </cell>
        </row>
      </sheetData>
      <sheetData sheetId="15">
        <row r="25">
          <cell r="D25">
            <v>1127062</v>
          </cell>
        </row>
      </sheetData>
      <sheetData sheetId="16"/>
      <sheetData sheetId="17"/>
      <sheetData sheetId="18"/>
      <sheetData sheetId="19"/>
      <sheetData sheetId="20"/>
      <sheetData sheetId="21">
        <row r="15">
          <cell r="E15">
            <v>5374105.8131299596</v>
          </cell>
        </row>
      </sheetData>
      <sheetData sheetId="22"/>
      <sheetData sheetId="23"/>
      <sheetData sheetId="24"/>
      <sheetData sheetId="25"/>
      <sheetData sheetId="26"/>
      <sheetData sheetId="27">
        <row r="2">
          <cell r="M2">
            <v>31327446.66</v>
          </cell>
        </row>
      </sheetData>
      <sheetData sheetId="28"/>
      <sheetData sheetId="29">
        <row r="2">
          <cell r="M2">
            <v>27579317.961910952</v>
          </cell>
        </row>
      </sheetData>
      <sheetData sheetId="3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TB BVS 31.3.24"/>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WA Share Working"/>
      <sheetName val="DT"/>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row r="172">
          <cell r="I172">
            <v>-888759</v>
          </cell>
        </row>
      </sheetData>
      <sheetData sheetId="5"/>
      <sheetData sheetId="6"/>
      <sheetData sheetId="7"/>
      <sheetData sheetId="8"/>
      <sheetData sheetId="9"/>
      <sheetData sheetId="10"/>
      <sheetData sheetId="11"/>
      <sheetData sheetId="12">
        <row r="31">
          <cell r="F31">
            <v>2.3999996483325958E-4</v>
          </cell>
        </row>
        <row r="55">
          <cell r="E55">
            <v>324390</v>
          </cell>
        </row>
      </sheetData>
      <sheetData sheetId="13"/>
      <sheetData sheetId="14"/>
      <sheetData sheetId="15"/>
      <sheetData sheetId="16"/>
      <sheetData sheetId="17"/>
      <sheetData sheetId="18"/>
      <sheetData sheetId="19"/>
      <sheetData sheetId="20"/>
      <sheetData sheetId="21"/>
      <sheetData sheetId="22">
        <row r="3">
          <cell r="C3">
            <v>4533288.3131919391</v>
          </cell>
        </row>
        <row r="4">
          <cell r="C4">
            <v>1895076.6713603183</v>
          </cell>
        </row>
        <row r="5">
          <cell r="C5">
            <v>27652.634194860548</v>
          </cell>
        </row>
        <row r="6">
          <cell r="C6">
            <v>26377.199449612352</v>
          </cell>
        </row>
      </sheetData>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1 (2)"/>
    </sheetNames>
    <sheetDataSet>
      <sheetData sheetId="0"/>
      <sheetData sheetId="1">
        <row r="3">
          <cell r="B3">
            <v>10000000</v>
          </cell>
          <cell r="C3" t="str">
            <v>Equity Share Capital</v>
          </cell>
          <cell r="D3">
            <v>-100000</v>
          </cell>
          <cell r="E3">
            <v>0</v>
          </cell>
          <cell r="F3">
            <v>972760</v>
          </cell>
          <cell r="G3">
            <v>-1072760</v>
          </cell>
        </row>
        <row r="4">
          <cell r="B4">
            <v>10000001</v>
          </cell>
          <cell r="C4" t="str">
            <v>Preference Share Cap</v>
          </cell>
          <cell r="D4">
            <v>0</v>
          </cell>
          <cell r="E4">
            <v>0</v>
          </cell>
          <cell r="F4">
            <v>0</v>
          </cell>
          <cell r="G4">
            <v>0</v>
          </cell>
        </row>
        <row r="5">
          <cell r="B5">
            <v>10000004</v>
          </cell>
          <cell r="C5" t="str">
            <v>Pref Shar CCPS-2 BVC</v>
          </cell>
          <cell r="D5">
            <v>0</v>
          </cell>
          <cell r="E5">
            <v>999546699</v>
          </cell>
          <cell r="F5">
            <v>999987669</v>
          </cell>
          <cell r="G5">
            <v>-440970</v>
          </cell>
        </row>
        <row r="6">
          <cell r="B6">
            <v>10100000</v>
          </cell>
          <cell r="C6" t="str">
            <v>Security Premium Acc</v>
          </cell>
          <cell r="D6">
            <v>0</v>
          </cell>
          <cell r="E6">
            <v>0</v>
          </cell>
          <cell r="F6">
            <v>1203770405.96</v>
          </cell>
          <cell r="G6">
            <v>-1203770405.96</v>
          </cell>
        </row>
        <row r="7">
          <cell r="B7">
            <v>10100001</v>
          </cell>
          <cell r="C7" t="str">
            <v>Retained earnings</v>
          </cell>
          <cell r="D7">
            <v>9525999.5600000005</v>
          </cell>
          <cell r="E7">
            <v>0</v>
          </cell>
          <cell r="F7">
            <v>0</v>
          </cell>
          <cell r="G7">
            <v>9525999.5600000005</v>
          </cell>
        </row>
        <row r="8">
          <cell r="B8">
            <v>10100002</v>
          </cell>
          <cell r="C8" t="str">
            <v>Profit &amp; Loss Accoun</v>
          </cell>
          <cell r="D8">
            <v>7941080.54</v>
          </cell>
          <cell r="E8">
            <v>0</v>
          </cell>
          <cell r="F8">
            <v>0</v>
          </cell>
          <cell r="G8">
            <v>7941080.54</v>
          </cell>
        </row>
        <row r="9">
          <cell r="B9">
            <v>10100008</v>
          </cell>
          <cell r="C9" t="str">
            <v>IND AS - Equity comp</v>
          </cell>
          <cell r="D9">
            <v>-125000357.83</v>
          </cell>
          <cell r="E9">
            <v>150789844.53999901</v>
          </cell>
          <cell r="F9">
            <v>25789486.710000001</v>
          </cell>
          <cell r="G9">
            <v>0</v>
          </cell>
        </row>
        <row r="10">
          <cell r="B10">
            <v>10100009</v>
          </cell>
          <cell r="C10" t="str">
            <v>IND AS - Opening RE</v>
          </cell>
          <cell r="D10">
            <v>347946.13</v>
          </cell>
          <cell r="E10">
            <v>0</v>
          </cell>
          <cell r="F10">
            <v>386615.03</v>
          </cell>
          <cell r="G10">
            <v>-38668.9</v>
          </cell>
        </row>
        <row r="11">
          <cell r="B11">
            <v>10200015</v>
          </cell>
          <cell r="C11" t="str">
            <v>IND AS -Tran Cost TL</v>
          </cell>
          <cell r="D11">
            <v>0</v>
          </cell>
          <cell r="E11">
            <v>1180000</v>
          </cell>
          <cell r="F11">
            <v>251428.57</v>
          </cell>
          <cell r="G11">
            <v>928571.43</v>
          </cell>
        </row>
        <row r="12">
          <cell r="B12">
            <v>10200016</v>
          </cell>
          <cell r="C12" t="str">
            <v>TL_AXIS_ 92306005314</v>
          </cell>
          <cell r="D12">
            <v>0</v>
          </cell>
          <cell r="E12">
            <v>47887143</v>
          </cell>
          <cell r="F12">
            <v>1945400941.3099899</v>
          </cell>
          <cell r="G12">
            <v>-1897513798.3099899</v>
          </cell>
        </row>
        <row r="13">
          <cell r="B13">
            <v>10300001</v>
          </cell>
          <cell r="C13" t="str">
            <v>IND AS - Pref Share</v>
          </cell>
          <cell r="D13">
            <v>-53126381.130000003</v>
          </cell>
          <cell r="E13">
            <v>55379382.420000002</v>
          </cell>
          <cell r="F13">
            <v>2253001.29</v>
          </cell>
          <cell r="G13">
            <v>0</v>
          </cell>
        </row>
        <row r="14">
          <cell r="B14">
            <v>10400001</v>
          </cell>
          <cell r="C14" t="str">
            <v>IND AS - DTL</v>
          </cell>
          <cell r="D14">
            <v>-25203341.739999902</v>
          </cell>
          <cell r="E14">
            <v>25203341.739999902</v>
          </cell>
          <cell r="F14">
            <v>5088763.58</v>
          </cell>
          <cell r="G14">
            <v>-5088763.58</v>
          </cell>
        </row>
        <row r="15">
          <cell r="B15">
            <v>10500000</v>
          </cell>
          <cell r="C15" t="str">
            <v>Provision for Gratui</v>
          </cell>
          <cell r="D15">
            <v>0</v>
          </cell>
          <cell r="E15">
            <v>0</v>
          </cell>
          <cell r="F15">
            <v>1269016</v>
          </cell>
          <cell r="G15">
            <v>-1269016</v>
          </cell>
        </row>
        <row r="16">
          <cell r="B16">
            <v>10500001</v>
          </cell>
          <cell r="C16" t="str">
            <v>Provision for Leave</v>
          </cell>
          <cell r="D16">
            <v>0</v>
          </cell>
          <cell r="E16">
            <v>0</v>
          </cell>
          <cell r="F16">
            <v>1223695</v>
          </cell>
          <cell r="G16">
            <v>-1223695</v>
          </cell>
        </row>
        <row r="17">
          <cell r="B17">
            <v>10600010</v>
          </cell>
          <cell r="C17" t="str">
            <v>Best Value Chem Pvt</v>
          </cell>
          <cell r="D17">
            <v>-118230550.26000001</v>
          </cell>
          <cell r="E17">
            <v>148911450.25999901</v>
          </cell>
          <cell r="F17">
            <v>574514260.84000003</v>
          </cell>
          <cell r="G17">
            <v>-543833360.84000003</v>
          </cell>
        </row>
        <row r="18">
          <cell r="B18">
            <v>10800004</v>
          </cell>
          <cell r="C18" t="str">
            <v>Payable - Others</v>
          </cell>
          <cell r="D18">
            <v>-24467</v>
          </cell>
          <cell r="E18">
            <v>2950577287.5500002</v>
          </cell>
          <cell r="F18">
            <v>3785296103.46</v>
          </cell>
          <cell r="G18">
            <v>-834743282.90999901</v>
          </cell>
        </row>
        <row r="19">
          <cell r="B19">
            <v>10800007</v>
          </cell>
          <cell r="C19" t="str">
            <v>Payable - Forex</v>
          </cell>
          <cell r="D19">
            <v>0</v>
          </cell>
          <cell r="E19">
            <v>61081</v>
          </cell>
          <cell r="F19">
            <v>0</v>
          </cell>
          <cell r="G19">
            <v>61081</v>
          </cell>
        </row>
        <row r="20">
          <cell r="B20">
            <v>10900000</v>
          </cell>
          <cell r="C20" t="str">
            <v>Provision_Other Expe</v>
          </cell>
          <cell r="D20">
            <v>-180000</v>
          </cell>
          <cell r="E20">
            <v>0</v>
          </cell>
          <cell r="F20">
            <v>1884042</v>
          </cell>
          <cell r="G20">
            <v>-2064042</v>
          </cell>
        </row>
        <row r="21">
          <cell r="B21">
            <v>10900013</v>
          </cell>
          <cell r="C21" t="str">
            <v>Provision_MSME Inter</v>
          </cell>
          <cell r="D21">
            <v>0</v>
          </cell>
          <cell r="E21">
            <v>0</v>
          </cell>
          <cell r="F21">
            <v>1356109.54</v>
          </cell>
          <cell r="G21">
            <v>-1356109.54</v>
          </cell>
        </row>
        <row r="22">
          <cell r="B22">
            <v>10900015</v>
          </cell>
          <cell r="C22" t="str">
            <v>Provision_Income Tax</v>
          </cell>
          <cell r="D22">
            <v>0</v>
          </cell>
          <cell r="E22">
            <v>0</v>
          </cell>
          <cell r="F22">
            <v>0</v>
          </cell>
          <cell r="G22">
            <v>0</v>
          </cell>
        </row>
        <row r="23">
          <cell r="B23">
            <v>10900016</v>
          </cell>
          <cell r="C23" t="str">
            <v>Provision_Incentive</v>
          </cell>
          <cell r="D23">
            <v>0</v>
          </cell>
          <cell r="E23">
            <v>0</v>
          </cell>
          <cell r="F23">
            <v>1915760</v>
          </cell>
          <cell r="G23">
            <v>-1915760</v>
          </cell>
        </row>
        <row r="24">
          <cell r="B24">
            <v>10900018</v>
          </cell>
          <cell r="C24" t="str">
            <v>Salary Payable</v>
          </cell>
          <cell r="D24">
            <v>0</v>
          </cell>
          <cell r="E24">
            <v>31269317.329999901</v>
          </cell>
          <cell r="F24">
            <v>34639016.609999903</v>
          </cell>
          <cell r="G24">
            <v>-3369699.27999999</v>
          </cell>
        </row>
        <row r="25">
          <cell r="B25">
            <v>11000001</v>
          </cell>
          <cell r="C25" t="str">
            <v>TDS_Professional and</v>
          </cell>
          <cell r="D25">
            <v>-17000</v>
          </cell>
          <cell r="E25">
            <v>9251573.3900000006</v>
          </cell>
          <cell r="F25">
            <v>11135793.779999901</v>
          </cell>
          <cell r="G25">
            <v>-1901220.3899999899</v>
          </cell>
        </row>
        <row r="26">
          <cell r="B26">
            <v>11000002</v>
          </cell>
          <cell r="C26" t="str">
            <v>TDS_Contractors_194C</v>
          </cell>
          <cell r="D26">
            <v>0</v>
          </cell>
          <cell r="E26">
            <v>13009272.199999901</v>
          </cell>
          <cell r="F26">
            <v>13121467.630000001</v>
          </cell>
          <cell r="G26">
            <v>-112195.429999999</v>
          </cell>
        </row>
        <row r="27">
          <cell r="B27">
            <v>11000003</v>
          </cell>
          <cell r="C27" t="str">
            <v>TDS_Interest on borr</v>
          </cell>
          <cell r="D27">
            <v>-170932.14</v>
          </cell>
          <cell r="E27">
            <v>170932</v>
          </cell>
          <cell r="F27">
            <v>1168697.6899999899</v>
          </cell>
          <cell r="G27">
            <v>-1168697.83</v>
          </cell>
        </row>
        <row r="28">
          <cell r="B28">
            <v>11000005</v>
          </cell>
          <cell r="C28" t="str">
            <v>TDS_Rent_194I</v>
          </cell>
          <cell r="D28">
            <v>0</v>
          </cell>
          <cell r="E28">
            <v>108505</v>
          </cell>
          <cell r="F28">
            <v>288025</v>
          </cell>
          <cell r="G28">
            <v>-179520</v>
          </cell>
        </row>
        <row r="29">
          <cell r="B29">
            <v>11000006</v>
          </cell>
          <cell r="C29" t="str">
            <v>TDS_Purchase on Good</v>
          </cell>
          <cell r="D29">
            <v>0</v>
          </cell>
          <cell r="E29">
            <v>1558896</v>
          </cell>
          <cell r="F29">
            <v>1624524</v>
          </cell>
          <cell r="G29">
            <v>-65628</v>
          </cell>
        </row>
        <row r="30">
          <cell r="B30">
            <v>11000007</v>
          </cell>
          <cell r="C30" t="str">
            <v>TDS_Salary_192</v>
          </cell>
          <cell r="D30">
            <v>0</v>
          </cell>
          <cell r="E30">
            <v>1444426</v>
          </cell>
          <cell r="F30">
            <v>1729107</v>
          </cell>
          <cell r="G30">
            <v>-284681</v>
          </cell>
        </row>
        <row r="31">
          <cell r="B31">
            <v>11000009</v>
          </cell>
          <cell r="C31" t="str">
            <v>TDS_Land Purchase_19</v>
          </cell>
          <cell r="D31">
            <v>0</v>
          </cell>
          <cell r="E31">
            <v>0</v>
          </cell>
          <cell r="F31">
            <v>0</v>
          </cell>
          <cell r="G31">
            <v>0</v>
          </cell>
        </row>
        <row r="32">
          <cell r="B32">
            <v>11000011</v>
          </cell>
          <cell r="C32" t="str">
            <v>PF Employee Contribu</v>
          </cell>
          <cell r="D32">
            <v>0</v>
          </cell>
          <cell r="E32">
            <v>790844</v>
          </cell>
          <cell r="F32">
            <v>981016</v>
          </cell>
          <cell r="G32">
            <v>-190172</v>
          </cell>
        </row>
        <row r="33">
          <cell r="B33">
            <v>11000012</v>
          </cell>
          <cell r="C33" t="str">
            <v>Professional Tax</v>
          </cell>
          <cell r="D33">
            <v>0</v>
          </cell>
          <cell r="E33">
            <v>75800</v>
          </cell>
          <cell r="F33">
            <v>91600</v>
          </cell>
          <cell r="G33">
            <v>-15800</v>
          </cell>
        </row>
        <row r="34">
          <cell r="B34">
            <v>11100002</v>
          </cell>
          <cell r="C34" t="str">
            <v>Retention Money</v>
          </cell>
          <cell r="D34">
            <v>0</v>
          </cell>
          <cell r="E34">
            <v>335992</v>
          </cell>
          <cell r="F34">
            <v>68062171.489999905</v>
          </cell>
          <cell r="G34">
            <v>-67726179.489999905</v>
          </cell>
        </row>
        <row r="35">
          <cell r="B35">
            <v>20000000</v>
          </cell>
          <cell r="C35" t="str">
            <v>Freehold land</v>
          </cell>
          <cell r="D35">
            <v>92904351</v>
          </cell>
          <cell r="E35">
            <v>695120</v>
          </cell>
          <cell r="F35">
            <v>0</v>
          </cell>
          <cell r="G35">
            <v>93599471</v>
          </cell>
        </row>
        <row r="36">
          <cell r="B36">
            <v>20000001</v>
          </cell>
          <cell r="C36" t="str">
            <v>Building</v>
          </cell>
          <cell r="D36">
            <v>0</v>
          </cell>
          <cell r="E36">
            <v>165421759.91</v>
          </cell>
          <cell r="F36">
            <v>0</v>
          </cell>
          <cell r="G36">
            <v>165421759.91</v>
          </cell>
        </row>
        <row r="37">
          <cell r="B37">
            <v>20000002</v>
          </cell>
          <cell r="C37" t="str">
            <v>ACC_DEP_Building</v>
          </cell>
          <cell r="D37">
            <v>0</v>
          </cell>
          <cell r="E37">
            <v>0</v>
          </cell>
          <cell r="F37">
            <v>1059936.1299999901</v>
          </cell>
          <cell r="G37">
            <v>-1059936.1299999901</v>
          </cell>
        </row>
        <row r="38">
          <cell r="B38">
            <v>20000003</v>
          </cell>
          <cell r="C38" t="str">
            <v>Plant and machinery</v>
          </cell>
          <cell r="D38">
            <v>0</v>
          </cell>
          <cell r="E38">
            <v>384413953.43000001</v>
          </cell>
          <cell r="F38">
            <v>0</v>
          </cell>
          <cell r="G38">
            <v>384413953.43000001</v>
          </cell>
        </row>
        <row r="39">
          <cell r="B39">
            <v>20000004</v>
          </cell>
          <cell r="C39" t="str">
            <v>ACC_DEP_Plant and ma</v>
          </cell>
          <cell r="D39">
            <v>0</v>
          </cell>
          <cell r="E39">
            <v>0</v>
          </cell>
          <cell r="F39">
            <v>2638679.6499999901</v>
          </cell>
          <cell r="G39">
            <v>-2638679.6499999901</v>
          </cell>
        </row>
        <row r="40">
          <cell r="B40">
            <v>20000007</v>
          </cell>
          <cell r="C40" t="str">
            <v>Computers</v>
          </cell>
          <cell r="D40">
            <v>0</v>
          </cell>
          <cell r="E40">
            <v>196133.06</v>
          </cell>
          <cell r="F40">
            <v>0</v>
          </cell>
          <cell r="G40">
            <v>196133.06</v>
          </cell>
        </row>
        <row r="41">
          <cell r="B41">
            <v>20000008</v>
          </cell>
          <cell r="C41" t="str">
            <v>ACC_DEP_Computers</v>
          </cell>
          <cell r="D41">
            <v>0</v>
          </cell>
          <cell r="E41">
            <v>2160.27</v>
          </cell>
          <cell r="F41">
            <v>44349.839999999902</v>
          </cell>
          <cell r="G41">
            <v>-42189.57</v>
          </cell>
        </row>
        <row r="42">
          <cell r="B42">
            <v>20000017</v>
          </cell>
          <cell r="C42" t="str">
            <v>Leasehold Land</v>
          </cell>
          <cell r="D42">
            <v>165189641</v>
          </cell>
          <cell r="E42">
            <v>159200000</v>
          </cell>
          <cell r="F42">
            <v>0</v>
          </cell>
          <cell r="G42">
            <v>324389641</v>
          </cell>
        </row>
        <row r="43">
          <cell r="B43">
            <v>20000018</v>
          </cell>
          <cell r="C43" t="str">
            <v>ACC_DEP_Leased Land</v>
          </cell>
          <cell r="D43">
            <v>-2362664.4300000002</v>
          </cell>
          <cell r="E43">
            <v>0</v>
          </cell>
          <cell r="F43">
            <v>3467334.25</v>
          </cell>
          <cell r="G43">
            <v>-5829998.6799999904</v>
          </cell>
        </row>
        <row r="44">
          <cell r="B44">
            <v>20100000</v>
          </cell>
          <cell r="C44" t="str">
            <v>Capital Work In Prog</v>
          </cell>
          <cell r="D44">
            <v>0</v>
          </cell>
          <cell r="E44">
            <v>3692178591.25</v>
          </cell>
          <cell r="F44">
            <v>1205255993.03</v>
          </cell>
          <cell r="G44">
            <v>2486922598.2199898</v>
          </cell>
        </row>
        <row r="45">
          <cell r="B45">
            <v>20100001</v>
          </cell>
          <cell r="C45" t="str">
            <v>Capital Advances</v>
          </cell>
          <cell r="D45">
            <v>0</v>
          </cell>
          <cell r="E45">
            <v>2031101528.78</v>
          </cell>
          <cell r="F45">
            <v>1672029054.25</v>
          </cell>
          <cell r="G45">
            <v>359072474.52999902</v>
          </cell>
        </row>
        <row r="46">
          <cell r="B46">
            <v>20100002</v>
          </cell>
          <cell r="C46" t="str">
            <v>Capital WIP IO</v>
          </cell>
          <cell r="D46">
            <v>16690918.220000001</v>
          </cell>
          <cell r="E46">
            <v>26352987.27</v>
          </cell>
          <cell r="F46">
            <v>12703985.380000001</v>
          </cell>
          <cell r="G46">
            <v>30339920.109999899</v>
          </cell>
        </row>
        <row r="47">
          <cell r="B47">
            <v>20100004</v>
          </cell>
          <cell r="C47" t="str">
            <v>AUC Cost</v>
          </cell>
          <cell r="D47">
            <v>0</v>
          </cell>
          <cell r="E47">
            <v>48156.629999999903</v>
          </cell>
          <cell r="F47">
            <v>7156.63</v>
          </cell>
          <cell r="G47">
            <v>41000</v>
          </cell>
        </row>
        <row r="48">
          <cell r="B48">
            <v>20200005</v>
          </cell>
          <cell r="C48" t="str">
            <v>HDFC MF_Arbitrage Fu</v>
          </cell>
          <cell r="D48">
            <v>0</v>
          </cell>
          <cell r="E48">
            <v>874975001.24000001</v>
          </cell>
          <cell r="F48">
            <v>874975001.24000001</v>
          </cell>
          <cell r="G48">
            <v>0</v>
          </cell>
        </row>
        <row r="49">
          <cell r="B49">
            <v>20200006</v>
          </cell>
          <cell r="C49" t="str">
            <v>HDFC MF_Overnight fu</v>
          </cell>
          <cell r="D49">
            <v>0</v>
          </cell>
          <cell r="E49">
            <v>250878441.47999901</v>
          </cell>
          <cell r="F49">
            <v>250878441.47999901</v>
          </cell>
          <cell r="G49">
            <v>0</v>
          </cell>
        </row>
        <row r="50">
          <cell r="B50">
            <v>20200007</v>
          </cell>
          <cell r="C50" t="str">
            <v>HDFC MF_Liquid Fu</v>
          </cell>
          <cell r="D50">
            <v>0</v>
          </cell>
          <cell r="E50">
            <v>502658647.49000001</v>
          </cell>
          <cell r="F50">
            <v>502658647.49000001</v>
          </cell>
          <cell r="G50">
            <v>0</v>
          </cell>
        </row>
        <row r="51">
          <cell r="B51">
            <v>20300000</v>
          </cell>
          <cell r="C51" t="str">
            <v>Deposit_Other</v>
          </cell>
          <cell r="D51">
            <v>0</v>
          </cell>
          <cell r="E51">
            <v>129535385</v>
          </cell>
          <cell r="F51">
            <v>100036000</v>
          </cell>
          <cell r="G51">
            <v>29499385</v>
          </cell>
        </row>
        <row r="52">
          <cell r="B52">
            <v>20400001</v>
          </cell>
          <cell r="C52" t="str">
            <v>IND AS - DTA</v>
          </cell>
          <cell r="D52">
            <v>95917.279999999897</v>
          </cell>
          <cell r="E52">
            <v>0</v>
          </cell>
          <cell r="F52">
            <v>0</v>
          </cell>
          <cell r="G52">
            <v>95917.279999999897</v>
          </cell>
        </row>
        <row r="53">
          <cell r="B53">
            <v>20500000</v>
          </cell>
          <cell r="C53" t="str">
            <v>Raw Material Stock</v>
          </cell>
          <cell r="D53">
            <v>0</v>
          </cell>
          <cell r="E53">
            <v>5488162</v>
          </cell>
          <cell r="F53">
            <v>5411722</v>
          </cell>
          <cell r="G53">
            <v>76440</v>
          </cell>
        </row>
        <row r="54">
          <cell r="B54">
            <v>20500003</v>
          </cell>
          <cell r="C54" t="str">
            <v>SFG Stock in Plants</v>
          </cell>
          <cell r="D54">
            <v>0</v>
          </cell>
          <cell r="E54">
            <v>11175410.42</v>
          </cell>
          <cell r="F54">
            <v>11123203.42</v>
          </cell>
          <cell r="G54">
            <v>52207</v>
          </cell>
        </row>
        <row r="55">
          <cell r="B55">
            <v>20500004</v>
          </cell>
          <cell r="C55" t="str">
            <v>Finish Goods Stock</v>
          </cell>
          <cell r="D55">
            <v>0</v>
          </cell>
          <cell r="E55">
            <v>5504576</v>
          </cell>
          <cell r="F55">
            <v>5504576</v>
          </cell>
          <cell r="G55">
            <v>0</v>
          </cell>
        </row>
        <row r="56">
          <cell r="B56">
            <v>20500005</v>
          </cell>
          <cell r="C56" t="str">
            <v>Store and Spares -</v>
          </cell>
          <cell r="D56">
            <v>0</v>
          </cell>
          <cell r="E56">
            <v>6154580</v>
          </cell>
          <cell r="F56">
            <v>6050580</v>
          </cell>
          <cell r="G56">
            <v>104000</v>
          </cell>
        </row>
        <row r="57">
          <cell r="B57">
            <v>20500006</v>
          </cell>
          <cell r="C57" t="str">
            <v>Goods In Transit - S</v>
          </cell>
          <cell r="D57">
            <v>0</v>
          </cell>
          <cell r="E57">
            <v>1159004</v>
          </cell>
          <cell r="F57">
            <v>0</v>
          </cell>
          <cell r="G57">
            <v>1159004</v>
          </cell>
        </row>
        <row r="58">
          <cell r="B58">
            <v>20600001</v>
          </cell>
          <cell r="C58" t="str">
            <v>Receivables-Domestic</v>
          </cell>
          <cell r="D58">
            <v>0</v>
          </cell>
          <cell r="E58">
            <v>7599029.6799999904</v>
          </cell>
          <cell r="F58">
            <v>610060</v>
          </cell>
          <cell r="G58">
            <v>6988969.6799999904</v>
          </cell>
        </row>
        <row r="59">
          <cell r="B59">
            <v>20600004</v>
          </cell>
          <cell r="C59" t="str">
            <v>Receivables- Scrap</v>
          </cell>
          <cell r="D59">
            <v>0</v>
          </cell>
          <cell r="E59">
            <v>48174</v>
          </cell>
          <cell r="F59">
            <v>48174</v>
          </cell>
          <cell r="G59">
            <v>0</v>
          </cell>
        </row>
        <row r="60">
          <cell r="B60">
            <v>20600006</v>
          </cell>
          <cell r="C60" t="str">
            <v>Receivables- GIT</v>
          </cell>
          <cell r="D60">
            <v>0</v>
          </cell>
          <cell r="E60">
            <v>0</v>
          </cell>
          <cell r="F60">
            <v>1375000</v>
          </cell>
          <cell r="G60">
            <v>-1375000</v>
          </cell>
        </row>
        <row r="61">
          <cell r="B61">
            <v>20600009</v>
          </cell>
          <cell r="C61" t="str">
            <v>Receivables- Advance</v>
          </cell>
          <cell r="D61">
            <v>0</v>
          </cell>
          <cell r="E61">
            <v>48174</v>
          </cell>
          <cell r="F61">
            <v>51542</v>
          </cell>
          <cell r="G61">
            <v>-3368</v>
          </cell>
        </row>
        <row r="62">
          <cell r="B62">
            <v>20800001</v>
          </cell>
          <cell r="C62" t="str">
            <v>CC_Citi_0714430009</v>
          </cell>
          <cell r="D62">
            <v>0</v>
          </cell>
          <cell r="E62">
            <v>0</v>
          </cell>
          <cell r="F62">
            <v>0</v>
          </cell>
          <cell r="G62">
            <v>0</v>
          </cell>
        </row>
        <row r="63">
          <cell r="B63">
            <v>20800002</v>
          </cell>
          <cell r="C63" t="str">
            <v>CC_Citi_0714430009</v>
          </cell>
          <cell r="D63">
            <v>0</v>
          </cell>
          <cell r="E63">
            <v>0</v>
          </cell>
          <cell r="F63">
            <v>0</v>
          </cell>
          <cell r="G63">
            <v>0</v>
          </cell>
        </row>
        <row r="64">
          <cell r="B64">
            <v>20800012</v>
          </cell>
          <cell r="C64" t="str">
            <v>CA_HDFC_575000006388</v>
          </cell>
          <cell r="D64">
            <v>0</v>
          </cell>
          <cell r="E64">
            <v>0</v>
          </cell>
          <cell r="F64">
            <v>0</v>
          </cell>
          <cell r="G64">
            <v>0</v>
          </cell>
        </row>
        <row r="65">
          <cell r="B65">
            <v>20800082</v>
          </cell>
          <cell r="C65" t="str">
            <v>CC_Kotak_4845146848</v>
          </cell>
          <cell r="D65">
            <v>0</v>
          </cell>
          <cell r="E65">
            <v>0</v>
          </cell>
          <cell r="F65">
            <v>0</v>
          </cell>
          <cell r="G65">
            <v>0</v>
          </cell>
        </row>
        <row r="66">
          <cell r="B66">
            <v>20800103</v>
          </cell>
          <cell r="C66" t="str">
            <v>CA_Axis_923020020435</v>
          </cell>
          <cell r="D66">
            <v>0</v>
          </cell>
          <cell r="E66">
            <v>999987669</v>
          </cell>
          <cell r="F66">
            <v>999987669</v>
          </cell>
          <cell r="G66">
            <v>0</v>
          </cell>
        </row>
        <row r="67">
          <cell r="B67">
            <v>20800110</v>
          </cell>
          <cell r="C67" t="str">
            <v>HDFC_57500000732637</v>
          </cell>
          <cell r="D67">
            <v>475423.64</v>
          </cell>
          <cell r="E67">
            <v>0.83999999999999897</v>
          </cell>
          <cell r="F67">
            <v>0</v>
          </cell>
          <cell r="G67">
            <v>475424.47999999899</v>
          </cell>
        </row>
        <row r="68">
          <cell r="B68">
            <v>20800111</v>
          </cell>
          <cell r="C68" t="str">
            <v>HDFC_57500000732637</v>
          </cell>
          <cell r="D68">
            <v>88800000</v>
          </cell>
          <cell r="E68">
            <v>990558925.87</v>
          </cell>
          <cell r="F68">
            <v>0</v>
          </cell>
          <cell r="G68">
            <v>1079358925.8699901</v>
          </cell>
        </row>
        <row r="69">
          <cell r="B69">
            <v>20800112</v>
          </cell>
          <cell r="C69" t="str">
            <v>HDFC_57500000732637</v>
          </cell>
          <cell r="D69">
            <v>-87971706.5</v>
          </cell>
          <cell r="E69">
            <v>22896424.890000001</v>
          </cell>
          <cell r="F69">
            <v>1013993539.87</v>
          </cell>
          <cell r="G69">
            <v>-1079068821.48</v>
          </cell>
        </row>
        <row r="70">
          <cell r="B70">
            <v>20800121</v>
          </cell>
          <cell r="C70" t="str">
            <v>CA_Axis_923020022099</v>
          </cell>
          <cell r="D70">
            <v>0</v>
          </cell>
          <cell r="E70">
            <v>2570648582.2800002</v>
          </cell>
          <cell r="F70">
            <v>0</v>
          </cell>
          <cell r="G70">
            <v>2570648582.2800002</v>
          </cell>
        </row>
        <row r="71">
          <cell r="B71">
            <v>20800122</v>
          </cell>
          <cell r="C71" t="str">
            <v>CA_Axis_923020022099</v>
          </cell>
          <cell r="D71">
            <v>0</v>
          </cell>
          <cell r="E71">
            <v>252200349.47</v>
          </cell>
          <cell r="F71">
            <v>2806071268.46</v>
          </cell>
          <cell r="G71">
            <v>-2553870918.9899902</v>
          </cell>
        </row>
        <row r="72">
          <cell r="B72">
            <v>20900003</v>
          </cell>
          <cell r="C72" t="str">
            <v>FD_Axis</v>
          </cell>
          <cell r="D72">
            <v>0</v>
          </cell>
          <cell r="E72">
            <v>620605782</v>
          </cell>
          <cell r="F72">
            <v>616020000</v>
          </cell>
          <cell r="G72">
            <v>4585782</v>
          </cell>
        </row>
        <row r="73">
          <cell r="B73">
            <v>21000003</v>
          </cell>
          <cell r="C73" t="str">
            <v>TDS Receiveable_194Q</v>
          </cell>
          <cell r="D73">
            <v>0</v>
          </cell>
          <cell r="E73">
            <v>517</v>
          </cell>
          <cell r="F73">
            <v>0</v>
          </cell>
          <cell r="G73">
            <v>517</v>
          </cell>
        </row>
        <row r="74">
          <cell r="B74">
            <v>21000004</v>
          </cell>
          <cell r="C74" t="str">
            <v>TDS Receivable_Other</v>
          </cell>
          <cell r="D74">
            <v>0</v>
          </cell>
          <cell r="E74">
            <v>1428102.08</v>
          </cell>
          <cell r="F74">
            <v>0</v>
          </cell>
          <cell r="G74">
            <v>1428102.08</v>
          </cell>
        </row>
        <row r="75">
          <cell r="B75">
            <v>21000008</v>
          </cell>
          <cell r="C75" t="str">
            <v>CGST Payable</v>
          </cell>
          <cell r="D75">
            <v>0</v>
          </cell>
          <cell r="E75">
            <v>273407</v>
          </cell>
          <cell r="F75">
            <v>294932.2</v>
          </cell>
          <cell r="G75">
            <v>-21525.200000000001</v>
          </cell>
        </row>
        <row r="76">
          <cell r="B76">
            <v>21000009</v>
          </cell>
          <cell r="C76" t="str">
            <v>SGST Payable</v>
          </cell>
          <cell r="D76">
            <v>0</v>
          </cell>
          <cell r="E76">
            <v>273407</v>
          </cell>
          <cell r="F76">
            <v>294932.2</v>
          </cell>
          <cell r="G76">
            <v>-21525.200000000001</v>
          </cell>
        </row>
        <row r="77">
          <cell r="B77">
            <v>21000010</v>
          </cell>
          <cell r="C77" t="str">
            <v>IGST Payable</v>
          </cell>
          <cell r="D77">
            <v>0</v>
          </cell>
          <cell r="E77">
            <v>1013760</v>
          </cell>
          <cell r="F77">
            <v>1013760</v>
          </cell>
          <cell r="G77">
            <v>0</v>
          </cell>
        </row>
        <row r="78">
          <cell r="B78">
            <v>21000011</v>
          </cell>
          <cell r="C78" t="str">
            <v>CGST Receivable</v>
          </cell>
          <cell r="D78">
            <v>14599464.810000001</v>
          </cell>
          <cell r="E78">
            <v>160778972.87</v>
          </cell>
          <cell r="F78">
            <v>29373363.850000001</v>
          </cell>
          <cell r="G78">
            <v>146005073.83000001</v>
          </cell>
        </row>
        <row r="79">
          <cell r="B79">
            <v>21000012</v>
          </cell>
          <cell r="C79" t="str">
            <v>IGST Receivable</v>
          </cell>
          <cell r="D79">
            <v>1217194.04</v>
          </cell>
          <cell r="E79">
            <v>148959506.47999901</v>
          </cell>
          <cell r="F79">
            <v>73534733</v>
          </cell>
          <cell r="G79">
            <v>76641967.519999906</v>
          </cell>
        </row>
        <row r="80">
          <cell r="B80">
            <v>21000013</v>
          </cell>
          <cell r="C80" t="str">
            <v>SGST Receivable</v>
          </cell>
          <cell r="D80">
            <v>14599464.810000001</v>
          </cell>
          <cell r="E80">
            <v>160778972.87</v>
          </cell>
          <cell r="F80">
            <v>29373363.850000001</v>
          </cell>
          <cell r="G80">
            <v>146005073.83000001</v>
          </cell>
        </row>
        <row r="81">
          <cell r="B81">
            <v>21000014</v>
          </cell>
          <cell r="C81" t="str">
            <v>GST Refund_GST Depar</v>
          </cell>
          <cell r="D81">
            <v>0</v>
          </cell>
          <cell r="E81">
            <v>134593710</v>
          </cell>
          <cell r="F81">
            <v>116682956</v>
          </cell>
          <cell r="G81">
            <v>17910754</v>
          </cell>
        </row>
        <row r="82">
          <cell r="B82">
            <v>21000016</v>
          </cell>
          <cell r="C82" t="str">
            <v>TCS Receivable</v>
          </cell>
          <cell r="D82">
            <v>0</v>
          </cell>
          <cell r="E82">
            <v>45190.05</v>
          </cell>
          <cell r="F82">
            <v>0</v>
          </cell>
          <cell r="G82">
            <v>45190.05</v>
          </cell>
        </row>
        <row r="83">
          <cell r="B83">
            <v>21000018</v>
          </cell>
          <cell r="C83" t="str">
            <v>ITC not in GSTR 2B</v>
          </cell>
          <cell r="D83">
            <v>0</v>
          </cell>
          <cell r="E83">
            <v>6496033</v>
          </cell>
          <cell r="F83">
            <v>3934407</v>
          </cell>
          <cell r="G83">
            <v>2561626</v>
          </cell>
        </row>
        <row r="84">
          <cell r="B84">
            <v>21100004</v>
          </cell>
          <cell r="C84" t="str">
            <v>Advances to Emp</v>
          </cell>
          <cell r="D84">
            <v>0</v>
          </cell>
          <cell r="E84">
            <v>485000</v>
          </cell>
          <cell r="F84">
            <v>404242</v>
          </cell>
          <cell r="G84">
            <v>80758</v>
          </cell>
        </row>
        <row r="85">
          <cell r="B85">
            <v>21100011</v>
          </cell>
          <cell r="C85" t="str">
            <v>Advance to Vendor</v>
          </cell>
          <cell r="D85">
            <v>0</v>
          </cell>
          <cell r="E85">
            <v>25171855.82</v>
          </cell>
          <cell r="F85">
            <v>24229173.82</v>
          </cell>
          <cell r="G85">
            <v>942682</v>
          </cell>
        </row>
        <row r="86">
          <cell r="B86">
            <v>21100012</v>
          </cell>
          <cell r="C86" t="str">
            <v>Loan to BVO frm BVCS</v>
          </cell>
          <cell r="D86">
            <v>0</v>
          </cell>
          <cell r="E86">
            <v>339929077.89999902</v>
          </cell>
          <cell r="F86">
            <v>47000000</v>
          </cell>
          <cell r="G86">
            <v>292929077.89999902</v>
          </cell>
        </row>
        <row r="87">
          <cell r="B87">
            <v>21100014</v>
          </cell>
          <cell r="C87" t="str">
            <v>IND AS - E'yee Recei</v>
          </cell>
          <cell r="D87">
            <v>0</v>
          </cell>
          <cell r="E87">
            <v>1778373.36</v>
          </cell>
          <cell r="F87">
            <v>213621.239999999</v>
          </cell>
          <cell r="G87">
            <v>1564752.12</v>
          </cell>
        </row>
        <row r="88">
          <cell r="B88">
            <v>30000000</v>
          </cell>
          <cell r="C88" t="str">
            <v>Sales Export</v>
          </cell>
          <cell r="D88">
            <v>0</v>
          </cell>
          <cell r="E88">
            <v>0</v>
          </cell>
          <cell r="F88">
            <v>1989680</v>
          </cell>
          <cell r="G88">
            <v>-1989680</v>
          </cell>
        </row>
        <row r="89">
          <cell r="B89">
            <v>30000001</v>
          </cell>
          <cell r="C89" t="str">
            <v>Domestic Sales</v>
          </cell>
          <cell r="D89">
            <v>0</v>
          </cell>
          <cell r="E89">
            <v>0</v>
          </cell>
          <cell r="F89">
            <v>4752000</v>
          </cell>
          <cell r="G89">
            <v>-4752000</v>
          </cell>
        </row>
        <row r="90">
          <cell r="B90">
            <v>30000007</v>
          </cell>
          <cell r="C90" t="str">
            <v>Sales In transit</v>
          </cell>
          <cell r="D90">
            <v>0</v>
          </cell>
          <cell r="E90">
            <v>1375000</v>
          </cell>
          <cell r="F90">
            <v>0</v>
          </cell>
          <cell r="G90">
            <v>1375000</v>
          </cell>
        </row>
        <row r="91">
          <cell r="B91">
            <v>30100000</v>
          </cell>
          <cell r="C91" t="str">
            <v>Unrealised Forex Gai</v>
          </cell>
          <cell r="D91">
            <v>0</v>
          </cell>
          <cell r="E91">
            <v>0</v>
          </cell>
          <cell r="F91">
            <v>61081</v>
          </cell>
          <cell r="G91">
            <v>-61081</v>
          </cell>
        </row>
        <row r="92">
          <cell r="B92">
            <v>30100001</v>
          </cell>
          <cell r="C92" t="str">
            <v>Realised Forex Gain/</v>
          </cell>
          <cell r="D92">
            <v>0</v>
          </cell>
          <cell r="E92">
            <v>1859.89</v>
          </cell>
          <cell r="F92">
            <v>126140.539999999</v>
          </cell>
          <cell r="G92">
            <v>-124280.649999999</v>
          </cell>
        </row>
        <row r="93">
          <cell r="B93">
            <v>30100004</v>
          </cell>
          <cell r="C93" t="str">
            <v>Interest on Bank Dep</v>
          </cell>
          <cell r="D93">
            <v>0</v>
          </cell>
          <cell r="E93">
            <v>0</v>
          </cell>
          <cell r="F93">
            <v>1688592.3999999899</v>
          </cell>
          <cell r="G93">
            <v>-1688592.3999999899</v>
          </cell>
        </row>
        <row r="94">
          <cell r="B94">
            <v>30100005</v>
          </cell>
          <cell r="C94" t="str">
            <v>Other Income</v>
          </cell>
          <cell r="D94">
            <v>0</v>
          </cell>
          <cell r="E94">
            <v>12674410.779999901</v>
          </cell>
          <cell r="F94">
            <v>12720290.779999901</v>
          </cell>
          <cell r="G94">
            <v>-45880</v>
          </cell>
        </row>
        <row r="95">
          <cell r="B95">
            <v>30100013</v>
          </cell>
          <cell r="C95" t="str">
            <v>Gain/Loss from MF In</v>
          </cell>
          <cell r="D95">
            <v>0</v>
          </cell>
          <cell r="E95">
            <v>0</v>
          </cell>
          <cell r="F95">
            <v>17331137.02</v>
          </cell>
          <cell r="G95">
            <v>-17331137.02</v>
          </cell>
        </row>
        <row r="96">
          <cell r="B96">
            <v>30100015</v>
          </cell>
          <cell r="C96" t="str">
            <v>IND AS - Interest</v>
          </cell>
          <cell r="D96">
            <v>0</v>
          </cell>
          <cell r="E96">
            <v>0</v>
          </cell>
          <cell r="F96">
            <v>67838.91</v>
          </cell>
          <cell r="G96">
            <v>-67838.91</v>
          </cell>
        </row>
        <row r="97">
          <cell r="B97">
            <v>40100002</v>
          </cell>
          <cell r="C97" t="str">
            <v>Freight Inward Local</v>
          </cell>
          <cell r="D97">
            <v>0</v>
          </cell>
          <cell r="E97">
            <v>23700</v>
          </cell>
          <cell r="F97">
            <v>11850</v>
          </cell>
          <cell r="G97">
            <v>11850</v>
          </cell>
        </row>
        <row r="98">
          <cell r="B98">
            <v>40100007</v>
          </cell>
          <cell r="C98" t="str">
            <v>COGS SFG and FG</v>
          </cell>
          <cell r="D98">
            <v>0</v>
          </cell>
          <cell r="E98">
            <v>5504576</v>
          </cell>
          <cell r="F98">
            <v>0</v>
          </cell>
          <cell r="G98">
            <v>5504576</v>
          </cell>
        </row>
        <row r="99">
          <cell r="B99">
            <v>40100008</v>
          </cell>
          <cell r="C99" t="str">
            <v>Consumption of RM</v>
          </cell>
          <cell r="D99">
            <v>0</v>
          </cell>
          <cell r="E99">
            <v>5411722</v>
          </cell>
          <cell r="F99">
            <v>0</v>
          </cell>
          <cell r="G99">
            <v>5411722</v>
          </cell>
        </row>
        <row r="100">
          <cell r="B100">
            <v>40100009</v>
          </cell>
          <cell r="C100" t="str">
            <v>Consumption of SFG</v>
          </cell>
          <cell r="D100">
            <v>0</v>
          </cell>
          <cell r="E100">
            <v>11123203.42</v>
          </cell>
          <cell r="F100">
            <v>0</v>
          </cell>
          <cell r="G100">
            <v>11123203.42</v>
          </cell>
        </row>
        <row r="101">
          <cell r="B101">
            <v>40200000</v>
          </cell>
          <cell r="C101" t="str">
            <v>COGM Material</v>
          </cell>
          <cell r="D101">
            <v>0</v>
          </cell>
          <cell r="E101">
            <v>0</v>
          </cell>
          <cell r="F101">
            <v>16656866.42</v>
          </cell>
          <cell r="G101">
            <v>-16656866.42</v>
          </cell>
        </row>
        <row r="102">
          <cell r="B102">
            <v>40200001</v>
          </cell>
          <cell r="C102" t="str">
            <v>COGM SFG and FG</v>
          </cell>
          <cell r="D102">
            <v>0</v>
          </cell>
          <cell r="E102">
            <v>0</v>
          </cell>
          <cell r="F102">
            <v>23120</v>
          </cell>
          <cell r="G102">
            <v>-23120</v>
          </cell>
        </row>
        <row r="103">
          <cell r="B103">
            <v>40200006</v>
          </cell>
          <cell r="C103" t="str">
            <v>Month end Adj - Mat</v>
          </cell>
          <cell r="D103">
            <v>0</v>
          </cell>
          <cell r="E103">
            <v>0</v>
          </cell>
          <cell r="F103">
            <v>1159004</v>
          </cell>
          <cell r="G103">
            <v>-1159004</v>
          </cell>
        </row>
        <row r="104">
          <cell r="B104">
            <v>40300000</v>
          </cell>
          <cell r="C104" t="str">
            <v>Staff Welfare Expens</v>
          </cell>
          <cell r="D104">
            <v>0</v>
          </cell>
          <cell r="E104">
            <v>236653</v>
          </cell>
          <cell r="F104">
            <v>236653</v>
          </cell>
          <cell r="G104">
            <v>0</v>
          </cell>
        </row>
        <row r="105">
          <cell r="B105">
            <v>40300003</v>
          </cell>
          <cell r="C105" t="str">
            <v>Admin Charges on PF</v>
          </cell>
          <cell r="D105">
            <v>0</v>
          </cell>
          <cell r="E105">
            <v>32952</v>
          </cell>
          <cell r="F105">
            <v>32952</v>
          </cell>
          <cell r="G105">
            <v>0</v>
          </cell>
        </row>
        <row r="106">
          <cell r="B106">
            <v>40300004</v>
          </cell>
          <cell r="C106" t="str">
            <v>Basic Salary</v>
          </cell>
          <cell r="D106">
            <v>0</v>
          </cell>
          <cell r="E106">
            <v>17699002.030000001</v>
          </cell>
          <cell r="F106">
            <v>17350952.030000001</v>
          </cell>
          <cell r="G106">
            <v>348050</v>
          </cell>
        </row>
        <row r="107">
          <cell r="B107">
            <v>40300005</v>
          </cell>
          <cell r="C107" t="str">
            <v>Bonus_BVC Employee</v>
          </cell>
          <cell r="D107">
            <v>0</v>
          </cell>
          <cell r="E107">
            <v>917959</v>
          </cell>
          <cell r="F107">
            <v>917959</v>
          </cell>
          <cell r="G107">
            <v>0</v>
          </cell>
        </row>
        <row r="108">
          <cell r="B108">
            <v>40300006</v>
          </cell>
          <cell r="C108" t="str">
            <v>Company Contribution</v>
          </cell>
          <cell r="D108">
            <v>0</v>
          </cell>
          <cell r="E108">
            <v>809641</v>
          </cell>
          <cell r="F108">
            <v>809641</v>
          </cell>
          <cell r="G108">
            <v>0</v>
          </cell>
        </row>
        <row r="109">
          <cell r="B109">
            <v>40300007</v>
          </cell>
          <cell r="C109" t="str">
            <v>Conveyance Allowance</v>
          </cell>
          <cell r="D109">
            <v>0</v>
          </cell>
          <cell r="E109">
            <v>265806.46000000002</v>
          </cell>
          <cell r="F109">
            <v>265806.46000000002</v>
          </cell>
          <cell r="G109">
            <v>0</v>
          </cell>
        </row>
        <row r="110">
          <cell r="B110">
            <v>40300008</v>
          </cell>
          <cell r="C110" t="str">
            <v>Education Allowance</v>
          </cell>
          <cell r="D110">
            <v>0</v>
          </cell>
          <cell r="E110">
            <v>15113.219999999899</v>
          </cell>
          <cell r="F110">
            <v>15113.219999999899</v>
          </cell>
          <cell r="G110">
            <v>0</v>
          </cell>
        </row>
        <row r="111">
          <cell r="B111">
            <v>40300010</v>
          </cell>
          <cell r="C111" t="str">
            <v>Gratuity Expenses</v>
          </cell>
          <cell r="D111">
            <v>0</v>
          </cell>
          <cell r="E111">
            <v>1269016</v>
          </cell>
          <cell r="F111">
            <v>1269016</v>
          </cell>
          <cell r="G111">
            <v>0</v>
          </cell>
        </row>
        <row r="112">
          <cell r="B112">
            <v>40300011</v>
          </cell>
          <cell r="C112" t="str">
            <v>House Rent Allowance</v>
          </cell>
          <cell r="D112">
            <v>0</v>
          </cell>
          <cell r="E112">
            <v>5817678.6699999897</v>
          </cell>
          <cell r="F112">
            <v>5817678.6699999897</v>
          </cell>
          <cell r="G112">
            <v>0</v>
          </cell>
        </row>
        <row r="113">
          <cell r="B113">
            <v>40300012</v>
          </cell>
          <cell r="C113" t="str">
            <v>Leave Salary- BVCPL</v>
          </cell>
          <cell r="D113">
            <v>0</v>
          </cell>
          <cell r="E113">
            <v>1362560</v>
          </cell>
          <cell r="F113">
            <v>1362560</v>
          </cell>
          <cell r="G113">
            <v>0</v>
          </cell>
        </row>
        <row r="114">
          <cell r="B114">
            <v>40300016</v>
          </cell>
          <cell r="C114" t="str">
            <v>Other Allowance</v>
          </cell>
          <cell r="D114">
            <v>0</v>
          </cell>
          <cell r="E114">
            <v>8449949.5500000007</v>
          </cell>
          <cell r="F114">
            <v>8449949.5500000007</v>
          </cell>
          <cell r="G114">
            <v>0</v>
          </cell>
        </row>
        <row r="115">
          <cell r="B115">
            <v>40300017</v>
          </cell>
          <cell r="C115" t="str">
            <v>Productivity Incenti</v>
          </cell>
          <cell r="D115">
            <v>0</v>
          </cell>
          <cell r="E115">
            <v>73938</v>
          </cell>
          <cell r="F115">
            <v>73938</v>
          </cell>
          <cell r="G115">
            <v>0</v>
          </cell>
        </row>
        <row r="116">
          <cell r="B116">
            <v>40300019</v>
          </cell>
          <cell r="C116" t="str">
            <v>Helper Allowance</v>
          </cell>
          <cell r="D116">
            <v>0</v>
          </cell>
          <cell r="E116">
            <v>72000</v>
          </cell>
          <cell r="F116">
            <v>72000</v>
          </cell>
          <cell r="G116">
            <v>0</v>
          </cell>
        </row>
        <row r="117">
          <cell r="B117">
            <v>40300024</v>
          </cell>
          <cell r="C117" t="str">
            <v>Monthly Prod Incenti</v>
          </cell>
          <cell r="D117">
            <v>0</v>
          </cell>
          <cell r="E117">
            <v>542743</v>
          </cell>
          <cell r="F117">
            <v>542743</v>
          </cell>
          <cell r="G117">
            <v>0</v>
          </cell>
        </row>
        <row r="118">
          <cell r="B118">
            <v>40400000</v>
          </cell>
          <cell r="C118" t="str">
            <v>Interest on MSME</v>
          </cell>
          <cell r="D118">
            <v>0</v>
          </cell>
          <cell r="E118">
            <v>1356109.54</v>
          </cell>
          <cell r="F118">
            <v>0</v>
          </cell>
          <cell r="G118">
            <v>1356109.54</v>
          </cell>
        </row>
        <row r="119">
          <cell r="B119">
            <v>40400001</v>
          </cell>
          <cell r="C119" t="str">
            <v>Other Bank Charges</v>
          </cell>
          <cell r="D119">
            <v>0</v>
          </cell>
          <cell r="E119">
            <v>74893.059999999896</v>
          </cell>
          <cell r="F119">
            <v>74893.059999999896</v>
          </cell>
          <cell r="G119">
            <v>0</v>
          </cell>
        </row>
        <row r="120">
          <cell r="B120">
            <v>40400004</v>
          </cell>
          <cell r="C120" t="str">
            <v>Import Payment_Charg</v>
          </cell>
          <cell r="D120">
            <v>0</v>
          </cell>
          <cell r="E120">
            <v>17912.0999999999</v>
          </cell>
          <cell r="F120">
            <v>17912.0999999999</v>
          </cell>
          <cell r="G120">
            <v>0</v>
          </cell>
        </row>
        <row r="121">
          <cell r="B121">
            <v>40400009</v>
          </cell>
          <cell r="C121" t="str">
            <v>Interest on Term Loa</v>
          </cell>
          <cell r="D121">
            <v>0</v>
          </cell>
          <cell r="E121">
            <v>47774104</v>
          </cell>
          <cell r="F121">
            <v>47774104</v>
          </cell>
          <cell r="G121">
            <v>0</v>
          </cell>
        </row>
        <row r="122">
          <cell r="B122">
            <v>40400014</v>
          </cell>
          <cell r="C122" t="str">
            <v>Processing and Stamp</v>
          </cell>
          <cell r="D122">
            <v>0</v>
          </cell>
          <cell r="E122">
            <v>305812.89</v>
          </cell>
          <cell r="F122">
            <v>243316</v>
          </cell>
          <cell r="G122">
            <v>62496.889999999898</v>
          </cell>
        </row>
        <row r="123">
          <cell r="B123">
            <v>40400016</v>
          </cell>
          <cell r="C123" t="str">
            <v>IND AS - Int on Pref</v>
          </cell>
          <cell r="D123">
            <v>0</v>
          </cell>
          <cell r="E123">
            <v>2253001.29</v>
          </cell>
          <cell r="F123">
            <v>0</v>
          </cell>
          <cell r="G123">
            <v>2253001.29</v>
          </cell>
        </row>
        <row r="124">
          <cell r="B124">
            <v>40400019</v>
          </cell>
          <cell r="C124" t="str">
            <v>IND AS - TL Interest</v>
          </cell>
          <cell r="D124">
            <v>0</v>
          </cell>
          <cell r="E124">
            <v>71428.570000000007</v>
          </cell>
          <cell r="F124">
            <v>0</v>
          </cell>
          <cell r="G124">
            <v>71428.570000000007</v>
          </cell>
        </row>
        <row r="125">
          <cell r="B125">
            <v>40500000</v>
          </cell>
          <cell r="C125" t="str">
            <v>ACC_DEP_Building</v>
          </cell>
          <cell r="D125">
            <v>0</v>
          </cell>
          <cell r="E125">
            <v>1059936.1299999901</v>
          </cell>
          <cell r="F125">
            <v>0</v>
          </cell>
          <cell r="G125">
            <v>1059936.1299999901</v>
          </cell>
        </row>
        <row r="126">
          <cell r="B126">
            <v>40500001</v>
          </cell>
          <cell r="C126" t="str">
            <v>ACC_DEP_Plant and ma</v>
          </cell>
          <cell r="D126">
            <v>0</v>
          </cell>
          <cell r="E126">
            <v>2638679.6499999901</v>
          </cell>
          <cell r="F126">
            <v>0</v>
          </cell>
          <cell r="G126">
            <v>2638679.6499999901</v>
          </cell>
        </row>
        <row r="127">
          <cell r="B127">
            <v>40500003</v>
          </cell>
          <cell r="C127" t="str">
            <v>ACC_DEP_Computers</v>
          </cell>
          <cell r="D127">
            <v>0</v>
          </cell>
          <cell r="E127">
            <v>44349.839999999902</v>
          </cell>
          <cell r="F127">
            <v>2160.27</v>
          </cell>
          <cell r="G127">
            <v>42189.57</v>
          </cell>
        </row>
        <row r="128">
          <cell r="B128">
            <v>40500008</v>
          </cell>
          <cell r="C128" t="str">
            <v>ACC_DEP_Leased Land</v>
          </cell>
          <cell r="D128">
            <v>0</v>
          </cell>
          <cell r="E128">
            <v>3467334.25</v>
          </cell>
          <cell r="F128">
            <v>0</v>
          </cell>
          <cell r="G128">
            <v>3467334.25</v>
          </cell>
        </row>
        <row r="129">
          <cell r="B129">
            <v>40600002</v>
          </cell>
          <cell r="C129" t="str">
            <v>Cons Stores &amp; Spares</v>
          </cell>
          <cell r="D129">
            <v>0</v>
          </cell>
          <cell r="E129">
            <v>7580</v>
          </cell>
          <cell r="F129">
            <v>0</v>
          </cell>
          <cell r="G129">
            <v>7580</v>
          </cell>
        </row>
        <row r="130">
          <cell r="B130">
            <v>40600003</v>
          </cell>
          <cell r="C130" t="str">
            <v>Cons of Consumables</v>
          </cell>
          <cell r="D130">
            <v>0</v>
          </cell>
          <cell r="E130">
            <v>0</v>
          </cell>
          <cell r="F130">
            <v>7580</v>
          </cell>
          <cell r="G130">
            <v>-7580</v>
          </cell>
        </row>
        <row r="131">
          <cell r="B131">
            <v>40600004</v>
          </cell>
          <cell r="C131" t="str">
            <v>Power Cost_Factory</v>
          </cell>
          <cell r="D131">
            <v>0</v>
          </cell>
          <cell r="E131">
            <v>1534042</v>
          </cell>
          <cell r="F131">
            <v>1524042.31</v>
          </cell>
          <cell r="G131">
            <v>9999.69</v>
          </cell>
        </row>
        <row r="132">
          <cell r="B132">
            <v>40700001</v>
          </cell>
          <cell r="C132" t="str">
            <v>Conveyance Expenses</v>
          </cell>
          <cell r="D132">
            <v>0</v>
          </cell>
          <cell r="E132">
            <v>140000</v>
          </cell>
          <cell r="F132">
            <v>140000</v>
          </cell>
          <cell r="G132">
            <v>0</v>
          </cell>
        </row>
        <row r="133">
          <cell r="B133">
            <v>40700007</v>
          </cell>
          <cell r="C133" t="str">
            <v>Professional &amp; Consu</v>
          </cell>
          <cell r="D133">
            <v>0</v>
          </cell>
          <cell r="E133">
            <v>815000</v>
          </cell>
          <cell r="F133">
            <v>215000</v>
          </cell>
          <cell r="G133">
            <v>600000</v>
          </cell>
        </row>
        <row r="134">
          <cell r="B134">
            <v>40700008</v>
          </cell>
          <cell r="C134" t="str">
            <v>Rates and Taxes</v>
          </cell>
          <cell r="D134">
            <v>0</v>
          </cell>
          <cell r="E134">
            <v>420541</v>
          </cell>
          <cell r="F134">
            <v>0</v>
          </cell>
          <cell r="G134">
            <v>420541</v>
          </cell>
        </row>
        <row r="135">
          <cell r="B135">
            <v>40700014</v>
          </cell>
          <cell r="C135" t="str">
            <v>Insurance Expense</v>
          </cell>
          <cell r="D135">
            <v>0</v>
          </cell>
          <cell r="E135">
            <v>37382.919999999896</v>
          </cell>
          <cell r="F135">
            <v>0</v>
          </cell>
          <cell r="G135">
            <v>37382.919999999896</v>
          </cell>
        </row>
        <row r="136">
          <cell r="B136">
            <v>40700015</v>
          </cell>
          <cell r="C136" t="str">
            <v>Rounding Adjustment</v>
          </cell>
          <cell r="D136">
            <v>0</v>
          </cell>
          <cell r="E136">
            <v>33.2899999999999</v>
          </cell>
          <cell r="F136">
            <v>105.47</v>
          </cell>
          <cell r="G136">
            <v>-72.180000000000007</v>
          </cell>
        </row>
        <row r="137">
          <cell r="B137">
            <v>40700022</v>
          </cell>
          <cell r="C137" t="str">
            <v>Consumable Items</v>
          </cell>
          <cell r="D137">
            <v>0</v>
          </cell>
          <cell r="E137">
            <v>98393</v>
          </cell>
          <cell r="F137">
            <v>2093</v>
          </cell>
          <cell r="G137">
            <v>96300</v>
          </cell>
        </row>
        <row r="138">
          <cell r="B138">
            <v>40700025</v>
          </cell>
          <cell r="C138" t="str">
            <v>IT Expenses</v>
          </cell>
          <cell r="D138">
            <v>0</v>
          </cell>
          <cell r="E138">
            <v>6286471.2000000002</v>
          </cell>
          <cell r="F138">
            <v>5669271.2000000002</v>
          </cell>
          <cell r="G138">
            <v>617200</v>
          </cell>
        </row>
        <row r="139">
          <cell r="B139">
            <v>40700034</v>
          </cell>
          <cell r="C139" t="str">
            <v>Project Expenses</v>
          </cell>
          <cell r="D139">
            <v>0</v>
          </cell>
          <cell r="E139">
            <v>3155319449.0599899</v>
          </cell>
          <cell r="F139">
            <v>3152130188.9299898</v>
          </cell>
          <cell r="G139">
            <v>3189260.1299999901</v>
          </cell>
        </row>
        <row r="140">
          <cell r="B140">
            <v>40700040</v>
          </cell>
          <cell r="C140" t="str">
            <v>IND AS -Deferred Tax</v>
          </cell>
          <cell r="D140">
            <v>0</v>
          </cell>
          <cell r="E140">
            <v>5475378.6100000003</v>
          </cell>
          <cell r="F140">
            <v>386615.03</v>
          </cell>
          <cell r="G140">
            <v>5088763.58</v>
          </cell>
        </row>
        <row r="141">
          <cell r="B141">
            <v>40700041</v>
          </cell>
          <cell r="C141" t="str">
            <v>Income Tax Exp</v>
          </cell>
          <cell r="D141">
            <v>0</v>
          </cell>
          <cell r="E141">
            <v>0</v>
          </cell>
          <cell r="F141">
            <v>0</v>
          </cell>
          <cell r="G141">
            <v>0</v>
          </cell>
        </row>
        <row r="142">
          <cell r="B142">
            <v>80000000</v>
          </cell>
          <cell r="C142" t="str">
            <v>Clearing Material</v>
          </cell>
          <cell r="D142">
            <v>0</v>
          </cell>
          <cell r="E142">
            <v>10976324</v>
          </cell>
          <cell r="F142">
            <v>10976324</v>
          </cell>
          <cell r="G142">
            <v>0</v>
          </cell>
        </row>
        <row r="143">
          <cell r="B143">
            <v>80000002</v>
          </cell>
          <cell r="C143" t="str">
            <v>Cntrl Stores&amp; Spares</v>
          </cell>
          <cell r="D143">
            <v>0</v>
          </cell>
          <cell r="E143">
            <v>3333871085.6399899</v>
          </cell>
          <cell r="F143">
            <v>3338404932.3299899</v>
          </cell>
          <cell r="G143">
            <v>-4533846.6900000004</v>
          </cell>
        </row>
        <row r="144">
          <cell r="B144">
            <v>80000003</v>
          </cell>
          <cell r="C144" t="str">
            <v>Import cost Ctrl GL</v>
          </cell>
          <cell r="D144">
            <v>0</v>
          </cell>
          <cell r="E144">
            <v>0</v>
          </cell>
          <cell r="F144">
            <v>10000</v>
          </cell>
          <cell r="G144">
            <v>-10000</v>
          </cell>
        </row>
        <row r="145">
          <cell r="B145">
            <v>80000006</v>
          </cell>
          <cell r="C145" t="str">
            <v>Asset Clearing A/c</v>
          </cell>
          <cell r="D145">
            <v>0</v>
          </cell>
          <cell r="E145">
            <v>891253.06</v>
          </cell>
          <cell r="F145">
            <v>891253.06</v>
          </cell>
          <cell r="G145">
            <v>0</v>
          </cell>
        </row>
        <row r="146">
          <cell r="B146">
            <v>80000008</v>
          </cell>
          <cell r="C146" t="str">
            <v>Clearing  Services</v>
          </cell>
          <cell r="D146">
            <v>0</v>
          </cell>
          <cell r="E146">
            <v>1973042215.8599899</v>
          </cell>
          <cell r="F146">
            <v>1998080347.5699899</v>
          </cell>
          <cell r="G146">
            <v>-25038131.710000001</v>
          </cell>
        </row>
        <row r="147">
          <cell r="B147">
            <v>80000009</v>
          </cell>
          <cell r="C147" t="str">
            <v>Technical Clear GL</v>
          </cell>
          <cell r="D147">
            <v>0</v>
          </cell>
          <cell r="E147">
            <v>1641044065.26</v>
          </cell>
          <cell r="F147">
            <v>1641044065.26</v>
          </cell>
          <cell r="G147">
            <v>0</v>
          </cell>
        </row>
        <row r="148">
          <cell r="B148">
            <v>80000022</v>
          </cell>
          <cell r="C148" t="str">
            <v>AUC Down Payment</v>
          </cell>
          <cell r="D148">
            <v>0</v>
          </cell>
          <cell r="E148">
            <v>7156.63</v>
          </cell>
          <cell r="F148">
            <v>48156.629999999903</v>
          </cell>
          <cell r="G148">
            <v>-41000</v>
          </cell>
        </row>
        <row r="149">
          <cell r="B149" t="str">
            <v>L1002</v>
          </cell>
          <cell r="C149" t="str">
            <v>Initial upload Ven.</v>
          </cell>
          <cell r="D149">
            <v>227800</v>
          </cell>
          <cell r="E149">
            <v>0</v>
          </cell>
          <cell r="F149">
            <v>0</v>
          </cell>
          <cell r="G149">
            <v>227800</v>
          </cell>
        </row>
        <row r="150">
          <cell r="B150" t="str">
            <v>L1003</v>
          </cell>
          <cell r="C150" t="str">
            <v>Initial upload Asset</v>
          </cell>
          <cell r="D150">
            <v>-164579766</v>
          </cell>
          <cell r="E150">
            <v>0</v>
          </cell>
          <cell r="F150">
            <v>0</v>
          </cell>
          <cell r="G150">
            <v>-164579766</v>
          </cell>
        </row>
        <row r="151">
          <cell r="B151" t="str">
            <v>L1004</v>
          </cell>
          <cell r="C151" t="str">
            <v>Initial upload GL</v>
          </cell>
          <cell r="D151">
            <v>164351966</v>
          </cell>
          <cell r="E151">
            <v>0</v>
          </cell>
          <cell r="F151">
            <v>0</v>
          </cell>
          <cell r="G151">
            <v>164351966</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B"/>
      <sheetName val="IND AS GL Creation"/>
      <sheetName val="TB_V1"/>
    </sheetNames>
    <sheetDataSet>
      <sheetData sheetId="0">
        <row r="1">
          <cell r="J1" t="str">
            <v>Account Number</v>
          </cell>
          <cell r="K1" t="str">
            <v>Account Name</v>
          </cell>
        </row>
        <row r="2">
          <cell r="J2">
            <v>10000000</v>
          </cell>
          <cell r="K2" t="str">
            <v>Equity Share Capital</v>
          </cell>
        </row>
        <row r="3">
          <cell r="J3">
            <v>10000001</v>
          </cell>
          <cell r="K3" t="str">
            <v>Preference Share Cap</v>
          </cell>
        </row>
        <row r="4">
          <cell r="J4">
            <v>10100002</v>
          </cell>
          <cell r="K4" t="str">
            <v>Profit &amp; Loss Accoun</v>
          </cell>
        </row>
        <row r="5">
          <cell r="J5">
            <v>10600005</v>
          </cell>
          <cell r="K5" t="str">
            <v>WCDL_HDFC</v>
          </cell>
        </row>
        <row r="6">
          <cell r="J6">
            <v>10600010</v>
          </cell>
          <cell r="K6" t="str">
            <v>Best Value Chem Pvt</v>
          </cell>
        </row>
        <row r="7">
          <cell r="J7">
            <v>10800004</v>
          </cell>
          <cell r="K7" t="str">
            <v>Payable - Others</v>
          </cell>
        </row>
        <row r="8">
          <cell r="J8">
            <v>10900000</v>
          </cell>
          <cell r="K8" t="str">
            <v>Provision_Other Expe</v>
          </cell>
        </row>
        <row r="9">
          <cell r="J9">
            <v>11000001</v>
          </cell>
          <cell r="K9" t="str">
            <v>TDS_Professional and</v>
          </cell>
        </row>
        <row r="10">
          <cell r="J10">
            <v>11000003</v>
          </cell>
          <cell r="K10" t="str">
            <v>TDS_Interest on borr</v>
          </cell>
        </row>
        <row r="11">
          <cell r="J11">
            <v>11000009</v>
          </cell>
          <cell r="K11" t="str">
            <v>TDS_Land Purchase_19</v>
          </cell>
        </row>
        <row r="12">
          <cell r="J12">
            <v>20000000</v>
          </cell>
          <cell r="K12" t="str">
            <v>Freehold land</v>
          </cell>
        </row>
        <row r="13">
          <cell r="J13">
            <v>20000017</v>
          </cell>
          <cell r="K13" t="str">
            <v>Leasehold Land</v>
          </cell>
        </row>
        <row r="14">
          <cell r="J14">
            <v>20000018</v>
          </cell>
          <cell r="K14" t="str">
            <v>ACC_DEP_Leased Land</v>
          </cell>
        </row>
        <row r="15">
          <cell r="J15">
            <v>20100002</v>
          </cell>
          <cell r="K15" t="str">
            <v>Capital WIP IO</v>
          </cell>
        </row>
        <row r="16">
          <cell r="J16">
            <v>20800012</v>
          </cell>
          <cell r="K16" t="str">
            <v>CA_HDFC_575000006388</v>
          </cell>
        </row>
        <row r="17">
          <cell r="J17">
            <v>20800110</v>
          </cell>
          <cell r="K17" t="str">
            <v>HDFC_57500000732637</v>
          </cell>
        </row>
        <row r="18">
          <cell r="J18">
            <v>20800111</v>
          </cell>
          <cell r="K18" t="str">
            <v>HDFC_57500000732637</v>
          </cell>
        </row>
        <row r="19">
          <cell r="J19">
            <v>20800112</v>
          </cell>
          <cell r="K19" t="str">
            <v>HDFC_57500000732637</v>
          </cell>
        </row>
        <row r="20">
          <cell r="J20">
            <v>21000002</v>
          </cell>
          <cell r="K20" t="str">
            <v>Advance Tax_AY_2023-</v>
          </cell>
        </row>
        <row r="21">
          <cell r="J21">
            <v>21000011</v>
          </cell>
          <cell r="K21" t="str">
            <v>CGST Receivable</v>
          </cell>
        </row>
        <row r="22">
          <cell r="J22">
            <v>21000012</v>
          </cell>
          <cell r="K22" t="str">
            <v>IGST Receivable</v>
          </cell>
        </row>
        <row r="23">
          <cell r="J23">
            <v>21000013</v>
          </cell>
          <cell r="K23" t="str">
            <v>SGST Receivable</v>
          </cell>
        </row>
        <row r="24">
          <cell r="J24">
            <v>21100002</v>
          </cell>
          <cell r="K24" t="str">
            <v>Loan to RPT- BVCS</v>
          </cell>
        </row>
        <row r="25">
          <cell r="J25">
            <v>30100007</v>
          </cell>
          <cell r="K25" t="str">
            <v>Invoice Rounding Off</v>
          </cell>
        </row>
        <row r="26">
          <cell r="J26">
            <v>40400001</v>
          </cell>
          <cell r="K26" t="str">
            <v>Other Bank Charges</v>
          </cell>
        </row>
        <row r="27">
          <cell r="J27">
            <v>40400007</v>
          </cell>
          <cell r="K27" t="str">
            <v>Interest on Borrowin</v>
          </cell>
        </row>
        <row r="28">
          <cell r="J28">
            <v>40700000</v>
          </cell>
          <cell r="K28" t="str">
            <v>Repair and Maintance</v>
          </cell>
        </row>
        <row r="29">
          <cell r="J29">
            <v>40700007</v>
          </cell>
          <cell r="K29" t="str">
            <v>Professional &amp; Consu</v>
          </cell>
        </row>
        <row r="30">
          <cell r="J30">
            <v>40700008</v>
          </cell>
          <cell r="K30" t="str">
            <v>Rates and Taxes</v>
          </cell>
        </row>
        <row r="31">
          <cell r="J31">
            <v>40700015</v>
          </cell>
          <cell r="K31" t="str">
            <v>Rounding Adjustment</v>
          </cell>
        </row>
        <row r="32">
          <cell r="J32">
            <v>40700016</v>
          </cell>
          <cell r="K32" t="str">
            <v>Interest On TDS</v>
          </cell>
        </row>
        <row r="33">
          <cell r="J33">
            <v>40700034</v>
          </cell>
          <cell r="K33" t="str">
            <v>Project Expenses</v>
          </cell>
        </row>
        <row r="34">
          <cell r="J34">
            <v>40500008</v>
          </cell>
          <cell r="K34" t="str">
            <v>Depreciation on Leasehold Land</v>
          </cell>
        </row>
        <row r="35">
          <cell r="J35" t="str">
            <v>IND AS - BS Entry</v>
          </cell>
          <cell r="K35" t="str">
            <v>NA</v>
          </cell>
        </row>
        <row r="36">
          <cell r="J36" t="str">
            <v>IND AS - PL Entry</v>
          </cell>
          <cell r="K36" t="str">
            <v>NA</v>
          </cell>
        </row>
        <row r="42">
          <cell r="K42" t="str">
            <v>PL</v>
          </cell>
        </row>
      </sheetData>
      <sheetData sheetId="1"/>
      <sheetData sheetId="2">
        <row r="1">
          <cell r="A1" t="str">
            <v>Account Number</v>
          </cell>
          <cell r="C1" t="str">
            <v>Accumulated balance</v>
          </cell>
        </row>
        <row r="2">
          <cell r="A2">
            <v>10000000</v>
          </cell>
          <cell r="C2">
            <v>-100000</v>
          </cell>
        </row>
        <row r="3">
          <cell r="A3">
            <v>10000001</v>
          </cell>
          <cell r="C3">
            <v>0</v>
          </cell>
        </row>
        <row r="4">
          <cell r="A4">
            <v>10100002</v>
          </cell>
          <cell r="C4">
            <v>7941080.54</v>
          </cell>
        </row>
        <row r="5">
          <cell r="A5">
            <v>10100008</v>
          </cell>
          <cell r="C5">
            <v>-125000357.83</v>
          </cell>
        </row>
        <row r="6">
          <cell r="A6">
            <v>10100009</v>
          </cell>
          <cell r="C6">
            <v>347946.13</v>
          </cell>
        </row>
        <row r="7">
          <cell r="A7">
            <v>10300001</v>
          </cell>
          <cell r="C7">
            <v>-53126381.130000003</v>
          </cell>
        </row>
        <row r="8">
          <cell r="A8">
            <v>10400001</v>
          </cell>
          <cell r="C8">
            <v>-25203341.739999902</v>
          </cell>
        </row>
        <row r="9">
          <cell r="A9">
            <v>10600005</v>
          </cell>
          <cell r="C9">
            <v>0</v>
          </cell>
        </row>
        <row r="10">
          <cell r="A10">
            <v>10600010</v>
          </cell>
          <cell r="C10">
            <v>-118230550.26000001</v>
          </cell>
        </row>
        <row r="11">
          <cell r="A11">
            <v>10800004</v>
          </cell>
          <cell r="C11">
            <v>-24467</v>
          </cell>
        </row>
        <row r="12">
          <cell r="A12">
            <v>10900000</v>
          </cell>
          <cell r="C12">
            <v>-180000</v>
          </cell>
        </row>
        <row r="13">
          <cell r="A13">
            <v>11000001</v>
          </cell>
          <cell r="C13">
            <v>-17000</v>
          </cell>
        </row>
        <row r="14">
          <cell r="A14">
            <v>11000003</v>
          </cell>
          <cell r="C14">
            <v>-170932.14</v>
          </cell>
        </row>
        <row r="15">
          <cell r="A15">
            <v>11000009</v>
          </cell>
          <cell r="C15">
            <v>0</v>
          </cell>
        </row>
        <row r="16">
          <cell r="A16">
            <v>20000000</v>
          </cell>
          <cell r="C16">
            <v>92904351</v>
          </cell>
        </row>
        <row r="17">
          <cell r="A17">
            <v>20000017</v>
          </cell>
          <cell r="C17">
            <v>165189641</v>
          </cell>
        </row>
        <row r="18">
          <cell r="A18">
            <v>20000018</v>
          </cell>
          <cell r="C18">
            <v>-2362664.4300000002</v>
          </cell>
        </row>
        <row r="19">
          <cell r="A19">
            <v>20100002</v>
          </cell>
          <cell r="C19">
            <v>16690918.220000001</v>
          </cell>
        </row>
        <row r="20">
          <cell r="A20">
            <v>20400001</v>
          </cell>
          <cell r="C20">
            <v>95917.279999999897</v>
          </cell>
        </row>
        <row r="21">
          <cell r="A21">
            <v>20800012</v>
          </cell>
          <cell r="C21">
            <v>0</v>
          </cell>
        </row>
        <row r="22">
          <cell r="A22">
            <v>20800110</v>
          </cell>
          <cell r="C22">
            <v>475423.64</v>
          </cell>
        </row>
        <row r="23">
          <cell r="A23">
            <v>20800111</v>
          </cell>
          <cell r="C23">
            <v>88800000</v>
          </cell>
        </row>
        <row r="24">
          <cell r="A24">
            <v>20800112</v>
          </cell>
          <cell r="C24">
            <v>-87971706.5</v>
          </cell>
        </row>
        <row r="25">
          <cell r="A25">
            <v>21000002</v>
          </cell>
          <cell r="C25">
            <v>0</v>
          </cell>
        </row>
        <row r="26">
          <cell r="A26">
            <v>21000011</v>
          </cell>
          <cell r="C26">
            <v>14599464.810000001</v>
          </cell>
        </row>
        <row r="27">
          <cell r="A27">
            <v>21000012</v>
          </cell>
          <cell r="C27">
            <v>1217194.04</v>
          </cell>
        </row>
        <row r="28">
          <cell r="A28">
            <v>21000013</v>
          </cell>
          <cell r="C28">
            <v>14599464.810000001</v>
          </cell>
        </row>
        <row r="29">
          <cell r="A29">
            <v>21100002</v>
          </cell>
          <cell r="C29">
            <v>0</v>
          </cell>
        </row>
        <row r="30">
          <cell r="A30">
            <v>80000006</v>
          </cell>
          <cell r="C30">
            <v>0</v>
          </cell>
        </row>
        <row r="31">
          <cell r="A31">
            <v>30100007</v>
          </cell>
          <cell r="C31">
            <v>0.8</v>
          </cell>
        </row>
        <row r="32">
          <cell r="A32">
            <v>40400001</v>
          </cell>
          <cell r="C32">
            <v>312.16000000000003</v>
          </cell>
        </row>
        <row r="33">
          <cell r="A33">
            <v>40400007</v>
          </cell>
          <cell r="C33">
            <v>0</v>
          </cell>
        </row>
        <row r="34">
          <cell r="A34">
            <v>40400016</v>
          </cell>
          <cell r="C34">
            <v>3600529.4199999901</v>
          </cell>
        </row>
        <row r="35">
          <cell r="A35">
            <v>40700000</v>
          </cell>
          <cell r="C35">
            <v>59364</v>
          </cell>
        </row>
        <row r="36">
          <cell r="A36">
            <v>40700007</v>
          </cell>
          <cell r="C36">
            <v>4799228</v>
          </cell>
        </row>
        <row r="37">
          <cell r="A37">
            <v>40700008</v>
          </cell>
          <cell r="C37">
            <v>3000</v>
          </cell>
        </row>
        <row r="38">
          <cell r="A38">
            <v>40700015</v>
          </cell>
          <cell r="C38">
            <v>-704.12</v>
          </cell>
        </row>
        <row r="39">
          <cell r="A39">
            <v>40700016</v>
          </cell>
          <cell r="C39">
            <v>25248</v>
          </cell>
        </row>
        <row r="40">
          <cell r="A40">
            <v>40700034</v>
          </cell>
          <cell r="C40">
            <v>0</v>
          </cell>
        </row>
        <row r="41">
          <cell r="A41">
            <v>40700040</v>
          </cell>
          <cell r="C41">
            <v>-713768.13</v>
          </cell>
        </row>
        <row r="42">
          <cell r="A42">
            <v>40500008</v>
          </cell>
          <cell r="C42">
            <v>1752789.4299999899</v>
          </cell>
        </row>
        <row r="43">
          <cell r="C43">
            <v>9.6391886472702026E-8</v>
          </cell>
        </row>
        <row r="46">
          <cell r="C46">
            <v>-9525999.55999998</v>
          </cell>
        </row>
        <row r="47">
          <cell r="C47">
            <v>-9526000</v>
          </cell>
        </row>
        <row r="48">
          <cell r="C48">
            <v>0.440000019967556</v>
          </cell>
        </row>
      </sheetData>
    </sheetDataSet>
  </externalBook>
</externalLink>
</file>

<file path=xl/persons/person.xml><?xml version="1.0" encoding="utf-8"?>
<personList xmlns="http://schemas.microsoft.com/office/spreadsheetml/2018/threadedcomments" xmlns:x="http://schemas.openxmlformats.org/spreadsheetml/2006/main">
  <person displayName="Saakshi SOMANI" id="{D9F3DCD1-63F3-4923-9762-EE2F0C4EBEFA}" userId="S::saakshi.rs@bestvaluechem.com::1cf77e50-6374-4a93-8f2c-1d7cb9b13b7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jasth Bhimajiyani" refreshedDate="45742.42285023148" createdVersion="8" refreshedVersion="8" minRefreshableVersion="3" recordCount="160" xr:uid="{C36A5088-3B1B-402D-80E8-0E936276F05C}">
  <cacheSource type="worksheet">
    <worksheetSource ref="A6:L199" sheet="TB BVS 31.03.26"/>
  </cacheSource>
  <cacheFields count="12">
    <cacheField name="Type" numFmtId="0">
      <sharedItems count="5">
        <s v="Equity"/>
        <s v="Liabilities"/>
        <s v="Asset"/>
        <s v="Income"/>
        <s v="Expenses"/>
      </sharedItems>
    </cacheField>
    <cacheField name="Code No." numFmtId="0">
      <sharedItems containsMixedTypes="1" containsNumber="1" containsInteger="1" minValue="10000000" maxValue="80000022"/>
    </cacheField>
    <cacheField name="Note" numFmtId="0">
      <sharedItems containsMixedTypes="1" containsNumber="1" containsInteger="1" minValue="3" maxValue="26" count="24">
        <n v="13"/>
        <n v="14"/>
        <n v="15"/>
        <n v="4"/>
        <n v="16"/>
        <n v="17"/>
        <n v="18"/>
        <n v="19"/>
        <n v="7"/>
        <n v="3"/>
        <n v="6"/>
        <n v="9"/>
        <n v="10"/>
        <n v="11"/>
        <n v="12"/>
        <n v="20"/>
        <n v="21"/>
        <n v="22"/>
        <n v="23"/>
        <n v="24"/>
        <n v="25"/>
        <n v="26"/>
        <s v="-"/>
        <n v="8"/>
      </sharedItems>
    </cacheField>
    <cacheField name="Ind AS Head" numFmtId="0">
      <sharedItems count="30">
        <s v="Equity share capital"/>
        <s v="Other equity"/>
        <s v="Borrowings"/>
        <s v="Deferred Tax Liabilities (Net)"/>
        <s v="Provisions"/>
        <s v="Trade payables"/>
        <s v="Other financial liabilities"/>
        <s v="Other Current Liabilities"/>
        <s v="Other Tax Assets (Net)"/>
        <s v="Property, Plant and Equipment"/>
        <s v="Other financial assets"/>
        <s v="Inventories"/>
        <s v="Trade receivables"/>
        <s v="Cash &amp; Cash Equivalents"/>
        <s v="Other Current Assets"/>
        <s v="Revenue from operations"/>
        <s v="Other Income"/>
        <s v="Cost of material consumed"/>
        <s v="Changes in inventories of finished goods and work-in-progress "/>
        <s v="Employee benefits expense"/>
        <s v="Finance costs"/>
        <s v="Other expenses"/>
        <s v="Current income tax"/>
        <s v="Depreciation and Amortisation Expense"/>
        <s v="Tax Expense"/>
        <s v="Non Current Assets"/>
        <s v="Cash and Cash Equivalents" u="1"/>
        <s v="Other operating revenue" u="1"/>
        <s v="Non Current Liablities" u="1"/>
        <s v="Building" u="1"/>
      </sharedItems>
    </cacheField>
    <cacheField name="Ind AS Sub Head" numFmtId="0">
      <sharedItems/>
    </cacheField>
    <cacheField name="Particulars" numFmtId="0">
      <sharedItems/>
    </cacheField>
    <cacheField name="Debit" numFmtId="184">
      <sharedItems containsSemiMixedTypes="0" containsString="0" containsNumber="1" minValue="0" maxValue="5648841311.0799904"/>
    </cacheField>
    <cacheField name="Credit" numFmtId="184">
      <sharedItems containsSemiMixedTypes="0" containsString="0" containsNumber="1" minValue="-5641813618.79" maxValue="0"/>
    </cacheField>
    <cacheField name="Total" numFmtId="184">
      <sharedItems containsSemiMixedTypes="0" containsString="0" containsNumber="1" minValue="-5641813618.79" maxValue="5648841311.0799904"/>
    </cacheField>
    <cacheField name="Current" numFmtId="184">
      <sharedItems containsSemiMixedTypes="0" containsString="0" containsNumber="1" minValue="-5641813618.79" maxValue="5648841311.0799904"/>
    </cacheField>
    <cacheField name="Non-Current" numFmtId="184">
      <sharedItems containsSemiMixedTypes="0" containsString="0" containsNumber="1" minValue="-2888560445.96" maxValue="4319950138.9099903"/>
    </cacheField>
    <cacheField name="Check" numFmtId="18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n v="10000000"/>
    <x v="0"/>
    <x v="0"/>
    <s v="315,940 (previous year: 315,940) equity shares of Rs 10 each fully paid up"/>
    <s v="Equity Share Capital"/>
    <n v="0"/>
    <n v="-1365970"/>
    <n v="-1365970"/>
    <n v="0"/>
    <n v="-1365970"/>
    <n v="0"/>
  </r>
  <r>
    <x v="0"/>
    <n v="10000004"/>
    <x v="0"/>
    <x v="0"/>
    <s v="Pref Shar CCPS-BVCPL"/>
    <s v="0.01% Non-Cumulative CCPS"/>
    <n v="0"/>
    <n v="-868680"/>
    <n v="-868680"/>
    <n v="0"/>
    <n v="-868680"/>
    <n v="0"/>
  </r>
  <r>
    <x v="0"/>
    <n v="10100000"/>
    <x v="1"/>
    <x v="1"/>
    <s v="Closing balance - Securities Premium"/>
    <s v="Security Premium Account"/>
    <n v="0"/>
    <n v="-2888560445.96"/>
    <n v="-2888560445.96"/>
    <n v="0"/>
    <n v="-2888560445.96"/>
    <n v="0"/>
  </r>
  <r>
    <x v="0"/>
    <n v="10100001"/>
    <x v="1"/>
    <x v="1"/>
    <s v="Closing balance - Retained Earnings"/>
    <s v="Retained earnings"/>
    <n v="2371971.39"/>
    <n v="0"/>
    <n v="2371971.39"/>
    <n v="0"/>
    <n v="2371971.39"/>
    <n v="0"/>
  </r>
  <r>
    <x v="0"/>
    <n v="10100002"/>
    <x v="1"/>
    <x v="1"/>
    <s v="Closing balance - Retained Earnings"/>
    <s v="Profit &amp; Loss Account"/>
    <n v="7941080.54"/>
    <n v="0"/>
    <n v="7941080.54"/>
    <n v="0"/>
    <n v="7941080.54"/>
    <n v="0"/>
  </r>
  <r>
    <x v="0"/>
    <n v="10100009"/>
    <x v="1"/>
    <x v="1"/>
    <s v="Closing balance - Retained Earnings"/>
    <s v="IND AS - Opening Balance - Retained Earnings"/>
    <n v="0"/>
    <n v="-38668.9"/>
    <n v="-38668.9"/>
    <n v="0"/>
    <n v="-38668.9"/>
    <n v="0"/>
  </r>
  <r>
    <x v="1"/>
    <n v="10200015"/>
    <x v="2"/>
    <x v="2"/>
    <s v="Term Loan from Bank"/>
    <s v="IND AS - Transaction Cost Impact on TL"/>
    <n v="1304760.4299999899"/>
    <n v="0"/>
    <n v="1304760.4299999899"/>
    <n v="0"/>
    <n v="1304760.4299999899"/>
    <n v="0"/>
  </r>
  <r>
    <x v="1"/>
    <n v="10200016"/>
    <x v="2"/>
    <x v="2"/>
    <s v="Term Loan from Bank"/>
    <s v="TL_AXIS_ 923060053143888"/>
    <n v="0"/>
    <n v="-2000000000"/>
    <n v="-2000000000"/>
    <n v="0"/>
    <n v="-2000000000"/>
    <n v="0"/>
  </r>
  <r>
    <x v="1"/>
    <n v="10200018"/>
    <x v="2"/>
    <x v="2"/>
    <s v="Term Loan from Bank"/>
    <s v="TL_AXIS_924060051723539"/>
    <n v="0"/>
    <n v="-400000000"/>
    <n v="-400000000"/>
    <n v="0"/>
    <n v="-400000000"/>
    <n v="0"/>
  </r>
  <r>
    <x v="1"/>
    <n v="10300002"/>
    <x v="2"/>
    <x v="2"/>
    <s v="Term Loan from Bank"/>
    <s v="TL_HDFC_02400930000746"/>
    <n v="0"/>
    <n v="-207260102.56999901"/>
    <n v="-207260102.56999901"/>
    <n v="0"/>
    <n v="-207260102.56999901"/>
    <n v="0"/>
  </r>
  <r>
    <x v="1"/>
    <n v="10400001"/>
    <x v="3"/>
    <x v="3"/>
    <s v="Deferred Tax"/>
    <s v="IND AS - Deferred Tax Liability"/>
    <n v="0"/>
    <n v="-238523.489999999"/>
    <n v="-238523.489999999"/>
    <n v="-238523.489999999"/>
    <n v="0"/>
    <n v="0"/>
  </r>
  <r>
    <x v="1"/>
    <n v="10500000"/>
    <x v="4"/>
    <x v="4"/>
    <s v="Provision for employee benefits - Gratuity"/>
    <s v="Provision for Gratuity"/>
    <n v="0"/>
    <n v="-1178846"/>
    <n v="-1178846"/>
    <n v="-183936"/>
    <n v="-994910"/>
    <n v="0"/>
  </r>
  <r>
    <x v="1"/>
    <n v="10500001"/>
    <x v="4"/>
    <x v="4"/>
    <s v="Provision for compensated absences"/>
    <s v="Provision for Leave Salary"/>
    <n v="0"/>
    <n v="-1049092"/>
    <n v="-1049092"/>
    <n v="-204669"/>
    <n v="-844423"/>
    <n v="0"/>
  </r>
  <r>
    <x v="1"/>
    <n v="10600010"/>
    <x v="2"/>
    <x v="2"/>
    <s v="Unsecured loan from related parties"/>
    <s v="Best Value Chem Pvt Ltd."/>
    <n v="0"/>
    <n v="-241522713.41"/>
    <n v="-241522713.41"/>
    <n v="-241522713.41"/>
    <n v="0"/>
    <n v="0"/>
  </r>
  <r>
    <x v="1"/>
    <n v="10800000"/>
    <x v="5"/>
    <x v="5"/>
    <s v="Total outstanding dues of creditors other than micro enterprises and small enterprises"/>
    <s v="Payable - Raw Material Import"/>
    <n v="0"/>
    <n v="-9099636"/>
    <n v="-9099636"/>
    <n v="-9099636"/>
    <n v="0"/>
    <n v="0"/>
  </r>
  <r>
    <x v="1"/>
    <n v="10800001"/>
    <x v="5"/>
    <x v="5"/>
    <s v="Total outstanding dues of creditors other than micro enterprises and small enterprises"/>
    <s v="Payable - Raw Material Domestic"/>
    <n v="0"/>
    <n v="-33390738.620000001"/>
    <n v="-33390738.620000001"/>
    <n v="-33390738.620000001"/>
    <n v="0"/>
    <n v="0"/>
  </r>
  <r>
    <x v="1"/>
    <n v="10800002"/>
    <x v="5"/>
    <x v="5"/>
    <s v="Total outstanding dues of creditors other than micro enterprises and small enterprises"/>
    <s v="Payable - Packing Material"/>
    <n v="0"/>
    <n v="-5320387"/>
    <n v="-5320387"/>
    <n v="-5320387"/>
    <n v="0"/>
    <n v="0"/>
  </r>
  <r>
    <x v="1"/>
    <n v="10800003"/>
    <x v="5"/>
    <x v="5"/>
    <s v="Total outstanding dues of creditors other than micro enterprises and small enterprises"/>
    <s v="Payable - Fuel"/>
    <n v="0"/>
    <n v="-1586274.4399999899"/>
    <n v="-1586274.4399999899"/>
    <n v="-1586274.4399999899"/>
    <n v="0"/>
    <n v="0"/>
  </r>
  <r>
    <x v="1"/>
    <n v="10800004"/>
    <x v="5"/>
    <x v="5"/>
    <s v="Total outstanding dues of creditors other than micro enterprises and small enterprises"/>
    <s v="Payable - Others"/>
    <n v="0"/>
    <n v="-124128042.349999"/>
    <n v="-124128042.349999"/>
    <n v="-124128042.349999"/>
    <n v="0"/>
    <n v="0"/>
  </r>
  <r>
    <x v="1"/>
    <n v="10800005"/>
    <x v="6"/>
    <x v="6"/>
    <s v="Employee benefits payable"/>
    <s v="Payables - Employees"/>
    <n v="32054.22"/>
    <n v="0"/>
    <n v="32054.22"/>
    <n v="32054.22"/>
    <n v="0"/>
    <n v="0"/>
  </r>
  <r>
    <x v="1"/>
    <n v="10900000"/>
    <x v="5"/>
    <x v="5"/>
    <s v="Total outstanding dues of creditors other than micro enterprises and small enterprises"/>
    <s v="Provision_Other Expenses"/>
    <n v="0"/>
    <n v="-1878462"/>
    <n v="-1878462"/>
    <n v="-1878462"/>
    <n v="0"/>
    <n v="0"/>
  </r>
  <r>
    <x v="1"/>
    <n v="20100001"/>
    <x v="5"/>
    <x v="5"/>
    <s v="Total outstanding dues of creditors other than micro enterprises and small enterprises"/>
    <s v="Capital Advances"/>
    <n v="58189046.990000002"/>
    <n v="0"/>
    <n v="58189046.990000002"/>
    <n v="58189046.990000002"/>
    <n v="0"/>
    <n v="0"/>
  </r>
  <r>
    <x v="1"/>
    <n v="10900018"/>
    <x v="6"/>
    <x v="6"/>
    <s v="Employee benefits payable"/>
    <s v="Salary Payable"/>
    <n v="0"/>
    <n v="-5462168.0999999903"/>
    <n v="-5462168.0999999903"/>
    <n v="-5462168.0999999903"/>
    <n v="0"/>
    <n v="0"/>
  </r>
  <r>
    <x v="1"/>
    <n v="11000001"/>
    <x v="7"/>
    <x v="7"/>
    <s v="Statutory liabilities "/>
    <s v="TDS_Professional and Consulting_194J"/>
    <n v="0"/>
    <n v="-154969.16"/>
    <n v="-154969.16"/>
    <n v="-154969.16"/>
    <n v="0"/>
    <n v="0"/>
  </r>
  <r>
    <x v="1"/>
    <n v="11000002"/>
    <x v="7"/>
    <x v="7"/>
    <s v="Statutory liabilities "/>
    <s v="TDS_Contractors_194C"/>
    <n v="0"/>
    <n v="-1479847.1299999901"/>
    <n v="-1479847.1299999901"/>
    <n v="-1479847.1299999901"/>
    <n v="0"/>
    <n v="0"/>
  </r>
  <r>
    <x v="1"/>
    <n v="11000003"/>
    <x v="7"/>
    <x v="7"/>
    <s v="Statutory liabilities "/>
    <s v="TDS_Interest on borrowing_194A"/>
    <n v="0"/>
    <n v="-4170.17"/>
    <n v="-4170.17"/>
    <n v="-4170.17"/>
    <n v="0"/>
    <n v="0"/>
  </r>
  <r>
    <x v="1"/>
    <n v="11000005"/>
    <x v="7"/>
    <x v="7"/>
    <s v="Statutory liabilities "/>
    <s v="TDS_Rent_194I"/>
    <n v="0"/>
    <n v="-9810"/>
    <n v="-9810"/>
    <n v="-9810"/>
    <n v="0"/>
    <n v="0"/>
  </r>
  <r>
    <x v="1"/>
    <n v="11000006"/>
    <x v="7"/>
    <x v="7"/>
    <s v="Statutory liabilities "/>
    <s v="TDS_Purchase on Goods_194Q"/>
    <n v="36910"/>
    <n v="0"/>
    <n v="36910"/>
    <n v="36910"/>
    <n v="0"/>
    <n v="0"/>
  </r>
  <r>
    <x v="1"/>
    <n v="11000007"/>
    <x v="7"/>
    <x v="7"/>
    <s v="Statutory liabilities "/>
    <s v="TDS_Salary_192"/>
    <n v="0"/>
    <n v="-312090"/>
    <n v="-312090"/>
    <n v="-312090"/>
    <n v="0"/>
    <n v="0"/>
  </r>
  <r>
    <x v="1"/>
    <n v="11000011"/>
    <x v="7"/>
    <x v="7"/>
    <s v="Statutory liabilities "/>
    <s v="PF Employee Contribution"/>
    <n v="0"/>
    <n v="-270221"/>
    <n v="-270221"/>
    <n v="-270221"/>
    <n v="0"/>
    <n v="0"/>
  </r>
  <r>
    <x v="1"/>
    <n v="11000012"/>
    <x v="7"/>
    <x v="7"/>
    <s v="Statutory liabilities "/>
    <s v="Professional Tax"/>
    <n v="0"/>
    <n v="-28000"/>
    <n v="-28000"/>
    <n v="-28000"/>
    <n v="0"/>
    <n v="0"/>
  </r>
  <r>
    <x v="1"/>
    <n v="11100002"/>
    <x v="6"/>
    <x v="6"/>
    <s v="Payable for capital goods"/>
    <s v="Retention Money"/>
    <n v="0"/>
    <n v="-136159338.28"/>
    <n v="-136159338.28"/>
    <n v="-136159338.28"/>
    <n v="0"/>
    <n v="0"/>
  </r>
  <r>
    <x v="1"/>
    <n v="21000008"/>
    <x v="7"/>
    <x v="7"/>
    <s v="Statutory liabilities "/>
    <s v="CGST Payable"/>
    <n v="0"/>
    <n v="-1777121.3"/>
    <n v="-1777121.3"/>
    <n v="-1777121.3"/>
    <n v="0"/>
    <n v="0"/>
  </r>
  <r>
    <x v="1"/>
    <n v="21000009"/>
    <x v="7"/>
    <x v="7"/>
    <s v="Statutory liabilities "/>
    <s v="SGST Payable"/>
    <n v="0"/>
    <n v="-1777121.3"/>
    <n v="-1777121.3"/>
    <n v="-1777121.3"/>
    <n v="0"/>
    <n v="0"/>
  </r>
  <r>
    <x v="1"/>
    <n v="21000010"/>
    <x v="7"/>
    <x v="7"/>
    <s v="Statutory liabilities "/>
    <s v="IGST Payable"/>
    <n v="0"/>
    <n v="-51387.8"/>
    <n v="-51387.8"/>
    <n v="-51387.8"/>
    <n v="0"/>
    <n v="0"/>
  </r>
  <r>
    <x v="1"/>
    <n v="80000000"/>
    <x v="5"/>
    <x v="5"/>
    <s v="Total outstanding dues of creditors other than micro enterprises and small enterprises"/>
    <s v="Clearing Material"/>
    <n v="0"/>
    <n v="-2991124.5899999901"/>
    <n v="-2991124.5899999901"/>
    <n v="-2991124.5899999901"/>
    <n v="0"/>
    <n v="0"/>
  </r>
  <r>
    <x v="1"/>
    <n v="80000002"/>
    <x v="5"/>
    <x v="5"/>
    <s v="Total outstanding dues of creditors other than micro enterprises and small enterprises"/>
    <s v="Cntrl Stores&amp; Spares"/>
    <n v="0"/>
    <n v="-626240.9"/>
    <n v="-626240.9"/>
    <n v="-626240.9"/>
    <n v="0"/>
    <n v="0"/>
  </r>
  <r>
    <x v="1"/>
    <n v="80000003"/>
    <x v="5"/>
    <x v="5"/>
    <s v="Total outstanding dues of creditors other than micro enterprises and small enterprises"/>
    <s v="Import cost Ctrl GL"/>
    <n v="0"/>
    <n v="-10000"/>
    <n v="-10000"/>
    <n v="-10000"/>
    <n v="0"/>
    <n v="0"/>
  </r>
  <r>
    <x v="1"/>
    <n v="80000008"/>
    <x v="5"/>
    <x v="5"/>
    <s v="Total outstanding dues of creditors other than micro enterprises and small enterprises"/>
    <s v="Clearing  Services"/>
    <n v="0"/>
    <n v="-6837777.9900000002"/>
    <n v="-6837777.9900000002"/>
    <n v="-6837777.9900000002"/>
    <n v="0"/>
    <n v="0"/>
  </r>
  <r>
    <x v="1"/>
    <n v="80000022"/>
    <x v="5"/>
    <x v="5"/>
    <s v="Total outstanding dues of creditors other than micro enterprises and small enterprises"/>
    <s v="AUC Down Payment"/>
    <n v="0"/>
    <n v="-41000"/>
    <n v="-41000"/>
    <n v="-41000"/>
    <n v="0"/>
    <n v="0"/>
  </r>
  <r>
    <x v="1"/>
    <n v="10800007"/>
    <x v="5"/>
    <x v="5"/>
    <s v="Total outstanding dues of creditors other than micro enterprises and small enterprises"/>
    <s v="Payable - Forex"/>
    <n v="61081"/>
    <n v="0"/>
    <n v="61081"/>
    <n v="61081"/>
    <n v="0"/>
    <n v="0"/>
  </r>
  <r>
    <x v="1"/>
    <n v="10900016"/>
    <x v="6"/>
    <x v="6"/>
    <s v="Employee benefits payable"/>
    <s v="Provision_Incentive"/>
    <n v="0"/>
    <n v="-1002130"/>
    <n v="-1002130"/>
    <n v="-1002130"/>
    <n v="0"/>
    <n v="0"/>
  </r>
  <r>
    <x v="1"/>
    <n v="10900013"/>
    <x v="5"/>
    <x v="5"/>
    <s v="Total outstanding dues of creditors other than micro enterprises and small enterprises"/>
    <s v="Provision_MSME Interest"/>
    <n v="0"/>
    <n v="-1356109.54"/>
    <n v="-1356109.54"/>
    <n v="-1356109.54"/>
    <n v="0"/>
    <n v="0"/>
  </r>
  <r>
    <x v="1"/>
    <n v="10900015"/>
    <x v="8"/>
    <x v="8"/>
    <s v="Income tax liabilities (Net)"/>
    <s v="Provision_Income Tax"/>
    <n v="0"/>
    <n v="0"/>
    <n v="0"/>
    <n v="0"/>
    <n v="0"/>
    <n v="0"/>
  </r>
  <r>
    <x v="2"/>
    <n v="20000000"/>
    <x v="9"/>
    <x v="9"/>
    <s v="Property, plant &amp; equipment"/>
    <s v="Freehold land"/>
    <n v="93599471"/>
    <n v="0"/>
    <n v="93599471"/>
    <n v="0"/>
    <n v="93599471"/>
    <n v="0"/>
  </r>
  <r>
    <x v="2"/>
    <n v="20000001"/>
    <x v="9"/>
    <x v="9"/>
    <s v="Building"/>
    <s v="Building"/>
    <n v="165421759.91"/>
    <n v="0"/>
    <n v="165421759.91"/>
    <n v="0"/>
    <n v="165421759.91"/>
    <n v="0"/>
  </r>
  <r>
    <x v="2"/>
    <n v="20000002"/>
    <x v="9"/>
    <x v="9"/>
    <s v="Building"/>
    <s v="ACC_DEP_Building"/>
    <n v="0"/>
    <n v="-7273861.1600000001"/>
    <n v="-7273861.1600000001"/>
    <n v="0"/>
    <n v="-7273861.1600000001"/>
    <n v="0"/>
  </r>
  <r>
    <x v="2"/>
    <n v="20000003"/>
    <x v="9"/>
    <x v="9"/>
    <s v="Property, plant &amp; equipment"/>
    <s v="Plant and machinery"/>
    <n v="384413953.43000001"/>
    <n v="0"/>
    <n v="384413953.43000001"/>
    <n v="0"/>
    <n v="384413953.43000001"/>
    <n v="0"/>
  </r>
  <r>
    <x v="2"/>
    <n v="20000004"/>
    <x v="9"/>
    <x v="9"/>
    <s v="Property, plant &amp; equipment"/>
    <s v="ACC_DEP_Plant and machinery"/>
    <n v="0"/>
    <n v="-44410784.990000002"/>
    <n v="-44410784.990000002"/>
    <n v="0"/>
    <n v="-44410784.990000002"/>
    <n v="0"/>
  </r>
  <r>
    <x v="2"/>
    <n v="20000007"/>
    <x v="9"/>
    <x v="9"/>
    <s v="Computers"/>
    <s v="Computers"/>
    <n v="196133.06"/>
    <n v="0"/>
    <n v="196133.06"/>
    <n v="0"/>
    <n v="196133.06"/>
    <n v="0"/>
  </r>
  <r>
    <x v="2"/>
    <n v="20000008"/>
    <x v="9"/>
    <x v="9"/>
    <s v="Computers"/>
    <s v="ACC_DEP_Computers"/>
    <n v="0"/>
    <n v="-99023.369999999893"/>
    <n v="-99023.369999999893"/>
    <n v="0"/>
    <n v="-99023.369999999893"/>
    <n v="0"/>
  </r>
  <r>
    <x v="2"/>
    <n v="20000017"/>
    <x v="9"/>
    <x v="9"/>
    <s v="Right of Use Assets"/>
    <s v="Leasehold Land"/>
    <n v="324389641"/>
    <n v="0"/>
    <n v="324389641"/>
    <n v="0"/>
    <n v="324389641"/>
    <n v="0"/>
  </r>
  <r>
    <x v="2"/>
    <n v="20000018"/>
    <x v="9"/>
    <x v="9"/>
    <s v="Right of Use Assets"/>
    <s v="ACC_DEP_Leased Land"/>
    <n v="0"/>
    <n v="-9008388.4100000001"/>
    <n v="-9008388.4100000001"/>
    <n v="0"/>
    <n v="-9008388.4100000001"/>
    <n v="0"/>
  </r>
  <r>
    <x v="2"/>
    <n v="20100000"/>
    <x v="9"/>
    <x v="9"/>
    <s v="Capital work-in-progress"/>
    <s v="Capital Work In Progress"/>
    <n v="4319950138.9099903"/>
    <n v="0"/>
    <n v="4319950138.9099903"/>
    <n v="0"/>
    <n v="4319950138.9099903"/>
    <n v="0"/>
  </r>
  <r>
    <x v="2"/>
    <n v="20100002"/>
    <x v="9"/>
    <x v="9"/>
    <s v="Capital work-in-progress"/>
    <s v="Capital Work In Progress - Internal Orders"/>
    <n v="97998424.560000002"/>
    <n v="0"/>
    <n v="97998424.560000002"/>
    <n v="0"/>
    <n v="97998424.560000002"/>
    <n v="0"/>
  </r>
  <r>
    <x v="2"/>
    <n v="20100004"/>
    <x v="9"/>
    <x v="9"/>
    <s v="Capital work-in-progress"/>
    <s v="AUC Cost"/>
    <n v="41000"/>
    <n v="0"/>
    <n v="41000"/>
    <n v="0"/>
    <n v="41000"/>
    <n v="0"/>
  </r>
  <r>
    <x v="2"/>
    <n v="40700034"/>
    <x v="9"/>
    <x v="9"/>
    <s v="Capital work-in-progress"/>
    <s v="Project Expenses"/>
    <n v="0"/>
    <n v="0"/>
    <n v="0"/>
    <n v="0"/>
    <n v="0"/>
    <n v="0"/>
  </r>
  <r>
    <x v="2"/>
    <n v="20300000"/>
    <x v="10"/>
    <x v="10"/>
    <s v="Security deposits"/>
    <s v="Deposit_Other"/>
    <n v="27413904"/>
    <n v="0"/>
    <n v="27413904"/>
    <n v="0"/>
    <n v="27413904"/>
    <n v="0"/>
  </r>
  <r>
    <x v="2"/>
    <n v="20300004"/>
    <x v="10"/>
    <x v="10"/>
    <s v="Security deposits"/>
    <s v="Deposit_Prohibition and Excise"/>
    <n v="1000"/>
    <n v="0"/>
    <n v="1000"/>
    <n v="0"/>
    <n v="1000"/>
    <n v="0"/>
  </r>
  <r>
    <x v="1"/>
    <n v="20400001"/>
    <x v="3"/>
    <x v="3"/>
    <s v="Deferred Tax Liabilities (Net)"/>
    <s v="IND AS - Deferred Tax Assets"/>
    <n v="95917.279999999897"/>
    <n v="0"/>
    <n v="95917.279999999897"/>
    <n v="95917.279999999897"/>
    <n v="0"/>
    <n v="0"/>
  </r>
  <r>
    <x v="2"/>
    <n v="20500000"/>
    <x v="11"/>
    <x v="11"/>
    <s v="Raw materials"/>
    <s v="Raw Material Stock"/>
    <n v="23098264.879999898"/>
    <n v="0"/>
    <n v="23098264.879999898"/>
    <n v="23098264.879999898"/>
    <n v="0"/>
    <n v="0"/>
  </r>
  <r>
    <x v="2"/>
    <n v="20500001"/>
    <x v="11"/>
    <x v="11"/>
    <s v="Packing material"/>
    <s v="Packing Material Stock"/>
    <n v="1636919.1799999899"/>
    <n v="0"/>
    <n v="1636919.1799999899"/>
    <n v="1636919.1799999899"/>
    <n v="0"/>
    <n v="0"/>
  </r>
  <r>
    <x v="2"/>
    <n v="20500002"/>
    <x v="11"/>
    <x v="11"/>
    <s v="Stores and spares"/>
    <s v="Fuel Stock"/>
    <n v="1478471.45"/>
    <n v="0"/>
    <n v="1478471.45"/>
    <n v="1478471.45"/>
    <n v="0"/>
    <n v="0"/>
  </r>
  <r>
    <x v="2"/>
    <n v="20500003"/>
    <x v="11"/>
    <x v="11"/>
    <s v="Work-in-progress"/>
    <s v="SFG Stock in Plants"/>
    <n v="0"/>
    <n v="0"/>
    <n v="0"/>
    <n v="0"/>
    <n v="0"/>
    <n v="0"/>
  </r>
  <r>
    <x v="2"/>
    <n v="20500005"/>
    <x v="11"/>
    <x v="11"/>
    <s v="Stores and spares"/>
    <s v="Store and Spares -"/>
    <n v="3318802.0899999901"/>
    <n v="0"/>
    <n v="3318802.0899999901"/>
    <n v="3318802.0899999901"/>
    <n v="0"/>
    <n v="0"/>
  </r>
  <r>
    <x v="2"/>
    <n v="20500006"/>
    <x v="11"/>
    <x v="11"/>
    <s v="Finished goods*"/>
    <s v="Goods In Transit - Sales"/>
    <n v="1159004"/>
    <n v="0"/>
    <n v="1159004"/>
    <n v="1159004"/>
    <n v="0"/>
    <n v="0"/>
  </r>
  <r>
    <x v="2"/>
    <n v="20500008"/>
    <x v="11"/>
    <x v="11"/>
    <s v="Work-in-progress"/>
    <s v="Inventory_Manual Entry"/>
    <n v="14909116.73"/>
    <n v="0"/>
    <n v="14909116.73"/>
    <n v="14909116.73"/>
    <n v="0"/>
    <n v="0"/>
  </r>
  <r>
    <x v="2"/>
    <n v="20600001"/>
    <x v="12"/>
    <x v="12"/>
    <s v="Considered good - unsecured"/>
    <s v="Receivables-Domestic"/>
    <n v="14360888.92"/>
    <n v="0"/>
    <n v="14360888.92"/>
    <n v="14360888.92"/>
    <n v="0"/>
    <n v="0"/>
  </r>
  <r>
    <x v="2"/>
    <n v="20600004"/>
    <x v="12"/>
    <x v="12"/>
    <s v="Considered good - unsecured"/>
    <s v="Receivables- Scrap"/>
    <n v="5347329.2999999896"/>
    <n v="0"/>
    <n v="5347329.2999999896"/>
    <n v="5347329.2999999896"/>
    <n v="0"/>
    <n v="0"/>
  </r>
  <r>
    <x v="2"/>
    <n v="20600006"/>
    <x v="12"/>
    <x v="12"/>
    <s v="Considered good - unsecured"/>
    <s v="Receivables- GIT"/>
    <n v="0"/>
    <n v="-1375000"/>
    <n v="-1375000"/>
    <n v="-1375000"/>
    <n v="0"/>
    <n v="0"/>
  </r>
  <r>
    <x v="2"/>
    <n v="20600009"/>
    <x v="12"/>
    <x v="12"/>
    <s v="Considered good - unsecured"/>
    <s v="Receivables- Advance"/>
    <n v="0"/>
    <n v="-4404741.5"/>
    <n v="-4404741.5"/>
    <n v="-4404741.5"/>
    <n v="0"/>
    <n v="0"/>
  </r>
  <r>
    <x v="2"/>
    <n v="20800110"/>
    <x v="13"/>
    <x v="13"/>
    <s v="Balance with banks"/>
    <s v="CA_HDFC_57500000732637"/>
    <n v="475424.47999999899"/>
    <n v="0"/>
    <n v="475424.47999999899"/>
    <n v="475424.47999999899"/>
    <n v="0"/>
    <n v="0"/>
  </r>
  <r>
    <x v="2"/>
    <n v="20800111"/>
    <x v="13"/>
    <x v="13"/>
    <s v="Balance with banks"/>
    <s v="CA_HDFC_57500000732637"/>
    <n v="1172437984.8699901"/>
    <n v="0"/>
    <n v="1172437984.8699901"/>
    <n v="1172437984.8699901"/>
    <n v="0"/>
    <n v="0"/>
  </r>
  <r>
    <x v="2"/>
    <n v="20800112"/>
    <x v="13"/>
    <x v="13"/>
    <s v="Balance with banks"/>
    <s v="CA_HDFC_57500000732637"/>
    <n v="0"/>
    <n v="-1170968195.8699901"/>
    <n v="-1170968195.8699901"/>
    <n v="-1170968195.8699901"/>
    <n v="0"/>
    <n v="0"/>
  </r>
  <r>
    <x v="2"/>
    <n v="20800121"/>
    <x v="13"/>
    <x v="13"/>
    <s v="Balance with banks"/>
    <s v="CA_Axis_923020022099965"/>
    <n v="5648841311.0799904"/>
    <n v="0"/>
    <n v="5648841311.0799904"/>
    <n v="5648841311.0799904"/>
    <n v="0"/>
    <n v="0"/>
  </r>
  <r>
    <x v="2"/>
    <n v="20800122"/>
    <x v="13"/>
    <x v="13"/>
    <s v="Balance with banks"/>
    <s v="CA_Axis_923020022099965"/>
    <n v="0"/>
    <n v="-5641813618.79"/>
    <n v="-5641813618.79"/>
    <n v="-5641813618.79"/>
    <n v="0"/>
    <n v="0"/>
  </r>
  <r>
    <x v="2"/>
    <n v="20900003"/>
    <x v="10"/>
    <x v="10"/>
    <s v="Bank Deposit with more than 12 months of maturity"/>
    <s v="FD_Axis"/>
    <n v="5036678"/>
    <n v="0"/>
    <n v="5036678"/>
    <n v="0"/>
    <n v="5036678"/>
    <n v="0"/>
  </r>
  <r>
    <x v="2"/>
    <n v="21000003"/>
    <x v="8"/>
    <x v="8"/>
    <s v="Other Tax Asset (Net)"/>
    <s v="TDS Receiveable_194Q"/>
    <n v="33978"/>
    <n v="0"/>
    <n v="33978"/>
    <n v="0"/>
    <n v="33978"/>
    <n v="0"/>
  </r>
  <r>
    <x v="2"/>
    <n v="21000004"/>
    <x v="8"/>
    <x v="8"/>
    <s v="Other Tax Asset (Net)"/>
    <s v="TDS Receivable_Other"/>
    <n v="961872.07999999903"/>
    <n v="0"/>
    <n v="961872.07999999903"/>
    <n v="0"/>
    <n v="961872.07999999903"/>
    <n v="0"/>
  </r>
  <r>
    <x v="2"/>
    <n v="21000011"/>
    <x v="14"/>
    <x v="14"/>
    <s v="Balances with Government Authorities"/>
    <s v="CGST Receivable"/>
    <n v="210904298.91"/>
    <n v="0"/>
    <n v="210904298.91"/>
    <n v="210904298.91"/>
    <n v="0"/>
    <n v="0"/>
  </r>
  <r>
    <x v="2"/>
    <n v="21000012"/>
    <x v="14"/>
    <x v="14"/>
    <s v="Balances with Government Authorities"/>
    <s v="IGST Receivable"/>
    <n v="92369354.230000004"/>
    <n v="0"/>
    <n v="92369354.230000004"/>
    <n v="92369354.230000004"/>
    <n v="0"/>
    <n v="0"/>
  </r>
  <r>
    <x v="2"/>
    <n v="21000013"/>
    <x v="14"/>
    <x v="14"/>
    <s v="Balances with Government Authorities"/>
    <s v="SGST Receivable"/>
    <n v="210904298.91"/>
    <n v="0"/>
    <n v="210904298.91"/>
    <n v="210904298.91"/>
    <n v="0"/>
    <n v="0"/>
  </r>
  <r>
    <x v="2"/>
    <n v="21000016"/>
    <x v="8"/>
    <x v="8"/>
    <s v="Other Tax Asset (Net)"/>
    <s v="TCS Receivable"/>
    <n v="16704.97"/>
    <n v="0"/>
    <n v="16704.97"/>
    <n v="0"/>
    <n v="16704.97"/>
    <n v="0"/>
  </r>
  <r>
    <x v="2"/>
    <n v="21000018"/>
    <x v="14"/>
    <x v="14"/>
    <s v="Balances with Government Authorities"/>
    <s v="ITC not in GSTR 2B"/>
    <n v="2278746"/>
    <n v="0"/>
    <n v="2278746"/>
    <n v="2278746"/>
    <n v="0"/>
    <n v="0"/>
  </r>
  <r>
    <x v="2"/>
    <n v="21100004"/>
    <x v="14"/>
    <x v="14"/>
    <s v="Advance to employees"/>
    <s v="Advances to Employees_IOU"/>
    <n v="758"/>
    <n v="0"/>
    <n v="758"/>
    <n v="758"/>
    <n v="0"/>
    <n v="0"/>
  </r>
  <r>
    <x v="2"/>
    <n v="21100008"/>
    <x v="14"/>
    <x v="14"/>
    <s v="Prepaid Expenses"/>
    <s v="Prepaid Expenses"/>
    <n v="4539979.16"/>
    <n v="0"/>
    <n v="4539979.16"/>
    <n v="4539979.16"/>
    <n v="0"/>
    <n v="0"/>
  </r>
  <r>
    <x v="1"/>
    <n v="21100011"/>
    <x v="5"/>
    <x v="5"/>
    <s v="Total outstanding dues of creditors other than micro enterprises and small enterprises"/>
    <s v="Advance to Vendor"/>
    <n v="2396579.35"/>
    <n v="0"/>
    <n v="2396579.35"/>
    <n v="2396579.35"/>
    <n v="0"/>
    <n v="0"/>
  </r>
  <r>
    <x v="2"/>
    <n v="21100014"/>
    <x v="10"/>
    <x v="10"/>
    <s v="Finance lease receivable (Unsecured - considered good)"/>
    <s v="IND AS - Receivable from employee (Finance Lease)"/>
    <n v="1263538.71"/>
    <n v="0"/>
    <n v="1263538.71"/>
    <n v="0"/>
    <n v="1263538.71"/>
    <n v="0"/>
  </r>
  <r>
    <x v="3"/>
    <n v="30000000"/>
    <x v="15"/>
    <x v="15"/>
    <s v="Sales of Products"/>
    <s v="Sales Export"/>
    <n v="0"/>
    <n v="-2896800"/>
    <n v="-2896800"/>
    <n v="0"/>
    <n v="0"/>
    <n v="0"/>
  </r>
  <r>
    <x v="3"/>
    <n v="30000001"/>
    <x v="15"/>
    <x v="15"/>
    <s v="Sales of Products"/>
    <s v="Domestic Sales"/>
    <n v="0"/>
    <n v="-36004816.200000003"/>
    <n v="-36004816.200000003"/>
    <n v="0"/>
    <n v="0"/>
    <n v="0"/>
  </r>
  <r>
    <x v="3"/>
    <n v="30000004"/>
    <x v="15"/>
    <x v="15"/>
    <s v="Sales of Products"/>
    <s v="Scrap Sales"/>
    <n v="0"/>
    <n v="-4811525"/>
    <n v="-4811525"/>
    <n v="0"/>
    <n v="0"/>
    <n v="0"/>
  </r>
  <r>
    <x v="3"/>
    <n v="30000007"/>
    <x v="15"/>
    <x v="15"/>
    <s v="Sales of Products"/>
    <s v="Sales In transit"/>
    <n v="0"/>
    <n v="0"/>
    <n v="0"/>
    <n v="0"/>
    <n v="0"/>
    <n v="0"/>
  </r>
  <r>
    <x v="3"/>
    <n v="30000008"/>
    <x v="15"/>
    <x v="15"/>
    <s v="Sales of Products"/>
    <s v="Domestic Sales Inter Company"/>
    <n v="0"/>
    <n v="-25265995.699999899"/>
    <n v="-25265995.699999899"/>
    <n v="0"/>
    <n v="0"/>
    <n v="0"/>
  </r>
  <r>
    <x v="3"/>
    <n v="30100001"/>
    <x v="16"/>
    <x v="16"/>
    <s v="Foreign exchange gain (net)"/>
    <s v="Realised Forex Gain/loss"/>
    <n v="0"/>
    <n v="-279908.84000000003"/>
    <n v="-279908.84000000003"/>
    <n v="0"/>
    <n v="0"/>
    <n v="0"/>
  </r>
  <r>
    <x v="3"/>
    <n v="30100004"/>
    <x v="16"/>
    <x v="16"/>
    <s v="- From banks"/>
    <s v="Interest on Bank Deposit"/>
    <n v="0"/>
    <n v="-250440"/>
    <n v="-250440"/>
    <n v="0"/>
    <n v="0"/>
    <n v="0"/>
  </r>
  <r>
    <x v="3"/>
    <n v="30100005"/>
    <x v="15"/>
    <x v="16"/>
    <s v="- From others"/>
    <s v="Other Income"/>
    <n v="0"/>
    <n v="-67940.179999999906"/>
    <n v="-67940.179999999906"/>
    <n v="0"/>
    <n v="0"/>
    <n v="0"/>
  </r>
  <r>
    <x v="3"/>
    <n v="30100013"/>
    <x v="16"/>
    <x v="16"/>
    <s v="Profit on Sale of Mutual Fund"/>
    <s v="Gain / Loss from MF Investment"/>
    <n v="0"/>
    <n v="-4891456.1299999896"/>
    <n v="-4891456.1299999896"/>
    <n v="0"/>
    <n v="0"/>
    <n v="0"/>
  </r>
  <r>
    <x v="3"/>
    <n v="30100015"/>
    <x v="16"/>
    <x v="16"/>
    <s v="- From others"/>
    <s v="IND AS - Interest Income"/>
    <n v="0"/>
    <n v="-83494.52"/>
    <n v="-83494.52"/>
    <n v="0"/>
    <n v="0"/>
    <n v="0"/>
  </r>
  <r>
    <x v="3"/>
    <n v="30100000"/>
    <x v="16"/>
    <x v="16"/>
    <s v="Foreign exchange gain (net)"/>
    <s v="Unrealised Forex Gain/loss"/>
    <n v="0"/>
    <n v="0"/>
    <n v="0"/>
    <n v="0"/>
    <n v="0"/>
    <n v="0"/>
  </r>
  <r>
    <x v="4"/>
    <n v="40100000"/>
    <x v="17"/>
    <x v="17"/>
    <s v="Add : Purchases -RM"/>
    <s v="Custom Duty"/>
    <n v="1043502.74"/>
    <n v="0"/>
    <n v="1043502.74"/>
    <n v="0"/>
    <n v="0"/>
    <n v="0"/>
  </r>
  <r>
    <x v="4"/>
    <n v="40100001"/>
    <x v="17"/>
    <x v="17"/>
    <s v="Add : Purchases -RM"/>
    <s v="Import Cost on Material"/>
    <n v="422531.15"/>
    <n v="0"/>
    <n v="422531.15"/>
    <n v="0"/>
    <n v="0"/>
    <n v="0"/>
  </r>
  <r>
    <x v="4"/>
    <n v="40100002"/>
    <x v="17"/>
    <x v="17"/>
    <s v="Add : Purchases -RM"/>
    <s v="Freight Inward Local"/>
    <n v="224438.82"/>
    <n v="0"/>
    <n v="224438.82"/>
    <n v="0"/>
    <n v="0"/>
    <n v="0"/>
  </r>
  <r>
    <x v="4"/>
    <n v="40100005"/>
    <x v="17"/>
    <x v="17"/>
    <s v="Add : Purchases -RM"/>
    <s v="Interest on Custom Duty"/>
    <n v="9690.1"/>
    <n v="0"/>
    <n v="9690.1"/>
    <n v="0"/>
    <n v="0"/>
    <n v="0"/>
  </r>
  <r>
    <x v="4"/>
    <n v="40100008"/>
    <x v="17"/>
    <x v="17"/>
    <s v="Add : Purchases -RM"/>
    <s v="Consumption of Raw Material"/>
    <n v="38698573.670000002"/>
    <n v="0"/>
    <n v="38698573.670000002"/>
    <n v="0"/>
    <n v="0"/>
    <n v="0"/>
  </r>
  <r>
    <x v="4"/>
    <n v="40200003"/>
    <x v="17"/>
    <x v="17"/>
    <s v="Add : Purchases -RM"/>
    <s v="Price Difference Material"/>
    <n v="983909.55"/>
    <n v="0"/>
    <n v="983909.55"/>
    <n v="0"/>
    <n v="0"/>
    <n v="0"/>
  </r>
  <r>
    <x v="4"/>
    <n v="40100011"/>
    <x v="17"/>
    <x v="17"/>
    <s v="Add : Purchases -PM"/>
    <s v="Consumption of Packing Material"/>
    <n v="3432580.8199999901"/>
    <n v="0"/>
    <n v="3432580.8199999901"/>
    <n v="0"/>
    <n v="0"/>
    <n v="0"/>
  </r>
  <r>
    <x v="4"/>
    <n v="40100007"/>
    <x v="18"/>
    <x v="18"/>
    <s v="Changes in inventories of finished goods and work in progress"/>
    <s v="COGS SFG and FG"/>
    <n v="34055264.18"/>
    <n v="0"/>
    <n v="34055264.18"/>
    <n v="0"/>
    <n v="0"/>
    <n v="0"/>
  </r>
  <r>
    <x v="4"/>
    <n v="40100009"/>
    <x v="18"/>
    <x v="18"/>
    <s v="Changes in inventories of finished goods and work in progress"/>
    <s v="Consumption of Semi-Finished Goods"/>
    <n v="43648143.68"/>
    <n v="0"/>
    <n v="43648143.68"/>
    <n v="0"/>
    <n v="0"/>
    <n v="0"/>
  </r>
  <r>
    <x v="4"/>
    <n v="40200000"/>
    <x v="18"/>
    <x v="18"/>
    <s v="Changes in inventories of finished goods and work in progress"/>
    <s v="COGM Material"/>
    <n v="0"/>
    <n v="-76405643.700000003"/>
    <n v="-76405643.700000003"/>
    <n v="0"/>
    <n v="0"/>
    <n v="0"/>
  </r>
  <r>
    <x v="4"/>
    <n v="40200001"/>
    <x v="18"/>
    <x v="18"/>
    <s v="Changes in inventories of finished goods and work in progress"/>
    <s v="COGM SFG and FG"/>
    <n v="0"/>
    <n v="0"/>
    <n v="0"/>
    <n v="0"/>
    <n v="0"/>
    <n v="0"/>
  </r>
  <r>
    <x v="4"/>
    <n v="40200004"/>
    <x v="18"/>
    <x v="18"/>
    <s v="Changes in inventories of finished goods and work in progress"/>
    <s v="Price difference SFG and FG"/>
    <n v="0"/>
    <n v="-2669.6599999999899"/>
    <n v="-2669.6599999999899"/>
    <n v="0"/>
    <n v="0"/>
    <n v="0"/>
  </r>
  <r>
    <x v="4"/>
    <n v="40200006"/>
    <x v="18"/>
    <x v="18"/>
    <s v="Changes in inventories of finished goods and work in progress"/>
    <s v="Month end Adjustment  - Material"/>
    <n v="9979737.3499999903"/>
    <n v="0"/>
    <n v="9979737.3499999903"/>
    <n v="0"/>
    <n v="0"/>
    <n v="0"/>
  </r>
  <r>
    <x v="4"/>
    <n v="40200011"/>
    <x v="18"/>
    <x v="18"/>
    <s v="Changes in inventories of finished goods and work in progress"/>
    <s v="COGM Material_Manual Entry"/>
    <n v="0"/>
    <n v="-14044091.73"/>
    <n v="-14044091.73"/>
    <n v="0"/>
    <n v="0"/>
    <n v="0"/>
  </r>
  <r>
    <x v="4"/>
    <n v="40300004"/>
    <x v="19"/>
    <x v="19"/>
    <s v="Salary, Wages, Allowances and Bonus etc. "/>
    <s v="Basic Salary"/>
    <n v="6024639.9299999904"/>
    <n v="0"/>
    <n v="6024639.9299999904"/>
    <n v="0"/>
    <n v="0"/>
    <n v="0"/>
  </r>
  <r>
    <x v="4"/>
    <n v="40400009"/>
    <x v="20"/>
    <x v="20"/>
    <s v="- From Bank (Secured Loan)"/>
    <s v="Interest on Term Loan"/>
    <n v="12164984.25"/>
    <n v="0"/>
    <n v="12164984.25"/>
    <n v="0"/>
    <n v="0"/>
    <n v="0"/>
  </r>
  <r>
    <x v="4"/>
    <n v="40400014"/>
    <x v="20"/>
    <x v="20"/>
    <s v="Other Borrowing Cost"/>
    <s v="Processing and Stamp Duty Expense"/>
    <n v="1998866"/>
    <n v="0"/>
    <n v="1998866"/>
    <n v="0"/>
    <n v="0"/>
    <n v="0"/>
  </r>
  <r>
    <x v="4"/>
    <n v="40400019"/>
    <x v="20"/>
    <x v="20"/>
    <s v="- From Bank (Secured Loan)"/>
    <s v="IND AS - Interest on TL"/>
    <n v="35715"/>
    <n v="0"/>
    <n v="35715"/>
    <n v="0"/>
    <n v="0"/>
    <n v="0"/>
  </r>
  <r>
    <x v="4"/>
    <n v="40400000"/>
    <x v="20"/>
    <x v="20"/>
    <s v="Other Interest Expenses"/>
    <s v="Interest on MSME"/>
    <n v="0"/>
    <n v="0"/>
    <n v="0"/>
    <n v="0"/>
    <n v="0"/>
    <n v="0"/>
  </r>
  <r>
    <x v="4"/>
    <n v="40400004"/>
    <x v="21"/>
    <x v="21"/>
    <s v="Bank charges"/>
    <s v="Import Payment_Charges"/>
    <n v="47100.37"/>
    <n v="0"/>
    <n v="47100.37"/>
    <n v="0"/>
    <n v="0"/>
    <n v="0"/>
  </r>
  <r>
    <x v="4"/>
    <n v="40600000"/>
    <x v="21"/>
    <x v="21"/>
    <s v="Power and fuel"/>
    <s v="Consumption of Fuel"/>
    <n v="2833264.75"/>
    <n v="0"/>
    <n v="2833264.75"/>
    <n v="0"/>
    <n v="0"/>
    <n v="0"/>
  </r>
  <r>
    <x v="4"/>
    <n v="40600002"/>
    <x v="21"/>
    <x v="21"/>
    <s v="Consumption of stores and spares"/>
    <s v="Consumption of Stores and Spares"/>
    <n v="1225213.3799999901"/>
    <n v="0"/>
    <n v="1225213.3799999901"/>
    <n v="0"/>
    <n v="0"/>
    <n v="0"/>
  </r>
  <r>
    <x v="4"/>
    <n v="40600003"/>
    <x v="21"/>
    <x v="21"/>
    <s v="Consumption of stores and spares"/>
    <s v="Consumption of Consumable Item"/>
    <n v="0"/>
    <n v="-1570775.47"/>
    <n v="-1570775.47"/>
    <n v="0"/>
    <n v="0"/>
    <n v="0"/>
  </r>
  <r>
    <x v="4"/>
    <n v="40600004"/>
    <x v="21"/>
    <x v="21"/>
    <s v="Power and fuel"/>
    <s v="Power Cost"/>
    <n v="5245037.96"/>
    <n v="0"/>
    <n v="5245037.96"/>
    <n v="0"/>
    <n v="0"/>
    <n v="0"/>
  </r>
  <r>
    <x v="4"/>
    <n v="40600005"/>
    <x v="21"/>
    <x v="21"/>
    <s v="Job work and labour charges"/>
    <s v="Labour Charges"/>
    <n v="1829726"/>
    <n v="0"/>
    <n v="1829726"/>
    <n v="0"/>
    <n v="0"/>
    <n v="0"/>
  </r>
  <r>
    <x v="4"/>
    <n v="40600007"/>
    <x v="21"/>
    <x v="21"/>
    <s v="Job work and labour charges"/>
    <s v="Effluent Treatment Charges"/>
    <n v="80460.160000000003"/>
    <n v="0"/>
    <n v="80460.160000000003"/>
    <n v="0"/>
    <n v="0"/>
    <n v="0"/>
  </r>
  <r>
    <x v="4"/>
    <n v="40600008"/>
    <x v="21"/>
    <x v="21"/>
    <s v="Rent expenses"/>
    <s v="Lease Rent_Factory"/>
    <n v="61500"/>
    <n v="0"/>
    <n v="61500"/>
    <n v="0"/>
    <n v="0"/>
    <n v="0"/>
  </r>
  <r>
    <x v="4"/>
    <n v="40700001"/>
    <x v="21"/>
    <x v="21"/>
    <s v="Travelling and conveyance"/>
    <s v="Conveyance Expenses"/>
    <n v="20000"/>
    <n v="0"/>
    <n v="20000"/>
    <n v="0"/>
    <n v="0"/>
    <n v="0"/>
  </r>
  <r>
    <x v="4"/>
    <n v="40700003"/>
    <x v="21"/>
    <x v="21"/>
    <s v="Travelling and conveyance"/>
    <s v="Travelling Expenses_Domestic"/>
    <n v="6665"/>
    <n v="0"/>
    <n v="6665"/>
    <n v="0"/>
    <n v="0"/>
    <n v="0"/>
  </r>
  <r>
    <x v="4"/>
    <n v="40700004"/>
    <x v="21"/>
    <x v="21"/>
    <s v="Miscellaneous expenses"/>
    <s v="Communication Expenses"/>
    <n v="27691.040000000001"/>
    <n v="0"/>
    <n v="27691.040000000001"/>
    <n v="0"/>
    <n v="0"/>
    <n v="0"/>
  </r>
  <r>
    <x v="4"/>
    <n v="40700006"/>
    <x v="21"/>
    <x v="21"/>
    <s v="Power and fuel"/>
    <s v="Power Cost_Corporate office"/>
    <n v="570"/>
    <n v="0"/>
    <n v="570"/>
    <n v="0"/>
    <n v="0"/>
    <n v="0"/>
  </r>
  <r>
    <x v="4"/>
    <n v="40700010"/>
    <x v="21"/>
    <x v="21"/>
    <s v="Legal &amp; Professional Fees"/>
    <s v="Reach Registration Charges"/>
    <n v="319075"/>
    <n v="0"/>
    <n v="319075"/>
    <n v="0"/>
    <n v="0"/>
    <n v="0"/>
  </r>
  <r>
    <x v="4"/>
    <n v="40700011"/>
    <x v="21"/>
    <x v="21"/>
    <s v="Rates &amp; Taxes"/>
    <s v="Penalty Expense"/>
    <n v="5000"/>
    <n v="0"/>
    <n v="5000"/>
    <n v="0"/>
    <n v="0"/>
    <n v="0"/>
  </r>
  <r>
    <x v="4"/>
    <n v="40700021"/>
    <x v="21"/>
    <x v="21"/>
    <s v="Selling and distribution expenses"/>
    <s v="Freight Outward"/>
    <n v="317039.64"/>
    <n v="0"/>
    <n v="317039.64"/>
    <n v="0"/>
    <n v="0"/>
    <n v="0"/>
  </r>
  <r>
    <x v="4"/>
    <n v="40700023"/>
    <x v="21"/>
    <x v="21"/>
    <s v="Security charges"/>
    <s v="Security Charges"/>
    <n v="608849.16"/>
    <n v="0"/>
    <n v="608849.16"/>
    <n v="0"/>
    <n v="0"/>
    <n v="0"/>
  </r>
  <r>
    <x v="4"/>
    <n v="40700024"/>
    <x v="21"/>
    <x v="21"/>
    <s v="Miscellaneous expenses"/>
    <s v="Printing and Stationery"/>
    <n v="960"/>
    <n v="0"/>
    <n v="960"/>
    <n v="0"/>
    <n v="0"/>
    <n v="0"/>
  </r>
  <r>
    <x v="4"/>
    <n v="40700028"/>
    <x v="21"/>
    <x v="21"/>
    <s v="Miscellaneous expenses"/>
    <s v="Office Expenses"/>
    <n v="18796.5999999999"/>
    <n v="0"/>
    <n v="18796.5999999999"/>
    <n v="0"/>
    <n v="0"/>
    <n v="0"/>
  </r>
  <r>
    <x v="4"/>
    <n v="40700045"/>
    <x v="22"/>
    <x v="22"/>
    <s v="(a) Current Tax"/>
    <s v="Prior year Tax Short/Excess"/>
    <n v="1495489"/>
    <n v="0"/>
    <n v="1495489"/>
    <n v="0"/>
    <n v="0"/>
    <n v="0"/>
  </r>
  <r>
    <x v="4"/>
    <n v="40700007"/>
    <x v="21"/>
    <x v="21"/>
    <s v="Legal &amp; Professional Fees"/>
    <s v="Professional &amp; Consulting Fees"/>
    <n v="184885.579999999"/>
    <n v="0"/>
    <n v="184885.579999999"/>
    <n v="0"/>
    <n v="0"/>
    <n v="0"/>
  </r>
  <r>
    <x v="4"/>
    <n v="40700008"/>
    <x v="21"/>
    <x v="21"/>
    <s v="Rates &amp; Taxes"/>
    <s v="Rates and Taxes"/>
    <n v="1089210.8"/>
    <n v="0"/>
    <n v="1089210.8"/>
    <n v="0"/>
    <n v="0"/>
    <n v="0"/>
  </r>
  <r>
    <x v="4"/>
    <n v="40700014"/>
    <x v="21"/>
    <x v="21"/>
    <s v="Insurance Expenses"/>
    <s v="Insurance Expense"/>
    <n v="603536.23999999894"/>
    <n v="0"/>
    <n v="603536.23999999894"/>
    <n v="0"/>
    <n v="0"/>
    <n v="0"/>
  </r>
  <r>
    <x v="4"/>
    <n v="40700015"/>
    <x v="21"/>
    <x v="21"/>
    <s v="Miscellaneous expenses"/>
    <s v="Rounding Adjustment"/>
    <n v="43.8599999999999"/>
    <n v="0"/>
    <n v="43.8599999999999"/>
    <n v="0"/>
    <n v="0"/>
    <n v="0"/>
  </r>
  <r>
    <x v="4"/>
    <n v="40700022"/>
    <x v="21"/>
    <x v="21"/>
    <s v="Consumption of stores and spares"/>
    <s v="Consumable Items"/>
    <n v="1512032.45"/>
    <n v="0"/>
    <n v="1512032.45"/>
    <n v="0"/>
    <n v="0"/>
    <n v="0"/>
  </r>
  <r>
    <x v="4"/>
    <n v="40700025"/>
    <x v="21"/>
    <x v="21"/>
    <s v="Miscellaneous expenses"/>
    <s v="IT Expenses"/>
    <n v="26120"/>
    <n v="0"/>
    <n v="26120"/>
    <n v="0"/>
    <n v="0"/>
    <n v="0"/>
  </r>
  <r>
    <x v="4"/>
    <n v="40700040"/>
    <x v="21"/>
    <x v="21"/>
    <s v="(b) Deferred Tax"/>
    <s v="IND AS - Deferred Tax Expense"/>
    <n v="0"/>
    <n v="0"/>
    <n v="0"/>
    <n v="0"/>
    <n v="0"/>
    <n v="0"/>
  </r>
  <r>
    <x v="4"/>
    <n v="40500000"/>
    <x v="9"/>
    <x v="23"/>
    <s v="Depreciation and Amortisation Expense"/>
    <s v="ACC_DEP_Building"/>
    <n v="6213925.0300000003"/>
    <n v="0"/>
    <n v="6213925.0300000003"/>
    <n v="0"/>
    <n v="0"/>
    <n v="0"/>
  </r>
  <r>
    <x v="4"/>
    <n v="40500001"/>
    <x v="9"/>
    <x v="23"/>
    <s v="Depreciation and Amortisation Expense"/>
    <s v="ACC_DEP_Plant and machinery"/>
    <n v="41772105.340000004"/>
    <n v="0"/>
    <n v="41772105.340000004"/>
    <n v="0"/>
    <n v="0"/>
    <n v="0"/>
  </r>
  <r>
    <x v="4"/>
    <n v="40500003"/>
    <x v="9"/>
    <x v="23"/>
    <s v="Depreciation and Amortisation Expense"/>
    <s v="ACC_DEP_Computers"/>
    <n v="56833.8"/>
    <n v="0"/>
    <n v="56833.8"/>
    <n v="0"/>
    <n v="0"/>
    <n v="0"/>
  </r>
  <r>
    <x v="4"/>
    <n v="40500008"/>
    <x v="9"/>
    <x v="23"/>
    <s v="Depreciation and Amortisation Expense"/>
    <s v="ACC_DEP_Leasehold Land"/>
    <n v="3178389.73"/>
    <n v="0"/>
    <n v="3178389.73"/>
    <n v="0"/>
    <n v="0"/>
    <n v="0"/>
  </r>
  <r>
    <x v="4"/>
    <n v="40700041"/>
    <x v="22"/>
    <x v="24"/>
    <s v="(a) Current Tax"/>
    <s v="Income Tax Expense"/>
    <n v="0"/>
    <n v="0"/>
    <n v="0"/>
    <n v="0"/>
    <n v="0"/>
    <n v="0"/>
  </r>
  <r>
    <x v="4"/>
    <n v="40300000"/>
    <x v="19"/>
    <x v="19"/>
    <s v="Salary, Wages, Allowances and Bonus etc. "/>
    <s v="Staff Welfare Expenses"/>
    <n v="100471.86"/>
    <n v="0"/>
    <n v="100471.86"/>
    <n v="0"/>
    <n v="0"/>
    <n v="0"/>
  </r>
  <r>
    <x v="4"/>
    <n v="40300002"/>
    <x v="19"/>
    <x v="19"/>
    <s v="Salary, Wages, Allowances and Bonus etc. "/>
    <s v="Vehicle Hire Charges"/>
    <n v="935260.20999999903"/>
    <n v="0"/>
    <n v="935260.20999999903"/>
    <n v="0"/>
    <n v="0"/>
    <n v="0"/>
  </r>
  <r>
    <x v="4"/>
    <n v="40300012"/>
    <x v="19"/>
    <x v="19"/>
    <s v="Salary, Wages, Allowances and Bonus etc. "/>
    <s v="Leave Salary- BVCPL"/>
    <n v="0"/>
    <n v="0"/>
    <n v="0"/>
    <n v="0"/>
    <n v="0"/>
    <n v="0"/>
  </r>
  <r>
    <x v="4"/>
    <n v="40300010"/>
    <x v="19"/>
    <x v="19"/>
    <s v="Salary, Wages, Allowances and Bonus etc. "/>
    <s v="Gratuity Expenses"/>
    <n v="0"/>
    <n v="0"/>
    <n v="0"/>
    <n v="0"/>
    <n v="0"/>
    <n v="0"/>
  </r>
  <r>
    <x v="2"/>
    <n v="20100001"/>
    <x v="23"/>
    <x v="25"/>
    <s v="Capital Advance"/>
    <s v="Capital Advances"/>
    <n v="0"/>
    <n v="0"/>
    <n v="0"/>
    <n v="0"/>
    <n v="0"/>
    <n v="0"/>
  </r>
  <r>
    <x v="1"/>
    <s v="Manual Entries"/>
    <x v="5"/>
    <x v="5"/>
    <s v="Total outstanding dues of creditors other than micro enterprises and small enterprises"/>
    <s v="Total outstanding dues of creditors other than micro enterprises and small enterprises"/>
    <n v="0"/>
    <n v="0"/>
    <n v="0"/>
    <n v="0"/>
    <n v="0"/>
    <n v="0"/>
  </r>
  <r>
    <x v="0"/>
    <n v="10000004"/>
    <x v="0"/>
    <x v="0"/>
    <s v="Pref Shar CCPS-BVCPL"/>
    <s v="0.01% Non-Cumulative CCPS"/>
    <n v="868680"/>
    <n v="0"/>
    <n v="868680"/>
    <n v="0"/>
    <n v="868680"/>
    <n v="0"/>
  </r>
  <r>
    <x v="0"/>
    <n v="10100000"/>
    <x v="1"/>
    <x v="1"/>
    <s v="Closing balance - Securities Premium"/>
    <s v="Security Premium Account"/>
    <n v="1999104969"/>
    <n v="0"/>
    <n v="1999104969"/>
    <n v="0"/>
    <n v="1999104969"/>
    <n v="0"/>
  </r>
  <r>
    <x v="0"/>
    <n v="10000004"/>
    <x v="0"/>
    <x v="1"/>
    <s v="INSTRUMENT ENTIRELY EQUITY IN NATURE"/>
    <s v="0.01% Non-Cumulative CCPS"/>
    <n v="0"/>
    <n v="-1999973649"/>
    <n v="-1999973649"/>
    <n v="0"/>
    <n v="-1999973649"/>
    <n v="0"/>
  </r>
  <r>
    <x v="4"/>
    <s v="Manual Entries - IGAAP"/>
    <x v="21"/>
    <x v="21"/>
    <s v="Payment to Auditors"/>
    <s v="Payment to Auditors"/>
    <n v="0"/>
    <n v="0"/>
    <n v="0"/>
    <n v="0"/>
    <n v="0"/>
    <n v="0"/>
  </r>
  <r>
    <x v="4"/>
    <s v="Manual Entries - IGAAP"/>
    <x v="21"/>
    <x v="21"/>
    <s v="Legal &amp; Professional Fees"/>
    <s v="Legal &amp; Professional Fees"/>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226B8-F184-488E-84DB-D5BF5EE3C8C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39" firstHeaderRow="1" firstDataRow="2" firstDataCol="3"/>
  <pivotFields count="12">
    <pivotField axis="axisRow" compact="0" outline="0" showAll="0">
      <items count="6">
        <item x="0"/>
        <item x="1"/>
        <item x="2"/>
        <item x="4"/>
        <item x="3"/>
        <item t="default"/>
      </items>
    </pivotField>
    <pivotField compact="0" outline="0" showAll="0"/>
    <pivotField axis="axisRow" compact="0" outline="0" showAll="0" defaultSubtotal="0">
      <items count="24">
        <item x="9"/>
        <item x="3"/>
        <item x="10"/>
        <item x="8"/>
        <item x="23"/>
        <item x="11"/>
        <item x="12"/>
        <item x="13"/>
        <item x="14"/>
        <item x="0"/>
        <item x="1"/>
        <item x="2"/>
        <item x="4"/>
        <item x="5"/>
        <item x="6"/>
        <item x="7"/>
        <item x="15"/>
        <item x="16"/>
        <item x="17"/>
        <item x="18"/>
        <item x="19"/>
        <item x="20"/>
        <item x="21"/>
        <item x="22"/>
      </items>
    </pivotField>
    <pivotField axis="axisRow" compact="0" outline="0" showAll="0">
      <items count="31">
        <item x="2"/>
        <item m="1" x="29"/>
        <item m="1" x="26"/>
        <item x="18"/>
        <item x="17"/>
        <item x="22"/>
        <item x="3"/>
        <item x="23"/>
        <item x="19"/>
        <item x="0"/>
        <item x="20"/>
        <item x="11"/>
        <item x="25"/>
        <item m="1" x="28"/>
        <item x="14"/>
        <item x="7"/>
        <item x="1"/>
        <item x="21"/>
        <item x="10"/>
        <item x="6"/>
        <item x="16"/>
        <item m="1" x="27"/>
        <item x="8"/>
        <item x="9"/>
        <item x="4"/>
        <item x="15"/>
        <item x="24"/>
        <item x="5"/>
        <item x="12"/>
        <item x="13"/>
        <item t="default"/>
      </items>
    </pivotField>
    <pivotField compact="0" outline="0" showAll="0"/>
    <pivotField compact="0" outline="0" showAll="0"/>
    <pivotField compact="0" numFmtId="184" outline="0" showAll="0"/>
    <pivotField compact="0" numFmtId="184" outline="0" showAll="0"/>
    <pivotField dataField="1" compact="0" numFmtId="184" outline="0" showAll="0"/>
    <pivotField dataField="1" compact="0" numFmtId="184" outline="0" showAll="0"/>
    <pivotField dataField="1" compact="0" numFmtId="184" outline="0" showAll="0"/>
    <pivotField compact="0" outline="0" showAll="0"/>
  </pivotFields>
  <rowFields count="3">
    <field x="0"/>
    <field x="2"/>
    <field x="3"/>
  </rowFields>
  <rowItems count="35">
    <i>
      <x/>
      <x v="9"/>
      <x v="9"/>
    </i>
    <i r="2">
      <x v="16"/>
    </i>
    <i r="1">
      <x v="10"/>
      <x v="16"/>
    </i>
    <i t="default">
      <x/>
    </i>
    <i>
      <x v="1"/>
      <x v="1"/>
      <x v="6"/>
    </i>
    <i r="1">
      <x v="3"/>
      <x v="22"/>
    </i>
    <i r="1">
      <x v="11"/>
      <x/>
    </i>
    <i r="1">
      <x v="12"/>
      <x v="24"/>
    </i>
    <i r="1">
      <x v="13"/>
      <x v="27"/>
    </i>
    <i r="1">
      <x v="14"/>
      <x v="19"/>
    </i>
    <i r="1">
      <x v="15"/>
      <x v="15"/>
    </i>
    <i t="default">
      <x v="1"/>
    </i>
    <i>
      <x v="2"/>
      <x/>
      <x v="23"/>
    </i>
    <i r="1">
      <x v="2"/>
      <x v="18"/>
    </i>
    <i r="1">
      <x v="3"/>
      <x v="22"/>
    </i>
    <i r="1">
      <x v="4"/>
      <x v="12"/>
    </i>
    <i r="1">
      <x v="5"/>
      <x v="11"/>
    </i>
    <i r="1">
      <x v="6"/>
      <x v="28"/>
    </i>
    <i r="1">
      <x v="7"/>
      <x v="29"/>
    </i>
    <i r="1">
      <x v="8"/>
      <x v="14"/>
    </i>
    <i t="default">
      <x v="2"/>
    </i>
    <i>
      <x v="3"/>
      <x/>
      <x v="7"/>
    </i>
    <i r="1">
      <x v="18"/>
      <x v="4"/>
    </i>
    <i r="1">
      <x v="19"/>
      <x v="3"/>
    </i>
    <i r="1">
      <x v="20"/>
      <x v="8"/>
    </i>
    <i r="1">
      <x v="21"/>
      <x v="10"/>
    </i>
    <i r="1">
      <x v="22"/>
      <x v="17"/>
    </i>
    <i r="1">
      <x v="23"/>
      <x v="5"/>
    </i>
    <i r="2">
      <x v="26"/>
    </i>
    <i t="default">
      <x v="3"/>
    </i>
    <i>
      <x v="4"/>
      <x v="16"/>
      <x v="20"/>
    </i>
    <i r="2">
      <x v="25"/>
    </i>
    <i r="1">
      <x v="17"/>
      <x v="20"/>
    </i>
    <i t="default">
      <x v="4"/>
    </i>
    <i t="grand">
      <x/>
    </i>
  </rowItems>
  <colFields count="1">
    <field x="-2"/>
  </colFields>
  <colItems count="3">
    <i>
      <x/>
    </i>
    <i i="1">
      <x v="1"/>
    </i>
    <i i="2">
      <x v="2"/>
    </i>
  </colItems>
  <dataFields count="3">
    <dataField name="Sum of Current" fld="9" baseField="0" baseItem="0" numFmtId="184"/>
    <dataField name="Sum of Non-Current" fld="10" baseField="0" baseItem="0" numFmtId="184"/>
    <dataField name="Sum of Total" fld="8" baseField="0" baseItem="0" numFmtId="184"/>
  </dataFields>
  <formats count="23">
    <format dxfId="88">
      <pivotArea outline="0" fieldPosition="0">
        <references count="4">
          <reference field="4294967294" count="1" selected="0">
            <x v="2"/>
          </reference>
          <reference field="0" count="1" selected="0">
            <x v="4"/>
          </reference>
          <reference field="2" count="1" selected="0">
            <x v="16"/>
          </reference>
          <reference field="3" count="2" selected="0">
            <x v="21"/>
            <x v="25"/>
          </reference>
        </references>
      </pivotArea>
    </format>
    <format dxfId="87">
      <pivotArea outline="0" fieldPosition="0">
        <references count="4">
          <reference field="4294967294" count="1" selected="0">
            <x v="2"/>
          </reference>
          <reference field="0" count="1" selected="0">
            <x v="3"/>
          </reference>
          <reference field="2" count="2" selected="0">
            <x v="18"/>
            <x v="19"/>
          </reference>
          <reference field="3" count="2" selected="0">
            <x v="3"/>
            <x v="4"/>
          </reference>
        </references>
      </pivotArea>
    </format>
    <format dxfId="86">
      <pivotArea outline="0" fieldPosition="0">
        <references count="4">
          <reference field="4294967294" count="1" selected="0">
            <x v="2"/>
          </reference>
          <reference field="0" count="1" selected="0">
            <x v="3"/>
          </reference>
          <reference field="2" count="1" selected="0">
            <x v="0"/>
          </reference>
          <reference field="3" count="1" selected="0">
            <x v="7"/>
          </reference>
        </references>
      </pivotArea>
    </format>
    <format dxfId="85">
      <pivotArea outline="0" fieldPosition="0">
        <references count="4">
          <reference field="4294967294" count="1" selected="0">
            <x v="2"/>
          </reference>
          <reference field="0" count="1" selected="0">
            <x v="3"/>
          </reference>
          <reference field="2" count="1" selected="0">
            <x v="22"/>
          </reference>
          <reference field="3" count="1" selected="0">
            <x v="17"/>
          </reference>
        </references>
      </pivotArea>
    </format>
    <format dxfId="84">
      <pivotArea outline="0" fieldPosition="0">
        <references count="4">
          <reference field="4294967294" count="1" selected="0">
            <x v="2"/>
          </reference>
          <reference field="0" count="1" selected="0">
            <x v="3"/>
          </reference>
          <reference field="2" count="1" selected="0">
            <x v="23"/>
          </reference>
          <reference field="3" count="1" selected="0">
            <x v="5"/>
          </reference>
        </references>
      </pivotArea>
    </format>
    <format dxfId="83">
      <pivotArea outline="0" fieldPosition="0">
        <references count="4">
          <reference field="4294967294" count="1" selected="0">
            <x v="2"/>
          </reference>
          <reference field="0" count="1" selected="0">
            <x v="2"/>
          </reference>
          <reference field="2" count="1" selected="0">
            <x v="0"/>
          </reference>
          <reference field="3" count="1" selected="0">
            <x v="23"/>
          </reference>
        </references>
      </pivotArea>
    </format>
    <format dxfId="82">
      <pivotArea outline="0" fieldPosition="0">
        <references count="4">
          <reference field="4294967294" count="1" selected="0">
            <x v="2"/>
          </reference>
          <reference field="0" count="1" selected="0">
            <x v="2"/>
          </reference>
          <reference field="2" count="1" selected="0">
            <x v="2"/>
          </reference>
          <reference field="3" count="1" selected="0">
            <x v="18"/>
          </reference>
        </references>
      </pivotArea>
    </format>
    <format dxfId="81">
      <pivotArea outline="0" fieldPosition="0">
        <references count="4">
          <reference field="4294967294" count="1" selected="0">
            <x v="2"/>
          </reference>
          <reference field="0" count="1" selected="0">
            <x v="2"/>
          </reference>
          <reference field="2" count="1" selected="0">
            <x v="3"/>
          </reference>
          <reference field="3" count="1" selected="0">
            <x v="22"/>
          </reference>
        </references>
      </pivotArea>
    </format>
    <format dxfId="80">
      <pivotArea outline="0" fieldPosition="0">
        <references count="4">
          <reference field="4294967294" count="1" selected="0">
            <x v="2"/>
          </reference>
          <reference field="0" count="1" selected="0">
            <x v="2"/>
          </reference>
          <reference field="2" count="1" selected="0">
            <x v="5"/>
          </reference>
          <reference field="3" count="1" selected="0">
            <x v="11"/>
          </reference>
        </references>
      </pivotArea>
    </format>
    <format dxfId="79">
      <pivotArea outline="0" fieldPosition="0">
        <references count="4">
          <reference field="4294967294" count="1" selected="0">
            <x v="2"/>
          </reference>
          <reference field="0" count="1" selected="0">
            <x v="2"/>
          </reference>
          <reference field="2" count="1" selected="0">
            <x v="6"/>
          </reference>
          <reference field="3" count="1" selected="0">
            <x v="28"/>
          </reference>
        </references>
      </pivotArea>
    </format>
    <format dxfId="78">
      <pivotArea outline="0" fieldPosition="0">
        <references count="4">
          <reference field="4294967294" count="1" selected="0">
            <x v="2"/>
          </reference>
          <reference field="0" count="1" selected="0">
            <x v="2"/>
          </reference>
          <reference field="2" count="1" selected="0">
            <x v="7"/>
          </reference>
          <reference field="3" count="1" selected="0">
            <x v="2"/>
          </reference>
        </references>
      </pivotArea>
    </format>
    <format dxfId="77">
      <pivotArea outline="0" fieldPosition="0">
        <references count="4">
          <reference field="4294967294" count="1" selected="0">
            <x v="2"/>
          </reference>
          <reference field="0" count="1" selected="0">
            <x v="2"/>
          </reference>
          <reference field="2" count="1" selected="0">
            <x v="8"/>
          </reference>
          <reference field="3" count="1" selected="0">
            <x v="14"/>
          </reference>
        </references>
      </pivotArea>
    </format>
    <format dxfId="76">
      <pivotArea outline="0" fieldPosition="0">
        <references count="4">
          <reference field="4294967294" count="1" selected="0">
            <x v="2"/>
          </reference>
          <reference field="0" count="1" selected="0">
            <x v="0"/>
          </reference>
          <reference field="2" count="1" selected="0">
            <x v="9"/>
          </reference>
          <reference field="3" count="1" selected="0">
            <x v="9"/>
          </reference>
        </references>
      </pivotArea>
    </format>
    <format dxfId="75">
      <pivotArea outline="0" fieldPosition="0">
        <references count="4">
          <reference field="4294967294" count="1" selected="0">
            <x v="2"/>
          </reference>
          <reference field="0" count="1" selected="0">
            <x v="0"/>
          </reference>
          <reference field="2" count="1" selected="0">
            <x v="9"/>
          </reference>
          <reference field="3" count="1" selected="0">
            <x v="16"/>
          </reference>
        </references>
      </pivotArea>
    </format>
    <format dxfId="74">
      <pivotArea outline="0" fieldPosition="0">
        <references count="4">
          <reference field="4294967294" count="2" selected="0">
            <x v="0"/>
            <x v="1"/>
          </reference>
          <reference field="0" count="1" selected="0">
            <x v="1"/>
          </reference>
          <reference field="2" count="1" selected="0">
            <x v="11"/>
          </reference>
          <reference field="3" count="1" selected="0">
            <x v="0"/>
          </reference>
        </references>
      </pivotArea>
    </format>
    <format dxfId="73">
      <pivotArea outline="0" fieldPosition="0">
        <references count="4">
          <reference field="4294967294" count="1" selected="0">
            <x v="2"/>
          </reference>
          <reference field="0" count="1" selected="0">
            <x v="1"/>
          </reference>
          <reference field="2" count="1" selected="0">
            <x v="11"/>
          </reference>
          <reference field="3" count="1" selected="0">
            <x v="0"/>
          </reference>
        </references>
      </pivotArea>
    </format>
    <format dxfId="72">
      <pivotArea outline="0" fieldPosition="0">
        <references count="4">
          <reference field="4294967294" count="2" selected="0">
            <x v="0"/>
            <x v="1"/>
          </reference>
          <reference field="0" count="1" selected="0">
            <x v="1"/>
          </reference>
          <reference field="2" count="1" selected="0">
            <x v="12"/>
          </reference>
          <reference field="3" count="1" selected="0">
            <x v="24"/>
          </reference>
        </references>
      </pivotArea>
    </format>
    <format dxfId="71">
      <pivotArea outline="0" fieldPosition="0">
        <references count="4">
          <reference field="4294967294" count="1" selected="0">
            <x v="2"/>
          </reference>
          <reference field="0" count="1" selected="0">
            <x v="1"/>
          </reference>
          <reference field="2" count="1" selected="0">
            <x v="12"/>
          </reference>
          <reference field="3" count="1" selected="0">
            <x v="24"/>
          </reference>
        </references>
      </pivotArea>
    </format>
    <format dxfId="70">
      <pivotArea outline="0" fieldPosition="0">
        <references count="4">
          <reference field="4294967294" count="1" selected="0">
            <x v="2"/>
          </reference>
          <reference field="0" count="1" selected="0">
            <x v="1"/>
          </reference>
          <reference field="2" count="1" selected="0">
            <x v="13"/>
          </reference>
          <reference field="3" count="1" selected="0">
            <x v="27"/>
          </reference>
        </references>
      </pivotArea>
    </format>
    <format dxfId="69">
      <pivotArea outline="0" fieldPosition="0">
        <references count="4">
          <reference field="4294967294" count="1" selected="0">
            <x v="0"/>
          </reference>
          <reference field="0" count="1" selected="0">
            <x v="1"/>
          </reference>
          <reference field="2" count="1" selected="0">
            <x v="13"/>
          </reference>
          <reference field="3" count="1" selected="0">
            <x v="27"/>
          </reference>
        </references>
      </pivotArea>
    </format>
    <format dxfId="68">
      <pivotArea outline="0" fieldPosition="0">
        <references count="4">
          <reference field="4294967294" count="1" selected="0">
            <x v="2"/>
          </reference>
          <reference field="0" count="1" selected="0">
            <x v="1"/>
          </reference>
          <reference field="2" count="1" selected="0">
            <x v="14"/>
          </reference>
          <reference field="3" count="1" selected="0">
            <x v="19"/>
          </reference>
        </references>
      </pivotArea>
    </format>
    <format dxfId="67">
      <pivotArea outline="0" fieldPosition="0">
        <references count="4">
          <reference field="4294967294" count="1" selected="0">
            <x v="0"/>
          </reference>
          <reference field="0" count="1" selected="0">
            <x v="1"/>
          </reference>
          <reference field="2" count="1" selected="0">
            <x v="14"/>
          </reference>
          <reference field="3" count="1" selected="0">
            <x v="19"/>
          </reference>
        </references>
      </pivotArea>
    </format>
    <format dxfId="66">
      <pivotArea outline="0" fieldPosition="0">
        <references count="4">
          <reference field="4294967294" count="1" selected="0">
            <x v="2"/>
          </reference>
          <reference field="0" count="1" selected="0">
            <x v="1"/>
          </reference>
          <reference field="2" count="1" selected="0">
            <x v="15"/>
          </reference>
          <reference field="3" count="1" selected="0">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02" dT="2026-06-27T13:35:55.28" personId="{D9F3DCD1-63F3-4923-9762-EE2F0C4EBEFA}" id="{F3D0C18B-D8C7-4864-B145-ABF18EE9B595}">
    <text>Investment in JSW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D4"/>
  <sheetViews>
    <sheetView showGridLines="0" workbookViewId="0">
      <selection activeCell="B5" sqref="B5"/>
    </sheetView>
  </sheetViews>
  <sheetFormatPr defaultColWidth="9.140625" defaultRowHeight="12" x14ac:dyDescent="0.25"/>
  <cols>
    <col min="1" max="1" width="3" style="173" bestFit="1" customWidth="1"/>
    <col min="2" max="2" width="116.42578125" style="173" bestFit="1" customWidth="1"/>
    <col min="3" max="3" width="44.5703125" style="173" bestFit="1" customWidth="1"/>
    <col min="4" max="16384" width="9.140625" style="173"/>
  </cols>
  <sheetData>
    <row r="2" spans="1:4" x14ac:dyDescent="0.25">
      <c r="A2" s="175" t="s">
        <v>288</v>
      </c>
      <c r="B2" s="175" t="s">
        <v>0</v>
      </c>
      <c r="C2" s="175" t="s">
        <v>243</v>
      </c>
    </row>
    <row r="3" spans="1:4" x14ac:dyDescent="0.25">
      <c r="A3" s="174">
        <v>1</v>
      </c>
      <c r="B3" s="463" t="s">
        <v>671</v>
      </c>
      <c r="C3" s="159"/>
    </row>
    <row r="4" spans="1:4" x14ac:dyDescent="0.25">
      <c r="A4" s="174">
        <v>2</v>
      </c>
      <c r="B4" s="463" t="s">
        <v>672</v>
      </c>
      <c r="C4" s="159"/>
      <c r="D4" s="173" t="s">
        <v>673</v>
      </c>
    </row>
  </sheetData>
  <pageMargins left="0.7" right="0.7" top="0.75" bottom="0.75" header="0.3" footer="0.3"/>
  <pageSetup paperSize="9" orientation="portrait" horizontalDpi="0" verticalDpi="0" r:id="rId1"/>
  <headerFooter>
    <oddHeader>&amp;C&amp;G</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H122"/>
  <sheetViews>
    <sheetView workbookViewId="0">
      <selection activeCell="C16" sqref="C16"/>
    </sheetView>
  </sheetViews>
  <sheetFormatPr defaultColWidth="9.140625" defaultRowHeight="15" x14ac:dyDescent="0.25"/>
  <cols>
    <col min="2" max="2" width="21.140625" bestFit="1" customWidth="1"/>
    <col min="3" max="3" width="63" style="64" bestFit="1" customWidth="1"/>
    <col min="4" max="4" width="11" bestFit="1" customWidth="1"/>
    <col min="5" max="5" width="18.42578125" customWidth="1"/>
    <col min="6" max="6" width="12" style="64" bestFit="1" customWidth="1"/>
    <col min="8" max="8" width="7.5703125" bestFit="1" customWidth="1"/>
  </cols>
  <sheetData>
    <row r="1" spans="2:8" x14ac:dyDescent="0.25">
      <c r="B1" s="3" t="s">
        <v>286</v>
      </c>
      <c r="C1" s="4" t="s">
        <v>523</v>
      </c>
      <c r="E1" s="204" t="s">
        <v>429</v>
      </c>
      <c r="F1"/>
    </row>
    <row r="2" spans="2:8" x14ac:dyDescent="0.25">
      <c r="B2" s="4" t="s">
        <v>98</v>
      </c>
      <c r="C2">
        <v>100000</v>
      </c>
      <c r="D2" t="str">
        <f>IF(C2=100000,"(₹ in Lakh)","(₹ in '000)")</f>
        <v>(₹ in Lakh)</v>
      </c>
      <c r="E2" s="205">
        <v>0</v>
      </c>
      <c r="F2"/>
    </row>
    <row r="3" spans="2:8" x14ac:dyDescent="0.25">
      <c r="C3"/>
      <c r="D3" s="199"/>
      <c r="F3"/>
    </row>
    <row r="4" spans="2:8" x14ac:dyDescent="0.25">
      <c r="B4" t="s">
        <v>99</v>
      </c>
      <c r="C4" s="200" t="s">
        <v>711</v>
      </c>
      <c r="D4" s="201" t="s">
        <v>713</v>
      </c>
      <c r="E4" t="str">
        <f t="shared" ref="E4:F6" si="0">UPPER(C4)</f>
        <v>31 MARCH 2024</v>
      </c>
      <c r="F4" t="str">
        <f t="shared" si="0"/>
        <v>1 APRIL 2024</v>
      </c>
      <c r="H4" t="s">
        <v>714</v>
      </c>
    </row>
    <row r="5" spans="2:8" x14ac:dyDescent="0.25">
      <c r="B5" t="s">
        <v>100</v>
      </c>
      <c r="C5" s="200" t="s">
        <v>291</v>
      </c>
      <c r="D5" s="201" t="s">
        <v>712</v>
      </c>
      <c r="E5" t="str">
        <f t="shared" si="0"/>
        <v>31 MARCH 2023</v>
      </c>
      <c r="F5" t="str">
        <f t="shared" si="0"/>
        <v>1 APRIL 2023</v>
      </c>
      <c r="H5" t="s">
        <v>90</v>
      </c>
    </row>
    <row r="6" spans="2:8" x14ac:dyDescent="0.25">
      <c r="C6" s="200" t="s">
        <v>139</v>
      </c>
      <c r="D6" s="201" t="s">
        <v>219</v>
      </c>
      <c r="E6" t="str">
        <f t="shared" si="0"/>
        <v>31 MARCH 2022</v>
      </c>
      <c r="F6" t="str">
        <f t="shared" si="0"/>
        <v>1 APRIL 2022</v>
      </c>
      <c r="H6" t="s">
        <v>89</v>
      </c>
    </row>
    <row r="7" spans="2:8" x14ac:dyDescent="0.25">
      <c r="C7" s="200" t="s">
        <v>215</v>
      </c>
      <c r="D7" s="201"/>
      <c r="F7"/>
    </row>
    <row r="8" spans="2:8" x14ac:dyDescent="0.25">
      <c r="C8" s="201" t="s">
        <v>218</v>
      </c>
      <c r="D8" s="201"/>
      <c r="E8" t="str">
        <f>UPPER(C8)</f>
        <v>1 APRIL 2021</v>
      </c>
      <c r="F8" s="201" t="s">
        <v>584</v>
      </c>
      <c r="H8" t="s">
        <v>85</v>
      </c>
    </row>
    <row r="9" spans="2:8" x14ac:dyDescent="0.25">
      <c r="C9"/>
      <c r="F9"/>
    </row>
    <row r="10" spans="2:8" x14ac:dyDescent="0.25">
      <c r="C10" t="s">
        <v>101</v>
      </c>
      <c r="D10">
        <v>1</v>
      </c>
    </row>
    <row r="11" spans="2:8" x14ac:dyDescent="0.25">
      <c r="C11" t="s">
        <v>86</v>
      </c>
      <c r="D11">
        <f>D10+1</f>
        <v>2</v>
      </c>
    </row>
    <row r="12" spans="2:8" x14ac:dyDescent="0.25">
      <c r="B12" t="s">
        <v>4</v>
      </c>
      <c r="C12"/>
    </row>
    <row r="13" spans="2:8" x14ac:dyDescent="0.25">
      <c r="B13" t="s">
        <v>5</v>
      </c>
      <c r="C13" t="s">
        <v>6</v>
      </c>
      <c r="D13">
        <f>D11+1</f>
        <v>3</v>
      </c>
    </row>
    <row r="14" spans="2:8" x14ac:dyDescent="0.25">
      <c r="B14" t="s">
        <v>7</v>
      </c>
      <c r="C14" t="s">
        <v>289</v>
      </c>
    </row>
    <row r="15" spans="2:8" x14ac:dyDescent="0.25">
      <c r="B15" t="s">
        <v>8</v>
      </c>
      <c r="C15" t="s">
        <v>158</v>
      </c>
    </row>
    <row r="16" spans="2:8" x14ac:dyDescent="0.25">
      <c r="B16" t="s">
        <v>9</v>
      </c>
      <c r="C16" t="s">
        <v>10</v>
      </c>
    </row>
    <row r="17" spans="2:4" x14ac:dyDescent="0.25">
      <c r="B17" t="s">
        <v>11</v>
      </c>
      <c r="C17" t="s">
        <v>13</v>
      </c>
    </row>
    <row r="18" spans="2:4" x14ac:dyDescent="0.25">
      <c r="C18" s="191" t="s">
        <v>81</v>
      </c>
      <c r="D18">
        <v>5</v>
      </c>
    </row>
    <row r="19" spans="2:4" x14ac:dyDescent="0.25">
      <c r="C19" s="191" t="s">
        <v>222</v>
      </c>
      <c r="D19">
        <v>6</v>
      </c>
    </row>
    <row r="20" spans="2:4" x14ac:dyDescent="0.25">
      <c r="B20" t="s">
        <v>12</v>
      </c>
      <c r="C20" t="s">
        <v>78</v>
      </c>
      <c r="D20">
        <f>D13+1</f>
        <v>4</v>
      </c>
    </row>
    <row r="21" spans="2:4" x14ac:dyDescent="0.25">
      <c r="B21" t="s">
        <v>290</v>
      </c>
      <c r="C21" t="s">
        <v>14</v>
      </c>
      <c r="D21">
        <f>D20+1</f>
        <v>5</v>
      </c>
    </row>
    <row r="22" spans="2:4" x14ac:dyDescent="0.25">
      <c r="C22" t="s">
        <v>15</v>
      </c>
    </row>
    <row r="23" spans="2:4" x14ac:dyDescent="0.25">
      <c r="B23" t="s">
        <v>16</v>
      </c>
      <c r="C23"/>
    </row>
    <row r="24" spans="2:4" x14ac:dyDescent="0.25">
      <c r="B24" t="s">
        <v>5</v>
      </c>
      <c r="C24" t="s">
        <v>159</v>
      </c>
      <c r="D24">
        <v>7</v>
      </c>
    </row>
    <row r="25" spans="2:4" x14ac:dyDescent="0.25">
      <c r="B25" t="s">
        <v>5</v>
      </c>
      <c r="C25" t="s">
        <v>13</v>
      </c>
    </row>
    <row r="26" spans="2:4" x14ac:dyDescent="0.25">
      <c r="C26" s="191" t="s">
        <v>80</v>
      </c>
      <c r="D26">
        <v>8</v>
      </c>
    </row>
    <row r="27" spans="2:4" x14ac:dyDescent="0.25">
      <c r="C27" s="191" t="s">
        <v>327</v>
      </c>
      <c r="D27">
        <v>9</v>
      </c>
    </row>
    <row r="28" spans="2:4" x14ac:dyDescent="0.25">
      <c r="C28" s="191" t="s">
        <v>889</v>
      </c>
      <c r="D28">
        <v>10</v>
      </c>
    </row>
    <row r="29" spans="2:4" x14ac:dyDescent="0.25">
      <c r="C29" t="s">
        <v>81</v>
      </c>
    </row>
    <row r="30" spans="2:4" x14ac:dyDescent="0.25">
      <c r="C30" t="s">
        <v>222</v>
      </c>
    </row>
    <row r="31" spans="2:4" x14ac:dyDescent="0.25">
      <c r="B31" t="s">
        <v>7</v>
      </c>
      <c r="C31" t="s">
        <v>17</v>
      </c>
      <c r="D31">
        <v>11</v>
      </c>
    </row>
    <row r="32" spans="2:4" x14ac:dyDescent="0.25">
      <c r="C32" t="s">
        <v>18</v>
      </c>
    </row>
    <row r="33" spans="2:4" x14ac:dyDescent="0.25">
      <c r="C33" t="s">
        <v>19</v>
      </c>
    </row>
    <row r="34" spans="2:4" x14ac:dyDescent="0.25">
      <c r="B34" t="s">
        <v>20</v>
      </c>
      <c r="C34"/>
    </row>
    <row r="35" spans="2:4" x14ac:dyDescent="0.25">
      <c r="B35" t="s">
        <v>21</v>
      </c>
      <c r="C35"/>
    </row>
    <row r="36" spans="2:4" x14ac:dyDescent="0.25">
      <c r="B36" t="s">
        <v>22</v>
      </c>
      <c r="C36" t="s">
        <v>143</v>
      </c>
      <c r="D36">
        <v>12</v>
      </c>
    </row>
    <row r="37" spans="2:4" x14ac:dyDescent="0.25">
      <c r="B37" t="s">
        <v>7</v>
      </c>
      <c r="C37" t="s">
        <v>24</v>
      </c>
      <c r="D37">
        <v>13</v>
      </c>
    </row>
    <row r="38" spans="2:4" x14ac:dyDescent="0.25">
      <c r="C38" t="s">
        <v>25</v>
      </c>
    </row>
    <row r="39" spans="2:4" x14ac:dyDescent="0.25">
      <c r="B39" t="s">
        <v>26</v>
      </c>
      <c r="C39"/>
    </row>
    <row r="40" spans="2:4" x14ac:dyDescent="0.25">
      <c r="B40" t="s">
        <v>27</v>
      </c>
      <c r="C40"/>
    </row>
    <row r="41" spans="2:4" x14ac:dyDescent="0.25">
      <c r="B41" t="s">
        <v>5</v>
      </c>
      <c r="C41" t="s">
        <v>28</v>
      </c>
    </row>
    <row r="42" spans="2:4" x14ac:dyDescent="0.25">
      <c r="C42" t="s">
        <v>83</v>
      </c>
      <c r="D42">
        <f>D37+1</f>
        <v>14</v>
      </c>
    </row>
    <row r="43" spans="2:4" x14ac:dyDescent="0.25">
      <c r="C43" t="s">
        <v>223</v>
      </c>
    </row>
    <row r="44" spans="2:4" x14ac:dyDescent="0.25">
      <c r="B44" t="s">
        <v>7</v>
      </c>
      <c r="C44" t="s">
        <v>30</v>
      </c>
    </row>
    <row r="45" spans="2:4" x14ac:dyDescent="0.25">
      <c r="B45" t="s">
        <v>8</v>
      </c>
      <c r="C45" t="s">
        <v>31</v>
      </c>
      <c r="D45">
        <f>D20</f>
        <v>4</v>
      </c>
    </row>
    <row r="46" spans="2:4" x14ac:dyDescent="0.25">
      <c r="C46" t="s">
        <v>32</v>
      </c>
    </row>
    <row r="47" spans="2:4" x14ac:dyDescent="0.25">
      <c r="B47" t="s">
        <v>33</v>
      </c>
      <c r="C47"/>
    </row>
    <row r="48" spans="2:4" x14ac:dyDescent="0.25">
      <c r="B48" t="s">
        <v>5</v>
      </c>
      <c r="C48" t="s">
        <v>28</v>
      </c>
    </row>
    <row r="49" spans="2:4" x14ac:dyDescent="0.25">
      <c r="C49" t="s">
        <v>83</v>
      </c>
      <c r="D49">
        <f>D42</f>
        <v>14</v>
      </c>
    </row>
    <row r="50" spans="2:4" x14ac:dyDescent="0.25">
      <c r="C50" t="s">
        <v>223</v>
      </c>
    </row>
    <row r="51" spans="2:4" x14ac:dyDescent="0.25">
      <c r="C51" t="s">
        <v>224</v>
      </c>
      <c r="D51">
        <v>15</v>
      </c>
    </row>
    <row r="52" spans="2:4" x14ac:dyDescent="0.25">
      <c r="C52" t="s">
        <v>34</v>
      </c>
    </row>
    <row r="53" spans="2:4" x14ac:dyDescent="0.25">
      <c r="C53" t="s">
        <v>35</v>
      </c>
    </row>
    <row r="54" spans="2:4" x14ac:dyDescent="0.25">
      <c r="C54" t="s">
        <v>225</v>
      </c>
      <c r="D54">
        <v>16</v>
      </c>
    </row>
    <row r="55" spans="2:4" x14ac:dyDescent="0.25">
      <c r="B55" t="s">
        <v>7</v>
      </c>
      <c r="C55" t="s">
        <v>30</v>
      </c>
    </row>
    <row r="56" spans="2:4" x14ac:dyDescent="0.25">
      <c r="B56" t="s">
        <v>9</v>
      </c>
      <c r="C56" s="183" t="s">
        <v>36</v>
      </c>
      <c r="D56">
        <v>17</v>
      </c>
    </row>
    <row r="57" spans="2:4" x14ac:dyDescent="0.25">
      <c r="C57" t="s">
        <v>37</v>
      </c>
    </row>
    <row r="58" spans="2:4" x14ac:dyDescent="0.25">
      <c r="C58" t="s">
        <v>38</v>
      </c>
    </row>
    <row r="59" spans="2:4" x14ac:dyDescent="0.25">
      <c r="C59" t="s">
        <v>39</v>
      </c>
    </row>
    <row r="60" spans="2:4" x14ac:dyDescent="0.25">
      <c r="C60"/>
    </row>
    <row r="61" spans="2:4" x14ac:dyDescent="0.25">
      <c r="B61" t="s">
        <v>42</v>
      </c>
      <c r="C61" t="s">
        <v>43</v>
      </c>
      <c r="D61">
        <v>18</v>
      </c>
    </row>
    <row r="62" spans="2:4" x14ac:dyDescent="0.25">
      <c r="B62" t="s">
        <v>44</v>
      </c>
      <c r="C62" t="s">
        <v>45</v>
      </c>
      <c r="D62">
        <v>19</v>
      </c>
    </row>
    <row r="63" spans="2:4" x14ac:dyDescent="0.25">
      <c r="B63" t="s">
        <v>46</v>
      </c>
      <c r="C63" t="s">
        <v>47</v>
      </c>
    </row>
    <row r="64" spans="2:4" x14ac:dyDescent="0.25">
      <c r="B64" t="s">
        <v>48</v>
      </c>
      <c r="C64" t="s">
        <v>49</v>
      </c>
    </row>
    <row r="65" spans="2:4" x14ac:dyDescent="0.25">
      <c r="C65" t="s">
        <v>160</v>
      </c>
      <c r="D65">
        <v>20</v>
      </c>
    </row>
    <row r="66" spans="2:4" x14ac:dyDescent="0.25">
      <c r="C66" t="s">
        <v>161</v>
      </c>
      <c r="D66">
        <v>21</v>
      </c>
    </row>
    <row r="67" spans="2:4" x14ac:dyDescent="0.25">
      <c r="C67" t="s">
        <v>50</v>
      </c>
      <c r="D67">
        <v>22</v>
      </c>
    </row>
    <row r="68" spans="2:4" x14ac:dyDescent="0.25">
      <c r="C68" t="s">
        <v>51</v>
      </c>
      <c r="D68">
        <v>23</v>
      </c>
    </row>
    <row r="69" spans="2:4" x14ac:dyDescent="0.25">
      <c r="C69" t="s">
        <v>52</v>
      </c>
      <c r="D69">
        <f>D13</f>
        <v>3</v>
      </c>
    </row>
    <row r="70" spans="2:4" x14ac:dyDescent="0.25">
      <c r="C70" t="s">
        <v>53</v>
      </c>
      <c r="D70">
        <f>D68+1</f>
        <v>24</v>
      </c>
    </row>
    <row r="71" spans="2:4" x14ac:dyDescent="0.25">
      <c r="C71" t="s">
        <v>54</v>
      </c>
    </row>
    <row r="72" spans="2:4" x14ac:dyDescent="0.25">
      <c r="B72" t="s">
        <v>55</v>
      </c>
      <c r="C72" t="s">
        <v>56</v>
      </c>
    </row>
    <row r="73" spans="2:4" x14ac:dyDescent="0.25">
      <c r="B73" t="s">
        <v>57</v>
      </c>
      <c r="C73" t="s">
        <v>58</v>
      </c>
    </row>
    <row r="74" spans="2:4" x14ac:dyDescent="0.25">
      <c r="C74" t="s">
        <v>59</v>
      </c>
      <c r="D74">
        <f>D20</f>
        <v>4</v>
      </c>
    </row>
    <row r="75" spans="2:4" x14ac:dyDescent="0.25">
      <c r="C75" t="s">
        <v>77</v>
      </c>
      <c r="D75">
        <f>D74</f>
        <v>4</v>
      </c>
    </row>
    <row r="76" spans="2:4" x14ac:dyDescent="0.25">
      <c r="C76"/>
    </row>
    <row r="77" spans="2:4" x14ac:dyDescent="0.25">
      <c r="C77" t="s">
        <v>60</v>
      </c>
    </row>
    <row r="78" spans="2:4" x14ac:dyDescent="0.25">
      <c r="B78" t="s">
        <v>61</v>
      </c>
      <c r="C78" t="s">
        <v>62</v>
      </c>
    </row>
    <row r="79" spans="2:4" x14ac:dyDescent="0.25">
      <c r="B79" t="s">
        <v>63</v>
      </c>
      <c r="C79" t="s">
        <v>64</v>
      </c>
      <c r="D79">
        <f>D20</f>
        <v>4</v>
      </c>
    </row>
    <row r="80" spans="2:4" x14ac:dyDescent="0.25">
      <c r="C80" t="s">
        <v>66</v>
      </c>
      <c r="D80">
        <f>D70+1</f>
        <v>25</v>
      </c>
    </row>
    <row r="81" spans="3:4" x14ac:dyDescent="0.25">
      <c r="C81"/>
    </row>
    <row r="82" spans="3:4" x14ac:dyDescent="0.25">
      <c r="C82"/>
    </row>
    <row r="83" spans="3:4" x14ac:dyDescent="0.25">
      <c r="C83"/>
    </row>
    <row r="84" spans="3:4" x14ac:dyDescent="0.25">
      <c r="C84"/>
    </row>
    <row r="85" spans="3:4" x14ac:dyDescent="0.25">
      <c r="C85"/>
    </row>
    <row r="86" spans="3:4" x14ac:dyDescent="0.25">
      <c r="C86"/>
    </row>
    <row r="87" spans="3:4" x14ac:dyDescent="0.25">
      <c r="C87" t="s">
        <v>292</v>
      </c>
      <c r="D87">
        <f>D94+1</f>
        <v>27</v>
      </c>
    </row>
    <row r="88" spans="3:4" x14ac:dyDescent="0.25">
      <c r="C88" t="s">
        <v>103</v>
      </c>
      <c r="D88">
        <f>D87+1</f>
        <v>28</v>
      </c>
    </row>
    <row r="89" spans="3:4" x14ac:dyDescent="0.25">
      <c r="C89" t="s">
        <v>88</v>
      </c>
      <c r="D89">
        <f>D88+1</f>
        <v>29</v>
      </c>
    </row>
    <row r="90" spans="3:4" x14ac:dyDescent="0.25">
      <c r="C90" t="s">
        <v>559</v>
      </c>
      <c r="D90">
        <f>D89+1</f>
        <v>30</v>
      </c>
    </row>
    <row r="91" spans="3:4" x14ac:dyDescent="0.25">
      <c r="C91" t="s">
        <v>297</v>
      </c>
    </row>
    <row r="92" spans="3:4" x14ac:dyDescent="0.25">
      <c r="C92" t="s">
        <v>104</v>
      </c>
    </row>
    <row r="93" spans="3:4" x14ac:dyDescent="0.25">
      <c r="C93" t="s">
        <v>298</v>
      </c>
    </row>
    <row r="94" spans="3:4" x14ac:dyDescent="0.25">
      <c r="C94" t="s">
        <v>105</v>
      </c>
      <c r="D94">
        <f>D80+1</f>
        <v>26</v>
      </c>
    </row>
    <row r="95" spans="3:4" x14ac:dyDescent="0.25">
      <c r="C95" t="s">
        <v>314</v>
      </c>
    </row>
    <row r="96" spans="3:4" x14ac:dyDescent="0.25">
      <c r="C96" t="s">
        <v>315</v>
      </c>
    </row>
    <row r="97" spans="2:4" x14ac:dyDescent="0.25">
      <c r="C97" t="s">
        <v>316</v>
      </c>
    </row>
    <row r="98" spans="2:4" x14ac:dyDescent="0.25">
      <c r="C98" t="s">
        <v>106</v>
      </c>
      <c r="D98">
        <f>D90+1</f>
        <v>31</v>
      </c>
    </row>
    <row r="99" spans="2:4" x14ac:dyDescent="0.25">
      <c r="C99" t="s">
        <v>102</v>
      </c>
      <c r="D99">
        <f t="shared" ref="D99" si="1">D98+1</f>
        <v>32</v>
      </c>
    </row>
    <row r="100" spans="2:4" x14ac:dyDescent="0.25">
      <c r="C100" t="s">
        <v>107</v>
      </c>
    </row>
    <row r="101" spans="2:4" x14ac:dyDescent="0.25">
      <c r="C101" t="s">
        <v>82</v>
      </c>
      <c r="D101">
        <v>33</v>
      </c>
    </row>
    <row r="102" spans="2:4" x14ac:dyDescent="0.25">
      <c r="C102"/>
    </row>
    <row r="103" spans="2:4" x14ac:dyDescent="0.25">
      <c r="C103"/>
    </row>
    <row r="104" spans="2:4" x14ac:dyDescent="0.25">
      <c r="C104"/>
    </row>
    <row r="105" spans="2:4" x14ac:dyDescent="0.25">
      <c r="C105"/>
    </row>
    <row r="106" spans="2:4" x14ac:dyDescent="0.25">
      <c r="C106"/>
    </row>
    <row r="107" spans="2:4" x14ac:dyDescent="0.25">
      <c r="C107"/>
    </row>
    <row r="108" spans="2:4" x14ac:dyDescent="0.25">
      <c r="C108"/>
    </row>
    <row r="109" spans="2:4" x14ac:dyDescent="0.25">
      <c r="C109" s="4" t="s">
        <v>430</v>
      </c>
    </row>
    <row r="110" spans="2:4" x14ac:dyDescent="0.25">
      <c r="B110" t="s">
        <v>440</v>
      </c>
      <c r="C110" s="64">
        <f>BS!$G$62</f>
        <v>0</v>
      </c>
    </row>
    <row r="111" spans="2:4" x14ac:dyDescent="0.25">
      <c r="C111" s="64">
        <f>BS!$H$62</f>
        <v>0</v>
      </c>
    </row>
    <row r="112" spans="2:4" x14ac:dyDescent="0.25">
      <c r="B112" t="s">
        <v>475</v>
      </c>
      <c r="C112" s="64">
        <f>PL!$G$18</f>
        <v>15404670.300885439</v>
      </c>
    </row>
    <row r="113" spans="2:3" x14ac:dyDescent="0.25">
      <c r="C113" s="64">
        <f>PL!$H$18</f>
        <v>0</v>
      </c>
    </row>
    <row r="114" spans="2:3" x14ac:dyDescent="0.25">
      <c r="B114" t="s">
        <v>441</v>
      </c>
      <c r="C114" s="64" t="e">
        <f>SOCIE!$G$31</f>
        <v>#REF!</v>
      </c>
    </row>
    <row r="115" spans="2:3" x14ac:dyDescent="0.25">
      <c r="C115" s="64">
        <f>SOCIE!$G$36</f>
        <v>25683.576420300007</v>
      </c>
    </row>
    <row r="116" spans="2:3" x14ac:dyDescent="0.25">
      <c r="B116" t="s">
        <v>442</v>
      </c>
      <c r="C116" s="64" t="e">
        <f>#REF!</f>
        <v>#REF!</v>
      </c>
    </row>
    <row r="117" spans="2:3" x14ac:dyDescent="0.25">
      <c r="C117" s="64" t="e">
        <f>#REF!</f>
        <v>#REF!</v>
      </c>
    </row>
    <row r="118" spans="2:3" x14ac:dyDescent="0.25">
      <c r="C118" s="64" t="e">
        <f>#REF!</f>
        <v>#REF!</v>
      </c>
    </row>
    <row r="119" spans="2:3" x14ac:dyDescent="0.25">
      <c r="C119" s="64" t="e">
        <f>#REF!</f>
        <v>#REF!</v>
      </c>
    </row>
    <row r="120" spans="2:3" x14ac:dyDescent="0.25">
      <c r="C120" s="64" t="e">
        <f>#REF!</f>
        <v>#REF!</v>
      </c>
    </row>
    <row r="121" spans="2:3" x14ac:dyDescent="0.25">
      <c r="C121" s="64" t="e">
        <f>#REF!</f>
        <v>#REF!</v>
      </c>
    </row>
    <row r="122" spans="2:3" x14ac:dyDescent="0.25">
      <c r="B122" t="s">
        <v>443</v>
      </c>
    </row>
  </sheetData>
  <pageMargins left="0.7" right="0.7" top="0.75" bottom="0.75" header="0.3" footer="0.3"/>
  <pageSetup orientation="portrait" horizontalDpi="0" verticalDpi="0" r:id="rId1"/>
  <headerFooter>
    <oddHeader>&amp;C&amp;G</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E2B9B-6E04-4170-BE09-65BC169156BA}">
  <dimension ref="A3:L40"/>
  <sheetViews>
    <sheetView workbookViewId="0">
      <pane xSplit="3" ySplit="4" topLeftCell="F29" activePane="bottomRight" state="frozen"/>
      <selection activeCell="L40" sqref="L40"/>
      <selection pane="topRight" activeCell="L40" sqref="L40"/>
      <selection pane="bottomLeft" activeCell="L40" sqref="L40"/>
      <selection pane="bottomRight" activeCell="L40" sqref="L40"/>
    </sheetView>
  </sheetViews>
  <sheetFormatPr defaultRowHeight="15" x14ac:dyDescent="0.25"/>
  <cols>
    <col min="1" max="1" width="13.42578125" bestFit="1" customWidth="1"/>
    <col min="2" max="2" width="8.5703125" bestFit="1" customWidth="1"/>
    <col min="3" max="3" width="54" bestFit="1" customWidth="1"/>
    <col min="4" max="4" width="13.5703125" bestFit="1" customWidth="1"/>
    <col min="5" max="5" width="17.85546875" bestFit="1" customWidth="1"/>
    <col min="6" max="6" width="14.5703125" bestFit="1" customWidth="1"/>
    <col min="8" max="8" width="15.42578125" bestFit="1" customWidth="1"/>
    <col min="9" max="10" width="14.42578125" bestFit="1" customWidth="1"/>
  </cols>
  <sheetData>
    <row r="3" spans="1:9" x14ac:dyDescent="0.25">
      <c r="D3" s="1211" t="s">
        <v>1214</v>
      </c>
    </row>
    <row r="4" spans="1:9" x14ac:dyDescent="0.25">
      <c r="A4" s="1211" t="s">
        <v>93</v>
      </c>
      <c r="B4" s="1211" t="s">
        <v>40</v>
      </c>
      <c r="C4" s="1211" t="s">
        <v>95</v>
      </c>
      <c r="D4" t="s">
        <v>1211</v>
      </c>
      <c r="E4" t="s">
        <v>1212</v>
      </c>
      <c r="F4" t="s">
        <v>1213</v>
      </c>
    </row>
    <row r="5" spans="1:9" x14ac:dyDescent="0.25">
      <c r="A5" t="s">
        <v>21</v>
      </c>
      <c r="B5">
        <v>13</v>
      </c>
      <c r="C5" t="s">
        <v>163</v>
      </c>
      <c r="D5" s="157">
        <v>0</v>
      </c>
      <c r="E5" s="157">
        <v>-1365970</v>
      </c>
      <c r="F5" s="1212">
        <v>-1365970</v>
      </c>
    </row>
    <row r="6" spans="1:9" x14ac:dyDescent="0.25">
      <c r="C6" t="s">
        <v>164</v>
      </c>
      <c r="D6" s="157">
        <v>0</v>
      </c>
      <c r="E6" s="157">
        <v>-1999973649</v>
      </c>
      <c r="F6" s="1212">
        <v>-1999973649</v>
      </c>
      <c r="I6" s="223" t="s">
        <v>1220</v>
      </c>
    </row>
    <row r="7" spans="1:9" x14ac:dyDescent="0.25">
      <c r="B7">
        <v>14</v>
      </c>
      <c r="C7" t="s">
        <v>164</v>
      </c>
      <c r="D7" s="157">
        <v>0</v>
      </c>
      <c r="E7" s="157">
        <v>-879181093.93000031</v>
      </c>
      <c r="F7" s="157">
        <v>-879181093.93000031</v>
      </c>
      <c r="H7" s="75">
        <f>-823214.934735809*1000</f>
        <v>-823214934.73580897</v>
      </c>
      <c r="I7" s="75">
        <f>F7-H7</f>
        <v>-55966159.194191337</v>
      </c>
    </row>
    <row r="8" spans="1:9" x14ac:dyDescent="0.25">
      <c r="A8" t="s">
        <v>1215</v>
      </c>
      <c r="D8" s="157">
        <v>0</v>
      </c>
      <c r="E8" s="157">
        <v>-2880520712.9300003</v>
      </c>
      <c r="F8" s="157">
        <v>-2880520712.9300003</v>
      </c>
    </row>
    <row r="9" spans="1:9" x14ac:dyDescent="0.25">
      <c r="A9" t="s">
        <v>26</v>
      </c>
      <c r="B9">
        <v>4</v>
      </c>
      <c r="C9" t="s">
        <v>31</v>
      </c>
      <c r="D9" s="157">
        <v>-142606.20999999909</v>
      </c>
      <c r="E9" s="157">
        <v>0</v>
      </c>
      <c r="F9" s="157">
        <v>-142606.20999999909</v>
      </c>
    </row>
    <row r="10" spans="1:9" x14ac:dyDescent="0.25">
      <c r="B10">
        <v>7</v>
      </c>
      <c r="C10" t="s">
        <v>927</v>
      </c>
      <c r="D10" s="157">
        <v>0</v>
      </c>
      <c r="E10" s="157">
        <v>0</v>
      </c>
      <c r="F10" s="157">
        <v>0</v>
      </c>
    </row>
    <row r="11" spans="1:9" x14ac:dyDescent="0.25">
      <c r="B11">
        <v>15</v>
      </c>
      <c r="C11" t="s">
        <v>83</v>
      </c>
      <c r="D11" s="1212">
        <v>-241522713.41</v>
      </c>
      <c r="E11" s="1212">
        <v>-2605955342.1399989</v>
      </c>
      <c r="F11" s="1212">
        <v>-2847478055.5499988</v>
      </c>
    </row>
    <row r="12" spans="1:9" x14ac:dyDescent="0.25">
      <c r="B12">
        <v>16</v>
      </c>
      <c r="C12" t="s">
        <v>30</v>
      </c>
      <c r="D12" s="1212">
        <v>-388605</v>
      </c>
      <c r="E12" s="1212">
        <v>-1839333</v>
      </c>
      <c r="F12" s="1212">
        <v>-2227938</v>
      </c>
    </row>
    <row r="13" spans="1:9" x14ac:dyDescent="0.25">
      <c r="B13">
        <v>17</v>
      </c>
      <c r="C13" t="s">
        <v>153</v>
      </c>
      <c r="D13" s="1212">
        <v>-126619086.08999898</v>
      </c>
      <c r="E13" s="157">
        <v>0</v>
      </c>
      <c r="F13" s="1212">
        <v>-126619086.08999898</v>
      </c>
    </row>
    <row r="14" spans="1:9" x14ac:dyDescent="0.25">
      <c r="B14">
        <v>18</v>
      </c>
      <c r="C14" t="s">
        <v>169</v>
      </c>
      <c r="D14" s="1212">
        <v>-142591582.16</v>
      </c>
      <c r="E14" s="157">
        <v>0</v>
      </c>
      <c r="F14" s="1212">
        <v>-142591582.16</v>
      </c>
    </row>
    <row r="15" spans="1:9" x14ac:dyDescent="0.25">
      <c r="B15">
        <v>19</v>
      </c>
      <c r="C15" t="s">
        <v>36</v>
      </c>
      <c r="D15" s="157">
        <v>-5827827.8599999892</v>
      </c>
      <c r="E15" s="157">
        <v>0</v>
      </c>
      <c r="F15" s="1212">
        <v>-5827827.8599999892</v>
      </c>
    </row>
    <row r="16" spans="1:9" x14ac:dyDescent="0.25">
      <c r="A16" t="s">
        <v>1216</v>
      </c>
      <c r="D16" s="157">
        <v>-517092420.72999895</v>
      </c>
      <c r="E16" s="157">
        <v>-2607794675.1399989</v>
      </c>
      <c r="F16" s="157">
        <v>-3124887095.869998</v>
      </c>
    </row>
    <row r="17" spans="1:6" x14ac:dyDescent="0.25">
      <c r="A17" t="s">
        <v>683</v>
      </c>
      <c r="B17">
        <v>3</v>
      </c>
      <c r="C17" t="s">
        <v>6</v>
      </c>
      <c r="D17" s="157">
        <v>0</v>
      </c>
      <c r="E17" s="157">
        <v>5325218463.939991</v>
      </c>
      <c r="F17" s="1212">
        <v>5325218463.939991</v>
      </c>
    </row>
    <row r="18" spans="1:6" x14ac:dyDescent="0.25">
      <c r="B18">
        <v>6</v>
      </c>
      <c r="C18" t="s">
        <v>152</v>
      </c>
      <c r="D18" s="157">
        <v>0</v>
      </c>
      <c r="E18" s="157">
        <v>33715120.710000001</v>
      </c>
      <c r="F18" s="1212">
        <v>33715120.710000001</v>
      </c>
    </row>
    <row r="19" spans="1:6" x14ac:dyDescent="0.25">
      <c r="B19">
        <v>7</v>
      </c>
      <c r="C19" t="s">
        <v>927</v>
      </c>
      <c r="D19" s="157">
        <v>0</v>
      </c>
      <c r="E19" s="157">
        <v>1012555.049999999</v>
      </c>
      <c r="F19" s="1212">
        <v>1012555.049999999</v>
      </c>
    </row>
    <row r="20" spans="1:6" x14ac:dyDescent="0.25">
      <c r="B20">
        <v>8</v>
      </c>
      <c r="C20" t="s">
        <v>4</v>
      </c>
      <c r="D20" s="157">
        <v>0</v>
      </c>
      <c r="E20" s="157">
        <v>0</v>
      </c>
      <c r="F20" s="157">
        <v>0</v>
      </c>
    </row>
    <row r="21" spans="1:6" x14ac:dyDescent="0.25">
      <c r="B21">
        <v>9</v>
      </c>
      <c r="C21" t="s">
        <v>159</v>
      </c>
      <c r="D21" s="157">
        <v>45600578.329999879</v>
      </c>
      <c r="E21" s="157">
        <v>0</v>
      </c>
      <c r="F21" s="1212">
        <v>45600578.329999879</v>
      </c>
    </row>
    <row r="22" spans="1:6" x14ac:dyDescent="0.25">
      <c r="B22">
        <v>10</v>
      </c>
      <c r="C22" t="s">
        <v>737</v>
      </c>
      <c r="D22" s="157">
        <v>13928476.719999991</v>
      </c>
      <c r="E22" s="157">
        <v>0</v>
      </c>
      <c r="F22" s="1212">
        <v>13928476.719999991</v>
      </c>
    </row>
    <row r="23" spans="1:6" x14ac:dyDescent="0.25">
      <c r="B23">
        <v>11</v>
      </c>
      <c r="C23" t="s">
        <v>1235</v>
      </c>
      <c r="D23" s="157">
        <v>8972905.7699899673</v>
      </c>
      <c r="E23" s="157">
        <v>0</v>
      </c>
      <c r="F23" s="157">
        <v>8972905.7699899673</v>
      </c>
    </row>
    <row r="24" spans="1:6" x14ac:dyDescent="0.25">
      <c r="B24">
        <v>12</v>
      </c>
      <c r="C24" t="s">
        <v>17</v>
      </c>
      <c r="D24" s="157">
        <v>520997435.20999998</v>
      </c>
      <c r="E24" s="157">
        <v>0</v>
      </c>
      <c r="F24" s="1212">
        <v>520997435.20999998</v>
      </c>
    </row>
    <row r="25" spans="1:6" x14ac:dyDescent="0.25">
      <c r="A25" t="s">
        <v>1217</v>
      </c>
      <c r="D25" s="157">
        <v>589499396.02998984</v>
      </c>
      <c r="E25" s="157">
        <v>5359946139.6999912</v>
      </c>
      <c r="F25" s="157">
        <v>5949445535.7299814</v>
      </c>
    </row>
    <row r="26" spans="1:6" x14ac:dyDescent="0.25">
      <c r="A26" t="s">
        <v>97</v>
      </c>
      <c r="B26">
        <v>3</v>
      </c>
      <c r="C26" t="s">
        <v>589</v>
      </c>
      <c r="D26" s="157">
        <v>0</v>
      </c>
      <c r="E26" s="157">
        <v>0</v>
      </c>
      <c r="F26" s="1212">
        <v>51221253.899999999</v>
      </c>
    </row>
    <row r="27" spans="1:6" x14ac:dyDescent="0.25">
      <c r="B27">
        <v>22</v>
      </c>
      <c r="C27" t="s">
        <v>160</v>
      </c>
      <c r="D27" s="157">
        <v>0</v>
      </c>
      <c r="E27" s="157">
        <v>0</v>
      </c>
      <c r="F27" s="1212">
        <v>44815226.849999994</v>
      </c>
    </row>
    <row r="28" spans="1:6" x14ac:dyDescent="0.25">
      <c r="B28">
        <v>23</v>
      </c>
      <c r="C28" t="s">
        <v>161</v>
      </c>
      <c r="D28" s="157">
        <v>0</v>
      </c>
      <c r="E28" s="157">
        <v>0</v>
      </c>
      <c r="F28" s="1212">
        <v>-2769259.8800000139</v>
      </c>
    </row>
    <row r="29" spans="1:6" x14ac:dyDescent="0.25">
      <c r="B29">
        <v>24</v>
      </c>
      <c r="C29" t="s">
        <v>198</v>
      </c>
      <c r="D29" s="157">
        <v>0</v>
      </c>
      <c r="E29" s="157">
        <v>0</v>
      </c>
      <c r="F29" s="157">
        <v>7060371.9999999898</v>
      </c>
    </row>
    <row r="30" spans="1:6" x14ac:dyDescent="0.25">
      <c r="B30">
        <v>25</v>
      </c>
      <c r="C30" t="s">
        <v>202</v>
      </c>
      <c r="D30" s="157">
        <v>0</v>
      </c>
      <c r="E30" s="157">
        <v>0</v>
      </c>
      <c r="F30" s="157">
        <v>14199565.25</v>
      </c>
    </row>
    <row r="31" spans="1:6" x14ac:dyDescent="0.25">
      <c r="B31">
        <v>26</v>
      </c>
      <c r="C31" t="s">
        <v>194</v>
      </c>
      <c r="D31" s="157">
        <v>0</v>
      </c>
      <c r="E31" s="157">
        <v>0</v>
      </c>
      <c r="F31" s="1212">
        <v>14492002.519999987</v>
      </c>
    </row>
    <row r="32" spans="1:6" x14ac:dyDescent="0.25">
      <c r="B32" t="s">
        <v>928</v>
      </c>
      <c r="C32" t="s">
        <v>397</v>
      </c>
      <c r="D32" s="157">
        <v>0</v>
      </c>
      <c r="E32" s="157">
        <v>0</v>
      </c>
      <c r="F32" s="1212">
        <v>1495489</v>
      </c>
    </row>
    <row r="33" spans="1:12" x14ac:dyDescent="0.25">
      <c r="C33" t="s">
        <v>1123</v>
      </c>
      <c r="D33" s="157">
        <v>0</v>
      </c>
      <c r="E33" s="157">
        <v>0</v>
      </c>
      <c r="F33" s="157">
        <v>0</v>
      </c>
    </row>
    <row r="34" spans="1:12" x14ac:dyDescent="0.25">
      <c r="A34" t="s">
        <v>1218</v>
      </c>
      <c r="D34" s="157">
        <v>0</v>
      </c>
      <c r="E34" s="157">
        <v>0</v>
      </c>
      <c r="F34" s="157">
        <v>130514649.63999996</v>
      </c>
    </row>
    <row r="35" spans="1:12" x14ac:dyDescent="0.25">
      <c r="A35" t="s">
        <v>717</v>
      </c>
      <c r="B35">
        <v>20</v>
      </c>
      <c r="C35" t="s">
        <v>45</v>
      </c>
      <c r="D35" s="157">
        <v>0</v>
      </c>
      <c r="E35" s="157">
        <v>0</v>
      </c>
      <c r="F35" s="157">
        <v>-67940.179999999906</v>
      </c>
    </row>
    <row r="36" spans="1:12" x14ac:dyDescent="0.25">
      <c r="C36" t="s">
        <v>754</v>
      </c>
      <c r="D36" s="157">
        <v>0</v>
      </c>
      <c r="E36" s="157">
        <v>0</v>
      </c>
      <c r="F36" s="1212">
        <v>-68979136.899999902</v>
      </c>
    </row>
    <row r="37" spans="1:12" x14ac:dyDescent="0.25">
      <c r="B37">
        <v>21</v>
      </c>
      <c r="C37" t="s">
        <v>45</v>
      </c>
      <c r="D37" s="157">
        <v>0</v>
      </c>
      <c r="E37" s="157">
        <v>0</v>
      </c>
      <c r="F37" s="157">
        <v>-5505299.489999989</v>
      </c>
    </row>
    <row r="38" spans="1:12" x14ac:dyDescent="0.25">
      <c r="A38" t="s">
        <v>1219</v>
      </c>
      <c r="D38" s="157">
        <v>0</v>
      </c>
      <c r="E38" s="157">
        <v>0</v>
      </c>
      <c r="F38" s="157">
        <v>-74552376.569999903</v>
      </c>
      <c r="I38" s="157">
        <f>F38+F34</f>
        <v>55962273.070000052</v>
      </c>
      <c r="J38" s="75">
        <f>-PL!D34*1000</f>
        <v>5945239.9608000014</v>
      </c>
      <c r="K38" s="157">
        <f>I38-J38</f>
        <v>50017033.109200053</v>
      </c>
      <c r="L38" s="1"/>
    </row>
    <row r="39" spans="1:12" x14ac:dyDescent="0.25">
      <c r="A39" t="s">
        <v>1210</v>
      </c>
      <c r="D39" s="157">
        <v>72406975.299990833</v>
      </c>
      <c r="E39" s="157">
        <v>-128369248.37000869</v>
      </c>
      <c r="F39" s="157">
        <v>-1.6385689377784729E-5</v>
      </c>
    </row>
    <row r="40" spans="1:12" x14ac:dyDescent="0.25">
      <c r="H40" s="157"/>
      <c r="I40" s="157"/>
    </row>
  </sheetData>
  <pageMargins left="0.7" right="0.7" top="0.75" bottom="0.75" header="0.3" footer="0.3"/>
  <headerFooter>
    <oddHeader>&amp;C&amp;G</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7524-E216-4B4A-AE9C-D49771BF278B}">
  <dimension ref="A1:C237"/>
  <sheetViews>
    <sheetView topLeftCell="A225" workbookViewId="0">
      <selection activeCell="B233" sqref="B233"/>
    </sheetView>
  </sheetViews>
  <sheetFormatPr defaultRowHeight="15" x14ac:dyDescent="0.25"/>
  <cols>
    <col min="1" max="1" width="8.85546875" bestFit="1" customWidth="1"/>
    <col min="2" max="2" width="54" bestFit="1" customWidth="1"/>
    <col min="3" max="3" width="14.42578125" bestFit="1" customWidth="1"/>
  </cols>
  <sheetData>
    <row r="1" spans="1:3" x14ac:dyDescent="0.25">
      <c r="A1" t="s">
        <v>1493</v>
      </c>
      <c r="B1" t="s">
        <v>1494</v>
      </c>
      <c r="C1" t="s">
        <v>1495</v>
      </c>
    </row>
    <row r="2" spans="1:3" x14ac:dyDescent="0.25">
      <c r="A2">
        <v>10000000</v>
      </c>
      <c r="B2" t="s">
        <v>163</v>
      </c>
      <c r="C2" t="str">
        <f>VLOOKUP(A2,'TB BVS 31.03.26'!B:E,4,0)</f>
        <v>315,940 (previous year: 315,940) equity shares of Rs 10 each fully paid up</v>
      </c>
    </row>
    <row r="3" spans="1:3" x14ac:dyDescent="0.25">
      <c r="A3">
        <v>10000004</v>
      </c>
      <c r="B3" t="s">
        <v>163</v>
      </c>
      <c r="C3" t="str">
        <f>VLOOKUP(A3,'TB BVS 31.03.26'!B:E,4,0)</f>
        <v>Pref Shar CCPS-BVCPL</v>
      </c>
    </row>
    <row r="4" spans="1:3" x14ac:dyDescent="0.25">
      <c r="A4">
        <v>10100000</v>
      </c>
      <c r="B4" t="s">
        <v>164</v>
      </c>
      <c r="C4" t="str">
        <f>VLOOKUP(A4,'TB BVS 31.03.26'!B:E,4,0)</f>
        <v>Closing balance - Securities Premium</v>
      </c>
    </row>
    <row r="5" spans="1:3" x14ac:dyDescent="0.25">
      <c r="A5">
        <v>10100001</v>
      </c>
      <c r="B5" t="s">
        <v>164</v>
      </c>
      <c r="C5" t="str">
        <f>VLOOKUP(A5,'TB BVS 31.03.26'!B:E,4,0)</f>
        <v>Closing balance - Retained Earnings</v>
      </c>
    </row>
    <row r="6" spans="1:3" x14ac:dyDescent="0.25">
      <c r="A6">
        <v>10100002</v>
      </c>
      <c r="B6" t="s">
        <v>164</v>
      </c>
      <c r="C6" t="str">
        <f>VLOOKUP(A6,'TB BVS 31.03.26'!B:E,4,0)</f>
        <v>Closing balance - Retained Earnings</v>
      </c>
    </row>
    <row r="7" spans="1:3" x14ac:dyDescent="0.25">
      <c r="A7">
        <v>10100009</v>
      </c>
      <c r="B7" t="s">
        <v>164</v>
      </c>
      <c r="C7" t="str">
        <f>VLOOKUP(A7,'TB BVS 31.03.26'!B:E,4,0)</f>
        <v>Closing balance - Retained Earnings</v>
      </c>
    </row>
    <row r="8" spans="1:3" x14ac:dyDescent="0.25">
      <c r="A8">
        <v>10200015</v>
      </c>
      <c r="B8" t="s">
        <v>83</v>
      </c>
      <c r="C8" t="str">
        <f>VLOOKUP(A8,'TB BVS 31.03.26'!B:E,4,0)</f>
        <v>Term Loan from Bank*</v>
      </c>
    </row>
    <row r="9" spans="1:3" x14ac:dyDescent="0.25">
      <c r="A9">
        <v>10200016</v>
      </c>
      <c r="B9" t="s">
        <v>83</v>
      </c>
      <c r="C9" t="str">
        <f>VLOOKUP(A9,'TB BVS 31.03.26'!B:E,4,0)</f>
        <v>Term Loan from Bank*</v>
      </c>
    </row>
    <row r="10" spans="1:3" x14ac:dyDescent="0.25">
      <c r="A10">
        <v>10200018</v>
      </c>
      <c r="B10" t="s">
        <v>83</v>
      </c>
      <c r="C10" t="str">
        <f>VLOOKUP(A10,'TB BVS 31.03.26'!B:E,4,0)</f>
        <v>Term Loan from Bank*</v>
      </c>
    </row>
    <row r="11" spans="1:3" x14ac:dyDescent="0.25">
      <c r="A11">
        <v>10300002</v>
      </c>
      <c r="B11" t="s">
        <v>83</v>
      </c>
      <c r="C11" t="str">
        <f>VLOOKUP(A11,'TB BVS 31.03.26'!B:E,4,0)</f>
        <v>Term Loan from Bank*</v>
      </c>
    </row>
    <row r="12" spans="1:3" x14ac:dyDescent="0.25">
      <c r="A12">
        <v>10400001</v>
      </c>
      <c r="B12" t="s">
        <v>31</v>
      </c>
      <c r="C12" t="str">
        <f>VLOOKUP(A12,'TB BVS 31.03.26'!B:E,4,0)</f>
        <v>Deferred Tax</v>
      </c>
    </row>
    <row r="13" spans="1:3" x14ac:dyDescent="0.25">
      <c r="A13">
        <v>10500000</v>
      </c>
      <c r="B13" t="s">
        <v>30</v>
      </c>
      <c r="C13" t="str">
        <f>VLOOKUP(A13,'TB BVS 31.03.26'!B:E,4,0)</f>
        <v>Provision for employee benefits - Gratuity</v>
      </c>
    </row>
    <row r="14" spans="1:3" x14ac:dyDescent="0.25">
      <c r="A14">
        <v>10500001</v>
      </c>
      <c r="B14" t="s">
        <v>30</v>
      </c>
      <c r="C14" t="str">
        <f>VLOOKUP(A14,'TB BVS 31.03.26'!B:E,4,0)</f>
        <v>Provision for compensated absences</v>
      </c>
    </row>
    <row r="15" spans="1:3" x14ac:dyDescent="0.25">
      <c r="A15">
        <v>10600010</v>
      </c>
      <c r="B15" t="s">
        <v>83</v>
      </c>
      <c r="C15" t="str">
        <f>VLOOKUP(A15,'TB BVS 31.03.26'!B:E,4,0)</f>
        <v>Unsecured loan from related parties</v>
      </c>
    </row>
    <row r="16" spans="1:3" x14ac:dyDescent="0.25">
      <c r="A16">
        <v>10800000</v>
      </c>
      <c r="B16" t="s">
        <v>153</v>
      </c>
      <c r="C16" t="str">
        <f>VLOOKUP(A16,'TB BVS 31.03.26'!B:E,4,0)</f>
        <v>Total outstanding dues of creditors other than micro enterprises and small enterprises</v>
      </c>
    </row>
    <row r="17" spans="1:3" x14ac:dyDescent="0.25">
      <c r="A17">
        <v>10800001</v>
      </c>
      <c r="B17" t="s">
        <v>153</v>
      </c>
      <c r="C17" t="str">
        <f>VLOOKUP(A17,'TB BVS 31.03.26'!B:E,4,0)</f>
        <v>Total outstanding dues of creditors other than micro enterprises and small enterprises</v>
      </c>
    </row>
    <row r="18" spans="1:3" x14ac:dyDescent="0.25">
      <c r="A18">
        <v>10800002</v>
      </c>
      <c r="B18" t="s">
        <v>153</v>
      </c>
      <c r="C18" t="str">
        <f>VLOOKUP(A18,'TB BVS 31.03.26'!B:E,4,0)</f>
        <v>Total outstanding dues of creditors other than micro enterprises and small enterprises</v>
      </c>
    </row>
    <row r="19" spans="1:3" x14ac:dyDescent="0.25">
      <c r="A19">
        <v>10800003</v>
      </c>
      <c r="B19" t="s">
        <v>153</v>
      </c>
      <c r="C19" t="str">
        <f>VLOOKUP(A19,'TB BVS 31.03.26'!B:E,4,0)</f>
        <v>Total outstanding dues of creditors other than micro enterprises and small enterprises</v>
      </c>
    </row>
    <row r="20" spans="1:3" x14ac:dyDescent="0.25">
      <c r="A20">
        <v>10800004</v>
      </c>
      <c r="B20" t="s">
        <v>153</v>
      </c>
      <c r="C20" t="str">
        <f>VLOOKUP(A20,'TB BVS 31.03.26'!B:E,4,0)</f>
        <v>Total outstanding dues of creditors other than micro enterprises and small enterprises</v>
      </c>
    </row>
    <row r="21" spans="1:3" x14ac:dyDescent="0.25">
      <c r="A21">
        <v>10800005</v>
      </c>
      <c r="B21" t="s">
        <v>169</v>
      </c>
      <c r="C21" t="str">
        <f>VLOOKUP(A21,'TB BVS 31.03.26'!B:E,4,0)</f>
        <v>Employee benefits payable</v>
      </c>
    </row>
    <row r="22" spans="1:3" x14ac:dyDescent="0.25">
      <c r="A22">
        <v>10900000</v>
      </c>
      <c r="B22" t="s">
        <v>153</v>
      </c>
      <c r="C22" t="str">
        <f>VLOOKUP(A22,'TB BVS 31.03.26'!B:E,4,0)</f>
        <v>Total outstanding dues of creditors other than micro enterprises and small enterprises</v>
      </c>
    </row>
    <row r="23" spans="1:3" x14ac:dyDescent="0.25">
      <c r="A23">
        <v>20100001</v>
      </c>
      <c r="B23" t="s">
        <v>153</v>
      </c>
      <c r="C23" t="str">
        <f>VLOOKUP(A23,'TB BVS 31.03.26'!B:E,4,0)</f>
        <v>Total outstanding dues of creditors other than micro enterprises and small enterprises</v>
      </c>
    </row>
    <row r="24" spans="1:3" x14ac:dyDescent="0.25">
      <c r="A24">
        <v>10900003</v>
      </c>
      <c r="B24" t="s">
        <v>169</v>
      </c>
      <c r="C24" t="str">
        <f>VLOOKUP(A24,'TB BVS 31.03.26'!B:E,4,0)</f>
        <v xml:space="preserve">Statutory liabilities </v>
      </c>
    </row>
    <row r="25" spans="1:3" x14ac:dyDescent="0.25">
      <c r="A25">
        <v>10900018</v>
      </c>
      <c r="B25" t="s">
        <v>169</v>
      </c>
      <c r="C25" t="str">
        <f>VLOOKUP(A25,'TB BVS 31.03.26'!B:E,4,0)</f>
        <v>Employee benefits payable</v>
      </c>
    </row>
    <row r="26" spans="1:3" x14ac:dyDescent="0.25">
      <c r="A26">
        <v>11000001</v>
      </c>
      <c r="B26" t="s">
        <v>36</v>
      </c>
      <c r="C26" t="str">
        <f>VLOOKUP(A26,'TB BVS 31.03.26'!B:E,4,0)</f>
        <v xml:space="preserve">Statutory liabilities </v>
      </c>
    </row>
    <row r="27" spans="1:3" x14ac:dyDescent="0.25">
      <c r="A27">
        <v>11000002</v>
      </c>
      <c r="B27" t="s">
        <v>36</v>
      </c>
      <c r="C27" t="str">
        <f>VLOOKUP(A27,'TB BVS 31.03.26'!B:E,4,0)</f>
        <v xml:space="preserve">Statutory liabilities </v>
      </c>
    </row>
    <row r="28" spans="1:3" x14ac:dyDescent="0.25">
      <c r="A28">
        <v>11000003</v>
      </c>
      <c r="B28" t="s">
        <v>36</v>
      </c>
      <c r="C28" t="str">
        <f>VLOOKUP(A28,'TB BVS 31.03.26'!B:E,4,0)</f>
        <v xml:space="preserve">Statutory liabilities </v>
      </c>
    </row>
    <row r="29" spans="1:3" x14ac:dyDescent="0.25">
      <c r="A29">
        <v>11000005</v>
      </c>
      <c r="B29" t="s">
        <v>36</v>
      </c>
      <c r="C29" t="str">
        <f>VLOOKUP(A29,'TB BVS 31.03.26'!B:E,4,0)</f>
        <v xml:space="preserve">Statutory liabilities </v>
      </c>
    </row>
    <row r="30" spans="1:3" x14ac:dyDescent="0.25">
      <c r="A30">
        <v>11000006</v>
      </c>
      <c r="B30" t="s">
        <v>36</v>
      </c>
      <c r="C30" t="str">
        <f>VLOOKUP(A30,'TB BVS 31.03.26'!B:E,4,0)</f>
        <v xml:space="preserve">Statutory liabilities </v>
      </c>
    </row>
    <row r="31" spans="1:3" x14ac:dyDescent="0.25">
      <c r="A31">
        <v>11000007</v>
      </c>
      <c r="B31" t="s">
        <v>36</v>
      </c>
      <c r="C31" t="str">
        <f>VLOOKUP(A31,'TB BVS 31.03.26'!B:E,4,0)</f>
        <v xml:space="preserve">Statutory liabilities </v>
      </c>
    </row>
    <row r="32" spans="1:3" x14ac:dyDescent="0.25">
      <c r="A32">
        <v>11000011</v>
      </c>
      <c r="B32" t="s">
        <v>36</v>
      </c>
      <c r="C32" t="str">
        <f>VLOOKUP(A32,'TB BVS 31.03.26'!B:E,4,0)</f>
        <v xml:space="preserve">Statutory liabilities </v>
      </c>
    </row>
    <row r="33" spans="1:3" x14ac:dyDescent="0.25">
      <c r="A33">
        <v>11000012</v>
      </c>
      <c r="B33" t="s">
        <v>36</v>
      </c>
      <c r="C33" t="str">
        <f>VLOOKUP(A33,'TB BVS 31.03.26'!B:E,4,0)</f>
        <v xml:space="preserve">Statutory liabilities </v>
      </c>
    </row>
    <row r="34" spans="1:3" x14ac:dyDescent="0.25">
      <c r="A34">
        <v>11100002</v>
      </c>
      <c r="B34" t="s">
        <v>169</v>
      </c>
      <c r="C34" t="str">
        <f>VLOOKUP(A34,'TB BVS 31.03.26'!B:E,4,0)</f>
        <v>Payable for capital goods (including retention amount)</v>
      </c>
    </row>
    <row r="35" spans="1:3" x14ac:dyDescent="0.25">
      <c r="A35">
        <v>21000008</v>
      </c>
      <c r="B35" t="s">
        <v>36</v>
      </c>
      <c r="C35" t="str">
        <f>VLOOKUP(A35,'TB BVS 31.03.26'!B:E,4,0)</f>
        <v xml:space="preserve">Statutory liabilities </v>
      </c>
    </row>
    <row r="36" spans="1:3" x14ac:dyDescent="0.25">
      <c r="A36">
        <v>21000009</v>
      </c>
      <c r="B36" t="s">
        <v>36</v>
      </c>
      <c r="C36" t="str">
        <f>VLOOKUP(A36,'TB BVS 31.03.26'!B:E,4,0)</f>
        <v xml:space="preserve">Statutory liabilities </v>
      </c>
    </row>
    <row r="37" spans="1:3" x14ac:dyDescent="0.25">
      <c r="A37">
        <v>21000010</v>
      </c>
      <c r="B37" t="s">
        <v>36</v>
      </c>
      <c r="C37" t="str">
        <f>VLOOKUP(A37,'TB BVS 31.03.26'!B:E,4,0)</f>
        <v xml:space="preserve">Statutory liabilities </v>
      </c>
    </row>
    <row r="38" spans="1:3" x14ac:dyDescent="0.25">
      <c r="A38">
        <v>80000000</v>
      </c>
      <c r="B38" t="s">
        <v>153</v>
      </c>
      <c r="C38" t="str">
        <f>VLOOKUP(A38,'TB BVS 31.03.26'!B:E,4,0)</f>
        <v>Total outstanding dues of creditors other than micro enterprises and small enterprises</v>
      </c>
    </row>
    <row r="39" spans="1:3" x14ac:dyDescent="0.25">
      <c r="A39">
        <v>80000002</v>
      </c>
      <c r="B39" t="s">
        <v>153</v>
      </c>
      <c r="C39" t="str">
        <f>VLOOKUP(A39,'TB BVS 31.03.26'!B:E,4,0)</f>
        <v>Total outstanding dues of creditors other than micro enterprises and small enterprises</v>
      </c>
    </row>
    <row r="40" spans="1:3" x14ac:dyDescent="0.25">
      <c r="A40">
        <v>80000003</v>
      </c>
      <c r="B40" t="s">
        <v>153</v>
      </c>
      <c r="C40" t="str">
        <f>VLOOKUP(A40,'TB BVS 31.03.26'!B:E,4,0)</f>
        <v>Total outstanding dues of creditors other than micro enterprises and small enterprises</v>
      </c>
    </row>
    <row r="41" spans="1:3" x14ac:dyDescent="0.25">
      <c r="A41">
        <v>80000008</v>
      </c>
      <c r="B41" t="s">
        <v>153</v>
      </c>
      <c r="C41" t="str">
        <f>VLOOKUP(A41,'TB BVS 31.03.26'!B:E,4,0)</f>
        <v>Total outstanding dues of creditors other than micro enterprises and small enterprises</v>
      </c>
    </row>
    <row r="42" spans="1:3" x14ac:dyDescent="0.25">
      <c r="A42">
        <v>80000022</v>
      </c>
      <c r="B42" t="s">
        <v>153</v>
      </c>
      <c r="C42" t="str">
        <f>VLOOKUP(A42,'TB BVS 31.03.26'!B:E,4,0)</f>
        <v>Total outstanding dues of creditors other than micro enterprises and small enterprises</v>
      </c>
    </row>
    <row r="43" spans="1:3" x14ac:dyDescent="0.25">
      <c r="A43">
        <v>10800007</v>
      </c>
      <c r="B43" t="s">
        <v>153</v>
      </c>
      <c r="C43" t="str">
        <f>VLOOKUP(A43,'TB BVS 31.03.26'!B:E,4,0)</f>
        <v>Total outstanding dues of creditors other than micro enterprises and small enterprises</v>
      </c>
    </row>
    <row r="44" spans="1:3" x14ac:dyDescent="0.25">
      <c r="A44">
        <v>10900016</v>
      </c>
      <c r="B44" t="s">
        <v>169</v>
      </c>
      <c r="C44" t="str">
        <f>VLOOKUP(A44,'TB BVS 31.03.26'!B:E,4,0)</f>
        <v>Employee benefits payable</v>
      </c>
    </row>
    <row r="45" spans="1:3" x14ac:dyDescent="0.25">
      <c r="A45">
        <v>10900013</v>
      </c>
      <c r="B45" t="s">
        <v>153</v>
      </c>
      <c r="C45" t="str">
        <f>VLOOKUP(A45,'TB BVS 31.03.26'!B:E,4,0)</f>
        <v>Total outstanding dues of creditors other than micro enterprises and small enterprises</v>
      </c>
    </row>
    <row r="46" spans="1:3" x14ac:dyDescent="0.25">
      <c r="A46">
        <v>10900015</v>
      </c>
      <c r="B46" t="s">
        <v>927</v>
      </c>
      <c r="C46" t="str">
        <f>VLOOKUP(A46,'TB BVS 31.03.26'!B:E,4,0)</f>
        <v>Income tax liabilities (Net)</v>
      </c>
    </row>
    <row r="47" spans="1:3" x14ac:dyDescent="0.25">
      <c r="A47">
        <v>20000000</v>
      </c>
      <c r="B47" t="s">
        <v>6</v>
      </c>
      <c r="C47" t="str">
        <f>VLOOKUP(A47,'TB BVS 31.03.26'!B:E,4,0)</f>
        <v>Property, plant &amp; equipment</v>
      </c>
    </row>
    <row r="48" spans="1:3" x14ac:dyDescent="0.25">
      <c r="A48">
        <v>20000001</v>
      </c>
      <c r="B48" t="s">
        <v>6</v>
      </c>
      <c r="C48" t="str">
        <f>VLOOKUP(A48,'TB BVS 31.03.26'!B:E,4,0)</f>
        <v>Building</v>
      </c>
    </row>
    <row r="49" spans="1:3" x14ac:dyDescent="0.25">
      <c r="A49">
        <v>20000002</v>
      </c>
      <c r="B49" t="s">
        <v>6</v>
      </c>
      <c r="C49" t="str">
        <f>VLOOKUP(A49,'TB BVS 31.03.26'!B:E,4,0)</f>
        <v>Building</v>
      </c>
    </row>
    <row r="50" spans="1:3" x14ac:dyDescent="0.25">
      <c r="A50">
        <v>20000003</v>
      </c>
      <c r="B50" t="s">
        <v>6</v>
      </c>
      <c r="C50" t="str">
        <f>VLOOKUP(A50,'TB BVS 31.03.26'!B:E,4,0)</f>
        <v>Property, plant &amp; equipment</v>
      </c>
    </row>
    <row r="51" spans="1:3" x14ac:dyDescent="0.25">
      <c r="A51">
        <v>20000004</v>
      </c>
      <c r="B51" t="s">
        <v>6</v>
      </c>
      <c r="C51" t="str">
        <f>VLOOKUP(A51,'TB BVS 31.03.26'!B:E,4,0)</f>
        <v>Property, plant &amp; equipment</v>
      </c>
    </row>
    <row r="52" spans="1:3" x14ac:dyDescent="0.25">
      <c r="A52">
        <v>20000007</v>
      </c>
      <c r="B52" t="s">
        <v>6</v>
      </c>
      <c r="C52" t="str">
        <f>VLOOKUP(A52,'TB BVS 31.03.26'!B:E,4,0)</f>
        <v>Computers</v>
      </c>
    </row>
    <row r="53" spans="1:3" x14ac:dyDescent="0.25">
      <c r="A53">
        <v>20000008</v>
      </c>
      <c r="B53" t="s">
        <v>6</v>
      </c>
      <c r="C53" t="str">
        <f>VLOOKUP(A53,'TB BVS 31.03.26'!B:E,4,0)</f>
        <v>Computers</v>
      </c>
    </row>
    <row r="54" spans="1:3" x14ac:dyDescent="0.25">
      <c r="A54">
        <v>20000006</v>
      </c>
      <c r="B54" t="s">
        <v>6</v>
      </c>
      <c r="C54" t="str">
        <f>VLOOKUP(A54,'TB BVS 31.03.26'!B:E,4,0)</f>
        <v>Office Equipment</v>
      </c>
    </row>
    <row r="55" spans="1:3" x14ac:dyDescent="0.25">
      <c r="A55">
        <v>20000010</v>
      </c>
      <c r="B55" t="s">
        <v>6</v>
      </c>
      <c r="C55" t="str">
        <f>VLOOKUP(A55,'TB BVS 31.03.26'!B:E,4,0)</f>
        <v>Furniture &amp; Fixture</v>
      </c>
    </row>
    <row r="56" spans="1:3" x14ac:dyDescent="0.25">
      <c r="A56">
        <v>20000012</v>
      </c>
      <c r="B56" t="s">
        <v>6</v>
      </c>
      <c r="C56" t="str">
        <f>VLOOKUP(A56,'TB BVS 31.03.26'!B:E,4,0)</f>
        <v>Electrical Fittings</v>
      </c>
    </row>
    <row r="57" spans="1:3" x14ac:dyDescent="0.25">
      <c r="A57">
        <v>20000016</v>
      </c>
      <c r="B57" t="s">
        <v>6</v>
      </c>
      <c r="C57" t="str">
        <f>VLOOKUP(A57,'TB BVS 31.03.26'!B:E,4,0)</f>
        <v>Intangible Assets</v>
      </c>
    </row>
    <row r="58" spans="1:3" x14ac:dyDescent="0.25">
      <c r="A58">
        <v>20000017</v>
      </c>
      <c r="B58" t="s">
        <v>6</v>
      </c>
      <c r="C58" t="str">
        <f>VLOOKUP(A58,'TB BVS 31.03.26'!B:E,4,0)</f>
        <v>Right of Use Assets</v>
      </c>
    </row>
    <row r="59" spans="1:3" x14ac:dyDescent="0.25">
      <c r="A59">
        <v>20000018</v>
      </c>
      <c r="B59" t="s">
        <v>6</v>
      </c>
      <c r="C59" t="str">
        <f>VLOOKUP(A59,'TB BVS 31.03.26'!B:E,4,0)</f>
        <v>Right of Use Assets</v>
      </c>
    </row>
    <row r="60" spans="1:3" x14ac:dyDescent="0.25">
      <c r="A60">
        <v>20100000</v>
      </c>
      <c r="B60" t="s">
        <v>6</v>
      </c>
      <c r="C60" t="str">
        <f>VLOOKUP(A60,'TB BVS 31.03.26'!B:E,4,0)</f>
        <v>Capital work-in-progress</v>
      </c>
    </row>
    <row r="61" spans="1:3" x14ac:dyDescent="0.25">
      <c r="A61">
        <v>20100002</v>
      </c>
      <c r="B61" t="s">
        <v>6</v>
      </c>
      <c r="C61" t="str">
        <f>VLOOKUP(A61,'TB BVS 31.03.26'!B:E,4,0)</f>
        <v>Capital work-in-progress</v>
      </c>
    </row>
    <row r="62" spans="1:3" x14ac:dyDescent="0.25">
      <c r="A62">
        <v>20100004</v>
      </c>
      <c r="B62" t="s">
        <v>6</v>
      </c>
      <c r="C62" t="str">
        <f>VLOOKUP(A62,'TB BVS 31.03.26'!B:E,4,0)</f>
        <v>Capital work-in-progress</v>
      </c>
    </row>
    <row r="63" spans="1:3" x14ac:dyDescent="0.25">
      <c r="A63">
        <v>40700034</v>
      </c>
      <c r="B63" t="s">
        <v>6</v>
      </c>
      <c r="C63" t="str">
        <f>VLOOKUP(A63,'TB BVS 31.03.26'!B:E,4,0)</f>
        <v>Capital work-in-progress</v>
      </c>
    </row>
    <row r="64" spans="1:3" x14ac:dyDescent="0.25">
      <c r="A64">
        <v>20000005</v>
      </c>
      <c r="B64" t="s">
        <v>6</v>
      </c>
      <c r="C64" t="str">
        <f>VLOOKUP(A64,'TB BVS 31.03.26'!B:E,4,0)</f>
        <v>Office Equipment</v>
      </c>
    </row>
    <row r="65" spans="1:3" x14ac:dyDescent="0.25">
      <c r="A65">
        <v>20000009</v>
      </c>
      <c r="B65" t="s">
        <v>6</v>
      </c>
      <c r="C65" t="str">
        <f>VLOOKUP(A65,'TB BVS 31.03.26'!B:E,4,0)</f>
        <v>Furniture &amp; Fixture</v>
      </c>
    </row>
    <row r="66" spans="1:3" x14ac:dyDescent="0.25">
      <c r="A66">
        <v>20000011</v>
      </c>
      <c r="B66" t="s">
        <v>6</v>
      </c>
      <c r="C66" t="str">
        <f>VLOOKUP(A66,'TB BVS 31.03.26'!B:E,4,0)</f>
        <v>Electrical Fittings</v>
      </c>
    </row>
    <row r="67" spans="1:3" x14ac:dyDescent="0.25">
      <c r="A67">
        <v>20000015</v>
      </c>
      <c r="B67" t="s">
        <v>6</v>
      </c>
      <c r="C67" t="str">
        <f>VLOOKUP(A67,'TB BVS 31.03.26'!B:E,4,0)</f>
        <v>Intangible Assets</v>
      </c>
    </row>
    <row r="68" spans="1:3" x14ac:dyDescent="0.25">
      <c r="A68">
        <v>20100003</v>
      </c>
      <c r="B68" t="s">
        <v>6</v>
      </c>
      <c r="C68" t="str">
        <f>VLOOKUP(A68,'TB BVS 31.03.26'!B:E,4,0)</f>
        <v>Capital work-in-progress</v>
      </c>
    </row>
    <row r="69" spans="1:3" x14ac:dyDescent="0.25">
      <c r="A69">
        <v>20300000</v>
      </c>
      <c r="B69" t="s">
        <v>152</v>
      </c>
      <c r="C69" t="str">
        <f>VLOOKUP(A69,'TB BVS 31.03.26'!B:E,4,0)</f>
        <v>Security deposits</v>
      </c>
    </row>
    <row r="70" spans="1:3" x14ac:dyDescent="0.25">
      <c r="A70">
        <v>20300004</v>
      </c>
      <c r="B70" t="s">
        <v>152</v>
      </c>
      <c r="C70" t="str">
        <f>VLOOKUP(A70,'TB BVS 31.03.26'!B:E,4,0)</f>
        <v>Security deposits</v>
      </c>
    </row>
    <row r="71" spans="1:3" x14ac:dyDescent="0.25">
      <c r="A71">
        <v>20400001</v>
      </c>
      <c r="B71" t="s">
        <v>31</v>
      </c>
      <c r="C71" t="str">
        <f>VLOOKUP(A71,'TB BVS 31.03.26'!B:E,4,0)</f>
        <v>Deferred Tax Liabilities (Net)</v>
      </c>
    </row>
    <row r="72" spans="1:3" x14ac:dyDescent="0.25">
      <c r="A72">
        <v>20500000</v>
      </c>
      <c r="B72" t="s">
        <v>159</v>
      </c>
      <c r="C72" t="str">
        <f>VLOOKUP(A72,'TB BVS 31.03.26'!B:E,4,0)</f>
        <v>Raw materials**</v>
      </c>
    </row>
    <row r="73" spans="1:3" x14ac:dyDescent="0.25">
      <c r="A73">
        <v>20500001</v>
      </c>
      <c r="B73" t="s">
        <v>159</v>
      </c>
      <c r="C73" t="str">
        <f>VLOOKUP(A73,'TB BVS 31.03.26'!B:E,4,0)</f>
        <v>Packing material</v>
      </c>
    </row>
    <row r="74" spans="1:3" x14ac:dyDescent="0.25">
      <c r="A74">
        <v>20500002</v>
      </c>
      <c r="B74" t="s">
        <v>159</v>
      </c>
      <c r="C74" t="str">
        <f>VLOOKUP(A74,'TB BVS 31.03.26'!B:E,4,0)</f>
        <v>Stores and spares</v>
      </c>
    </row>
    <row r="75" spans="1:3" x14ac:dyDescent="0.25">
      <c r="A75">
        <v>20500003</v>
      </c>
      <c r="B75" t="s">
        <v>159</v>
      </c>
      <c r="C75" t="str">
        <f>VLOOKUP(A75,'TB BVS 31.03.26'!B:E,4,0)</f>
        <v>Work-in-progress</v>
      </c>
    </row>
    <row r="76" spans="1:3" x14ac:dyDescent="0.25">
      <c r="A76">
        <v>20500005</v>
      </c>
      <c r="B76" t="s">
        <v>159</v>
      </c>
      <c r="C76" t="str">
        <f>VLOOKUP(A76,'TB BVS 31.03.26'!B:E,4,0)</f>
        <v>Stores and spares</v>
      </c>
    </row>
    <row r="77" spans="1:3" x14ac:dyDescent="0.25">
      <c r="A77">
        <v>20500006</v>
      </c>
      <c r="B77" t="s">
        <v>159</v>
      </c>
      <c r="C77" t="str">
        <f>VLOOKUP(A77,'TB BVS 31.03.26'!B:E,4,0)</f>
        <v>Finished goods*</v>
      </c>
    </row>
    <row r="78" spans="1:3" x14ac:dyDescent="0.25">
      <c r="A78">
        <v>20500008</v>
      </c>
      <c r="B78" t="s">
        <v>159</v>
      </c>
      <c r="C78" t="str">
        <f>VLOOKUP(A78,'TB BVS 31.03.26'!B:E,4,0)</f>
        <v>Work-in-progress</v>
      </c>
    </row>
    <row r="79" spans="1:3" x14ac:dyDescent="0.25">
      <c r="A79">
        <v>20600001</v>
      </c>
      <c r="B79" t="s">
        <v>737</v>
      </c>
      <c r="C79" t="str">
        <f>VLOOKUP(A79,'TB BVS 31.03.26'!B:E,4,0)</f>
        <v>Considered good - unsecured</v>
      </c>
    </row>
    <row r="80" spans="1:3" x14ac:dyDescent="0.25">
      <c r="A80">
        <v>20600004</v>
      </c>
      <c r="B80" t="s">
        <v>737</v>
      </c>
      <c r="C80" t="str">
        <f>VLOOKUP(A80,'TB BVS 31.03.26'!B:E,4,0)</f>
        <v>Considered good - unsecured</v>
      </c>
    </row>
    <row r="81" spans="1:3" x14ac:dyDescent="0.25">
      <c r="A81">
        <v>20600006</v>
      </c>
      <c r="B81" t="s">
        <v>737</v>
      </c>
      <c r="C81" t="str">
        <f>VLOOKUP(A81,'TB BVS 31.03.26'!B:E,4,0)</f>
        <v>Considered good - unsecured</v>
      </c>
    </row>
    <row r="82" spans="1:3" x14ac:dyDescent="0.25">
      <c r="A82">
        <v>20600009</v>
      </c>
      <c r="B82" t="s">
        <v>737</v>
      </c>
      <c r="C82" t="str">
        <f>VLOOKUP(A82,'TB BVS 31.03.26'!B:E,4,0)</f>
        <v>Considered good - unsecured</v>
      </c>
    </row>
    <row r="83" spans="1:3" x14ac:dyDescent="0.25">
      <c r="A83">
        <v>20800110</v>
      </c>
      <c r="B83" t="s">
        <v>83</v>
      </c>
      <c r="C83" t="str">
        <f>VLOOKUP(A83,'TB BVS 31.03.26'!B:E,4,0)</f>
        <v>Balance with banks</v>
      </c>
    </row>
    <row r="84" spans="1:3" x14ac:dyDescent="0.25">
      <c r="A84">
        <v>20800111</v>
      </c>
      <c r="B84" t="s">
        <v>83</v>
      </c>
      <c r="C84" t="str">
        <f>VLOOKUP(A84,'TB BVS 31.03.26'!B:E,4,0)</f>
        <v>Balance with banks</v>
      </c>
    </row>
    <row r="85" spans="1:3" x14ac:dyDescent="0.25">
      <c r="A85">
        <v>20800112</v>
      </c>
      <c r="B85" t="s">
        <v>83</v>
      </c>
      <c r="C85" t="str">
        <f>VLOOKUP(A85,'TB BVS 31.03.26'!B:E,4,0)</f>
        <v>Balance with banks</v>
      </c>
    </row>
    <row r="86" spans="1:3" x14ac:dyDescent="0.25">
      <c r="A86">
        <v>20800121</v>
      </c>
      <c r="B86" t="s">
        <v>1235</v>
      </c>
      <c r="C86" t="str">
        <f>VLOOKUP(A86,'TB BVS 31.03.26'!B:E,4,0)</f>
        <v>Balance with banks</v>
      </c>
    </row>
    <row r="87" spans="1:3" x14ac:dyDescent="0.25">
      <c r="A87">
        <v>20800122</v>
      </c>
      <c r="B87" t="s">
        <v>1235</v>
      </c>
      <c r="C87" t="str">
        <f>VLOOKUP(A87,'TB BVS 31.03.26'!B:E,4,0)</f>
        <v>Balance with banks</v>
      </c>
    </row>
    <row r="88" spans="1:3" x14ac:dyDescent="0.25">
      <c r="A88">
        <v>20900003</v>
      </c>
      <c r="B88" t="s">
        <v>152</v>
      </c>
      <c r="C88" t="str">
        <f>VLOOKUP(A88,'TB BVS 31.03.26'!B:E,4,0)</f>
        <v>Deposits with original maturity for more than 3 months and less than 12 Months</v>
      </c>
    </row>
    <row r="89" spans="1:3" x14ac:dyDescent="0.25">
      <c r="A89">
        <v>21000003</v>
      </c>
      <c r="B89" t="s">
        <v>927</v>
      </c>
      <c r="C89" t="str">
        <f>VLOOKUP(A89,'TB BVS 31.03.26'!B:E,4,0)</f>
        <v>Other Tax Asset (Net)</v>
      </c>
    </row>
    <row r="90" spans="1:3" x14ac:dyDescent="0.25">
      <c r="A90">
        <v>21000004</v>
      </c>
      <c r="B90" t="s">
        <v>927</v>
      </c>
      <c r="C90" t="str">
        <f>VLOOKUP(A90,'TB BVS 31.03.26'!B:E,4,0)</f>
        <v>Other Tax Asset (Net)</v>
      </c>
    </row>
    <row r="91" spans="1:3" x14ac:dyDescent="0.25">
      <c r="A91">
        <v>21000011</v>
      </c>
      <c r="B91" t="s">
        <v>17</v>
      </c>
      <c r="C91" t="str">
        <f>VLOOKUP(A91,'TB BVS 31.03.26'!B:E,4,0)</f>
        <v>Balances with Government Authorities</v>
      </c>
    </row>
    <row r="92" spans="1:3" x14ac:dyDescent="0.25">
      <c r="A92">
        <v>21000012</v>
      </c>
      <c r="B92" t="s">
        <v>17</v>
      </c>
      <c r="C92" t="str">
        <f>VLOOKUP(A92,'TB BVS 31.03.26'!B:E,4,0)</f>
        <v>Balances with Government Authorities</v>
      </c>
    </row>
    <row r="93" spans="1:3" x14ac:dyDescent="0.25">
      <c r="A93">
        <v>21000013</v>
      </c>
      <c r="B93" t="s">
        <v>17</v>
      </c>
      <c r="C93" t="str">
        <f>VLOOKUP(A93,'TB BVS 31.03.26'!B:E,4,0)</f>
        <v>Balances with Government Authorities</v>
      </c>
    </row>
    <row r="94" spans="1:3" x14ac:dyDescent="0.25">
      <c r="A94">
        <v>21000016</v>
      </c>
      <c r="B94" t="s">
        <v>927</v>
      </c>
      <c r="C94" t="str">
        <f>VLOOKUP(A94,'TB BVS 31.03.26'!B:E,4,0)</f>
        <v>Other Tax Asset (Net)</v>
      </c>
    </row>
    <row r="95" spans="1:3" x14ac:dyDescent="0.25">
      <c r="A95">
        <v>21000018</v>
      </c>
      <c r="B95" t="s">
        <v>17</v>
      </c>
      <c r="C95" t="str">
        <f>VLOOKUP(A95,'TB BVS 31.03.26'!B:E,4,0)</f>
        <v>Balances with Government Authorities</v>
      </c>
    </row>
    <row r="96" spans="1:3" x14ac:dyDescent="0.25">
      <c r="A96">
        <v>21100004</v>
      </c>
      <c r="B96" t="s">
        <v>17</v>
      </c>
      <c r="C96" t="str">
        <f>VLOOKUP(A96,'TB BVS 31.03.26'!B:E,4,0)</f>
        <v>Advance to employees</v>
      </c>
    </row>
    <row r="97" spans="1:3" x14ac:dyDescent="0.25">
      <c r="A97">
        <v>21100008</v>
      </c>
      <c r="B97" t="s">
        <v>17</v>
      </c>
      <c r="C97" t="str">
        <f>VLOOKUP(A97,'TB BVS 31.03.26'!B:E,4,0)</f>
        <v>Prepaid Expenses</v>
      </c>
    </row>
    <row r="98" spans="1:3" x14ac:dyDescent="0.25">
      <c r="A98">
        <v>21100011</v>
      </c>
      <c r="B98" t="s">
        <v>153</v>
      </c>
      <c r="C98" t="str">
        <f>VLOOKUP(A98,'TB BVS 31.03.26'!B:E,4,0)</f>
        <v>Total outstanding dues of creditors other than micro enterprises and small enterprises</v>
      </c>
    </row>
    <row r="99" spans="1:3" x14ac:dyDescent="0.25">
      <c r="A99">
        <v>21100014</v>
      </c>
      <c r="B99" t="s">
        <v>152</v>
      </c>
      <c r="C99" t="str">
        <f>VLOOKUP(A99,'TB BVS 31.03.26'!B:E,4,0)</f>
        <v>Finance lease receivable (Unsecured - considered good)</v>
      </c>
    </row>
    <row r="100" spans="1:3" x14ac:dyDescent="0.25">
      <c r="A100">
        <v>30000000</v>
      </c>
      <c r="B100" t="s">
        <v>754</v>
      </c>
      <c r="C100" t="str">
        <f>VLOOKUP(A100,'TB BVS 31.03.26'!B:E,4,0)</f>
        <v>Sales of Products</v>
      </c>
    </row>
    <row r="101" spans="1:3" x14ac:dyDescent="0.25">
      <c r="A101">
        <v>30000001</v>
      </c>
      <c r="B101" t="s">
        <v>754</v>
      </c>
      <c r="C101" t="str">
        <f>VLOOKUP(A101,'TB BVS 31.03.26'!B:E,4,0)</f>
        <v>Sales of Products</v>
      </c>
    </row>
    <row r="102" spans="1:3" x14ac:dyDescent="0.25">
      <c r="A102">
        <v>30000004</v>
      </c>
      <c r="B102" t="s">
        <v>754</v>
      </c>
      <c r="C102" t="str">
        <f>VLOOKUP(A102,'TB BVS 31.03.26'!B:E,4,0)</f>
        <v>Scrap Sales</v>
      </c>
    </row>
    <row r="103" spans="1:3" x14ac:dyDescent="0.25">
      <c r="A103">
        <v>30000007</v>
      </c>
      <c r="B103" t="s">
        <v>754</v>
      </c>
      <c r="C103" t="str">
        <f>VLOOKUP(A103,'TB BVS 31.03.26'!B:E,4,0)</f>
        <v>Sales of Products</v>
      </c>
    </row>
    <row r="104" spans="1:3" x14ac:dyDescent="0.25">
      <c r="A104">
        <v>30000008</v>
      </c>
      <c r="B104" t="s">
        <v>754</v>
      </c>
      <c r="C104" t="str">
        <f>VLOOKUP(A104,'TB BVS 31.03.26'!B:E,4,0)</f>
        <v>Sales of Products</v>
      </c>
    </row>
    <row r="105" spans="1:3" x14ac:dyDescent="0.25">
      <c r="A105">
        <v>30100001</v>
      </c>
      <c r="B105" t="s">
        <v>45</v>
      </c>
      <c r="C105" t="str">
        <f>VLOOKUP(A105,'TB BVS 31.03.26'!B:E,4,0)</f>
        <v>Foreign exchange gain (net)</v>
      </c>
    </row>
    <row r="106" spans="1:3" x14ac:dyDescent="0.25">
      <c r="A106">
        <v>30100004</v>
      </c>
      <c r="B106" t="s">
        <v>45</v>
      </c>
      <c r="C106" t="str">
        <f>VLOOKUP(A106,'TB BVS 31.03.26'!B:E,4,0)</f>
        <v>- From banks</v>
      </c>
    </row>
    <row r="107" spans="1:3" x14ac:dyDescent="0.25">
      <c r="A107">
        <v>30100005</v>
      </c>
      <c r="B107" t="s">
        <v>45</v>
      </c>
      <c r="C107" t="str">
        <f>VLOOKUP(A107,'TB BVS 31.03.26'!B:E,4,0)</f>
        <v>- From others</v>
      </c>
    </row>
    <row r="108" spans="1:3" x14ac:dyDescent="0.25">
      <c r="A108">
        <v>30100013</v>
      </c>
      <c r="B108" t="s">
        <v>45</v>
      </c>
      <c r="C108" t="str">
        <f>VLOOKUP(A108,'TB BVS 31.03.26'!B:E,4,0)</f>
        <v>Profit on Sale of Mutual Fund</v>
      </c>
    </row>
    <row r="109" spans="1:3" x14ac:dyDescent="0.25">
      <c r="A109">
        <v>30100015</v>
      </c>
      <c r="B109" t="s">
        <v>45</v>
      </c>
      <c r="C109" t="str">
        <f>VLOOKUP(A109,'TB BVS 31.03.26'!B:E,4,0)</f>
        <v>- From others</v>
      </c>
    </row>
    <row r="110" spans="1:3" x14ac:dyDescent="0.25">
      <c r="A110">
        <v>30100000</v>
      </c>
      <c r="B110" t="s">
        <v>45</v>
      </c>
      <c r="C110" t="str">
        <f>VLOOKUP(A110,'TB BVS 31.03.26'!B:E,4,0)</f>
        <v>Foreign exchange gain (net)</v>
      </c>
    </row>
    <row r="111" spans="1:3" x14ac:dyDescent="0.25">
      <c r="A111">
        <v>40100000</v>
      </c>
      <c r="B111" t="s">
        <v>160</v>
      </c>
      <c r="C111" t="str">
        <f>VLOOKUP(A111,'TB BVS 31.03.26'!B:E,4,0)</f>
        <v>Add : Purchases -RM</v>
      </c>
    </row>
    <row r="112" spans="1:3" x14ac:dyDescent="0.25">
      <c r="A112">
        <v>40100001</v>
      </c>
      <c r="B112" t="s">
        <v>160</v>
      </c>
      <c r="C112" t="str">
        <f>VLOOKUP(A112,'TB BVS 31.03.26'!B:E,4,0)</f>
        <v>Add : Purchases -RM</v>
      </c>
    </row>
    <row r="113" spans="1:3" x14ac:dyDescent="0.25">
      <c r="A113">
        <v>40100002</v>
      </c>
      <c r="B113" t="s">
        <v>160</v>
      </c>
      <c r="C113" t="str">
        <f>VLOOKUP(A113,'TB BVS 31.03.26'!B:E,4,0)</f>
        <v>Add : Purchases -RM</v>
      </c>
    </row>
    <row r="114" spans="1:3" x14ac:dyDescent="0.25">
      <c r="A114">
        <v>40100005</v>
      </c>
      <c r="B114" t="s">
        <v>160</v>
      </c>
      <c r="C114" t="str">
        <f>VLOOKUP(A114,'TB BVS 31.03.26'!B:E,4,0)</f>
        <v>Add : Purchases -RM</v>
      </c>
    </row>
    <row r="115" spans="1:3" x14ac:dyDescent="0.25">
      <c r="A115">
        <v>40100008</v>
      </c>
      <c r="B115" t="s">
        <v>160</v>
      </c>
      <c r="C115" t="str">
        <f>VLOOKUP(A115,'TB BVS 31.03.26'!B:E,4,0)</f>
        <v>Add : Purchases -RM</v>
      </c>
    </row>
    <row r="116" spans="1:3" x14ac:dyDescent="0.25">
      <c r="A116">
        <v>40200003</v>
      </c>
      <c r="B116" t="s">
        <v>160</v>
      </c>
      <c r="C116" t="str">
        <f>VLOOKUP(A116,'TB BVS 31.03.26'!B:E,4,0)</f>
        <v>Add : Purchases -RM</v>
      </c>
    </row>
    <row r="117" spans="1:3" x14ac:dyDescent="0.25">
      <c r="A117">
        <v>40100011</v>
      </c>
      <c r="B117" t="s">
        <v>160</v>
      </c>
      <c r="C117" t="str">
        <f>VLOOKUP(A117,'TB BVS 31.03.26'!B:E,4,0)</f>
        <v>Add : Purchases -PM</v>
      </c>
    </row>
    <row r="118" spans="1:3" x14ac:dyDescent="0.25">
      <c r="A118">
        <v>40100007</v>
      </c>
      <c r="B118" t="s">
        <v>161</v>
      </c>
      <c r="C118" t="str">
        <f>VLOOKUP(A118,'TB BVS 31.03.26'!B:E,4,0)</f>
        <v>Changes in inventories of finished goods and work in progress</v>
      </c>
    </row>
    <row r="119" spans="1:3" x14ac:dyDescent="0.25">
      <c r="A119">
        <v>40100009</v>
      </c>
      <c r="B119" t="s">
        <v>161</v>
      </c>
      <c r="C119" t="str">
        <f>VLOOKUP(A119,'TB BVS 31.03.26'!B:E,4,0)</f>
        <v>Changes in inventories of finished goods and work in progress</v>
      </c>
    </row>
    <row r="120" spans="1:3" x14ac:dyDescent="0.25">
      <c r="A120">
        <v>40200000</v>
      </c>
      <c r="B120" t="s">
        <v>161</v>
      </c>
      <c r="C120" t="str">
        <f>VLOOKUP(A120,'TB BVS 31.03.26'!B:E,4,0)</f>
        <v>Changes in inventories of finished goods and work in progress</v>
      </c>
    </row>
    <row r="121" spans="1:3" x14ac:dyDescent="0.25">
      <c r="A121">
        <v>40200001</v>
      </c>
      <c r="B121" t="s">
        <v>161</v>
      </c>
      <c r="C121" t="str">
        <f>VLOOKUP(A121,'TB BVS 31.03.26'!B:E,4,0)</f>
        <v>Changes in inventories of finished goods and work in progress</v>
      </c>
    </row>
    <row r="122" spans="1:3" x14ac:dyDescent="0.25">
      <c r="A122">
        <v>40200004</v>
      </c>
      <c r="B122" t="s">
        <v>161</v>
      </c>
      <c r="C122" t="str">
        <f>VLOOKUP(A122,'TB BVS 31.03.26'!B:E,4,0)</f>
        <v>Changes in inventories of finished goods and work in progress</v>
      </c>
    </row>
    <row r="123" spans="1:3" x14ac:dyDescent="0.25">
      <c r="A123">
        <v>40200006</v>
      </c>
      <c r="B123" t="s">
        <v>161</v>
      </c>
      <c r="C123" t="str">
        <f>VLOOKUP(A123,'TB BVS 31.03.26'!B:E,4,0)</f>
        <v>Changes in inventories of finished goods and work in progress</v>
      </c>
    </row>
    <row r="124" spans="1:3" x14ac:dyDescent="0.25">
      <c r="A124">
        <v>40200011</v>
      </c>
      <c r="B124" t="s">
        <v>161</v>
      </c>
      <c r="C124" t="str">
        <f>VLOOKUP(A124,'TB BVS 31.03.26'!B:E,4,0)</f>
        <v>Changes in inventories of finished goods and work in progress</v>
      </c>
    </row>
    <row r="125" spans="1:3" x14ac:dyDescent="0.25">
      <c r="A125">
        <v>40300004</v>
      </c>
      <c r="B125" t="s">
        <v>198</v>
      </c>
      <c r="C125" t="str">
        <f>VLOOKUP(A125,'TB BVS 31.03.26'!B:E,4,0)</f>
        <v>Salary, Wages, Allowances and Bonus</v>
      </c>
    </row>
    <row r="126" spans="1:3" x14ac:dyDescent="0.25">
      <c r="A126">
        <v>40400009</v>
      </c>
      <c r="B126" t="s">
        <v>202</v>
      </c>
      <c r="C126" t="str">
        <f>VLOOKUP(A126,'TB BVS 31.03.26'!B:E,4,0)</f>
        <v>- From Bank (Secured Loan)</v>
      </c>
    </row>
    <row r="127" spans="1:3" x14ac:dyDescent="0.25">
      <c r="A127">
        <v>40400014</v>
      </c>
      <c r="B127" t="s">
        <v>202</v>
      </c>
      <c r="C127" t="str">
        <f>VLOOKUP(A127,'TB BVS 31.03.26'!B:E,4,0)</f>
        <v>Other Borrowing Cost</v>
      </c>
    </row>
    <row r="128" spans="1:3" x14ac:dyDescent="0.25">
      <c r="A128">
        <v>40400019</v>
      </c>
      <c r="B128" t="s">
        <v>202</v>
      </c>
      <c r="C128" t="str">
        <f>VLOOKUP(A128,'TB BVS 31.03.26'!B:E,4,0)</f>
        <v>- From Bank (Secured Loan)</v>
      </c>
    </row>
    <row r="129" spans="1:3" x14ac:dyDescent="0.25">
      <c r="A129">
        <v>40400000</v>
      </c>
      <c r="B129" t="s">
        <v>202</v>
      </c>
      <c r="C129" t="str">
        <f>VLOOKUP(A129,'TB BVS 31.03.26'!B:E,4,0)</f>
        <v>Other Interest Expenses</v>
      </c>
    </row>
    <row r="130" spans="1:3" x14ac:dyDescent="0.25">
      <c r="A130">
        <v>40400004</v>
      </c>
      <c r="B130" t="s">
        <v>194</v>
      </c>
      <c r="C130" t="str">
        <f>VLOOKUP(A130,'TB BVS 31.03.26'!B:E,4,0)</f>
        <v>Bank charges</v>
      </c>
    </row>
    <row r="131" spans="1:3" x14ac:dyDescent="0.25">
      <c r="A131">
        <v>40600000</v>
      </c>
      <c r="B131" t="s">
        <v>194</v>
      </c>
      <c r="C131" t="str">
        <f>VLOOKUP(A131,'TB BVS 31.03.26'!B:E,4,0)</f>
        <v>Power and fuel</v>
      </c>
    </row>
    <row r="132" spans="1:3" x14ac:dyDescent="0.25">
      <c r="A132">
        <v>40600002</v>
      </c>
      <c r="B132" t="s">
        <v>194</v>
      </c>
      <c r="C132" t="str">
        <f>VLOOKUP(A132,'TB BVS 31.03.26'!B:E,4,0)</f>
        <v>Consumption of stores and spares</v>
      </c>
    </row>
    <row r="133" spans="1:3" x14ac:dyDescent="0.25">
      <c r="A133">
        <v>40600003</v>
      </c>
      <c r="B133" t="s">
        <v>194</v>
      </c>
      <c r="C133" t="str">
        <f>VLOOKUP(A133,'TB BVS 31.03.26'!B:E,4,0)</f>
        <v>Consumption of stores and spares</v>
      </c>
    </row>
    <row r="134" spans="1:3" x14ac:dyDescent="0.25">
      <c r="A134">
        <v>40600004</v>
      </c>
      <c r="B134" t="s">
        <v>194</v>
      </c>
      <c r="C134" t="str">
        <f>VLOOKUP(A134,'TB BVS 31.03.26'!B:E,4,0)</f>
        <v>Power and fuel</v>
      </c>
    </row>
    <row r="135" spans="1:3" x14ac:dyDescent="0.25">
      <c r="A135">
        <v>40600005</v>
      </c>
      <c r="B135" t="s">
        <v>194</v>
      </c>
      <c r="C135" t="str">
        <f>VLOOKUP(A135,'TB BVS 31.03.26'!B:E,4,0)</f>
        <v>Job work and labour charges</v>
      </c>
    </row>
    <row r="136" spans="1:3" x14ac:dyDescent="0.25">
      <c r="A136">
        <v>40600007</v>
      </c>
      <c r="B136" t="s">
        <v>194</v>
      </c>
      <c r="C136" t="str">
        <f>VLOOKUP(A136,'TB BVS 31.03.26'!B:E,4,0)</f>
        <v>Job work and labour charges</v>
      </c>
    </row>
    <row r="137" spans="1:3" x14ac:dyDescent="0.25">
      <c r="A137">
        <v>40600008</v>
      </c>
      <c r="B137" t="s">
        <v>194</v>
      </c>
      <c r="C137" t="str">
        <f>VLOOKUP(A137,'TB BVS 31.03.26'!B:E,4,0)</f>
        <v>Rent expenses</v>
      </c>
    </row>
    <row r="138" spans="1:3" x14ac:dyDescent="0.25">
      <c r="A138">
        <v>40700001</v>
      </c>
      <c r="B138" t="s">
        <v>194</v>
      </c>
      <c r="C138" t="str">
        <f>VLOOKUP(A138,'TB BVS 31.03.26'!B:E,4,0)</f>
        <v>Travelling and conveyance</v>
      </c>
    </row>
    <row r="139" spans="1:3" x14ac:dyDescent="0.25">
      <c r="A139">
        <v>40700003</v>
      </c>
      <c r="B139" t="s">
        <v>194</v>
      </c>
      <c r="C139" t="str">
        <f>VLOOKUP(A139,'TB BVS 31.03.26'!B:E,4,0)</f>
        <v>Travelling and conveyance</v>
      </c>
    </row>
    <row r="140" spans="1:3" x14ac:dyDescent="0.25">
      <c r="A140">
        <v>40700004</v>
      </c>
      <c r="B140" t="s">
        <v>194</v>
      </c>
      <c r="C140" t="str">
        <f>VLOOKUP(A140,'TB BVS 31.03.26'!B:E,4,0)</f>
        <v>Miscellaneous expenses</v>
      </c>
    </row>
    <row r="141" spans="1:3" x14ac:dyDescent="0.25">
      <c r="A141">
        <v>40700006</v>
      </c>
      <c r="B141" t="s">
        <v>194</v>
      </c>
      <c r="C141" t="str">
        <f>VLOOKUP(A141,'TB BVS 31.03.26'!B:E,4,0)</f>
        <v>Power and fuel</v>
      </c>
    </row>
    <row r="142" spans="1:3" x14ac:dyDescent="0.25">
      <c r="A142">
        <v>40700010</v>
      </c>
      <c r="B142" t="s">
        <v>194</v>
      </c>
      <c r="C142" t="str">
        <f>VLOOKUP(A142,'TB BVS 31.03.26'!B:E,4,0)</f>
        <v>Legal &amp; Professional Fees</v>
      </c>
    </row>
    <row r="143" spans="1:3" x14ac:dyDescent="0.25">
      <c r="A143">
        <v>40700011</v>
      </c>
      <c r="B143" t="s">
        <v>194</v>
      </c>
      <c r="C143" t="str">
        <f>VLOOKUP(A143,'TB BVS 31.03.26'!B:E,4,0)</f>
        <v>Rates &amp; Taxes</v>
      </c>
    </row>
    <row r="144" spans="1:3" x14ac:dyDescent="0.25">
      <c r="A144">
        <v>40700021</v>
      </c>
      <c r="B144" t="s">
        <v>194</v>
      </c>
      <c r="C144" t="str">
        <f>VLOOKUP(A144,'TB BVS 31.03.26'!B:E,4,0)</f>
        <v>Selling and distribution expenses</v>
      </c>
    </row>
    <row r="145" spans="1:3" x14ac:dyDescent="0.25">
      <c r="A145">
        <v>40700023</v>
      </c>
      <c r="B145" t="s">
        <v>194</v>
      </c>
      <c r="C145" t="str">
        <f>VLOOKUP(A145,'TB BVS 31.03.26'!B:E,4,0)</f>
        <v>Security charges</v>
      </c>
    </row>
    <row r="146" spans="1:3" x14ac:dyDescent="0.25">
      <c r="A146">
        <v>40700024</v>
      </c>
      <c r="B146" t="s">
        <v>194</v>
      </c>
      <c r="C146" t="str">
        <f>VLOOKUP(A146,'TB BVS 31.03.26'!B:E,4,0)</f>
        <v>Miscellaneous expenses</v>
      </c>
    </row>
    <row r="147" spans="1:3" x14ac:dyDescent="0.25">
      <c r="A147">
        <v>40700028</v>
      </c>
      <c r="B147" t="s">
        <v>194</v>
      </c>
      <c r="C147" t="str">
        <f>VLOOKUP(A147,'TB BVS 31.03.26'!B:E,4,0)</f>
        <v>Miscellaneous expenses</v>
      </c>
    </row>
    <row r="148" spans="1:3" x14ac:dyDescent="0.25">
      <c r="A148">
        <v>40700045</v>
      </c>
      <c r="B148" t="s">
        <v>397</v>
      </c>
      <c r="C148" t="str">
        <f>VLOOKUP(A148,'TB BVS 31.03.26'!B:E,4,0)</f>
        <v>(a) Current Tax</v>
      </c>
    </row>
    <row r="149" spans="1:3" x14ac:dyDescent="0.25">
      <c r="A149">
        <v>40700007</v>
      </c>
      <c r="B149" t="s">
        <v>194</v>
      </c>
      <c r="C149" t="str">
        <f>VLOOKUP(A149,'TB BVS 31.03.26'!B:E,4,0)</f>
        <v>Legal &amp; Professional Fees</v>
      </c>
    </row>
    <row r="150" spans="1:3" x14ac:dyDescent="0.25">
      <c r="A150">
        <v>40700008</v>
      </c>
      <c r="B150" t="s">
        <v>194</v>
      </c>
      <c r="C150" t="str">
        <f>VLOOKUP(A150,'TB BVS 31.03.26'!B:E,4,0)</f>
        <v>Rates &amp; Taxes</v>
      </c>
    </row>
    <row r="151" spans="1:3" x14ac:dyDescent="0.25">
      <c r="A151">
        <v>40700014</v>
      </c>
      <c r="B151" t="s">
        <v>194</v>
      </c>
      <c r="C151" t="str">
        <f>VLOOKUP(A151,'TB BVS 31.03.26'!B:E,4,0)</f>
        <v>Insurance Expenses</v>
      </c>
    </row>
    <row r="152" spans="1:3" x14ac:dyDescent="0.25">
      <c r="A152">
        <v>40700015</v>
      </c>
      <c r="B152" t="s">
        <v>194</v>
      </c>
      <c r="C152" t="str">
        <f>VLOOKUP(A152,'TB BVS 31.03.26'!B:E,4,0)</f>
        <v>Miscellaneous expenses</v>
      </c>
    </row>
    <row r="153" spans="1:3" x14ac:dyDescent="0.25">
      <c r="A153">
        <v>40700022</v>
      </c>
      <c r="B153" t="s">
        <v>194</v>
      </c>
      <c r="C153" t="str">
        <f>VLOOKUP(A153,'TB BVS 31.03.26'!B:E,4,0)</f>
        <v>Consumption of stores and spares</v>
      </c>
    </row>
    <row r="154" spans="1:3" x14ac:dyDescent="0.25">
      <c r="A154">
        <v>40700025</v>
      </c>
      <c r="B154" t="s">
        <v>194</v>
      </c>
      <c r="C154" t="str">
        <f>VLOOKUP(A154,'TB BVS 31.03.26'!B:E,4,0)</f>
        <v>Miscellaneous expenses</v>
      </c>
    </row>
    <row r="155" spans="1:3" x14ac:dyDescent="0.25">
      <c r="A155">
        <v>40700040</v>
      </c>
      <c r="B155" t="s">
        <v>194</v>
      </c>
      <c r="C155" t="str">
        <f>VLOOKUP(A155,'TB BVS 31.03.26'!B:E,4,0)</f>
        <v>(b) Deferred Tax</v>
      </c>
    </row>
    <row r="156" spans="1:3" x14ac:dyDescent="0.25">
      <c r="A156">
        <v>40500000</v>
      </c>
      <c r="B156" t="s">
        <v>589</v>
      </c>
      <c r="C156" t="str">
        <f>VLOOKUP(A156,'TB BVS 31.03.26'!B:E,4,0)</f>
        <v>Depreciation and Amortisation Expense</v>
      </c>
    </row>
    <row r="157" spans="1:3" x14ac:dyDescent="0.25">
      <c r="A157">
        <v>40500001</v>
      </c>
      <c r="B157" t="s">
        <v>589</v>
      </c>
      <c r="C157" t="str">
        <f>VLOOKUP(A157,'TB BVS 31.03.26'!B:E,4,0)</f>
        <v>Depreciation and Amortisation Expense</v>
      </c>
    </row>
    <row r="158" spans="1:3" x14ac:dyDescent="0.25">
      <c r="A158">
        <v>40500003</v>
      </c>
      <c r="B158" t="s">
        <v>589</v>
      </c>
      <c r="C158" t="str">
        <f>VLOOKUP(A158,'TB BVS 31.03.26'!B:E,4,0)</f>
        <v>Depreciation and Amortisation Expense</v>
      </c>
    </row>
    <row r="159" spans="1:3" x14ac:dyDescent="0.25">
      <c r="A159">
        <v>40500008</v>
      </c>
      <c r="B159" t="s">
        <v>589</v>
      </c>
      <c r="C159" t="str">
        <f>VLOOKUP(A159,'TB BVS 31.03.26'!B:E,4,0)</f>
        <v>Depreciation and Amortisation Expense</v>
      </c>
    </row>
    <row r="160" spans="1:3" x14ac:dyDescent="0.25">
      <c r="A160">
        <v>40500002</v>
      </c>
      <c r="B160" t="s">
        <v>589</v>
      </c>
      <c r="C160" t="str">
        <f>VLOOKUP(A160,'TB BVS 31.03.26'!B:E,4,0)</f>
        <v>Depreciation and Amortisation Expense</v>
      </c>
    </row>
    <row r="161" spans="1:3" x14ac:dyDescent="0.25">
      <c r="A161">
        <v>40500004</v>
      </c>
      <c r="B161" t="s">
        <v>589</v>
      </c>
      <c r="C161" t="str">
        <f>VLOOKUP(A161,'TB BVS 31.03.26'!B:E,4,0)</f>
        <v>Depreciation and Amortisation Expense</v>
      </c>
    </row>
    <row r="162" spans="1:3" x14ac:dyDescent="0.25">
      <c r="A162">
        <v>40500005</v>
      </c>
      <c r="B162" t="s">
        <v>589</v>
      </c>
      <c r="C162" t="str">
        <f>VLOOKUP(A162,'TB BVS 31.03.26'!B:E,4,0)</f>
        <v>Depreciation and Amortisation Expense</v>
      </c>
    </row>
    <row r="163" spans="1:3" x14ac:dyDescent="0.25">
      <c r="A163">
        <v>40500007</v>
      </c>
      <c r="B163" t="s">
        <v>589</v>
      </c>
      <c r="C163" t="str">
        <f>VLOOKUP(A163,'TB BVS 31.03.26'!B:E,4,0)</f>
        <v>Depreciation and Amortisation Expense</v>
      </c>
    </row>
    <row r="164" spans="1:3" x14ac:dyDescent="0.25">
      <c r="A164">
        <v>40700041</v>
      </c>
      <c r="B164" t="s">
        <v>1123</v>
      </c>
      <c r="C164" t="str">
        <f>VLOOKUP(A164,'TB BVS 31.03.26'!B:E,4,0)</f>
        <v>(a) Current Tax</v>
      </c>
    </row>
    <row r="165" spans="1:3" x14ac:dyDescent="0.25">
      <c r="A165">
        <v>40300000</v>
      </c>
      <c r="B165" t="s">
        <v>198</v>
      </c>
      <c r="C165" t="str">
        <f>VLOOKUP(A165,'TB BVS 31.03.26'!B:E,4,0)</f>
        <v>Staff welfare expenses</v>
      </c>
    </row>
    <row r="166" spans="1:3" x14ac:dyDescent="0.25">
      <c r="A166">
        <v>40300002</v>
      </c>
      <c r="B166" t="s">
        <v>198</v>
      </c>
      <c r="C166" t="str">
        <f>VLOOKUP(A166,'TB BVS 31.03.26'!B:E,4,0)</f>
        <v>Staff welfare expenses</v>
      </c>
    </row>
    <row r="167" spans="1:3" x14ac:dyDescent="0.25">
      <c r="A167">
        <v>40300012</v>
      </c>
      <c r="B167" t="s">
        <v>198</v>
      </c>
      <c r="C167" t="str">
        <f>VLOOKUP(A167,'TB BVS 31.03.26'!B:E,4,0)</f>
        <v>Salary, Wages, Allowances and Bonus</v>
      </c>
    </row>
    <row r="168" spans="1:3" x14ac:dyDescent="0.25">
      <c r="A168">
        <v>40300010</v>
      </c>
      <c r="B168" t="s">
        <v>198</v>
      </c>
      <c r="C168" t="str">
        <f>VLOOKUP(A168,'TB BVS 31.03.26'!B:E,4,0)</f>
        <v>Salary, Wages, Allowances and Bonus</v>
      </c>
    </row>
    <row r="169" spans="1:3" x14ac:dyDescent="0.25">
      <c r="A169">
        <v>10900017</v>
      </c>
      <c r="B169" t="s">
        <v>169</v>
      </c>
      <c r="C169" t="str">
        <f>VLOOKUP(A169,'TB BVS 31.03.26'!B:E,4,0)</f>
        <v>Employee benefits payable</v>
      </c>
    </row>
    <row r="170" spans="1:3" x14ac:dyDescent="0.25">
      <c r="A170">
        <v>11100000</v>
      </c>
      <c r="B170" t="s">
        <v>83</v>
      </c>
      <c r="C170" t="str">
        <f>VLOOKUP(A170,'TB BVS 31.03.26'!B:E,4,0)</f>
        <v>Working Capital Loans from Bank</v>
      </c>
    </row>
    <row r="171" spans="1:3" x14ac:dyDescent="0.25">
      <c r="A171">
        <v>21100003</v>
      </c>
      <c r="B171" t="s">
        <v>152</v>
      </c>
      <c r="C171" t="str">
        <f>VLOOKUP(A171,'TB BVS 31.03.26'!B:E,4,0)</f>
        <v>Other Receivables</v>
      </c>
    </row>
    <row r="172" spans="1:3" x14ac:dyDescent="0.25">
      <c r="A172">
        <v>30000009</v>
      </c>
      <c r="B172" t="s">
        <v>754</v>
      </c>
      <c r="C172" t="str">
        <f>VLOOKUP(A172,'TB BVS 31.03.26'!B:E,4,0)</f>
        <v>Sales of Products</v>
      </c>
    </row>
    <row r="173" spans="1:3" x14ac:dyDescent="0.25">
      <c r="A173">
        <v>30100003</v>
      </c>
      <c r="B173" t="s">
        <v>45</v>
      </c>
      <c r="C173" t="str">
        <f>VLOOKUP(A173,'TB BVS 31.03.26'!B:E,4,0)</f>
        <v>- From banks</v>
      </c>
    </row>
    <row r="174" spans="1:3" x14ac:dyDescent="0.25">
      <c r="A174">
        <v>30100008</v>
      </c>
      <c r="B174" t="s">
        <v>45</v>
      </c>
      <c r="C174" t="str">
        <f>VLOOKUP(A174,'TB BVS 31.03.26'!B:E,4,0)</f>
        <v>- From others</v>
      </c>
    </row>
    <row r="175" spans="1:3" x14ac:dyDescent="0.25">
      <c r="A175">
        <v>40100012</v>
      </c>
      <c r="B175" t="s">
        <v>160</v>
      </c>
      <c r="C175" t="str">
        <f>VLOOKUP(A175,'TB BVS 31.03.26'!B:E,4,0)</f>
        <v>Add : Purchases -RM</v>
      </c>
    </row>
    <row r="176" spans="1:3" x14ac:dyDescent="0.25">
      <c r="A176">
        <v>40100014</v>
      </c>
      <c r="B176" t="s">
        <v>160</v>
      </c>
      <c r="C176" t="str">
        <f>VLOOKUP(A176,'TB BVS 31.03.26'!B:E,4,0)</f>
        <v>Add : Purchases -RM</v>
      </c>
    </row>
    <row r="177" spans="1:3" x14ac:dyDescent="0.25">
      <c r="A177">
        <v>40300003</v>
      </c>
      <c r="B177" t="s">
        <v>198</v>
      </c>
      <c r="C177" t="str">
        <f>VLOOKUP(A177,'TB BVS 31.03.26'!B:E,4,0)</f>
        <v>Contribution to Provident and Other funds</v>
      </c>
    </row>
    <row r="178" spans="1:3" x14ac:dyDescent="0.25">
      <c r="A178">
        <v>40300005</v>
      </c>
      <c r="B178" t="s">
        <v>198</v>
      </c>
      <c r="C178" t="str">
        <f>VLOOKUP(A178,'TB BVS 31.03.26'!B:E,4,0)</f>
        <v>Salary, Wages, Allowances and Bonus</v>
      </c>
    </row>
    <row r="179" spans="1:3" x14ac:dyDescent="0.25">
      <c r="A179">
        <v>40300006</v>
      </c>
      <c r="B179" t="s">
        <v>198</v>
      </c>
      <c r="C179" t="str">
        <f>VLOOKUP(A179,'TB BVS 31.03.26'!B:E,4,0)</f>
        <v>Contribution to Provident and Other funds</v>
      </c>
    </row>
    <row r="180" spans="1:3" x14ac:dyDescent="0.25">
      <c r="A180">
        <v>40300008</v>
      </c>
      <c r="B180" t="s">
        <v>198</v>
      </c>
      <c r="C180" t="str">
        <f>VLOOKUP(A180,'TB BVS 31.03.26'!B:E,4,0)</f>
        <v>Salary, Wages, Allowances and Bonus</v>
      </c>
    </row>
    <row r="181" spans="1:3" x14ac:dyDescent="0.25">
      <c r="A181">
        <v>40300011</v>
      </c>
      <c r="B181" t="s">
        <v>198</v>
      </c>
      <c r="C181" t="str">
        <f>VLOOKUP(A181,'TB BVS 31.03.26'!B:E,4,0)</f>
        <v>Salary, Wages, Allowances and Bonus</v>
      </c>
    </row>
    <row r="182" spans="1:3" x14ac:dyDescent="0.25">
      <c r="A182">
        <v>40300015</v>
      </c>
      <c r="B182" t="s">
        <v>198</v>
      </c>
      <c r="C182" t="str">
        <f>VLOOKUP(A182,'TB BVS 31.03.26'!B:E,4,0)</f>
        <v>Staff welfare expenses</v>
      </c>
    </row>
    <row r="183" spans="1:3" x14ac:dyDescent="0.25">
      <c r="A183">
        <v>40300016</v>
      </c>
      <c r="B183" t="s">
        <v>198</v>
      </c>
      <c r="C183" t="str">
        <f>VLOOKUP(A183,'TB BVS 31.03.26'!B:E,4,0)</f>
        <v>Salary, Wages, Allowances and Bonus</v>
      </c>
    </row>
    <row r="184" spans="1:3" x14ac:dyDescent="0.25">
      <c r="A184">
        <v>40300019</v>
      </c>
      <c r="B184" t="s">
        <v>198</v>
      </c>
      <c r="C184" t="str">
        <f>VLOOKUP(A184,'TB BVS 31.03.26'!B:E,4,0)</f>
        <v>Salary, Wages, Allowances and Bonus</v>
      </c>
    </row>
    <row r="185" spans="1:3" x14ac:dyDescent="0.25">
      <c r="A185">
        <v>40300024</v>
      </c>
      <c r="B185" t="s">
        <v>198</v>
      </c>
      <c r="C185" t="str">
        <f>VLOOKUP(A185,'TB BVS 31.03.26'!B:E,4,0)</f>
        <v>Salary, Wages, Allowances and Bonus</v>
      </c>
    </row>
    <row r="186" spans="1:3" x14ac:dyDescent="0.25">
      <c r="A186">
        <v>40400001</v>
      </c>
      <c r="B186" t="s">
        <v>194</v>
      </c>
      <c r="C186" t="str">
        <f>VLOOKUP(A186,'TB BVS 31.03.26'!B:E,4,0)</f>
        <v>Bank charges</v>
      </c>
    </row>
    <row r="187" spans="1:3" x14ac:dyDescent="0.25">
      <c r="A187">
        <v>40400008</v>
      </c>
      <c r="B187" t="s">
        <v>202</v>
      </c>
      <c r="C187" t="str">
        <f>VLOOKUP(A187,'TB BVS 31.03.26'!B:E,4,0)</f>
        <v>- From Bank (Secured Loan)</v>
      </c>
    </row>
    <row r="188" spans="1:3" x14ac:dyDescent="0.25">
      <c r="A188">
        <v>40700000</v>
      </c>
      <c r="B188" t="s">
        <v>194</v>
      </c>
      <c r="C188" t="str">
        <f>VLOOKUP(A188,'TB BVS 31.03.26'!B:E,4,0)</f>
        <v>- Plant and machinery</v>
      </c>
    </row>
    <row r="189" spans="1:3" x14ac:dyDescent="0.25">
      <c r="A189">
        <v>40700009</v>
      </c>
      <c r="B189" t="s">
        <v>194</v>
      </c>
      <c r="C189" t="str">
        <f>VLOOKUP(A189,'TB BVS 31.03.26'!B:E,4,0)</f>
        <v>Rent expenses</v>
      </c>
    </row>
    <row r="190" spans="1:3" x14ac:dyDescent="0.25">
      <c r="A190">
        <v>40700018</v>
      </c>
      <c r="B190" t="s">
        <v>194</v>
      </c>
      <c r="C190" t="str">
        <f>VLOOKUP(A190,'TB BVS 31.03.26'!B:E,4,0)</f>
        <v>EHS Expenses</v>
      </c>
    </row>
    <row r="191" spans="1:3" x14ac:dyDescent="0.25">
      <c r="A191">
        <v>40700020</v>
      </c>
      <c r="B191" t="s">
        <v>194</v>
      </c>
      <c r="C191" t="str">
        <f>VLOOKUP(A191,'TB BVS 31.03.26'!B:E,4,0)</f>
        <v>Selling and distribution expenses</v>
      </c>
    </row>
    <row r="192" spans="1:3" x14ac:dyDescent="0.25">
      <c r="A192">
        <v>40700027</v>
      </c>
      <c r="B192" t="s">
        <v>194</v>
      </c>
      <c r="C192" t="str">
        <f>VLOOKUP(A192,'TB BVS 31.03.26'!B:E,4,0)</f>
        <v>Membership and subscription</v>
      </c>
    </row>
    <row r="193" spans="1:3" x14ac:dyDescent="0.25">
      <c r="A193">
        <v>40700032</v>
      </c>
      <c r="B193" t="s">
        <v>194</v>
      </c>
      <c r="C193" t="str">
        <f>VLOOKUP(A193,'TB BVS 31.03.26'!B:E,4,0)</f>
        <v>Miscellaneous expenses</v>
      </c>
    </row>
    <row r="194" spans="1:3" x14ac:dyDescent="0.25">
      <c r="A194">
        <v>40700035</v>
      </c>
      <c r="B194" t="s">
        <v>160</v>
      </c>
      <c r="C194" t="str">
        <f>VLOOKUP(A194,'TB BVS 31.03.26'!B:E,4,0)</f>
        <v>Add : Purchases -RM</v>
      </c>
    </row>
    <row r="195" spans="1:3" x14ac:dyDescent="0.25">
      <c r="A195">
        <v>20100001</v>
      </c>
      <c r="B195" t="s">
        <v>4</v>
      </c>
      <c r="C195" t="str">
        <f>VLOOKUP(A195,'TB BVS 31.03.26'!B:E,4,0)</f>
        <v>Total outstanding dues of creditors other than micro enterprises and small enterprises</v>
      </c>
    </row>
    <row r="196" spans="1:3" x14ac:dyDescent="0.25">
      <c r="A196">
        <v>21100011</v>
      </c>
      <c r="B196" t="s">
        <v>17</v>
      </c>
      <c r="C196" t="str">
        <f>VLOOKUP(A196,'TB BVS 31.03.26'!B:E,4,0)</f>
        <v>Total outstanding dues of creditors other than micro enterprises and small enterprises</v>
      </c>
    </row>
    <row r="197" spans="1:3" x14ac:dyDescent="0.25">
      <c r="A197">
        <v>11100002</v>
      </c>
      <c r="B197" t="s">
        <v>169</v>
      </c>
      <c r="C197" t="str">
        <f>VLOOKUP(A197,'TB BVS 31.03.26'!B:E,4,0)</f>
        <v>Payable for capital goods (including retention amount)</v>
      </c>
    </row>
    <row r="198" spans="1:3" x14ac:dyDescent="0.25">
      <c r="A198">
        <v>10000004</v>
      </c>
      <c r="B198" t="s">
        <v>163</v>
      </c>
      <c r="C198" t="str">
        <f>VLOOKUP(A198,'TB BVS 31.03.26'!B:E,4,0)</f>
        <v>Pref Shar CCPS-BVCPL</v>
      </c>
    </row>
    <row r="199" spans="1:3" x14ac:dyDescent="0.25">
      <c r="A199">
        <v>10100000</v>
      </c>
      <c r="B199" t="s">
        <v>164</v>
      </c>
      <c r="C199" t="str">
        <f>VLOOKUP(A199,'TB BVS 31.03.26'!B:E,4,0)</f>
        <v>Closing balance - Securities Premium</v>
      </c>
    </row>
    <row r="200" spans="1:3" x14ac:dyDescent="0.25">
      <c r="A200">
        <v>10000004</v>
      </c>
      <c r="B200" t="s">
        <v>164</v>
      </c>
      <c r="C200" t="str">
        <f>VLOOKUP(A200,'TB BVS 31.03.26'!B:E,4,0)</f>
        <v>Pref Shar CCPS-BVCPL</v>
      </c>
    </row>
    <row r="201" spans="1:3" x14ac:dyDescent="0.25">
      <c r="A201">
        <v>30000001</v>
      </c>
      <c r="B201" t="s">
        <v>754</v>
      </c>
      <c r="C201" t="str">
        <f>VLOOKUP(A201,'TB BVS 31.03.26'!B:E,4,0)</f>
        <v>Sales of Products</v>
      </c>
    </row>
    <row r="202" spans="1:3" x14ac:dyDescent="0.25">
      <c r="A202">
        <v>30000001</v>
      </c>
      <c r="B202" t="s">
        <v>754</v>
      </c>
      <c r="C202" t="str">
        <f>VLOOKUP(A202,'TB BVS 31.03.26'!B:E,4,0)</f>
        <v>Sales of Products</v>
      </c>
    </row>
    <row r="203" spans="1:3" x14ac:dyDescent="0.25">
      <c r="A203">
        <v>21100003</v>
      </c>
      <c r="B203" t="s">
        <v>152</v>
      </c>
      <c r="C203" t="str">
        <f>VLOOKUP(A203,'TB BVS 31.03.26'!B:E,4,0)</f>
        <v>Other Receivables</v>
      </c>
    </row>
    <row r="204" spans="1:3" x14ac:dyDescent="0.25">
      <c r="A204">
        <v>20300000</v>
      </c>
      <c r="B204" t="s">
        <v>152</v>
      </c>
      <c r="C204" t="str">
        <f>VLOOKUP(A204,'TB BVS 31.03.26'!B:E,4,0)</f>
        <v>Security deposits</v>
      </c>
    </row>
    <row r="205" spans="1:3" x14ac:dyDescent="0.25">
      <c r="A205">
        <v>20100001</v>
      </c>
      <c r="B205" t="s">
        <v>4</v>
      </c>
      <c r="C205" t="str">
        <f>VLOOKUP(A205,'TB BVS 31.03.26'!B:E,4,0)</f>
        <v>Total outstanding dues of creditors other than micro enterprises and small enterprises</v>
      </c>
    </row>
    <row r="206" spans="1:3" x14ac:dyDescent="0.25">
      <c r="A206">
        <v>11100002</v>
      </c>
      <c r="B206" t="s">
        <v>169</v>
      </c>
      <c r="C206" t="str">
        <f>VLOOKUP(A206,'TB BVS 31.03.26'!B:E,4,0)</f>
        <v>Payable for capital goods (including retention amount)</v>
      </c>
    </row>
    <row r="207" spans="1:3" x14ac:dyDescent="0.25">
      <c r="A207">
        <v>40400009</v>
      </c>
      <c r="B207" t="s">
        <v>202</v>
      </c>
      <c r="C207" t="str">
        <f>VLOOKUP(A207,'TB BVS 31.03.26'!B:E,4,0)</f>
        <v>- From Bank (Secured Loan)</v>
      </c>
    </row>
    <row r="208" spans="1:3" x14ac:dyDescent="0.25">
      <c r="A208">
        <v>20000003</v>
      </c>
      <c r="B208" t="s">
        <v>6</v>
      </c>
      <c r="C208" t="str">
        <f>VLOOKUP(A208,'TB BVS 31.03.26'!B:E,4,0)</f>
        <v>Property, plant &amp; equipment</v>
      </c>
    </row>
    <row r="209" spans="1:3" x14ac:dyDescent="0.25">
      <c r="A209">
        <v>40300010</v>
      </c>
      <c r="B209" t="s">
        <v>198</v>
      </c>
      <c r="C209" t="str">
        <f>VLOOKUP(A209,'TB BVS 31.03.26'!B:E,4,0)</f>
        <v>Salary, Wages, Allowances and Bonus</v>
      </c>
    </row>
    <row r="210" spans="1:3" x14ac:dyDescent="0.25">
      <c r="A210">
        <v>10400001</v>
      </c>
      <c r="B210" t="s">
        <v>31</v>
      </c>
      <c r="C210" t="str">
        <f>VLOOKUP(A210,'TB BVS 31.03.26'!B:E,4,0)</f>
        <v>Deferred Tax</v>
      </c>
    </row>
    <row r="211" spans="1:3" x14ac:dyDescent="0.25">
      <c r="A211">
        <v>20400001</v>
      </c>
      <c r="B211" t="s">
        <v>31</v>
      </c>
      <c r="C211" t="str">
        <f>VLOOKUP(A211,'TB BVS 31.03.26'!B:E,4,0)</f>
        <v>Deferred Tax Liabilities (Net)</v>
      </c>
    </row>
    <row r="212" spans="1:3" x14ac:dyDescent="0.25">
      <c r="A212">
        <v>40700040</v>
      </c>
      <c r="B212" t="s">
        <v>194</v>
      </c>
      <c r="C212" t="str">
        <f>VLOOKUP(A212,'TB BVS 31.03.26'!B:E,4,0)</f>
        <v>(b) Deferred Tax</v>
      </c>
    </row>
    <row r="213" spans="1:3" x14ac:dyDescent="0.25">
      <c r="A213">
        <v>10600014</v>
      </c>
      <c r="B213" t="s">
        <v>83</v>
      </c>
      <c r="C213" t="str">
        <f>VLOOKUP(A213,'TB BVS 31.03.26'!B:E,4,0)</f>
        <v>Working Capital Loans from Bank</v>
      </c>
    </row>
    <row r="214" spans="1:3" x14ac:dyDescent="0.25">
      <c r="A214">
        <v>10900012</v>
      </c>
      <c r="B214" t="s">
        <v>224</v>
      </c>
      <c r="C214" t="str">
        <f>VLOOKUP(A214,'TB BVS 31.03.26'!B:E,4,0)</f>
        <v>Total outstanding dues of creditors other than micro enterprises and small enterprises</v>
      </c>
    </row>
    <row r="215" spans="1:3" x14ac:dyDescent="0.25">
      <c r="A215">
        <v>11000009</v>
      </c>
      <c r="B215" t="s">
        <v>36</v>
      </c>
      <c r="C215" t="str">
        <f>VLOOKUP(A215,'TB BVS 31.03.26'!B:E,4,0)</f>
        <v xml:space="preserve">Statutory liabilities </v>
      </c>
    </row>
    <row r="216" spans="1:3" x14ac:dyDescent="0.25">
      <c r="A216">
        <v>20500004</v>
      </c>
      <c r="B216" t="s">
        <v>159</v>
      </c>
      <c r="C216" t="str">
        <f>VLOOKUP(A216,'TB BVS 31.03.26'!B:E,4,0)</f>
        <v>Finished goods*</v>
      </c>
    </row>
    <row r="217" spans="1:3" x14ac:dyDescent="0.25">
      <c r="A217">
        <v>20600000</v>
      </c>
      <c r="B217" t="s">
        <v>737</v>
      </c>
      <c r="C217" t="str">
        <f>VLOOKUP(A217,'TB BVS 31.03.26'!B:E,4,0)</f>
        <v>Considered good - unsecured</v>
      </c>
    </row>
    <row r="218" spans="1:3" x14ac:dyDescent="0.25">
      <c r="A218">
        <v>20600002</v>
      </c>
      <c r="B218" t="s">
        <v>737</v>
      </c>
      <c r="C218" t="str">
        <f>VLOOKUP(A218,'TB BVS 31.03.26'!B:E,4,0)</f>
        <v>Considered good - unsecured</v>
      </c>
    </row>
    <row r="219" spans="1:3" x14ac:dyDescent="0.25">
      <c r="A219">
        <v>20600007</v>
      </c>
      <c r="B219" t="s">
        <v>737</v>
      </c>
      <c r="C219" t="str">
        <f>VLOOKUP(A219,'TB BVS 31.03.26'!B:E,4,0)</f>
        <v>Considered good - unsecured</v>
      </c>
    </row>
    <row r="220" spans="1:3" x14ac:dyDescent="0.25">
      <c r="A220">
        <v>20800152</v>
      </c>
      <c r="B220" t="s">
        <v>83</v>
      </c>
      <c r="C220" t="str">
        <f>VLOOKUP(A220,'TB BVS 31.03.26'!B:E,4,0)</f>
        <v>Working Capital Loans from Bank</v>
      </c>
    </row>
    <row r="221" spans="1:3" x14ac:dyDescent="0.25">
      <c r="A221">
        <v>21000007</v>
      </c>
      <c r="B221" t="s">
        <v>17</v>
      </c>
      <c r="C221" t="str">
        <f>VLOOKUP(A221,'TB BVS 31.03.26'!B:E,4,0)</f>
        <v>Balances with Government Authorities</v>
      </c>
    </row>
    <row r="222" spans="1:3" x14ac:dyDescent="0.25">
      <c r="A222">
        <v>40100006</v>
      </c>
      <c r="B222" t="s">
        <v>160</v>
      </c>
      <c r="C222" t="str">
        <f>VLOOKUP(A222,'TB BVS 31.03.26'!B:E,4,0)</f>
        <v>Add : Purchases -PM</v>
      </c>
    </row>
    <row r="223" spans="1:3" x14ac:dyDescent="0.25">
      <c r="A223">
        <v>40200010</v>
      </c>
      <c r="B223" t="s">
        <v>161</v>
      </c>
      <c r="C223" t="str">
        <f>VLOOKUP(A223,'TB BVS 31.03.26'!B:E,4,0)</f>
        <v>Changes in inventories of finished goods and work in progress</v>
      </c>
    </row>
    <row r="224" spans="1:3" x14ac:dyDescent="0.25">
      <c r="A224">
        <v>40300001</v>
      </c>
      <c r="B224" t="s">
        <v>198</v>
      </c>
      <c r="C224" t="str">
        <f>VLOOKUP(A224,'TB BVS 31.03.26'!B:E,4,0)</f>
        <v>Staff welfare expenses</v>
      </c>
    </row>
    <row r="225" spans="1:3" x14ac:dyDescent="0.25">
      <c r="A225">
        <v>40300013</v>
      </c>
      <c r="B225" t="s">
        <v>198</v>
      </c>
      <c r="C225" t="str">
        <f>VLOOKUP(A225,'TB BVS 31.03.26'!B:E,4,0)</f>
        <v>Staff welfare expenses</v>
      </c>
    </row>
    <row r="226" spans="1:3" x14ac:dyDescent="0.25">
      <c r="A226">
        <v>40300017</v>
      </c>
      <c r="B226" t="s">
        <v>198</v>
      </c>
      <c r="C226" t="str">
        <f>VLOOKUP(A226,'TB BVS 31.03.26'!B:E,4,0)</f>
        <v>Salary, Wages, Allowances and Bonus</v>
      </c>
    </row>
    <row r="227" spans="1:3" x14ac:dyDescent="0.25">
      <c r="A227">
        <v>40300018</v>
      </c>
      <c r="B227" t="s">
        <v>198</v>
      </c>
      <c r="C227" t="str">
        <f>VLOOKUP(A227,'TB BVS 31.03.26'!B:E,4,0)</f>
        <v>Salary, Wages, Allowances and Bonus</v>
      </c>
    </row>
    <row r="228" spans="1:3" x14ac:dyDescent="0.25">
      <c r="A228">
        <v>40300020</v>
      </c>
      <c r="B228" t="s">
        <v>198</v>
      </c>
      <c r="C228" t="str">
        <f>VLOOKUP(A228,'TB BVS 31.03.26'!B:E,4,0)</f>
        <v>Salary, Wages, Allowances and Bonus</v>
      </c>
    </row>
    <row r="229" spans="1:3" x14ac:dyDescent="0.25">
      <c r="A229">
        <v>40400005</v>
      </c>
      <c r="B229" t="s">
        <v>194</v>
      </c>
      <c r="C229" t="str">
        <f>VLOOKUP(A229,'TB BVS 31.03.26'!B:E,4,0)</f>
        <v>Bank Charges</v>
      </c>
    </row>
    <row r="230" spans="1:3" x14ac:dyDescent="0.25">
      <c r="A230">
        <v>40400024</v>
      </c>
      <c r="B230" t="s">
        <v>202</v>
      </c>
      <c r="C230" t="str">
        <f>VLOOKUP(A230,'TB BVS 31.03.26'!B:E,4,0)</f>
        <v>- From Bank (Secured Loan)</v>
      </c>
    </row>
    <row r="231" spans="1:3" x14ac:dyDescent="0.25">
      <c r="A231">
        <v>40600006</v>
      </c>
      <c r="B231" t="s">
        <v>194</v>
      </c>
      <c r="C231" t="str">
        <f>VLOOKUP(A231,'TB BVS 31.03.26'!B:E,4,0)</f>
        <v>Job work and labour charges</v>
      </c>
    </row>
    <row r="232" spans="1:3" x14ac:dyDescent="0.25">
      <c r="A232">
        <v>40700016</v>
      </c>
      <c r="B232" t="s">
        <v>194</v>
      </c>
      <c r="C232" t="str">
        <f>VLOOKUP(A232,'TB BVS 31.03.26'!B:E,4,0)</f>
        <v>Other Interest Expenses</v>
      </c>
    </row>
    <row r="233" spans="1:3" x14ac:dyDescent="0.25">
      <c r="A233">
        <v>40700036</v>
      </c>
      <c r="B233" t="s">
        <v>160</v>
      </c>
      <c r="C233" t="str">
        <f>VLOOKUP(A233,'TB BVS 31.03.26'!B:E,4,0)</f>
        <v>Add : Purchases -RM</v>
      </c>
    </row>
    <row r="234" spans="1:3" x14ac:dyDescent="0.25">
      <c r="A234">
        <v>80000001</v>
      </c>
      <c r="B234" t="s">
        <v>224</v>
      </c>
      <c r="C234" t="str">
        <f>VLOOKUP(A234,'TB BVS 31.03.26'!B:E,4,0)</f>
        <v>Total outstanding dues of creditors other than micro enterprises and small enterprises</v>
      </c>
    </row>
    <row r="235" spans="1:3" x14ac:dyDescent="0.25">
      <c r="A235">
        <v>80000006</v>
      </c>
      <c r="B235" t="s">
        <v>224</v>
      </c>
      <c r="C235" t="e">
        <f>VLOOKUP(A235,'TB BVS 31.03.26'!B:E,4,0)</f>
        <v>#N/A</v>
      </c>
    </row>
    <row r="236" spans="1:3" x14ac:dyDescent="0.25">
      <c r="A236">
        <v>80000009</v>
      </c>
      <c r="B236" t="s">
        <v>224</v>
      </c>
      <c r="C236" t="e">
        <f>VLOOKUP(A236,'TB BVS 31.03.26'!B:E,4,0)</f>
        <v>#N/A</v>
      </c>
    </row>
    <row r="237" spans="1:3" x14ac:dyDescent="0.25">
      <c r="A237">
        <v>10000001</v>
      </c>
      <c r="B237" t="s">
        <v>163</v>
      </c>
      <c r="C237" t="e">
        <f>VLOOKUP(A237,'TB BVS 31.03.26'!B:E,4,0)</f>
        <v>#N/A</v>
      </c>
    </row>
  </sheetData>
  <autoFilter ref="A1:C237" xr:uid="{C6297524-E216-4B4A-AE9C-D49771BF278B}"/>
  <pageMargins left="0.7" right="0.7" top="0.75" bottom="0.75" header="0.3" footer="0.3"/>
  <headerFooter>
    <oddHeader>&amp;C&amp;G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714A-4CA2-48F5-9039-1CF3230F9CA6}">
  <sheetPr codeName="Sheet15"/>
  <dimension ref="A1:XFC232"/>
  <sheetViews>
    <sheetView showGridLines="0" topLeftCell="A209" zoomScale="90" zoomScaleNormal="90" workbookViewId="0">
      <selection activeCell="B221" sqref="B221"/>
    </sheetView>
  </sheetViews>
  <sheetFormatPr defaultColWidth="8.85546875" defaultRowHeight="12" x14ac:dyDescent="0.25"/>
  <cols>
    <col min="1" max="1" width="9.140625" style="539" customWidth="1"/>
    <col min="2" max="2" width="18.28515625" style="544" bestFit="1" customWidth="1"/>
    <col min="3" max="3" width="4.5703125" style="539" customWidth="1"/>
    <col min="4" max="4" width="21.140625" style="539" customWidth="1"/>
    <col min="5" max="5" width="28.28515625" style="539" customWidth="1"/>
    <col min="6" max="6" width="23.42578125" style="539" customWidth="1"/>
    <col min="7" max="7" width="12.140625" style="539" bestFit="1" customWidth="1"/>
    <col min="8" max="8" width="12.5703125" style="539" bestFit="1" customWidth="1"/>
    <col min="9" max="10" width="11.85546875" style="539" bestFit="1" customWidth="1"/>
    <col min="11" max="11" width="14" style="539" bestFit="1" customWidth="1"/>
    <col min="12" max="12" width="11.140625" style="539" bestFit="1" customWidth="1"/>
    <col min="13" max="13" width="10.42578125" style="539" bestFit="1" customWidth="1"/>
    <col min="14" max="14" width="10.85546875" style="543" bestFit="1" customWidth="1"/>
    <col min="15" max="15" width="13.140625" style="544" customWidth="1"/>
    <col min="16" max="16" width="8.85546875" style="539" customWidth="1"/>
    <col min="17" max="17" width="10.5703125" style="539" bestFit="1" customWidth="1"/>
    <col min="18" max="18" width="10" style="539" bestFit="1" customWidth="1"/>
    <col min="19" max="19" width="14.85546875" style="539" bestFit="1" customWidth="1"/>
    <col min="20" max="20" width="18.42578125" style="539" bestFit="1" customWidth="1"/>
    <col min="21" max="21" width="17.5703125" style="539" bestFit="1" customWidth="1"/>
    <col min="22" max="22" width="8.85546875" style="539"/>
    <col min="23" max="23" width="10.5703125" style="539" bestFit="1" customWidth="1"/>
    <col min="24" max="16384" width="8.85546875" style="539"/>
  </cols>
  <sheetData>
    <row r="1" spans="1:23" x14ac:dyDescent="0.25">
      <c r="G1" s="1064" t="s">
        <v>696</v>
      </c>
      <c r="H1" s="1065" t="s">
        <v>919</v>
      </c>
    </row>
    <row r="2" spans="1:23" ht="12.75" thickBot="1" x14ac:dyDescent="0.3">
      <c r="G2" s="1066">
        <f>BS!G61</f>
        <v>0.54886832323973067</v>
      </c>
      <c r="H2" s="1067" t="e">
        <f>#REF!</f>
        <v>#REF!</v>
      </c>
    </row>
    <row r="3" spans="1:23" x14ac:dyDescent="0.25">
      <c r="A3" s="537" t="str">
        <f>Input!B1</f>
        <v>BVC Specialities Private Limited</v>
      </c>
      <c r="B3" s="538"/>
      <c r="F3" s="540"/>
      <c r="G3" s="539">
        <v>0</v>
      </c>
      <c r="I3" s="541"/>
      <c r="J3" s="542"/>
      <c r="K3" s="542"/>
      <c r="L3" s="540"/>
    </row>
    <row r="4" spans="1:23" x14ac:dyDescent="0.25">
      <c r="A4" s="537" t="s">
        <v>1185</v>
      </c>
      <c r="B4" s="538"/>
      <c r="F4" s="540"/>
      <c r="G4" s="545">
        <f>SUBTOTAL(9,G7:G1096)</f>
        <v>15739687831.559975</v>
      </c>
      <c r="H4" s="545">
        <f>SUBTOTAL(9,H7:H1096)</f>
        <v>-15739687831.559978</v>
      </c>
      <c r="I4" s="545">
        <f>SUBTOTAL(9,I7:I1096)</f>
        <v>2.1457672119140625E-6</v>
      </c>
      <c r="J4" s="545">
        <f>SUBTOTAL(9,J7:J1096)</f>
        <v>-100945298.40374854</v>
      </c>
      <c r="K4" s="545">
        <f>SUBTOTAL(9,K7:K1096)</f>
        <v>-95868897.406248689</v>
      </c>
      <c r="L4" s="545">
        <f>SUBTOTAL(9,L7:L115)</f>
        <v>0</v>
      </c>
    </row>
    <row r="5" spans="1:23" x14ac:dyDescent="0.25">
      <c r="A5" s="1016"/>
      <c r="B5" s="1016"/>
      <c r="C5" s="1019" t="s">
        <v>79</v>
      </c>
      <c r="D5" s="1019"/>
      <c r="E5" s="1019"/>
      <c r="F5" s="1017"/>
      <c r="G5" s="1794"/>
      <c r="H5" s="1794"/>
      <c r="I5" s="1794"/>
      <c r="J5" s="1794"/>
      <c r="K5" s="1794"/>
      <c r="L5" s="1019"/>
    </row>
    <row r="6" spans="1:23" x14ac:dyDescent="0.25">
      <c r="A6" s="1016" t="s">
        <v>93</v>
      </c>
      <c r="B6" s="1016" t="s">
        <v>162</v>
      </c>
      <c r="C6" s="1016" t="s">
        <v>40</v>
      </c>
      <c r="D6" s="1016" t="s">
        <v>95</v>
      </c>
      <c r="E6" s="1016" t="s">
        <v>96</v>
      </c>
      <c r="F6" s="1017" t="s">
        <v>0</v>
      </c>
      <c r="G6" s="1018" t="s">
        <v>73</v>
      </c>
      <c r="H6" s="1018" t="s">
        <v>74</v>
      </c>
      <c r="I6" s="1018" t="s">
        <v>67</v>
      </c>
      <c r="J6" s="1020" t="s">
        <v>69</v>
      </c>
      <c r="K6" s="1016" t="s">
        <v>84</v>
      </c>
      <c r="L6" s="1016" t="s">
        <v>92</v>
      </c>
      <c r="M6" s="546"/>
      <c r="N6" s="547"/>
      <c r="O6" s="548"/>
      <c r="S6" s="549"/>
      <c r="T6" s="549"/>
      <c r="U6" s="549"/>
    </row>
    <row r="7" spans="1:23" s="1385" customFormat="1" x14ac:dyDescent="0.25">
      <c r="A7" s="1375" t="s">
        <v>21</v>
      </c>
      <c r="B7" s="1375">
        <v>10000000</v>
      </c>
      <c r="C7" s="1375">
        <v>13</v>
      </c>
      <c r="D7" s="1375" t="s">
        <v>163</v>
      </c>
      <c r="E7" s="1375" t="s">
        <v>718</v>
      </c>
      <c r="F7" s="1376" t="s">
        <v>143</v>
      </c>
      <c r="G7" s="1377">
        <v>0</v>
      </c>
      <c r="H7" s="1377">
        <v>-1365970</v>
      </c>
      <c r="I7" s="1378">
        <f t="shared" ref="I7:I70" si="0">G7+H7</f>
        <v>-1365970</v>
      </c>
      <c r="J7" s="1377">
        <v>0</v>
      </c>
      <c r="K7" s="1377">
        <f>I7-J7</f>
        <v>-1365970</v>
      </c>
      <c r="L7" s="1377">
        <f t="shared" ref="L7:L52" si="1">I7-J7-K7</f>
        <v>0</v>
      </c>
      <c r="N7" s="1377"/>
      <c r="O7" s="1383"/>
      <c r="P7" s="1384"/>
      <c r="S7" s="1384"/>
      <c r="U7" s="1386"/>
      <c r="V7" s="1384"/>
      <c r="W7" s="1384"/>
    </row>
    <row r="8" spans="1:23" s="1385" customFormat="1" x14ac:dyDescent="0.25">
      <c r="A8" s="1375" t="s">
        <v>21</v>
      </c>
      <c r="B8" s="1375">
        <v>10000004</v>
      </c>
      <c r="C8" s="1375">
        <v>13</v>
      </c>
      <c r="D8" s="1375" t="s">
        <v>163</v>
      </c>
      <c r="E8" s="1376" t="s">
        <v>851</v>
      </c>
      <c r="F8" s="1376" t="s">
        <v>1209</v>
      </c>
      <c r="G8" s="1377">
        <v>0</v>
      </c>
      <c r="H8" s="1377">
        <v>-868680</v>
      </c>
      <c r="I8" s="1378">
        <f t="shared" si="0"/>
        <v>-868680</v>
      </c>
      <c r="J8" s="1387">
        <v>0</v>
      </c>
      <c r="K8" s="1377">
        <f t="shared" ref="K8:K82" si="2">I8-J8</f>
        <v>-868680</v>
      </c>
      <c r="L8" s="1377">
        <f t="shared" si="1"/>
        <v>0</v>
      </c>
      <c r="N8" s="1377"/>
      <c r="O8" s="1383"/>
      <c r="U8" s="1386"/>
      <c r="V8" s="1384"/>
      <c r="W8" s="1384"/>
    </row>
    <row r="9" spans="1:23" s="1385" customFormat="1" x14ac:dyDescent="0.25">
      <c r="A9" s="1375" t="s">
        <v>21</v>
      </c>
      <c r="B9" s="1375">
        <v>10100000</v>
      </c>
      <c r="C9" s="1375">
        <v>14</v>
      </c>
      <c r="D9" s="1375" t="s">
        <v>164</v>
      </c>
      <c r="E9" s="1375" t="s">
        <v>719</v>
      </c>
      <c r="F9" s="1376" t="s">
        <v>1236</v>
      </c>
      <c r="G9" s="1377">
        <v>0</v>
      </c>
      <c r="H9" s="1377">
        <v>-2888560445.96</v>
      </c>
      <c r="I9" s="1378">
        <f t="shared" si="0"/>
        <v>-2888560445.96</v>
      </c>
      <c r="J9" s="1387">
        <v>0</v>
      </c>
      <c r="K9" s="1377">
        <f t="shared" si="2"/>
        <v>-2888560445.96</v>
      </c>
      <c r="L9" s="1377">
        <f t="shared" si="1"/>
        <v>0</v>
      </c>
      <c r="N9" s="1377"/>
      <c r="O9" s="1383"/>
      <c r="P9" s="1384" t="s">
        <v>1033</v>
      </c>
      <c r="Q9" s="1385" t="s">
        <v>1034</v>
      </c>
      <c r="R9" s="1385" t="s">
        <v>1035</v>
      </c>
      <c r="U9" s="1386"/>
      <c r="V9" s="1384"/>
      <c r="W9" s="1384"/>
    </row>
    <row r="10" spans="1:23" s="1385" customFormat="1" ht="15" x14ac:dyDescent="0.25">
      <c r="A10" s="1375" t="s">
        <v>21</v>
      </c>
      <c r="B10" s="1375">
        <v>10100001</v>
      </c>
      <c r="C10" s="1375">
        <v>14</v>
      </c>
      <c r="D10" s="1375" t="s">
        <v>164</v>
      </c>
      <c r="E10" s="1375" t="s">
        <v>125</v>
      </c>
      <c r="F10" s="1376" t="s">
        <v>116</v>
      </c>
      <c r="G10" s="1377">
        <v>2371971.39</v>
      </c>
      <c r="H10" s="1377">
        <v>0</v>
      </c>
      <c r="I10" s="1378">
        <f t="shared" si="0"/>
        <v>2371971.39</v>
      </c>
      <c r="J10" s="1387">
        <v>0</v>
      </c>
      <c r="K10" s="1377">
        <f t="shared" si="2"/>
        <v>2371971.39</v>
      </c>
      <c r="L10" s="1377">
        <f t="shared" si="1"/>
        <v>0</v>
      </c>
      <c r="N10" s="1377"/>
      <c r="O10" s="1383"/>
      <c r="P10" s="1384">
        <f>-'BS  Notes  3-18'!H243*1000</f>
        <v>2029035.1560580817</v>
      </c>
      <c r="Q10" s="1384">
        <v>386615.03</v>
      </c>
      <c r="R10" s="1400">
        <f>SUBTOTAL(9,P10:Q10)</f>
        <v>2415650.1860580817</v>
      </c>
      <c r="U10" s="1386"/>
      <c r="V10" s="1384"/>
      <c r="W10" s="1384"/>
    </row>
    <row r="11" spans="1:23" s="1385" customFormat="1" ht="15" x14ac:dyDescent="0.25">
      <c r="A11" s="1375" t="s">
        <v>21</v>
      </c>
      <c r="B11" s="1375">
        <v>10100002</v>
      </c>
      <c r="C11" s="1375">
        <v>14</v>
      </c>
      <c r="D11" s="1375" t="s">
        <v>164</v>
      </c>
      <c r="E11" s="1375" t="s">
        <v>125</v>
      </c>
      <c r="F11" s="1376" t="s">
        <v>1237</v>
      </c>
      <c r="G11" s="1377">
        <v>7941080.54</v>
      </c>
      <c r="H11" s="1377">
        <v>0</v>
      </c>
      <c r="I11" s="1378">
        <f t="shared" si="0"/>
        <v>7941080.54</v>
      </c>
      <c r="J11" s="1387">
        <v>0</v>
      </c>
      <c r="K11" s="1377">
        <f t="shared" si="2"/>
        <v>7941080.54</v>
      </c>
      <c r="L11" s="1377">
        <f t="shared" si="1"/>
        <v>0</v>
      </c>
      <c r="N11" s="1377"/>
      <c r="O11" s="1383"/>
      <c r="P11" s="1384">
        <f>I11</f>
        <v>7941080.54</v>
      </c>
      <c r="R11" s="1400">
        <f>SUBTOTAL(9,P11:Q11)</f>
        <v>7941080.54</v>
      </c>
      <c r="U11" s="1386"/>
      <c r="V11" s="1384"/>
      <c r="W11" s="1384"/>
    </row>
    <row r="12" spans="1:23" s="1385" customFormat="1" x14ac:dyDescent="0.25">
      <c r="A12" s="1375" t="s">
        <v>21</v>
      </c>
      <c r="B12" s="1375">
        <v>10100009</v>
      </c>
      <c r="C12" s="1375">
        <v>14</v>
      </c>
      <c r="D12" s="1375" t="s">
        <v>164</v>
      </c>
      <c r="E12" s="1375" t="s">
        <v>125</v>
      </c>
      <c r="F12" s="1376" t="s">
        <v>1238</v>
      </c>
      <c r="G12" s="1377">
        <v>0</v>
      </c>
      <c r="H12" s="1377">
        <v>-38668.9</v>
      </c>
      <c r="I12" s="1378">
        <f t="shared" si="0"/>
        <v>-38668.9</v>
      </c>
      <c r="J12" s="1387">
        <v>0</v>
      </c>
      <c r="K12" s="1377">
        <f t="shared" si="2"/>
        <v>-38668.9</v>
      </c>
      <c r="L12" s="1377">
        <f t="shared" si="1"/>
        <v>0</v>
      </c>
      <c r="N12" s="1377"/>
      <c r="O12" s="1383"/>
      <c r="P12" s="1384"/>
      <c r="U12" s="1386"/>
      <c r="V12" s="1384"/>
      <c r="W12" s="1384"/>
    </row>
    <row r="13" spans="1:23" s="1011" customFormat="1" ht="15" x14ac:dyDescent="0.25">
      <c r="A13" s="1195" t="s">
        <v>26</v>
      </c>
      <c r="B13" s="1195">
        <v>10200015</v>
      </c>
      <c r="C13" s="1195">
        <v>15</v>
      </c>
      <c r="D13" s="1195" t="s">
        <v>83</v>
      </c>
      <c r="E13" s="1195" t="s">
        <v>720</v>
      </c>
      <c r="F13" s="1196" t="s">
        <v>1239</v>
      </c>
      <c r="G13" s="550">
        <v>1284522.4299999899</v>
      </c>
      <c r="H13" s="550">
        <v>0</v>
      </c>
      <c r="I13" s="1201">
        <f t="shared" si="0"/>
        <v>1284522.4299999899</v>
      </c>
      <c r="J13" s="1197">
        <v>0</v>
      </c>
      <c r="K13" s="550">
        <f t="shared" si="2"/>
        <v>1284522.4299999899</v>
      </c>
      <c r="L13" s="550">
        <f t="shared" si="1"/>
        <v>0</v>
      </c>
      <c r="N13" s="550"/>
      <c r="O13" s="1012"/>
      <c r="P13" s="1013">
        <f>I13</f>
        <v>1284522.4299999899</v>
      </c>
      <c r="Q13" s="1013"/>
      <c r="R13" s="1015">
        <f>SUBTOTAL(9,P13:Q13)</f>
        <v>1284522.4299999899</v>
      </c>
      <c r="U13" s="551"/>
      <c r="V13" s="1013"/>
      <c r="W13" s="1013"/>
    </row>
    <row r="14" spans="1:23" s="1011" customFormat="1" x14ac:dyDescent="0.25">
      <c r="A14" s="1195" t="s">
        <v>26</v>
      </c>
      <c r="B14" s="1195">
        <v>10200016</v>
      </c>
      <c r="C14" s="1195">
        <v>15</v>
      </c>
      <c r="D14" s="1195" t="s">
        <v>83</v>
      </c>
      <c r="E14" s="1195" t="s">
        <v>720</v>
      </c>
      <c r="F14" s="1196" t="s">
        <v>1240</v>
      </c>
      <c r="G14" s="550">
        <v>0</v>
      </c>
      <c r="H14" s="550">
        <v>-2000000000</v>
      </c>
      <c r="I14" s="1201">
        <f t="shared" si="0"/>
        <v>-2000000000</v>
      </c>
      <c r="J14" s="1197">
        <v>-233100000</v>
      </c>
      <c r="K14" s="550">
        <f t="shared" si="2"/>
        <v>-1766900000</v>
      </c>
      <c r="L14" s="550">
        <f t="shared" si="1"/>
        <v>0</v>
      </c>
      <c r="N14" s="550"/>
      <c r="O14" s="1012"/>
      <c r="P14" s="1013"/>
      <c r="U14" s="551"/>
      <c r="V14" s="1013"/>
      <c r="W14" s="1013"/>
    </row>
    <row r="15" spans="1:23" s="1011" customFormat="1" x14ac:dyDescent="0.25">
      <c r="A15" s="1195" t="s">
        <v>26</v>
      </c>
      <c r="B15" s="1195">
        <v>10200018</v>
      </c>
      <c r="C15" s="1195">
        <v>15</v>
      </c>
      <c r="D15" s="1195" t="s">
        <v>83</v>
      </c>
      <c r="E15" s="1195" t="s">
        <v>720</v>
      </c>
      <c r="F15" s="1196" t="s">
        <v>1241</v>
      </c>
      <c r="G15" s="550">
        <v>0</v>
      </c>
      <c r="H15" s="550">
        <v>-400000000</v>
      </c>
      <c r="I15" s="1201">
        <f t="shared" si="0"/>
        <v>-400000000</v>
      </c>
      <c r="J15" s="1197">
        <v>-46900000</v>
      </c>
      <c r="K15" s="550">
        <f t="shared" si="2"/>
        <v>-353100000</v>
      </c>
      <c r="L15" s="550">
        <f t="shared" si="1"/>
        <v>0</v>
      </c>
      <c r="N15" s="550"/>
      <c r="O15" s="1012"/>
      <c r="P15" s="1013"/>
      <c r="U15" s="551"/>
      <c r="V15" s="1013"/>
      <c r="W15" s="1013"/>
    </row>
    <row r="16" spans="1:23" s="1011" customFormat="1" x14ac:dyDescent="0.25">
      <c r="A16" s="1195" t="s">
        <v>26</v>
      </c>
      <c r="B16" s="1195">
        <v>10300002</v>
      </c>
      <c r="C16" s="1195">
        <v>15</v>
      </c>
      <c r="D16" s="1195" t="s">
        <v>83</v>
      </c>
      <c r="E16" s="1195" t="s">
        <v>720</v>
      </c>
      <c r="F16" s="1196" t="s">
        <v>1242</v>
      </c>
      <c r="G16" s="550">
        <v>0</v>
      </c>
      <c r="H16" s="550">
        <v>-247462601.78999901</v>
      </c>
      <c r="I16" s="1201">
        <f t="shared" si="0"/>
        <v>-247462601.78999901</v>
      </c>
      <c r="J16" s="1197">
        <v>-30932825.223749999</v>
      </c>
      <c r="K16" s="550">
        <f t="shared" si="2"/>
        <v>-216529776.56624901</v>
      </c>
      <c r="L16" s="550">
        <f t="shared" si="1"/>
        <v>0</v>
      </c>
      <c r="N16" s="550"/>
      <c r="O16" s="1012"/>
      <c r="P16" s="1013"/>
      <c r="U16" s="551"/>
      <c r="V16" s="1013"/>
      <c r="W16" s="1013"/>
    </row>
    <row r="17" spans="1:23" s="1385" customFormat="1" x14ac:dyDescent="0.25">
      <c r="A17" s="1375" t="s">
        <v>26</v>
      </c>
      <c r="B17" s="1375">
        <v>10400001</v>
      </c>
      <c r="C17" s="1375">
        <v>4</v>
      </c>
      <c r="D17" s="1375" t="s">
        <v>31</v>
      </c>
      <c r="E17" s="1375" t="s">
        <v>76</v>
      </c>
      <c r="F17" s="1376" t="s">
        <v>1138</v>
      </c>
      <c r="G17" s="1377">
        <v>0</v>
      </c>
      <c r="H17" s="1377">
        <v>-238523.489999999</v>
      </c>
      <c r="I17" s="1378">
        <f t="shared" si="0"/>
        <v>-238523.489999999</v>
      </c>
      <c r="J17" s="1379">
        <f>I17</f>
        <v>-238523.489999999</v>
      </c>
      <c r="K17" s="1377">
        <f t="shared" si="2"/>
        <v>0</v>
      </c>
      <c r="L17" s="1377">
        <f t="shared" si="1"/>
        <v>0</v>
      </c>
      <c r="N17" s="1377"/>
      <c r="O17" s="1383"/>
      <c r="P17" s="1384"/>
      <c r="U17" s="1386"/>
      <c r="V17" s="1384"/>
      <c r="W17" s="1384"/>
    </row>
    <row r="18" spans="1:23" s="1011" customFormat="1" x14ac:dyDescent="0.25">
      <c r="A18" s="1199" t="s">
        <v>26</v>
      </c>
      <c r="B18" s="1199">
        <v>10500000</v>
      </c>
      <c r="C18" s="1199">
        <v>16</v>
      </c>
      <c r="D18" s="1199" t="s">
        <v>30</v>
      </c>
      <c r="E18" s="1199" t="s">
        <v>1045</v>
      </c>
      <c r="F18" s="1196" t="s">
        <v>1243</v>
      </c>
      <c r="G18" s="550">
        <v>0</v>
      </c>
      <c r="H18" s="550">
        <v>-1940219</v>
      </c>
      <c r="I18" s="1201">
        <f t="shared" si="0"/>
        <v>-1940219</v>
      </c>
      <c r="J18" s="545">
        <v>-198583</v>
      </c>
      <c r="K18" s="550">
        <f t="shared" si="2"/>
        <v>-1741636</v>
      </c>
      <c r="L18" s="550">
        <f t="shared" si="1"/>
        <v>0</v>
      </c>
      <c r="N18" s="550"/>
      <c r="O18" s="1012"/>
      <c r="P18" s="1013"/>
      <c r="U18" s="551"/>
      <c r="V18" s="1013"/>
      <c r="W18" s="1013"/>
    </row>
    <row r="19" spans="1:23" s="1011" customFormat="1" x14ac:dyDescent="0.25">
      <c r="A19" s="1199" t="s">
        <v>26</v>
      </c>
      <c r="B19" s="1199">
        <v>10500001</v>
      </c>
      <c r="C19" s="1199">
        <v>16</v>
      </c>
      <c r="D19" s="1199" t="s">
        <v>30</v>
      </c>
      <c r="E19" s="1199" t="s">
        <v>1044</v>
      </c>
      <c r="F19" s="1196" t="s">
        <v>1244</v>
      </c>
      <c r="G19" s="550">
        <v>0</v>
      </c>
      <c r="H19" s="550">
        <v>-2662538</v>
      </c>
      <c r="I19" s="1201">
        <f t="shared" si="0"/>
        <v>-2662538</v>
      </c>
      <c r="J19" s="545">
        <v>-506035</v>
      </c>
      <c r="K19" s="550">
        <f t="shared" si="2"/>
        <v>-2156503</v>
      </c>
      <c r="L19" s="550">
        <f t="shared" si="1"/>
        <v>0</v>
      </c>
      <c r="N19" s="550"/>
      <c r="O19" s="1012"/>
      <c r="P19" s="1013"/>
      <c r="U19" s="551"/>
      <c r="V19" s="1013"/>
      <c r="W19" s="1013"/>
    </row>
    <row r="20" spans="1:23" s="1011" customFormat="1" x14ac:dyDescent="0.25">
      <c r="A20" s="1195" t="s">
        <v>26</v>
      </c>
      <c r="B20" s="1195">
        <v>10600010</v>
      </c>
      <c r="C20" s="1195">
        <v>15</v>
      </c>
      <c r="D20" s="1195" t="s">
        <v>83</v>
      </c>
      <c r="E20" s="1195" t="s">
        <v>445</v>
      </c>
      <c r="F20" s="1196" t="s">
        <v>450</v>
      </c>
      <c r="G20" s="550">
        <v>0</v>
      </c>
      <c r="H20" s="550">
        <v>-265968343.41</v>
      </c>
      <c r="I20" s="1201">
        <f t="shared" si="0"/>
        <v>-265968343.41</v>
      </c>
      <c r="J20" s="1197">
        <v>0</v>
      </c>
      <c r="K20" s="550">
        <f t="shared" si="2"/>
        <v>-265968343.41</v>
      </c>
      <c r="L20" s="550">
        <f t="shared" si="1"/>
        <v>0</v>
      </c>
      <c r="N20" s="550"/>
      <c r="O20" s="1012"/>
      <c r="P20" s="1013"/>
      <c r="U20" s="551"/>
      <c r="V20" s="1013"/>
      <c r="W20" s="1013"/>
    </row>
    <row r="21" spans="1:23" s="1011" customFormat="1" x14ac:dyDescent="0.25">
      <c r="A21" s="1195" t="s">
        <v>26</v>
      </c>
      <c r="B21" s="1195">
        <v>10800000</v>
      </c>
      <c r="C21" s="1195">
        <v>17</v>
      </c>
      <c r="D21" s="1195" t="s">
        <v>153</v>
      </c>
      <c r="E21" s="1195" t="s">
        <v>134</v>
      </c>
      <c r="F21" s="1196" t="s">
        <v>1245</v>
      </c>
      <c r="G21" s="550">
        <v>0</v>
      </c>
      <c r="H21" s="550">
        <v>-23799281.010000002</v>
      </c>
      <c r="I21" s="1201">
        <f t="shared" si="0"/>
        <v>-23799281.010000002</v>
      </c>
      <c r="J21" s="1197">
        <f t="shared" ref="J21:J51" si="3">I21</f>
        <v>-23799281.010000002</v>
      </c>
      <c r="K21" s="550">
        <f t="shared" si="2"/>
        <v>0</v>
      </c>
      <c r="L21" s="550">
        <f t="shared" si="1"/>
        <v>0</v>
      </c>
      <c r="N21" s="550"/>
      <c r="O21" s="1012"/>
      <c r="P21" s="1013"/>
      <c r="U21" s="551"/>
      <c r="V21" s="1013"/>
      <c r="W21" s="1013"/>
    </row>
    <row r="22" spans="1:23" s="1011" customFormat="1" x14ac:dyDescent="0.25">
      <c r="A22" s="1195" t="s">
        <v>26</v>
      </c>
      <c r="B22" s="1195">
        <v>10800001</v>
      </c>
      <c r="C22" s="1195">
        <v>17</v>
      </c>
      <c r="D22" s="1195" t="s">
        <v>153</v>
      </c>
      <c r="E22" s="1195" t="s">
        <v>134</v>
      </c>
      <c r="F22" s="1196" t="s">
        <v>1246</v>
      </c>
      <c r="G22" s="550">
        <v>0</v>
      </c>
      <c r="H22" s="550">
        <v>-53207755.670000002</v>
      </c>
      <c r="I22" s="1201">
        <f t="shared" si="0"/>
        <v>-53207755.670000002</v>
      </c>
      <c r="J22" s="1197">
        <f t="shared" si="3"/>
        <v>-53207755.670000002</v>
      </c>
      <c r="K22" s="550">
        <f t="shared" si="2"/>
        <v>0</v>
      </c>
      <c r="L22" s="550">
        <f t="shared" si="1"/>
        <v>0</v>
      </c>
      <c r="N22" s="550"/>
      <c r="O22" s="1012"/>
      <c r="P22" s="1013"/>
      <c r="U22" s="551"/>
      <c r="V22" s="1013"/>
      <c r="W22" s="1013"/>
    </row>
    <row r="23" spans="1:23" s="1011" customFormat="1" x14ac:dyDescent="0.25">
      <c r="A23" s="1195" t="s">
        <v>26</v>
      </c>
      <c r="B23" s="1195">
        <v>10800002</v>
      </c>
      <c r="C23" s="1195">
        <v>17</v>
      </c>
      <c r="D23" s="1195" t="s">
        <v>153</v>
      </c>
      <c r="E23" s="1195" t="s">
        <v>134</v>
      </c>
      <c r="F23" s="1196" t="s">
        <v>1247</v>
      </c>
      <c r="G23" s="550">
        <v>0</v>
      </c>
      <c r="H23" s="550">
        <v>-6382962</v>
      </c>
      <c r="I23" s="1201">
        <f t="shared" si="0"/>
        <v>-6382962</v>
      </c>
      <c r="J23" s="1197">
        <f t="shared" si="3"/>
        <v>-6382962</v>
      </c>
      <c r="K23" s="550">
        <f t="shared" si="2"/>
        <v>0</v>
      </c>
      <c r="L23" s="550">
        <f t="shared" si="1"/>
        <v>0</v>
      </c>
      <c r="N23" s="550"/>
      <c r="O23" s="1012"/>
      <c r="P23" s="1013"/>
      <c r="U23" s="551"/>
      <c r="V23" s="1013"/>
      <c r="W23" s="1013"/>
    </row>
    <row r="24" spans="1:23" s="1011" customFormat="1" x14ac:dyDescent="0.25">
      <c r="A24" s="1195" t="s">
        <v>26</v>
      </c>
      <c r="B24" s="1195">
        <v>10800003</v>
      </c>
      <c r="C24" s="1195">
        <v>17</v>
      </c>
      <c r="D24" s="1195" t="s">
        <v>153</v>
      </c>
      <c r="E24" s="1195" t="s">
        <v>134</v>
      </c>
      <c r="F24" s="1196" t="s">
        <v>1190</v>
      </c>
      <c r="G24" s="550">
        <v>0</v>
      </c>
      <c r="H24" s="550">
        <v>-7927826.0199999902</v>
      </c>
      <c r="I24" s="1201">
        <f t="shared" si="0"/>
        <v>-7927826.0199999902</v>
      </c>
      <c r="J24" s="1197">
        <f t="shared" si="3"/>
        <v>-7927826.0199999902</v>
      </c>
      <c r="K24" s="550">
        <f t="shared" si="2"/>
        <v>0</v>
      </c>
      <c r="L24" s="550">
        <f t="shared" si="1"/>
        <v>0</v>
      </c>
      <c r="N24" s="550"/>
      <c r="O24" s="1012"/>
      <c r="P24" s="1013"/>
      <c r="U24" s="551"/>
      <c r="V24" s="1013"/>
      <c r="W24" s="1013"/>
    </row>
    <row r="25" spans="1:23" s="1011" customFormat="1" x14ac:dyDescent="0.25">
      <c r="A25" s="1195" t="s">
        <v>26</v>
      </c>
      <c r="B25" s="1195">
        <v>10800004</v>
      </c>
      <c r="C25" s="1195">
        <v>17</v>
      </c>
      <c r="D25" s="1195" t="s">
        <v>153</v>
      </c>
      <c r="E25" s="1195" t="s">
        <v>134</v>
      </c>
      <c r="F25" s="1196" t="s">
        <v>227</v>
      </c>
      <c r="G25" s="550">
        <v>0</v>
      </c>
      <c r="H25" s="550">
        <v>-167825540.699999</v>
      </c>
      <c r="I25" s="1201">
        <f t="shared" si="0"/>
        <v>-167825540.699999</v>
      </c>
      <c r="J25" s="1197">
        <f t="shared" si="3"/>
        <v>-167825540.699999</v>
      </c>
      <c r="K25" s="550">
        <f t="shared" si="2"/>
        <v>0</v>
      </c>
      <c r="L25" s="550">
        <f t="shared" si="1"/>
        <v>0</v>
      </c>
      <c r="N25" s="550"/>
      <c r="O25" s="1012"/>
      <c r="P25" s="1013"/>
      <c r="U25" s="551"/>
      <c r="V25" s="1013"/>
      <c r="W25" s="1013"/>
    </row>
    <row r="26" spans="1:23" s="1011" customFormat="1" x14ac:dyDescent="0.25">
      <c r="A26" s="1195" t="s">
        <v>26</v>
      </c>
      <c r="B26" s="1195">
        <v>10800005</v>
      </c>
      <c r="C26" s="1195">
        <v>18</v>
      </c>
      <c r="D26" s="1195" t="s">
        <v>169</v>
      </c>
      <c r="E26" s="1195" t="s">
        <v>168</v>
      </c>
      <c r="F26" s="1196" t="s">
        <v>1191</v>
      </c>
      <c r="G26" s="550">
        <v>0</v>
      </c>
      <c r="H26" s="550">
        <v>-78704.779999999897</v>
      </c>
      <c r="I26" s="1201">
        <f t="shared" si="0"/>
        <v>-78704.779999999897</v>
      </c>
      <c r="J26" s="1197">
        <f t="shared" si="3"/>
        <v>-78704.779999999897</v>
      </c>
      <c r="K26" s="550">
        <f t="shared" si="2"/>
        <v>0</v>
      </c>
      <c r="L26" s="550">
        <f t="shared" si="1"/>
        <v>0</v>
      </c>
      <c r="N26" s="550"/>
      <c r="O26" s="1012"/>
      <c r="P26" s="1013"/>
      <c r="U26" s="551"/>
      <c r="V26" s="1013"/>
      <c r="W26" s="1013"/>
    </row>
    <row r="27" spans="1:23" s="1011" customFormat="1" x14ac:dyDescent="0.25">
      <c r="A27" s="1195" t="s">
        <v>26</v>
      </c>
      <c r="B27" s="1195">
        <v>10900000</v>
      </c>
      <c r="C27" s="1195">
        <v>17</v>
      </c>
      <c r="D27" s="1195" t="s">
        <v>153</v>
      </c>
      <c r="E27" s="1195" t="s">
        <v>134</v>
      </c>
      <c r="F27" s="1196" t="s">
        <v>1124</v>
      </c>
      <c r="G27" s="550">
        <v>0</v>
      </c>
      <c r="H27" s="550">
        <v>-48270629.700000003</v>
      </c>
      <c r="I27" s="1201">
        <f t="shared" si="0"/>
        <v>-48270629.700000003</v>
      </c>
      <c r="J27" s="1197">
        <f t="shared" si="3"/>
        <v>-48270629.700000003</v>
      </c>
      <c r="K27" s="550">
        <f t="shared" si="2"/>
        <v>0</v>
      </c>
      <c r="L27" s="550">
        <f t="shared" si="1"/>
        <v>0</v>
      </c>
      <c r="N27" s="550"/>
      <c r="O27" s="1012"/>
      <c r="P27" s="1013"/>
      <c r="U27" s="551"/>
      <c r="V27" s="1013"/>
      <c r="W27" s="1013"/>
    </row>
    <row r="28" spans="1:23" s="1011" customFormat="1" x14ac:dyDescent="0.25">
      <c r="A28" s="1195" t="s">
        <v>26</v>
      </c>
      <c r="B28" s="1195">
        <v>20100001</v>
      </c>
      <c r="C28" s="1195">
        <v>17</v>
      </c>
      <c r="D28" s="1195" t="s">
        <v>153</v>
      </c>
      <c r="E28" s="1195" t="s">
        <v>134</v>
      </c>
      <c r="F28" s="1196" t="s">
        <v>730</v>
      </c>
      <c r="G28" s="550">
        <v>11010528.060000001</v>
      </c>
      <c r="H28" s="550">
        <v>0</v>
      </c>
      <c r="I28" s="1201">
        <f>G28+H28</f>
        <v>11010528.060000001</v>
      </c>
      <c r="J28" s="550">
        <f>I28</f>
        <v>11010528.060000001</v>
      </c>
      <c r="K28" s="550">
        <f>I28-J28</f>
        <v>0</v>
      </c>
      <c r="L28" s="550">
        <f>I28-J28-K28</f>
        <v>0</v>
      </c>
      <c r="N28" s="550"/>
      <c r="O28" s="1012"/>
      <c r="P28" s="1013"/>
      <c r="U28" s="551"/>
      <c r="V28" s="1013"/>
      <c r="W28" s="1013"/>
    </row>
    <row r="29" spans="1:23" s="1011" customFormat="1" x14ac:dyDescent="0.25">
      <c r="A29" s="1195" t="s">
        <v>26</v>
      </c>
      <c r="B29" s="1195">
        <v>10900003</v>
      </c>
      <c r="C29" s="1195">
        <v>18</v>
      </c>
      <c r="D29" s="1195" t="s">
        <v>169</v>
      </c>
      <c r="E29" s="1195" t="s">
        <v>168</v>
      </c>
      <c r="F29" s="1196" t="s">
        <v>1333</v>
      </c>
      <c r="G29" s="550">
        <v>0</v>
      </c>
      <c r="H29" s="550">
        <v>-311807</v>
      </c>
      <c r="I29" s="1201">
        <f>G29+H29</f>
        <v>-311807</v>
      </c>
      <c r="J29" s="550">
        <f>I29</f>
        <v>-311807</v>
      </c>
      <c r="K29" s="550"/>
      <c r="L29" s="550"/>
      <c r="N29" s="550"/>
      <c r="O29" s="1012"/>
      <c r="P29" s="1013"/>
      <c r="U29" s="551"/>
      <c r="V29" s="1013"/>
      <c r="W29" s="1013"/>
    </row>
    <row r="30" spans="1:23" s="1011" customFormat="1" x14ac:dyDescent="0.25">
      <c r="A30" s="1195" t="s">
        <v>26</v>
      </c>
      <c r="B30" s="1195">
        <v>10900018</v>
      </c>
      <c r="C30" s="1195">
        <v>18</v>
      </c>
      <c r="D30" s="1195" t="s">
        <v>169</v>
      </c>
      <c r="E30" s="1195" t="s">
        <v>168</v>
      </c>
      <c r="F30" s="1196" t="s">
        <v>721</v>
      </c>
      <c r="G30" s="550">
        <v>0</v>
      </c>
      <c r="H30" s="550">
        <v>-6010925.9900000002</v>
      </c>
      <c r="I30" s="1201">
        <f t="shared" si="0"/>
        <v>-6010925.9900000002</v>
      </c>
      <c r="J30" s="1197">
        <f t="shared" si="3"/>
        <v>-6010925.9900000002</v>
      </c>
      <c r="K30" s="550">
        <f t="shared" si="2"/>
        <v>0</v>
      </c>
      <c r="L30" s="550">
        <f t="shared" si="1"/>
        <v>0</v>
      </c>
      <c r="N30" s="550"/>
      <c r="O30" s="1012"/>
      <c r="P30" s="1013"/>
      <c r="U30" s="551"/>
      <c r="V30" s="1013"/>
      <c r="W30" s="1013"/>
    </row>
    <row r="31" spans="1:23" s="1011" customFormat="1" x14ac:dyDescent="0.25">
      <c r="A31" s="1195" t="s">
        <v>26</v>
      </c>
      <c r="B31" s="1195">
        <v>11000001</v>
      </c>
      <c r="C31" s="1195">
        <v>19</v>
      </c>
      <c r="D31" s="1195" t="s">
        <v>36</v>
      </c>
      <c r="E31" s="1195" t="s">
        <v>131</v>
      </c>
      <c r="F31" s="1196" t="s">
        <v>1248</v>
      </c>
      <c r="G31" s="550">
        <v>0</v>
      </c>
      <c r="H31" s="550">
        <v>-604915.06000000006</v>
      </c>
      <c r="I31" s="1201">
        <f t="shared" si="0"/>
        <v>-604915.06000000006</v>
      </c>
      <c r="J31" s="1197">
        <f t="shared" si="3"/>
        <v>-604915.06000000006</v>
      </c>
      <c r="K31" s="550">
        <f t="shared" si="2"/>
        <v>0</v>
      </c>
      <c r="L31" s="550">
        <f t="shared" si="1"/>
        <v>0</v>
      </c>
      <c r="N31" s="550"/>
      <c r="O31" s="1012"/>
      <c r="P31" s="1013"/>
      <c r="U31" s="551"/>
      <c r="V31" s="1013"/>
      <c r="W31" s="1013"/>
    </row>
    <row r="32" spans="1:23" s="1011" customFormat="1" x14ac:dyDescent="0.25">
      <c r="A32" s="1195" t="s">
        <v>26</v>
      </c>
      <c r="B32" s="1195">
        <v>11000002</v>
      </c>
      <c r="C32" s="1195">
        <v>19</v>
      </c>
      <c r="D32" s="1195" t="s">
        <v>36</v>
      </c>
      <c r="E32" s="1195" t="s">
        <v>131</v>
      </c>
      <c r="F32" s="1196" t="s">
        <v>722</v>
      </c>
      <c r="G32" s="550">
        <v>0</v>
      </c>
      <c r="H32" s="550">
        <v>-1218102.76</v>
      </c>
      <c r="I32" s="1201">
        <f t="shared" si="0"/>
        <v>-1218102.76</v>
      </c>
      <c r="J32" s="1197">
        <f t="shared" si="3"/>
        <v>-1218102.76</v>
      </c>
      <c r="K32" s="550">
        <f t="shared" si="2"/>
        <v>0</v>
      </c>
      <c r="L32" s="550">
        <f t="shared" si="1"/>
        <v>0</v>
      </c>
      <c r="N32" s="550"/>
      <c r="O32" s="1012"/>
      <c r="P32" s="1013"/>
      <c r="U32" s="551"/>
      <c r="V32" s="1013"/>
      <c r="W32" s="1013"/>
    </row>
    <row r="33" spans="1:23" s="1011" customFormat="1" x14ac:dyDescent="0.25">
      <c r="A33" s="1195" t="s">
        <v>26</v>
      </c>
      <c r="B33" s="1195">
        <v>11000003</v>
      </c>
      <c r="C33" s="1195">
        <v>19</v>
      </c>
      <c r="D33" s="1195" t="s">
        <v>36</v>
      </c>
      <c r="E33" s="1195" t="s">
        <v>131</v>
      </c>
      <c r="F33" s="1196" t="s">
        <v>1249</v>
      </c>
      <c r="G33" s="550">
        <v>0</v>
      </c>
      <c r="H33" s="550">
        <v>-995290.17</v>
      </c>
      <c r="I33" s="1201">
        <f t="shared" si="0"/>
        <v>-995290.17</v>
      </c>
      <c r="J33" s="1197">
        <f t="shared" si="3"/>
        <v>-995290.17</v>
      </c>
      <c r="K33" s="550">
        <f t="shared" si="2"/>
        <v>0</v>
      </c>
      <c r="L33" s="550">
        <f t="shared" si="1"/>
        <v>0</v>
      </c>
      <c r="N33" s="550"/>
      <c r="O33" s="1012"/>
      <c r="P33" s="1013"/>
      <c r="U33" s="551"/>
      <c r="V33" s="1013"/>
      <c r="W33" s="1013"/>
    </row>
    <row r="34" spans="1:23" s="1011" customFormat="1" x14ac:dyDescent="0.25">
      <c r="A34" s="1195" t="s">
        <v>26</v>
      </c>
      <c r="B34" s="1195">
        <v>11000005</v>
      </c>
      <c r="C34" s="1195">
        <v>19</v>
      </c>
      <c r="D34" s="1195" t="s">
        <v>36</v>
      </c>
      <c r="E34" s="1195" t="s">
        <v>131</v>
      </c>
      <c r="F34" s="1196" t="s">
        <v>723</v>
      </c>
      <c r="G34" s="550">
        <v>0</v>
      </c>
      <c r="H34" s="550">
        <v>-21113</v>
      </c>
      <c r="I34" s="1201">
        <f t="shared" si="0"/>
        <v>-21113</v>
      </c>
      <c r="J34" s="1197">
        <f t="shared" si="3"/>
        <v>-21113</v>
      </c>
      <c r="K34" s="550">
        <f t="shared" si="2"/>
        <v>0</v>
      </c>
      <c r="L34" s="550">
        <f t="shared" si="1"/>
        <v>0</v>
      </c>
      <c r="N34" s="550"/>
      <c r="O34" s="1012"/>
      <c r="P34" s="1013"/>
      <c r="U34" s="551"/>
      <c r="V34" s="1013"/>
      <c r="W34" s="1013"/>
    </row>
    <row r="35" spans="1:23" s="1011" customFormat="1" x14ac:dyDescent="0.25">
      <c r="A35" s="1195" t="s">
        <v>26</v>
      </c>
      <c r="B35" s="1195">
        <v>11000006</v>
      </c>
      <c r="C35" s="1195">
        <v>19</v>
      </c>
      <c r="D35" s="1195" t="s">
        <v>36</v>
      </c>
      <c r="E35" s="1195" t="s">
        <v>131</v>
      </c>
      <c r="F35" s="1196" t="s">
        <v>1250</v>
      </c>
      <c r="G35" s="550">
        <v>0</v>
      </c>
      <c r="H35" s="550">
        <v>-64627</v>
      </c>
      <c r="I35" s="1201">
        <f t="shared" si="0"/>
        <v>-64627</v>
      </c>
      <c r="J35" s="1197">
        <f t="shared" si="3"/>
        <v>-64627</v>
      </c>
      <c r="K35" s="550">
        <f t="shared" si="2"/>
        <v>0</v>
      </c>
      <c r="L35" s="550">
        <f t="shared" si="1"/>
        <v>0</v>
      </c>
      <c r="N35" s="550"/>
      <c r="O35" s="1012"/>
      <c r="P35" s="1013"/>
      <c r="U35" s="551"/>
      <c r="V35" s="1013"/>
      <c r="W35" s="1013"/>
    </row>
    <row r="36" spans="1:23" s="1011" customFormat="1" x14ac:dyDescent="0.25">
      <c r="A36" s="1195" t="s">
        <v>26</v>
      </c>
      <c r="B36" s="1195">
        <v>11000007</v>
      </c>
      <c r="C36" s="1195">
        <v>19</v>
      </c>
      <c r="D36" s="1195" t="s">
        <v>36</v>
      </c>
      <c r="E36" s="1195" t="s">
        <v>131</v>
      </c>
      <c r="F36" s="1196" t="s">
        <v>724</v>
      </c>
      <c r="G36" s="550">
        <v>0</v>
      </c>
      <c r="H36" s="550">
        <v>-627704</v>
      </c>
      <c r="I36" s="1201">
        <f t="shared" si="0"/>
        <v>-627704</v>
      </c>
      <c r="J36" s="1197">
        <f t="shared" si="3"/>
        <v>-627704</v>
      </c>
      <c r="K36" s="550">
        <f t="shared" si="2"/>
        <v>0</v>
      </c>
      <c r="L36" s="550">
        <f t="shared" si="1"/>
        <v>0</v>
      </c>
      <c r="N36" s="550"/>
      <c r="O36" s="1012"/>
      <c r="P36" s="1013"/>
      <c r="U36" s="551"/>
      <c r="V36" s="1013"/>
      <c r="W36" s="1013"/>
    </row>
    <row r="37" spans="1:23" s="1011" customFormat="1" x14ac:dyDescent="0.25">
      <c r="A37" s="1195" t="s">
        <v>26</v>
      </c>
      <c r="B37" s="1195">
        <v>11000011</v>
      </c>
      <c r="C37" s="1195">
        <v>19</v>
      </c>
      <c r="D37" s="1195" t="s">
        <v>36</v>
      </c>
      <c r="E37" s="1195" t="s">
        <v>131</v>
      </c>
      <c r="F37" s="1196" t="s">
        <v>1251</v>
      </c>
      <c r="G37" s="550">
        <v>0</v>
      </c>
      <c r="H37" s="550">
        <v>-288873</v>
      </c>
      <c r="I37" s="1201">
        <f t="shared" si="0"/>
        <v>-288873</v>
      </c>
      <c r="J37" s="1197">
        <f t="shared" si="3"/>
        <v>-288873</v>
      </c>
      <c r="K37" s="550">
        <f t="shared" si="2"/>
        <v>0</v>
      </c>
      <c r="L37" s="550">
        <f t="shared" si="1"/>
        <v>0</v>
      </c>
      <c r="N37" s="550"/>
      <c r="O37" s="1012"/>
      <c r="P37" s="1013"/>
      <c r="U37" s="551"/>
      <c r="V37" s="1013"/>
      <c r="W37" s="1013"/>
    </row>
    <row r="38" spans="1:23" s="1011" customFormat="1" x14ac:dyDescent="0.25">
      <c r="A38" s="1195" t="s">
        <v>26</v>
      </c>
      <c r="B38" s="1195">
        <v>11000012</v>
      </c>
      <c r="C38" s="1195">
        <v>19</v>
      </c>
      <c r="D38" s="1195" t="s">
        <v>36</v>
      </c>
      <c r="E38" s="1195" t="s">
        <v>131</v>
      </c>
      <c r="F38" s="1196" t="s">
        <v>725</v>
      </c>
      <c r="G38" s="550">
        <v>0</v>
      </c>
      <c r="H38" s="550">
        <v>-31400</v>
      </c>
      <c r="I38" s="1201">
        <f t="shared" si="0"/>
        <v>-31400</v>
      </c>
      <c r="J38" s="1197">
        <f t="shared" si="3"/>
        <v>-31400</v>
      </c>
      <c r="K38" s="550">
        <f t="shared" si="2"/>
        <v>0</v>
      </c>
      <c r="L38" s="550">
        <f t="shared" si="1"/>
        <v>0</v>
      </c>
      <c r="N38" s="550"/>
      <c r="O38" s="1012"/>
      <c r="P38" s="1013"/>
      <c r="U38" s="551"/>
      <c r="V38" s="1013"/>
      <c r="W38" s="1013"/>
    </row>
    <row r="39" spans="1:23" s="1011" customFormat="1" x14ac:dyDescent="0.25">
      <c r="A39" s="1195" t="s">
        <v>26</v>
      </c>
      <c r="B39" s="1195">
        <v>11100002</v>
      </c>
      <c r="C39" s="1195">
        <v>18</v>
      </c>
      <c r="D39" s="1195" t="s">
        <v>169</v>
      </c>
      <c r="E39" s="1195" t="s">
        <v>1604</v>
      </c>
      <c r="F39" s="1196" t="s">
        <v>727</v>
      </c>
      <c r="G39" s="550">
        <v>0</v>
      </c>
      <c r="H39" s="550">
        <v>-104173676.48</v>
      </c>
      <c r="I39" s="1201">
        <f t="shared" si="0"/>
        <v>-104173676.48</v>
      </c>
      <c r="J39" s="1197">
        <f t="shared" si="3"/>
        <v>-104173676.48</v>
      </c>
      <c r="K39" s="550">
        <f t="shared" si="2"/>
        <v>0</v>
      </c>
      <c r="L39" s="550">
        <f t="shared" si="1"/>
        <v>0</v>
      </c>
      <c r="N39" s="550"/>
      <c r="O39" s="1012"/>
      <c r="P39" s="1013"/>
      <c r="U39" s="551"/>
      <c r="V39" s="1013"/>
      <c r="W39" s="1013"/>
    </row>
    <row r="40" spans="1:23" s="1011" customFormat="1" x14ac:dyDescent="0.25">
      <c r="A40" s="1195" t="s">
        <v>26</v>
      </c>
      <c r="B40" s="1195">
        <v>21000008</v>
      </c>
      <c r="C40" s="1195">
        <v>19</v>
      </c>
      <c r="D40" s="1195" t="s">
        <v>36</v>
      </c>
      <c r="E40" s="1195" t="s">
        <v>131</v>
      </c>
      <c r="F40" s="1196" t="s">
        <v>746</v>
      </c>
      <c r="G40" s="550">
        <v>0</v>
      </c>
      <c r="H40" s="550">
        <v>-16738.639999999901</v>
      </c>
      <c r="I40" s="1201">
        <f t="shared" si="0"/>
        <v>-16738.639999999901</v>
      </c>
      <c r="J40" s="1197">
        <f t="shared" si="3"/>
        <v>-16738.639999999901</v>
      </c>
      <c r="K40" s="550">
        <f t="shared" si="2"/>
        <v>0</v>
      </c>
      <c r="L40" s="550">
        <f t="shared" si="1"/>
        <v>0</v>
      </c>
      <c r="N40" s="550"/>
      <c r="O40" s="1012"/>
      <c r="P40" s="1013"/>
      <c r="U40" s="551"/>
      <c r="V40" s="1013"/>
      <c r="W40" s="1013"/>
    </row>
    <row r="41" spans="1:23" s="1011" customFormat="1" x14ac:dyDescent="0.25">
      <c r="A41" s="1195" t="s">
        <v>26</v>
      </c>
      <c r="B41" s="1195">
        <v>21000009</v>
      </c>
      <c r="C41" s="1195">
        <v>19</v>
      </c>
      <c r="D41" s="1195" t="s">
        <v>36</v>
      </c>
      <c r="E41" s="1195" t="s">
        <v>131</v>
      </c>
      <c r="F41" s="1196" t="s">
        <v>747</v>
      </c>
      <c r="G41" s="550">
        <v>0</v>
      </c>
      <c r="H41" s="550">
        <v>-16738.639999999901</v>
      </c>
      <c r="I41" s="1201">
        <f t="shared" si="0"/>
        <v>-16738.639999999901</v>
      </c>
      <c r="J41" s="1197">
        <f t="shared" si="3"/>
        <v>-16738.639999999901</v>
      </c>
      <c r="K41" s="550">
        <f t="shared" si="2"/>
        <v>0</v>
      </c>
      <c r="L41" s="550">
        <f t="shared" si="1"/>
        <v>0</v>
      </c>
      <c r="N41" s="550"/>
      <c r="O41" s="1012"/>
      <c r="P41" s="1013"/>
      <c r="U41" s="551"/>
      <c r="V41" s="1013"/>
      <c r="W41" s="1013"/>
    </row>
    <row r="42" spans="1:23" s="1011" customFormat="1" x14ac:dyDescent="0.25">
      <c r="A42" s="1195" t="s">
        <v>26</v>
      </c>
      <c r="B42" s="1195">
        <v>21000010</v>
      </c>
      <c r="C42" s="1195">
        <v>19</v>
      </c>
      <c r="D42" s="1195" t="s">
        <v>36</v>
      </c>
      <c r="E42" s="1195" t="s">
        <v>131</v>
      </c>
      <c r="F42" s="1196" t="s">
        <v>748</v>
      </c>
      <c r="G42" s="550">
        <v>0</v>
      </c>
      <c r="H42" s="550">
        <v>-11013.799999999899</v>
      </c>
      <c r="I42" s="1201">
        <f t="shared" si="0"/>
        <v>-11013.799999999899</v>
      </c>
      <c r="J42" s="1197">
        <f t="shared" si="3"/>
        <v>-11013.799999999899</v>
      </c>
      <c r="K42" s="550">
        <f t="shared" si="2"/>
        <v>0</v>
      </c>
      <c r="L42" s="550">
        <f t="shared" si="1"/>
        <v>0</v>
      </c>
      <c r="N42" s="550"/>
      <c r="O42" s="1012"/>
      <c r="P42" s="1013"/>
      <c r="U42" s="551"/>
      <c r="V42" s="1013"/>
      <c r="W42" s="1013"/>
    </row>
    <row r="43" spans="1:23" s="1011" customFormat="1" x14ac:dyDescent="0.25">
      <c r="A43" s="1195" t="s">
        <v>26</v>
      </c>
      <c r="B43" s="1195">
        <v>80000000</v>
      </c>
      <c r="C43" s="1195">
        <v>17</v>
      </c>
      <c r="D43" s="1195" t="s">
        <v>153</v>
      </c>
      <c r="E43" s="1195" t="s">
        <v>134</v>
      </c>
      <c r="F43" s="1196" t="s">
        <v>1205</v>
      </c>
      <c r="G43" s="550">
        <v>0</v>
      </c>
      <c r="H43" s="550">
        <v>-1435975.9099999899</v>
      </c>
      <c r="I43" s="1201">
        <f t="shared" si="0"/>
        <v>-1435975.9099999899</v>
      </c>
      <c r="J43" s="1197">
        <f t="shared" si="3"/>
        <v>-1435975.9099999899</v>
      </c>
      <c r="K43" s="550">
        <f t="shared" si="2"/>
        <v>0</v>
      </c>
      <c r="L43" s="550">
        <f t="shared" si="1"/>
        <v>0</v>
      </c>
      <c r="N43" s="550"/>
      <c r="O43" s="1012"/>
      <c r="P43" s="1013"/>
      <c r="U43" s="551"/>
      <c r="V43" s="1013"/>
      <c r="W43" s="1013"/>
    </row>
    <row r="44" spans="1:23" s="1011" customFormat="1" x14ac:dyDescent="0.25">
      <c r="A44" s="1195" t="s">
        <v>26</v>
      </c>
      <c r="B44" s="1195">
        <v>80000002</v>
      </c>
      <c r="C44" s="1195">
        <v>17</v>
      </c>
      <c r="D44" s="1195" t="s">
        <v>153</v>
      </c>
      <c r="E44" s="1195" t="s">
        <v>134</v>
      </c>
      <c r="F44" s="1196" t="s">
        <v>775</v>
      </c>
      <c r="G44" s="550">
        <v>0</v>
      </c>
      <c r="H44" s="550">
        <v>-1266811.1000000001</v>
      </c>
      <c r="I44" s="1201">
        <f t="shared" si="0"/>
        <v>-1266811.1000000001</v>
      </c>
      <c r="J44" s="1197">
        <f t="shared" si="3"/>
        <v>-1266811.1000000001</v>
      </c>
      <c r="K44" s="550">
        <f t="shared" si="2"/>
        <v>0</v>
      </c>
      <c r="L44" s="550">
        <f t="shared" si="1"/>
        <v>0</v>
      </c>
      <c r="N44" s="550"/>
      <c r="O44" s="1012"/>
      <c r="P44" s="1013"/>
      <c r="U44" s="551"/>
      <c r="V44" s="1013"/>
      <c r="W44" s="1013"/>
    </row>
    <row r="45" spans="1:23" s="1011" customFormat="1" x14ac:dyDescent="0.25">
      <c r="A45" s="1195" t="s">
        <v>26</v>
      </c>
      <c r="B45" s="1195">
        <v>80000003</v>
      </c>
      <c r="C45" s="1195">
        <v>17</v>
      </c>
      <c r="D45" s="1195" t="s">
        <v>153</v>
      </c>
      <c r="E45" s="1195" t="s">
        <v>134</v>
      </c>
      <c r="F45" s="1196" t="s">
        <v>780</v>
      </c>
      <c r="G45" s="550">
        <v>0</v>
      </c>
      <c r="H45" s="550">
        <v>0</v>
      </c>
      <c r="I45" s="1201">
        <f t="shared" si="0"/>
        <v>0</v>
      </c>
      <c r="J45" s="1197">
        <f t="shared" si="3"/>
        <v>0</v>
      </c>
      <c r="K45" s="550">
        <f t="shared" si="2"/>
        <v>0</v>
      </c>
      <c r="L45" s="550">
        <f t="shared" si="1"/>
        <v>0</v>
      </c>
      <c r="N45" s="550"/>
      <c r="O45" s="1012"/>
      <c r="P45" s="1013"/>
      <c r="U45" s="551"/>
      <c r="V45" s="1013"/>
      <c r="W45" s="1013"/>
    </row>
    <row r="46" spans="1:23" s="1011" customFormat="1" x14ac:dyDescent="0.25">
      <c r="A46" s="1195" t="s">
        <v>26</v>
      </c>
      <c r="B46" s="1195">
        <v>80000008</v>
      </c>
      <c r="C46" s="1195">
        <v>17</v>
      </c>
      <c r="D46" s="1195" t="s">
        <v>153</v>
      </c>
      <c r="E46" s="1195" t="s">
        <v>134</v>
      </c>
      <c r="F46" s="1196" t="s">
        <v>776</v>
      </c>
      <c r="G46" s="550">
        <v>0</v>
      </c>
      <c r="H46" s="550">
        <v>-4175105.6699999901</v>
      </c>
      <c r="I46" s="1201">
        <f t="shared" si="0"/>
        <v>-4175105.6699999901</v>
      </c>
      <c r="J46" s="1197">
        <f t="shared" si="3"/>
        <v>-4175105.6699999901</v>
      </c>
      <c r="K46" s="550">
        <f t="shared" si="2"/>
        <v>0</v>
      </c>
      <c r="L46" s="550">
        <f t="shared" si="1"/>
        <v>0</v>
      </c>
      <c r="N46" s="550"/>
      <c r="O46" s="1012"/>
      <c r="P46" s="1013"/>
      <c r="U46" s="551"/>
      <c r="V46" s="1013"/>
      <c r="W46" s="1013"/>
    </row>
    <row r="47" spans="1:23" s="1011" customFormat="1" x14ac:dyDescent="0.25">
      <c r="A47" s="1195" t="s">
        <v>26</v>
      </c>
      <c r="B47" s="1195">
        <v>80000022</v>
      </c>
      <c r="C47" s="1195">
        <v>17</v>
      </c>
      <c r="D47" s="1195" t="s">
        <v>153</v>
      </c>
      <c r="E47" s="1195" t="s">
        <v>134</v>
      </c>
      <c r="F47" s="1196" t="s">
        <v>781</v>
      </c>
      <c r="G47" s="550">
        <v>0</v>
      </c>
      <c r="H47" s="550">
        <v>0</v>
      </c>
      <c r="I47" s="1201">
        <f t="shared" si="0"/>
        <v>0</v>
      </c>
      <c r="J47" s="1197">
        <f t="shared" si="3"/>
        <v>0</v>
      </c>
      <c r="K47" s="550">
        <f t="shared" si="2"/>
        <v>0</v>
      </c>
      <c r="L47" s="550">
        <f t="shared" si="1"/>
        <v>0</v>
      </c>
      <c r="N47" s="550"/>
      <c r="O47" s="1012"/>
      <c r="P47" s="1013"/>
      <c r="U47" s="551"/>
      <c r="V47" s="1013"/>
      <c r="W47" s="1013"/>
    </row>
    <row r="48" spans="1:23" s="1011" customFormat="1" x14ac:dyDescent="0.25">
      <c r="A48" s="1195" t="s">
        <v>26</v>
      </c>
      <c r="B48" s="1195">
        <v>10800007</v>
      </c>
      <c r="C48" s="1195">
        <v>17</v>
      </c>
      <c r="D48" s="1195" t="s">
        <v>153</v>
      </c>
      <c r="E48" s="1195" t="s">
        <v>134</v>
      </c>
      <c r="F48" s="1196" t="s">
        <v>896</v>
      </c>
      <c r="G48" s="550">
        <v>179382.89</v>
      </c>
      <c r="H48" s="550">
        <v>0</v>
      </c>
      <c r="I48" s="1201">
        <f t="shared" si="0"/>
        <v>179382.89</v>
      </c>
      <c r="J48" s="1197">
        <f t="shared" si="3"/>
        <v>179382.89</v>
      </c>
      <c r="K48" s="550">
        <f t="shared" si="2"/>
        <v>0</v>
      </c>
      <c r="L48" s="550">
        <f t="shared" si="1"/>
        <v>0</v>
      </c>
      <c r="N48" s="550"/>
      <c r="O48" s="1012"/>
      <c r="P48" s="1013"/>
      <c r="U48" s="551"/>
      <c r="V48" s="1013"/>
      <c r="W48" s="1013"/>
    </row>
    <row r="49" spans="1:23" s="1011" customFormat="1" x14ac:dyDescent="0.25">
      <c r="A49" s="1195" t="s">
        <v>26</v>
      </c>
      <c r="B49" s="1195">
        <v>10900016</v>
      </c>
      <c r="C49" s="1195">
        <v>18</v>
      </c>
      <c r="D49" s="1195" t="s">
        <v>169</v>
      </c>
      <c r="E49" s="1195" t="s">
        <v>168</v>
      </c>
      <c r="F49" s="1196" t="s">
        <v>898</v>
      </c>
      <c r="G49" s="550">
        <v>0</v>
      </c>
      <c r="H49" s="550">
        <v>-2295777</v>
      </c>
      <c r="I49" s="1201">
        <f t="shared" si="0"/>
        <v>-2295777</v>
      </c>
      <c r="J49" s="1197">
        <f t="shared" si="3"/>
        <v>-2295777</v>
      </c>
      <c r="K49" s="550">
        <f t="shared" si="2"/>
        <v>0</v>
      </c>
      <c r="L49" s="550">
        <f t="shared" si="1"/>
        <v>0</v>
      </c>
      <c r="N49" s="550"/>
      <c r="O49" s="1012"/>
      <c r="P49" s="1013"/>
      <c r="U49" s="551"/>
      <c r="V49" s="1013"/>
      <c r="W49" s="1013"/>
    </row>
    <row r="50" spans="1:23" s="1011" customFormat="1" x14ac:dyDescent="0.25">
      <c r="A50" s="1199" t="s">
        <v>26</v>
      </c>
      <c r="B50" s="1199">
        <v>10900013</v>
      </c>
      <c r="C50" s="1195">
        <v>17</v>
      </c>
      <c r="D50" s="1195" t="s">
        <v>153</v>
      </c>
      <c r="E50" s="1195" t="s">
        <v>134</v>
      </c>
      <c r="F50" s="1196" t="s">
        <v>1122</v>
      </c>
      <c r="G50" s="550">
        <v>0</v>
      </c>
      <c r="H50" s="550">
        <v>-6369417.54</v>
      </c>
      <c r="I50" s="1201">
        <f t="shared" si="0"/>
        <v>-6369417.54</v>
      </c>
      <c r="J50" s="1197">
        <f t="shared" si="3"/>
        <v>-6369417.54</v>
      </c>
      <c r="K50" s="550">
        <f t="shared" si="2"/>
        <v>0</v>
      </c>
      <c r="L50" s="550">
        <f t="shared" si="1"/>
        <v>0</v>
      </c>
      <c r="N50" s="550"/>
      <c r="O50" s="1012"/>
      <c r="P50" s="1013"/>
      <c r="U50" s="551"/>
      <c r="V50" s="1013"/>
      <c r="W50" s="1013"/>
    </row>
    <row r="51" spans="1:23" s="1011" customFormat="1" x14ac:dyDescent="0.25">
      <c r="A51" s="1195" t="s">
        <v>26</v>
      </c>
      <c r="B51" s="1199">
        <v>10900015</v>
      </c>
      <c r="C51" s="1199">
        <v>7</v>
      </c>
      <c r="D51" s="1195" t="s">
        <v>927</v>
      </c>
      <c r="E51" s="1199" t="s">
        <v>1128</v>
      </c>
      <c r="F51" s="1196" t="s">
        <v>1149</v>
      </c>
      <c r="G51" s="550">
        <v>0</v>
      </c>
      <c r="H51" s="550">
        <v>0</v>
      </c>
      <c r="I51" s="1201">
        <f t="shared" si="0"/>
        <v>0</v>
      </c>
      <c r="J51" s="545">
        <f t="shared" si="3"/>
        <v>0</v>
      </c>
      <c r="K51" s="550">
        <f t="shared" si="2"/>
        <v>0</v>
      </c>
      <c r="L51" s="1200">
        <f t="shared" si="1"/>
        <v>0</v>
      </c>
      <c r="N51" s="550"/>
      <c r="O51" s="1012"/>
      <c r="P51" s="1013"/>
      <c r="U51" s="551"/>
      <c r="V51" s="1013"/>
      <c r="W51" s="1013"/>
    </row>
    <row r="52" spans="1:23" s="1011" customFormat="1" x14ac:dyDescent="0.25">
      <c r="A52" s="1195" t="s">
        <v>683</v>
      </c>
      <c r="B52" s="1195">
        <v>20000000</v>
      </c>
      <c r="C52" s="1195">
        <v>3</v>
      </c>
      <c r="D52" s="1195" t="s">
        <v>6</v>
      </c>
      <c r="E52" s="1195" t="s">
        <v>244</v>
      </c>
      <c r="F52" s="1196" t="s">
        <v>498</v>
      </c>
      <c r="G52" s="550">
        <v>93599471</v>
      </c>
      <c r="H52" s="550">
        <v>0</v>
      </c>
      <c r="I52" s="1201">
        <f t="shared" si="0"/>
        <v>93599471</v>
      </c>
      <c r="J52" s="1197">
        <v>0</v>
      </c>
      <c r="K52" s="550">
        <f t="shared" si="2"/>
        <v>93599471</v>
      </c>
      <c r="L52" s="550">
        <f t="shared" si="1"/>
        <v>0</v>
      </c>
      <c r="N52" s="550"/>
      <c r="O52" s="1012"/>
      <c r="P52" s="1013"/>
      <c r="U52" s="551"/>
      <c r="V52" s="1013"/>
      <c r="W52" s="1013"/>
    </row>
    <row r="53" spans="1:23" s="1011" customFormat="1" x14ac:dyDescent="0.25">
      <c r="A53" s="1195" t="s">
        <v>683</v>
      </c>
      <c r="B53" s="1195">
        <v>20000001</v>
      </c>
      <c r="C53" s="1195">
        <v>3</v>
      </c>
      <c r="D53" s="1195" t="s">
        <v>6</v>
      </c>
      <c r="E53" s="1195" t="s">
        <v>1151</v>
      </c>
      <c r="F53" s="1196" t="s">
        <v>1151</v>
      </c>
      <c r="G53" s="550">
        <v>1517693671.8</v>
      </c>
      <c r="H53" s="550">
        <v>0</v>
      </c>
      <c r="I53" s="1201">
        <f t="shared" si="0"/>
        <v>1517693671.8</v>
      </c>
      <c r="J53" s="1197">
        <v>0</v>
      </c>
      <c r="K53" s="550">
        <f t="shared" si="2"/>
        <v>1517693671.8</v>
      </c>
      <c r="L53" s="545">
        <v>0</v>
      </c>
      <c r="N53" s="550"/>
      <c r="O53" s="1012"/>
      <c r="P53" s="1013"/>
      <c r="U53" s="551"/>
      <c r="V53" s="1013"/>
      <c r="W53" s="1013"/>
    </row>
    <row r="54" spans="1:23" s="1011" customFormat="1" x14ac:dyDescent="0.25">
      <c r="A54" s="1195" t="s">
        <v>683</v>
      </c>
      <c r="B54" s="1195">
        <v>20000002</v>
      </c>
      <c r="C54" s="1195">
        <v>3</v>
      </c>
      <c r="D54" s="1195" t="s">
        <v>6</v>
      </c>
      <c r="E54" s="1195" t="s">
        <v>1151</v>
      </c>
      <c r="F54" s="1196" t="s">
        <v>1152</v>
      </c>
      <c r="G54" s="550">
        <v>0</v>
      </c>
      <c r="H54" s="550">
        <v>-23940314.879999898</v>
      </c>
      <c r="I54" s="1201">
        <f t="shared" si="0"/>
        <v>-23940314.879999898</v>
      </c>
      <c r="J54" s="1197">
        <v>0</v>
      </c>
      <c r="K54" s="550">
        <f t="shared" si="2"/>
        <v>-23940314.879999898</v>
      </c>
      <c r="L54" s="550">
        <v>0</v>
      </c>
      <c r="N54" s="550"/>
      <c r="O54" s="1012"/>
      <c r="P54" s="1013"/>
      <c r="U54" s="551"/>
      <c r="V54" s="1013"/>
      <c r="W54" s="1013"/>
    </row>
    <row r="55" spans="1:23" s="1011" customFormat="1" x14ac:dyDescent="0.25">
      <c r="A55" s="1195" t="s">
        <v>683</v>
      </c>
      <c r="B55" s="1195">
        <v>20000003</v>
      </c>
      <c r="C55" s="1195">
        <v>3</v>
      </c>
      <c r="D55" s="1195" t="s">
        <v>6</v>
      </c>
      <c r="E55" s="1195" t="s">
        <v>244</v>
      </c>
      <c r="F55" s="1196" t="s">
        <v>728</v>
      </c>
      <c r="G55" s="550">
        <v>3385169564.52</v>
      </c>
      <c r="H55" s="550">
        <v>0</v>
      </c>
      <c r="I55" s="1201">
        <f t="shared" si="0"/>
        <v>3385169564.52</v>
      </c>
      <c r="J55" s="1197">
        <v>0</v>
      </c>
      <c r="K55" s="550">
        <f t="shared" si="2"/>
        <v>3385169564.52</v>
      </c>
      <c r="L55" s="550">
        <f t="shared" ref="L55:L104" si="4">I55-J55-K55</f>
        <v>0</v>
      </c>
      <c r="N55" s="550"/>
      <c r="O55" s="1012"/>
      <c r="P55" s="1013"/>
      <c r="U55" s="551"/>
      <c r="V55" s="1013"/>
      <c r="W55" s="1013"/>
    </row>
    <row r="56" spans="1:23" s="1011" customFormat="1" x14ac:dyDescent="0.25">
      <c r="A56" s="1195" t="s">
        <v>683</v>
      </c>
      <c r="B56" s="1195">
        <v>20000004</v>
      </c>
      <c r="C56" s="1195">
        <v>3</v>
      </c>
      <c r="D56" s="1195" t="s">
        <v>6</v>
      </c>
      <c r="E56" s="1195" t="s">
        <v>244</v>
      </c>
      <c r="F56" s="1196" t="s">
        <v>1252</v>
      </c>
      <c r="G56" s="550">
        <v>0</v>
      </c>
      <c r="H56" s="550">
        <v>-98387307.799999893</v>
      </c>
      <c r="I56" s="1201">
        <f t="shared" si="0"/>
        <v>-98387307.799999893</v>
      </c>
      <c r="J56" s="1197">
        <v>0</v>
      </c>
      <c r="K56" s="550">
        <f t="shared" si="2"/>
        <v>-98387307.799999893</v>
      </c>
      <c r="L56" s="550">
        <f t="shared" si="4"/>
        <v>0</v>
      </c>
      <c r="N56" s="550"/>
      <c r="O56" s="1012"/>
      <c r="P56" s="1013"/>
      <c r="U56" s="551"/>
      <c r="V56" s="1013"/>
      <c r="W56" s="1013"/>
    </row>
    <row r="57" spans="1:23" s="1011" customFormat="1" x14ac:dyDescent="0.25">
      <c r="A57" s="1195" t="s">
        <v>683</v>
      </c>
      <c r="B57" s="1195">
        <v>20000007</v>
      </c>
      <c r="C57" s="1195">
        <v>3</v>
      </c>
      <c r="D57" s="1195" t="s">
        <v>6</v>
      </c>
      <c r="E57" s="1195" t="s">
        <v>729</v>
      </c>
      <c r="F57" s="1196" t="s">
        <v>729</v>
      </c>
      <c r="G57" s="550">
        <v>16903685.710000001</v>
      </c>
      <c r="H57" s="550">
        <v>0</v>
      </c>
      <c r="I57" s="1201">
        <f t="shared" si="0"/>
        <v>16903685.710000001</v>
      </c>
      <c r="J57" s="1197">
        <v>0</v>
      </c>
      <c r="K57" s="550">
        <f t="shared" si="2"/>
        <v>16903685.710000001</v>
      </c>
      <c r="L57" s="550">
        <f t="shared" si="4"/>
        <v>0</v>
      </c>
      <c r="N57" s="550"/>
      <c r="O57" s="1012"/>
      <c r="P57" s="1013"/>
      <c r="U57" s="551"/>
      <c r="V57" s="1013"/>
      <c r="W57" s="1013"/>
    </row>
    <row r="58" spans="1:23" s="1011" customFormat="1" x14ac:dyDescent="0.25">
      <c r="A58" s="1195" t="s">
        <v>683</v>
      </c>
      <c r="B58" s="1195">
        <v>20000008</v>
      </c>
      <c r="C58" s="1195">
        <v>3</v>
      </c>
      <c r="D58" s="1195" t="s">
        <v>6</v>
      </c>
      <c r="E58" s="1195" t="s">
        <v>729</v>
      </c>
      <c r="F58" s="1196" t="s">
        <v>893</v>
      </c>
      <c r="G58" s="550">
        <v>0</v>
      </c>
      <c r="H58" s="550">
        <v>-1509878.12</v>
      </c>
      <c r="I58" s="1201">
        <f t="shared" si="0"/>
        <v>-1509878.12</v>
      </c>
      <c r="J58" s="1197">
        <v>0</v>
      </c>
      <c r="K58" s="550">
        <f t="shared" si="2"/>
        <v>-1509878.12</v>
      </c>
      <c r="L58" s="550">
        <f t="shared" si="4"/>
        <v>0</v>
      </c>
      <c r="N58" s="550"/>
      <c r="O58" s="1012"/>
      <c r="P58" s="1013"/>
      <c r="U58" s="551"/>
      <c r="V58" s="1013"/>
      <c r="W58" s="1013"/>
    </row>
    <row r="59" spans="1:23" s="1011" customFormat="1" x14ac:dyDescent="0.25">
      <c r="A59" s="1195" t="s">
        <v>683</v>
      </c>
      <c r="B59" s="1195">
        <v>20000006</v>
      </c>
      <c r="C59" s="1195">
        <v>3</v>
      </c>
      <c r="D59" s="1195" t="s">
        <v>6</v>
      </c>
      <c r="E59" s="1195" t="s">
        <v>1322</v>
      </c>
      <c r="F59" s="1195" t="s">
        <v>1329</v>
      </c>
      <c r="G59" s="550">
        <v>0</v>
      </c>
      <c r="H59" s="550">
        <v>-1127057.1200000001</v>
      </c>
      <c r="I59" s="1201">
        <f t="shared" si="0"/>
        <v>-1127057.1200000001</v>
      </c>
      <c r="J59" s="1197"/>
      <c r="K59" s="550"/>
      <c r="L59" s="550"/>
      <c r="N59" s="550"/>
      <c r="O59" s="1012"/>
      <c r="P59" s="1013"/>
      <c r="U59" s="551"/>
      <c r="V59" s="1013"/>
      <c r="W59" s="1013"/>
    </row>
    <row r="60" spans="1:23" s="1011" customFormat="1" x14ac:dyDescent="0.25">
      <c r="A60" s="1195" t="s">
        <v>683</v>
      </c>
      <c r="B60" s="1195">
        <v>20000010</v>
      </c>
      <c r="C60" s="1195">
        <v>3</v>
      </c>
      <c r="D60" s="1195" t="s">
        <v>6</v>
      </c>
      <c r="E60" s="1195" t="s">
        <v>1323</v>
      </c>
      <c r="F60" s="1196" t="s">
        <v>1330</v>
      </c>
      <c r="G60" s="550">
        <v>0</v>
      </c>
      <c r="H60" s="550">
        <v>-594660.09999999905</v>
      </c>
      <c r="I60" s="1201">
        <f t="shared" si="0"/>
        <v>-594660.09999999905</v>
      </c>
      <c r="J60" s="1197"/>
      <c r="K60" s="550"/>
      <c r="L60" s="550"/>
      <c r="N60" s="550"/>
      <c r="O60" s="1012"/>
      <c r="P60" s="1013"/>
      <c r="U60" s="551"/>
      <c r="V60" s="1013"/>
      <c r="W60" s="1013"/>
    </row>
    <row r="61" spans="1:23" s="1011" customFormat="1" x14ac:dyDescent="0.25">
      <c r="A61" s="1195" t="s">
        <v>683</v>
      </c>
      <c r="B61" s="1195">
        <v>20000012</v>
      </c>
      <c r="C61" s="1195">
        <v>3</v>
      </c>
      <c r="D61" s="1195" t="s">
        <v>6</v>
      </c>
      <c r="E61" s="1195" t="s">
        <v>1324</v>
      </c>
      <c r="F61" s="1196" t="s">
        <v>1331</v>
      </c>
      <c r="G61" s="550">
        <v>0</v>
      </c>
      <c r="H61" s="550">
        <v>-3890620.1499999901</v>
      </c>
      <c r="I61" s="1201">
        <f t="shared" si="0"/>
        <v>-3890620.1499999901</v>
      </c>
      <c r="J61" s="1197"/>
      <c r="K61" s="550"/>
      <c r="L61" s="550"/>
      <c r="N61" s="550"/>
      <c r="O61" s="1012"/>
      <c r="P61" s="1013"/>
      <c r="U61" s="551"/>
      <c r="V61" s="1013"/>
      <c r="W61" s="1013"/>
    </row>
    <row r="62" spans="1:23" s="1011" customFormat="1" x14ac:dyDescent="0.25">
      <c r="A62" s="1195" t="s">
        <v>683</v>
      </c>
      <c r="B62" s="1195">
        <v>20000016</v>
      </c>
      <c r="C62" s="1195">
        <v>3</v>
      </c>
      <c r="D62" s="1195" t="s">
        <v>6</v>
      </c>
      <c r="E62" s="1195" t="s">
        <v>1325</v>
      </c>
      <c r="F62" s="1196" t="s">
        <v>1332</v>
      </c>
      <c r="G62" s="550">
        <v>0</v>
      </c>
      <c r="H62" s="550">
        <v>-314295.84999999899</v>
      </c>
      <c r="I62" s="1201">
        <f t="shared" si="0"/>
        <v>-314295.84999999899</v>
      </c>
      <c r="J62" s="1197"/>
      <c r="K62" s="550"/>
      <c r="L62" s="550"/>
      <c r="N62" s="550"/>
      <c r="O62" s="1012"/>
      <c r="P62" s="1013"/>
      <c r="U62" s="551"/>
      <c r="V62" s="1013"/>
      <c r="W62" s="1013"/>
    </row>
    <row r="63" spans="1:23" s="1011" customFormat="1" x14ac:dyDescent="0.25">
      <c r="A63" s="1195" t="s">
        <v>683</v>
      </c>
      <c r="B63" s="1195">
        <v>20000017</v>
      </c>
      <c r="C63" s="1195">
        <v>3</v>
      </c>
      <c r="D63" s="1195" t="s">
        <v>6</v>
      </c>
      <c r="E63" s="1195" t="s">
        <v>289</v>
      </c>
      <c r="F63" s="1196" t="s">
        <v>500</v>
      </c>
      <c r="G63" s="550">
        <v>324389641</v>
      </c>
      <c r="H63" s="550">
        <v>0</v>
      </c>
      <c r="I63" s="1201">
        <f t="shared" si="0"/>
        <v>324389641</v>
      </c>
      <c r="J63" s="1197">
        <v>0</v>
      </c>
      <c r="K63" s="550">
        <f t="shared" si="2"/>
        <v>324389641</v>
      </c>
      <c r="L63" s="550">
        <f t="shared" si="4"/>
        <v>0</v>
      </c>
      <c r="N63" s="550"/>
      <c r="O63" s="1012"/>
      <c r="P63" s="1013"/>
      <c r="U63" s="551"/>
      <c r="V63" s="1013"/>
      <c r="W63" s="1013"/>
    </row>
    <row r="64" spans="1:23" s="1011" customFormat="1" x14ac:dyDescent="0.25">
      <c r="A64" s="1195" t="s">
        <v>683</v>
      </c>
      <c r="B64" s="1195">
        <v>20000018</v>
      </c>
      <c r="C64" s="1195">
        <v>3</v>
      </c>
      <c r="D64" s="1195" t="s">
        <v>6</v>
      </c>
      <c r="E64" s="1195" t="s">
        <v>289</v>
      </c>
      <c r="F64" s="1196" t="s">
        <v>505</v>
      </c>
      <c r="G64" s="550">
        <v>0</v>
      </c>
      <c r="H64" s="550">
        <v>-9297332.9299999904</v>
      </c>
      <c r="I64" s="1201">
        <f t="shared" si="0"/>
        <v>-9297332.9299999904</v>
      </c>
      <c r="J64" s="1197">
        <v>0</v>
      </c>
      <c r="K64" s="550">
        <f t="shared" si="2"/>
        <v>-9297332.9299999904</v>
      </c>
      <c r="L64" s="550">
        <f t="shared" si="4"/>
        <v>0</v>
      </c>
      <c r="N64" s="550"/>
      <c r="O64" s="1012"/>
      <c r="P64" s="1013"/>
      <c r="U64" s="551"/>
      <c r="V64" s="1013"/>
      <c r="W64" s="1013"/>
    </row>
    <row r="65" spans="1:23" s="1011" customFormat="1" x14ac:dyDescent="0.25">
      <c r="A65" s="1195" t="s">
        <v>683</v>
      </c>
      <c r="B65" s="1195">
        <v>20100000</v>
      </c>
      <c r="C65" s="1195">
        <v>3</v>
      </c>
      <c r="D65" s="1195" t="s">
        <v>6</v>
      </c>
      <c r="E65" s="1195" t="s">
        <v>158</v>
      </c>
      <c r="F65" s="1196" t="s">
        <v>189</v>
      </c>
      <c r="G65" s="550">
        <v>60.24</v>
      </c>
      <c r="H65" s="550">
        <v>0</v>
      </c>
      <c r="I65" s="1201">
        <f t="shared" si="0"/>
        <v>60.24</v>
      </c>
      <c r="J65" s="1197">
        <v>0</v>
      </c>
      <c r="K65" s="550">
        <f t="shared" si="2"/>
        <v>60.24</v>
      </c>
      <c r="L65" s="550">
        <f t="shared" si="4"/>
        <v>0</v>
      </c>
      <c r="N65" s="550"/>
      <c r="O65" s="1012"/>
      <c r="P65" s="1013"/>
      <c r="U65" s="551"/>
      <c r="V65" s="1013"/>
      <c r="W65" s="1013"/>
    </row>
    <row r="66" spans="1:23" s="1011" customFormat="1" x14ac:dyDescent="0.25">
      <c r="A66" s="1195" t="s">
        <v>683</v>
      </c>
      <c r="B66" s="1195">
        <v>20100002</v>
      </c>
      <c r="C66" s="1195">
        <v>3</v>
      </c>
      <c r="D66" s="1195" t="s">
        <v>6</v>
      </c>
      <c r="E66" s="1195" t="s">
        <v>158</v>
      </c>
      <c r="F66" s="1196" t="s">
        <v>1253</v>
      </c>
      <c r="G66" s="550">
        <v>0</v>
      </c>
      <c r="H66" s="550">
        <v>0</v>
      </c>
      <c r="I66" s="1201">
        <f t="shared" si="0"/>
        <v>0</v>
      </c>
      <c r="J66" s="1197">
        <v>0</v>
      </c>
      <c r="K66" s="550">
        <f t="shared" si="2"/>
        <v>0</v>
      </c>
      <c r="L66" s="550">
        <f t="shared" si="4"/>
        <v>0</v>
      </c>
      <c r="N66" s="550"/>
      <c r="O66" s="1012"/>
      <c r="P66" s="1013"/>
      <c r="U66" s="551"/>
      <c r="V66" s="1013"/>
      <c r="W66" s="1013"/>
    </row>
    <row r="67" spans="1:23" s="1011" customFormat="1" x14ac:dyDescent="0.25">
      <c r="A67" s="1195" t="s">
        <v>683</v>
      </c>
      <c r="B67" s="1195">
        <v>20100004</v>
      </c>
      <c r="C67" s="1195">
        <v>3</v>
      </c>
      <c r="D67" s="1195" t="s">
        <v>6</v>
      </c>
      <c r="E67" s="1195" t="s">
        <v>158</v>
      </c>
      <c r="F67" s="1196" t="s">
        <v>857</v>
      </c>
      <c r="G67" s="550">
        <v>41000</v>
      </c>
      <c r="H67" s="550">
        <v>0</v>
      </c>
      <c r="I67" s="1201">
        <f t="shared" si="0"/>
        <v>41000</v>
      </c>
      <c r="J67" s="1197">
        <v>0</v>
      </c>
      <c r="K67" s="550">
        <f t="shared" si="2"/>
        <v>41000</v>
      </c>
      <c r="L67" s="550">
        <f t="shared" si="4"/>
        <v>0</v>
      </c>
      <c r="N67" s="550"/>
      <c r="O67" s="1012"/>
      <c r="P67" s="1013"/>
      <c r="U67" s="551"/>
      <c r="V67" s="1013"/>
      <c r="W67" s="1013"/>
    </row>
    <row r="68" spans="1:23" s="1011" customFormat="1" x14ac:dyDescent="0.25">
      <c r="A68" s="1195" t="s">
        <v>683</v>
      </c>
      <c r="B68" s="1195">
        <v>40700034</v>
      </c>
      <c r="C68" s="1195">
        <v>3</v>
      </c>
      <c r="D68" s="1195" t="s">
        <v>6</v>
      </c>
      <c r="E68" s="1195" t="s">
        <v>158</v>
      </c>
      <c r="F68" s="1196" t="s">
        <v>517</v>
      </c>
      <c r="G68" s="550">
        <v>0</v>
      </c>
      <c r="H68" s="550">
        <v>0</v>
      </c>
      <c r="I68" s="1201">
        <f t="shared" si="0"/>
        <v>0</v>
      </c>
      <c r="J68" s="550">
        <v>0</v>
      </c>
      <c r="K68" s="550">
        <f>I68-J68</f>
        <v>0</v>
      </c>
      <c r="L68" s="550">
        <f>I68-J68-K68</f>
        <v>0</v>
      </c>
      <c r="N68" s="550"/>
      <c r="O68" s="1012"/>
      <c r="P68" s="1013"/>
      <c r="U68" s="551"/>
      <c r="V68" s="1013"/>
      <c r="W68" s="1013"/>
    </row>
    <row r="69" spans="1:23" s="1011" customFormat="1" x14ac:dyDescent="0.25">
      <c r="A69" s="1195" t="s">
        <v>683</v>
      </c>
      <c r="B69" s="1195">
        <v>20000005</v>
      </c>
      <c r="C69" s="1195">
        <v>3</v>
      </c>
      <c r="D69" s="1195" t="s">
        <v>6</v>
      </c>
      <c r="E69" s="1195" t="s">
        <v>1322</v>
      </c>
      <c r="F69" s="1195" t="s">
        <v>1322</v>
      </c>
      <c r="G69" s="550">
        <v>19595727</v>
      </c>
      <c r="H69" s="550">
        <v>0</v>
      </c>
      <c r="I69" s="1201">
        <f t="shared" si="0"/>
        <v>19595727</v>
      </c>
      <c r="J69" s="550">
        <v>0</v>
      </c>
      <c r="K69" s="550">
        <f t="shared" ref="K69:K74" si="5">I69-J69</f>
        <v>19595727</v>
      </c>
      <c r="L69" s="550"/>
      <c r="N69" s="550"/>
      <c r="O69" s="1012"/>
      <c r="P69" s="1013"/>
      <c r="U69" s="551"/>
      <c r="V69" s="1013"/>
      <c r="W69" s="1013"/>
    </row>
    <row r="70" spans="1:23" s="1011" customFormat="1" x14ac:dyDescent="0.25">
      <c r="A70" s="1195" t="s">
        <v>683</v>
      </c>
      <c r="B70" s="1195">
        <v>20000009</v>
      </c>
      <c r="C70" s="1195">
        <v>3</v>
      </c>
      <c r="D70" s="1195" t="s">
        <v>6</v>
      </c>
      <c r="E70" s="1195" t="s">
        <v>1323</v>
      </c>
      <c r="F70" s="1195" t="s">
        <v>1323</v>
      </c>
      <c r="G70" s="550">
        <v>20587570.109999899</v>
      </c>
      <c r="H70" s="550">
        <v>0</v>
      </c>
      <c r="I70" s="1201">
        <f t="shared" si="0"/>
        <v>20587570.109999899</v>
      </c>
      <c r="J70" s="550">
        <v>0</v>
      </c>
      <c r="K70" s="550">
        <f t="shared" si="5"/>
        <v>20587570.109999899</v>
      </c>
      <c r="L70" s="550"/>
      <c r="N70" s="550"/>
      <c r="O70" s="1012"/>
      <c r="P70" s="1013"/>
      <c r="U70" s="551"/>
      <c r="V70" s="1013"/>
      <c r="W70" s="1013"/>
    </row>
    <row r="71" spans="1:23" s="1011" customFormat="1" x14ac:dyDescent="0.25">
      <c r="A71" s="1195" t="s">
        <v>683</v>
      </c>
      <c r="B71" s="1195">
        <v>20000011</v>
      </c>
      <c r="C71" s="1195">
        <v>3</v>
      </c>
      <c r="D71" s="1195" t="s">
        <v>6</v>
      </c>
      <c r="E71" s="1195" t="s">
        <v>1324</v>
      </c>
      <c r="F71" s="1195" t="s">
        <v>1324</v>
      </c>
      <c r="G71" s="550">
        <v>133494755.59</v>
      </c>
      <c r="H71" s="550">
        <v>0</v>
      </c>
      <c r="I71" s="1201">
        <f t="shared" ref="I71:I133" si="6">G71+H71</f>
        <v>133494755.59</v>
      </c>
      <c r="J71" s="550">
        <v>0</v>
      </c>
      <c r="K71" s="550">
        <f t="shared" si="5"/>
        <v>133494755.59</v>
      </c>
      <c r="L71" s="550"/>
      <c r="N71" s="550"/>
      <c r="O71" s="1012"/>
      <c r="P71" s="1013"/>
      <c r="U71" s="551"/>
      <c r="V71" s="1013"/>
      <c r="W71" s="1013"/>
    </row>
    <row r="72" spans="1:23" s="1011" customFormat="1" x14ac:dyDescent="0.25">
      <c r="A72" s="1195" t="s">
        <v>683</v>
      </c>
      <c r="B72" s="1195">
        <v>20000015</v>
      </c>
      <c r="C72" s="1195">
        <v>3</v>
      </c>
      <c r="D72" s="1195" t="s">
        <v>6</v>
      </c>
      <c r="E72" s="1195" t="s">
        <v>1325</v>
      </c>
      <c r="F72" s="1195" t="s">
        <v>1325</v>
      </c>
      <c r="G72" s="550">
        <v>4679369.24</v>
      </c>
      <c r="H72" s="550">
        <v>0</v>
      </c>
      <c r="I72" s="1201">
        <f t="shared" si="6"/>
        <v>4679369.24</v>
      </c>
      <c r="J72" s="550">
        <v>0</v>
      </c>
      <c r="K72" s="550">
        <f t="shared" si="5"/>
        <v>4679369.24</v>
      </c>
      <c r="L72" s="550"/>
      <c r="N72" s="550"/>
      <c r="O72" s="1012"/>
      <c r="P72" s="1013"/>
      <c r="U72" s="551"/>
      <c r="V72" s="1013"/>
      <c r="W72" s="1013"/>
    </row>
    <row r="73" spans="1:23" s="1011" customFormat="1" x14ac:dyDescent="0.25">
      <c r="A73" s="1195" t="s">
        <v>683</v>
      </c>
      <c r="B73" s="1195">
        <v>20100003</v>
      </c>
      <c r="C73" s="1195">
        <v>3</v>
      </c>
      <c r="D73" s="1195" t="s">
        <v>6</v>
      </c>
      <c r="E73" s="1195" t="s">
        <v>158</v>
      </c>
      <c r="F73" s="1196" t="s">
        <v>1326</v>
      </c>
      <c r="G73" s="550">
        <v>0</v>
      </c>
      <c r="H73" s="550">
        <v>-41060</v>
      </c>
      <c r="I73" s="1201">
        <f t="shared" si="6"/>
        <v>-41060</v>
      </c>
      <c r="J73" s="550">
        <v>0</v>
      </c>
      <c r="K73" s="550">
        <f t="shared" si="5"/>
        <v>-41060</v>
      </c>
      <c r="L73" s="550"/>
      <c r="N73" s="550"/>
      <c r="O73" s="1012"/>
      <c r="P73" s="1013"/>
      <c r="U73" s="551"/>
      <c r="V73" s="1013"/>
      <c r="W73" s="1013"/>
    </row>
    <row r="74" spans="1:23" s="1011" customFormat="1" x14ac:dyDescent="0.25">
      <c r="A74" s="1195" t="s">
        <v>683</v>
      </c>
      <c r="B74" s="1195">
        <v>20300000</v>
      </c>
      <c r="C74" s="1195">
        <f>VLOOKUP(D74,[4]Input!C:D,2,0)</f>
        <v>6</v>
      </c>
      <c r="D74" s="1195" t="s">
        <v>152</v>
      </c>
      <c r="E74" s="1195" t="s">
        <v>175</v>
      </c>
      <c r="F74" s="1196" t="s">
        <v>731</v>
      </c>
      <c r="G74" s="550">
        <v>27413904</v>
      </c>
      <c r="H74" s="550">
        <v>0</v>
      </c>
      <c r="I74" s="1201">
        <f t="shared" si="6"/>
        <v>27413904</v>
      </c>
      <c r="J74" s="550">
        <v>0</v>
      </c>
      <c r="K74" s="550">
        <f t="shared" si="5"/>
        <v>27413904</v>
      </c>
      <c r="L74" s="550">
        <f t="shared" si="4"/>
        <v>0</v>
      </c>
      <c r="N74" s="550"/>
      <c r="O74" s="1012"/>
      <c r="P74" s="1013"/>
      <c r="U74" s="551"/>
      <c r="V74" s="1013"/>
      <c r="W74" s="1013"/>
    </row>
    <row r="75" spans="1:23" s="1011" customFormat="1" x14ac:dyDescent="0.25">
      <c r="A75" s="1195" t="s">
        <v>683</v>
      </c>
      <c r="B75" s="1195">
        <v>20300004</v>
      </c>
      <c r="C75" s="1195">
        <f>VLOOKUP(D75,[4]Input!C:D,2,0)</f>
        <v>6</v>
      </c>
      <c r="D75" s="1195" t="s">
        <v>152</v>
      </c>
      <c r="E75" s="1195" t="s">
        <v>175</v>
      </c>
      <c r="F75" s="1196" t="s">
        <v>1254</v>
      </c>
      <c r="G75" s="550">
        <v>1000</v>
      </c>
      <c r="H75" s="550">
        <v>0</v>
      </c>
      <c r="I75" s="1201">
        <f t="shared" si="6"/>
        <v>1000</v>
      </c>
      <c r="J75" s="1197">
        <v>0</v>
      </c>
      <c r="K75" s="550">
        <f t="shared" si="2"/>
        <v>1000</v>
      </c>
      <c r="L75" s="550">
        <f t="shared" si="4"/>
        <v>0</v>
      </c>
      <c r="N75" s="550"/>
      <c r="O75" s="1012"/>
      <c r="P75" s="1013"/>
      <c r="U75" s="551"/>
      <c r="V75" s="1013"/>
      <c r="W75" s="1013"/>
    </row>
    <row r="76" spans="1:23" s="1385" customFormat="1" x14ac:dyDescent="0.25">
      <c r="A76" s="1375" t="s">
        <v>26</v>
      </c>
      <c r="B76" s="1375">
        <v>20400001</v>
      </c>
      <c r="C76" s="1375">
        <f>VLOOKUP(D76,[4]Input!C:D,2,0)</f>
        <v>4</v>
      </c>
      <c r="D76" s="1375" t="s">
        <v>31</v>
      </c>
      <c r="E76" s="1375" t="s">
        <v>31</v>
      </c>
      <c r="F76" s="1376" t="s">
        <v>1255</v>
      </c>
      <c r="G76" s="1377">
        <v>95917.279999999897</v>
      </c>
      <c r="H76" s="1377">
        <v>0</v>
      </c>
      <c r="I76" s="1378">
        <f t="shared" si="6"/>
        <v>95917.279999999897</v>
      </c>
      <c r="J76" s="1379">
        <f>I76</f>
        <v>95917.279999999897</v>
      </c>
      <c r="K76" s="1377">
        <f t="shared" si="2"/>
        <v>0</v>
      </c>
      <c r="L76" s="1377">
        <f t="shared" si="4"/>
        <v>0</v>
      </c>
      <c r="N76" s="1377"/>
      <c r="O76" s="1383"/>
      <c r="P76" s="1384"/>
      <c r="U76" s="1386"/>
      <c r="V76" s="1384"/>
      <c r="W76" s="1384"/>
    </row>
    <row r="77" spans="1:23" s="1011" customFormat="1" x14ac:dyDescent="0.25">
      <c r="A77" s="1195" t="s">
        <v>683</v>
      </c>
      <c r="B77" s="1195">
        <v>20500000</v>
      </c>
      <c r="C77" s="1195">
        <v>9</v>
      </c>
      <c r="D77" s="1195" t="s">
        <v>159</v>
      </c>
      <c r="E77" s="1195" t="s">
        <v>890</v>
      </c>
      <c r="F77" s="1196" t="s">
        <v>732</v>
      </c>
      <c r="G77" s="550">
        <v>32146506.07</v>
      </c>
      <c r="H77" s="550">
        <v>0</v>
      </c>
      <c r="I77" s="1201">
        <f t="shared" si="6"/>
        <v>32146506.07</v>
      </c>
      <c r="J77" s="1197">
        <f t="shared" ref="J77:J92" si="7">I77</f>
        <v>32146506.07</v>
      </c>
      <c r="K77" s="550">
        <f t="shared" si="2"/>
        <v>0</v>
      </c>
      <c r="L77" s="550">
        <f t="shared" si="4"/>
        <v>0</v>
      </c>
      <c r="N77" s="550"/>
      <c r="O77" s="1012"/>
      <c r="P77" s="1013"/>
      <c r="U77" s="551"/>
      <c r="V77" s="1013"/>
      <c r="W77" s="1013"/>
    </row>
    <row r="78" spans="1:23" s="1011" customFormat="1" x14ac:dyDescent="0.25">
      <c r="A78" s="1195" t="s">
        <v>683</v>
      </c>
      <c r="B78" s="1195">
        <v>20500001</v>
      </c>
      <c r="C78" s="1195">
        <v>9</v>
      </c>
      <c r="D78" s="1195" t="s">
        <v>159</v>
      </c>
      <c r="E78" s="1195" t="s">
        <v>839</v>
      </c>
      <c r="F78" s="1196" t="s">
        <v>1256</v>
      </c>
      <c r="G78" s="550">
        <v>2090466.1399999899</v>
      </c>
      <c r="H78" s="550">
        <v>0</v>
      </c>
      <c r="I78" s="1201">
        <f t="shared" si="6"/>
        <v>2090466.1399999899</v>
      </c>
      <c r="J78" s="1197">
        <f t="shared" si="7"/>
        <v>2090466.1399999899</v>
      </c>
      <c r="K78" s="550">
        <f t="shared" si="2"/>
        <v>0</v>
      </c>
      <c r="L78" s="550">
        <f t="shared" si="4"/>
        <v>0</v>
      </c>
      <c r="N78" s="550"/>
      <c r="O78" s="1012"/>
      <c r="P78" s="1013"/>
      <c r="U78" s="551"/>
      <c r="V78" s="1013"/>
      <c r="W78" s="1013"/>
    </row>
    <row r="79" spans="1:23" s="1011" customFormat="1" x14ac:dyDescent="0.25">
      <c r="A79" s="1195" t="s">
        <v>683</v>
      </c>
      <c r="B79" s="1195">
        <v>20500002</v>
      </c>
      <c r="C79" s="1195">
        <v>9</v>
      </c>
      <c r="D79" s="1195" t="s">
        <v>159</v>
      </c>
      <c r="E79" s="1195" t="s">
        <v>735</v>
      </c>
      <c r="F79" s="1196" t="s">
        <v>1192</v>
      </c>
      <c r="G79" s="550">
        <v>1514975.1899999899</v>
      </c>
      <c r="H79" s="550">
        <v>0</v>
      </c>
      <c r="I79" s="1201">
        <f t="shared" si="6"/>
        <v>1514975.1899999899</v>
      </c>
      <c r="J79" s="1197">
        <f t="shared" si="7"/>
        <v>1514975.1899999899</v>
      </c>
      <c r="K79" s="550">
        <f t="shared" si="2"/>
        <v>0</v>
      </c>
      <c r="L79" s="550">
        <f t="shared" si="4"/>
        <v>0</v>
      </c>
      <c r="N79" s="550"/>
      <c r="O79" s="1012"/>
      <c r="P79" s="1013"/>
      <c r="U79" s="551"/>
      <c r="V79" s="1013"/>
      <c r="W79" s="1013"/>
    </row>
    <row r="80" spans="1:23" s="1011" customFormat="1" x14ac:dyDescent="0.25">
      <c r="A80" s="1195" t="s">
        <v>683</v>
      </c>
      <c r="B80" s="1195">
        <v>20500003</v>
      </c>
      <c r="C80" s="1195">
        <v>9</v>
      </c>
      <c r="D80" s="1195" t="s">
        <v>159</v>
      </c>
      <c r="E80" s="1195" t="s">
        <v>733</v>
      </c>
      <c r="F80" s="1196" t="s">
        <v>734</v>
      </c>
      <c r="G80" s="550">
        <v>0</v>
      </c>
      <c r="H80" s="550">
        <v>0</v>
      </c>
      <c r="I80" s="1201">
        <f t="shared" si="6"/>
        <v>0</v>
      </c>
      <c r="J80" s="1197">
        <f t="shared" si="7"/>
        <v>0</v>
      </c>
      <c r="K80" s="550">
        <f t="shared" si="2"/>
        <v>0</v>
      </c>
      <c r="L80" s="550">
        <f t="shared" si="4"/>
        <v>0</v>
      </c>
      <c r="N80" s="550"/>
      <c r="O80" s="1012"/>
      <c r="P80" s="1013"/>
      <c r="U80" s="551"/>
      <c r="V80" s="1013"/>
      <c r="W80" s="1013"/>
    </row>
    <row r="81" spans="1:23" s="1011" customFormat="1" x14ac:dyDescent="0.25">
      <c r="A81" s="1195" t="s">
        <v>683</v>
      </c>
      <c r="B81" s="1195">
        <v>20500005</v>
      </c>
      <c r="C81" s="1195">
        <v>9</v>
      </c>
      <c r="D81" s="1195" t="s">
        <v>159</v>
      </c>
      <c r="E81" s="1195" t="s">
        <v>735</v>
      </c>
      <c r="F81" s="1196" t="s">
        <v>736</v>
      </c>
      <c r="G81" s="550">
        <v>5470168.6399999904</v>
      </c>
      <c r="H81" s="550">
        <v>0</v>
      </c>
      <c r="I81" s="1201">
        <f t="shared" si="6"/>
        <v>5470168.6399999904</v>
      </c>
      <c r="J81" s="1197">
        <f t="shared" si="7"/>
        <v>5470168.6399999904</v>
      </c>
      <c r="K81" s="550">
        <f t="shared" si="2"/>
        <v>0</v>
      </c>
      <c r="L81" s="550">
        <f t="shared" si="4"/>
        <v>0</v>
      </c>
      <c r="N81" s="550"/>
      <c r="O81" s="1012"/>
      <c r="P81" s="1013"/>
      <c r="U81" s="551"/>
      <c r="V81" s="1013"/>
      <c r="W81" s="1013"/>
    </row>
    <row r="82" spans="1:23" s="1011" customFormat="1" x14ac:dyDescent="0.25">
      <c r="A82" s="1195" t="s">
        <v>683</v>
      </c>
      <c r="B82" s="1199">
        <v>20500006</v>
      </c>
      <c r="C82" s="1195">
        <v>9</v>
      </c>
      <c r="D82" s="1195" t="s">
        <v>159</v>
      </c>
      <c r="E82" s="1199" t="s">
        <v>891</v>
      </c>
      <c r="F82" s="1196" t="s">
        <v>1257</v>
      </c>
      <c r="G82" s="550">
        <v>0</v>
      </c>
      <c r="H82" s="550">
        <v>0</v>
      </c>
      <c r="I82" s="1201">
        <f t="shared" si="6"/>
        <v>0</v>
      </c>
      <c r="J82" s="545">
        <f t="shared" si="7"/>
        <v>0</v>
      </c>
      <c r="K82" s="550">
        <f t="shared" si="2"/>
        <v>0</v>
      </c>
      <c r="L82" s="550">
        <f t="shared" si="4"/>
        <v>0</v>
      </c>
      <c r="N82" s="550"/>
      <c r="O82" s="1012"/>
      <c r="P82" s="1013"/>
      <c r="U82" s="551"/>
      <c r="V82" s="1013"/>
      <c r="W82" s="1013"/>
    </row>
    <row r="83" spans="1:23" s="1011" customFormat="1" x14ac:dyDescent="0.25">
      <c r="A83" s="1195" t="s">
        <v>683</v>
      </c>
      <c r="B83" s="1195">
        <v>20500008</v>
      </c>
      <c r="C83" s="1195">
        <v>9</v>
      </c>
      <c r="D83" s="1195" t="s">
        <v>159</v>
      </c>
      <c r="E83" s="1195" t="s">
        <v>733</v>
      </c>
      <c r="F83" s="1196" t="s">
        <v>1258</v>
      </c>
      <c r="G83" s="550">
        <v>39908783.710000001</v>
      </c>
      <c r="H83" s="550">
        <v>0</v>
      </c>
      <c r="I83" s="1201">
        <f t="shared" si="6"/>
        <v>39908783.710000001</v>
      </c>
      <c r="J83" s="1197">
        <f t="shared" si="7"/>
        <v>39908783.710000001</v>
      </c>
      <c r="K83" s="550">
        <f t="shared" ref="K83:K104" si="8">I83-J83</f>
        <v>0</v>
      </c>
      <c r="L83" s="550">
        <f t="shared" si="4"/>
        <v>0</v>
      </c>
      <c r="N83" s="550"/>
      <c r="O83" s="1012"/>
      <c r="P83" s="1013"/>
      <c r="U83" s="551"/>
      <c r="V83" s="1013"/>
      <c r="W83" s="1013"/>
    </row>
    <row r="84" spans="1:23" s="1011" customFormat="1" x14ac:dyDescent="0.25">
      <c r="A84" s="1195" t="s">
        <v>683</v>
      </c>
      <c r="B84" s="1195">
        <v>20600001</v>
      </c>
      <c r="C84" s="1195">
        <v>10</v>
      </c>
      <c r="D84" s="1195" t="s">
        <v>737</v>
      </c>
      <c r="E84" s="1195" t="s">
        <v>738</v>
      </c>
      <c r="F84" s="1196" t="s">
        <v>739</v>
      </c>
      <c r="G84" s="550">
        <v>44942032.4799999</v>
      </c>
      <c r="H84" s="550">
        <v>0</v>
      </c>
      <c r="I84" s="1201">
        <f t="shared" si="6"/>
        <v>44942032.4799999</v>
      </c>
      <c r="J84" s="1197">
        <f t="shared" si="7"/>
        <v>44942032.4799999</v>
      </c>
      <c r="K84" s="550">
        <f t="shared" si="8"/>
        <v>0</v>
      </c>
      <c r="L84" s="550">
        <f t="shared" si="4"/>
        <v>0</v>
      </c>
      <c r="N84" s="550"/>
      <c r="O84" s="1012"/>
      <c r="P84" s="1013"/>
      <c r="U84" s="551"/>
      <c r="V84" s="1013"/>
      <c r="W84" s="1013"/>
    </row>
    <row r="85" spans="1:23" s="1011" customFormat="1" x14ac:dyDescent="0.25">
      <c r="A85" s="1195" t="s">
        <v>683</v>
      </c>
      <c r="B85" s="1195">
        <v>20600004</v>
      </c>
      <c r="C85" s="1195">
        <v>10</v>
      </c>
      <c r="D85" s="1195" t="s">
        <v>737</v>
      </c>
      <c r="E85" s="1195" t="s">
        <v>738</v>
      </c>
      <c r="F85" s="1196" t="s">
        <v>740</v>
      </c>
      <c r="G85" s="550">
        <v>633961.30000000005</v>
      </c>
      <c r="H85" s="550">
        <v>0</v>
      </c>
      <c r="I85" s="1201">
        <f t="shared" si="6"/>
        <v>633961.30000000005</v>
      </c>
      <c r="J85" s="1197">
        <f t="shared" si="7"/>
        <v>633961.30000000005</v>
      </c>
      <c r="K85" s="550">
        <f t="shared" si="8"/>
        <v>0</v>
      </c>
      <c r="L85" s="550">
        <f t="shared" si="4"/>
        <v>0</v>
      </c>
      <c r="N85" s="550"/>
      <c r="O85" s="1012"/>
      <c r="P85" s="1013"/>
      <c r="U85" s="551"/>
      <c r="V85" s="1013"/>
      <c r="W85" s="1013"/>
    </row>
    <row r="86" spans="1:23" s="1011" customFormat="1" x14ac:dyDescent="0.25">
      <c r="A86" s="1195" t="s">
        <v>683</v>
      </c>
      <c r="B86" s="1199">
        <v>20600006</v>
      </c>
      <c r="C86" s="1195">
        <v>10</v>
      </c>
      <c r="D86" s="1199" t="s">
        <v>737</v>
      </c>
      <c r="E86" s="1199" t="s">
        <v>738</v>
      </c>
      <c r="F86" s="1196" t="s">
        <v>873</v>
      </c>
      <c r="G86" s="550">
        <v>0</v>
      </c>
      <c r="H86" s="550">
        <v>0</v>
      </c>
      <c r="I86" s="1201">
        <f t="shared" si="6"/>
        <v>0</v>
      </c>
      <c r="J86" s="545">
        <f t="shared" si="7"/>
        <v>0</v>
      </c>
      <c r="K86" s="550">
        <f t="shared" si="8"/>
        <v>0</v>
      </c>
      <c r="L86" s="550">
        <f t="shared" si="4"/>
        <v>0</v>
      </c>
      <c r="N86" s="550"/>
      <c r="O86" s="1012"/>
      <c r="P86" s="1013"/>
      <c r="U86" s="551"/>
      <c r="V86" s="1013"/>
      <c r="W86" s="1013"/>
    </row>
    <row r="87" spans="1:23" s="1011" customFormat="1" x14ac:dyDescent="0.25">
      <c r="A87" s="1195" t="s">
        <v>683</v>
      </c>
      <c r="B87" s="1195">
        <v>20600009</v>
      </c>
      <c r="C87" s="1195">
        <v>10</v>
      </c>
      <c r="D87" s="1195" t="s">
        <v>737</v>
      </c>
      <c r="E87" s="1195" t="s">
        <v>738</v>
      </c>
      <c r="F87" s="1196" t="s">
        <v>741</v>
      </c>
      <c r="G87" s="550">
        <v>0</v>
      </c>
      <c r="H87" s="550">
        <v>-191373.5</v>
      </c>
      <c r="I87" s="1201">
        <f t="shared" si="6"/>
        <v>-191373.5</v>
      </c>
      <c r="J87" s="1197">
        <f t="shared" si="7"/>
        <v>-191373.5</v>
      </c>
      <c r="K87" s="550">
        <f t="shared" si="8"/>
        <v>0</v>
      </c>
      <c r="L87" s="550">
        <f t="shared" si="4"/>
        <v>0</v>
      </c>
      <c r="N87" s="550"/>
      <c r="O87" s="1012"/>
      <c r="P87" s="1013"/>
      <c r="U87" s="551"/>
      <c r="V87" s="1013"/>
      <c r="W87" s="1013"/>
    </row>
    <row r="88" spans="1:23" s="1011" customFormat="1" x14ac:dyDescent="0.25">
      <c r="A88" s="1195" t="s">
        <v>683</v>
      </c>
      <c r="B88" s="1195">
        <v>20800110</v>
      </c>
      <c r="C88" s="1195">
        <v>11</v>
      </c>
      <c r="D88" s="1195" t="s">
        <v>83</v>
      </c>
      <c r="E88" s="1195" t="s">
        <v>1318</v>
      </c>
      <c r="F88" s="1196" t="s">
        <v>1259</v>
      </c>
      <c r="G88" s="550">
        <v>475424.47999999899</v>
      </c>
      <c r="H88" s="550">
        <v>0</v>
      </c>
      <c r="I88" s="1201">
        <f t="shared" si="6"/>
        <v>475424.47999999899</v>
      </c>
      <c r="J88" s="1197">
        <f t="shared" si="7"/>
        <v>475424.47999999899</v>
      </c>
      <c r="K88" s="550">
        <f t="shared" si="8"/>
        <v>0</v>
      </c>
      <c r="L88" s="550">
        <f t="shared" si="4"/>
        <v>0</v>
      </c>
      <c r="N88" s="550"/>
      <c r="O88" s="1012"/>
      <c r="P88" s="1013"/>
      <c r="U88" s="551"/>
      <c r="V88" s="1013"/>
      <c r="W88" s="1013"/>
    </row>
    <row r="89" spans="1:23" s="1011" customFormat="1" x14ac:dyDescent="0.25">
      <c r="A89" s="1195" t="s">
        <v>683</v>
      </c>
      <c r="B89" s="1195">
        <v>20800111</v>
      </c>
      <c r="C89" s="1195">
        <v>11</v>
      </c>
      <c r="D89" s="1195" t="s">
        <v>83</v>
      </c>
      <c r="E89" s="1195" t="s">
        <v>1318</v>
      </c>
      <c r="F89" s="1196" t="s">
        <v>1259</v>
      </c>
      <c r="G89" s="550">
        <v>1194993284.8699901</v>
      </c>
      <c r="H89" s="550">
        <v>0</v>
      </c>
      <c r="I89" s="1201">
        <f t="shared" si="6"/>
        <v>1194993284.8699901</v>
      </c>
      <c r="J89" s="1197">
        <f t="shared" si="7"/>
        <v>1194993284.8699901</v>
      </c>
      <c r="K89" s="550">
        <f t="shared" si="8"/>
        <v>0</v>
      </c>
      <c r="L89" s="550">
        <f t="shared" si="4"/>
        <v>0</v>
      </c>
      <c r="N89" s="550"/>
      <c r="O89" s="1012"/>
      <c r="P89" s="1013"/>
      <c r="U89" s="551"/>
      <c r="V89" s="1013"/>
      <c r="W89" s="1013"/>
    </row>
    <row r="90" spans="1:23" s="1011" customFormat="1" x14ac:dyDescent="0.25">
      <c r="A90" s="1195" t="s">
        <v>683</v>
      </c>
      <c r="B90" s="1195">
        <v>20800112</v>
      </c>
      <c r="C90" s="1195">
        <v>11</v>
      </c>
      <c r="D90" s="1195" t="s">
        <v>83</v>
      </c>
      <c r="E90" s="1195" t="s">
        <v>1318</v>
      </c>
      <c r="F90" s="1196" t="s">
        <v>1259</v>
      </c>
      <c r="G90" s="550">
        <v>0</v>
      </c>
      <c r="H90" s="550">
        <v>-1196902487.3299899</v>
      </c>
      <c r="I90" s="1201">
        <f t="shared" si="6"/>
        <v>-1196902487.3299899</v>
      </c>
      <c r="J90" s="1197">
        <f t="shared" si="7"/>
        <v>-1196902487.3299899</v>
      </c>
      <c r="K90" s="550">
        <f t="shared" si="8"/>
        <v>0</v>
      </c>
      <c r="L90" s="550">
        <f t="shared" si="4"/>
        <v>0</v>
      </c>
      <c r="N90" s="550"/>
      <c r="O90" s="1012"/>
      <c r="P90" s="1013"/>
      <c r="U90" s="551"/>
      <c r="V90" s="1013"/>
      <c r="W90" s="1013"/>
    </row>
    <row r="91" spans="1:23" s="1011" customFormat="1" x14ac:dyDescent="0.25">
      <c r="A91" s="1195" t="s">
        <v>683</v>
      </c>
      <c r="B91" s="1195">
        <v>20800121</v>
      </c>
      <c r="C91" s="1195">
        <v>11</v>
      </c>
      <c r="D91" s="1195" t="s">
        <v>1235</v>
      </c>
      <c r="E91" s="1195" t="s">
        <v>121</v>
      </c>
      <c r="F91" s="1196" t="s">
        <v>1260</v>
      </c>
      <c r="G91" s="550">
        <v>5669741007.0799904</v>
      </c>
      <c r="H91" s="550">
        <v>0</v>
      </c>
      <c r="I91" s="1201">
        <f t="shared" si="6"/>
        <v>5669741007.0799904</v>
      </c>
      <c r="J91" s="1197">
        <f t="shared" si="7"/>
        <v>5669741007.0799904</v>
      </c>
      <c r="K91" s="550">
        <f t="shared" si="8"/>
        <v>0</v>
      </c>
      <c r="L91" s="550">
        <f t="shared" si="4"/>
        <v>0</v>
      </c>
      <c r="N91" s="550"/>
      <c r="O91" s="1012"/>
      <c r="P91" s="1013"/>
      <c r="U91" s="551"/>
      <c r="V91" s="1013"/>
      <c r="W91" s="1013"/>
    </row>
    <row r="92" spans="1:23" s="1011" customFormat="1" x14ac:dyDescent="0.25">
      <c r="A92" s="1195" t="s">
        <v>683</v>
      </c>
      <c r="B92" s="1195">
        <v>20800122</v>
      </c>
      <c r="C92" s="1195">
        <v>11</v>
      </c>
      <c r="D92" s="1195" t="s">
        <v>1235</v>
      </c>
      <c r="E92" s="1195" t="s">
        <v>121</v>
      </c>
      <c r="F92" s="1196" t="s">
        <v>1260</v>
      </c>
      <c r="G92" s="550">
        <v>0</v>
      </c>
      <c r="H92" s="550">
        <v>-5667521755.0799904</v>
      </c>
      <c r="I92" s="1201">
        <f t="shared" si="6"/>
        <v>-5667521755.0799904</v>
      </c>
      <c r="J92" s="1197">
        <f t="shared" si="7"/>
        <v>-5667521755.0799904</v>
      </c>
      <c r="K92" s="550">
        <f t="shared" si="8"/>
        <v>0</v>
      </c>
      <c r="L92" s="550">
        <f t="shared" si="4"/>
        <v>0</v>
      </c>
      <c r="N92" s="550"/>
      <c r="O92" s="1012"/>
      <c r="P92" s="1013"/>
      <c r="U92" s="551"/>
      <c r="V92" s="1013"/>
      <c r="W92" s="1013"/>
    </row>
    <row r="93" spans="1:23" s="1011" customFormat="1" x14ac:dyDescent="0.25">
      <c r="A93" s="1195" t="s">
        <v>683</v>
      </c>
      <c r="B93" s="1195">
        <v>20900003</v>
      </c>
      <c r="C93" s="1195">
        <v>6</v>
      </c>
      <c r="D93" s="1195" t="s">
        <v>152</v>
      </c>
      <c r="E93" s="1202" t="s">
        <v>1078</v>
      </c>
      <c r="F93" s="1196" t="s">
        <v>743</v>
      </c>
      <c r="G93" s="550">
        <v>5036678</v>
      </c>
      <c r="H93" s="550">
        <v>0</v>
      </c>
      <c r="I93" s="1201">
        <f t="shared" si="6"/>
        <v>5036678</v>
      </c>
      <c r="J93" s="550">
        <v>0</v>
      </c>
      <c r="K93" s="550">
        <f t="shared" si="8"/>
        <v>5036678</v>
      </c>
      <c r="L93" s="550">
        <f t="shared" si="4"/>
        <v>0</v>
      </c>
      <c r="N93" s="550"/>
      <c r="O93" s="1012"/>
      <c r="P93" s="1013"/>
      <c r="U93" s="551"/>
      <c r="V93" s="1013"/>
      <c r="W93" s="1013"/>
    </row>
    <row r="94" spans="1:23" s="1011" customFormat="1" x14ac:dyDescent="0.25">
      <c r="A94" s="1195" t="s">
        <v>683</v>
      </c>
      <c r="B94" s="1195">
        <v>21000003</v>
      </c>
      <c r="C94" s="1195">
        <v>7</v>
      </c>
      <c r="D94" s="1195" t="s">
        <v>927</v>
      </c>
      <c r="E94" s="1195" t="s">
        <v>1153</v>
      </c>
      <c r="F94" s="1196" t="s">
        <v>744</v>
      </c>
      <c r="G94" s="550">
        <v>35799</v>
      </c>
      <c r="H94" s="550">
        <v>0</v>
      </c>
      <c r="I94" s="1201">
        <f t="shared" si="6"/>
        <v>35799</v>
      </c>
      <c r="J94" s="1197">
        <v>0</v>
      </c>
      <c r="K94" s="550">
        <f t="shared" si="8"/>
        <v>35799</v>
      </c>
      <c r="L94" s="550">
        <f t="shared" si="4"/>
        <v>0</v>
      </c>
      <c r="N94" s="550"/>
      <c r="O94" s="1012"/>
      <c r="P94" s="1013"/>
      <c r="U94" s="551"/>
      <c r="V94" s="1013"/>
      <c r="W94" s="1013"/>
    </row>
    <row r="95" spans="1:23" s="1011" customFormat="1" x14ac:dyDescent="0.25">
      <c r="A95" s="1195" t="s">
        <v>683</v>
      </c>
      <c r="B95" s="1195">
        <v>21000004</v>
      </c>
      <c r="C95" s="1195">
        <v>7</v>
      </c>
      <c r="D95" s="1195" t="s">
        <v>927</v>
      </c>
      <c r="E95" s="1195" t="s">
        <v>1153</v>
      </c>
      <c r="F95" s="1196" t="s">
        <v>745</v>
      </c>
      <c r="G95" s="550">
        <v>1281187.08</v>
      </c>
      <c r="H95" s="550">
        <v>0</v>
      </c>
      <c r="I95" s="1201">
        <f t="shared" si="6"/>
        <v>1281187.08</v>
      </c>
      <c r="J95" s="1197">
        <v>0</v>
      </c>
      <c r="K95" s="550">
        <f t="shared" si="8"/>
        <v>1281187.08</v>
      </c>
      <c r="L95" s="550">
        <f t="shared" si="4"/>
        <v>0</v>
      </c>
      <c r="N95" s="550"/>
      <c r="O95" s="1012"/>
      <c r="P95" s="1013"/>
      <c r="U95" s="551"/>
      <c r="V95" s="1013"/>
      <c r="W95" s="1013"/>
    </row>
    <row r="96" spans="1:23" s="1011" customFormat="1" x14ac:dyDescent="0.25">
      <c r="A96" s="1195" t="s">
        <v>683</v>
      </c>
      <c r="B96" s="1195">
        <v>21000011</v>
      </c>
      <c r="C96" s="1195">
        <v>12</v>
      </c>
      <c r="D96" s="1195" t="s">
        <v>17</v>
      </c>
      <c r="E96" s="1195" t="s">
        <v>591</v>
      </c>
      <c r="F96" s="1196" t="s">
        <v>191</v>
      </c>
      <c r="G96" s="550">
        <v>212112768.58000001</v>
      </c>
      <c r="H96" s="550">
        <v>0</v>
      </c>
      <c r="I96" s="1201">
        <f t="shared" si="6"/>
        <v>212112768.58000001</v>
      </c>
      <c r="J96" s="1197">
        <f>I96</f>
        <v>212112768.58000001</v>
      </c>
      <c r="K96" s="550">
        <f t="shared" si="8"/>
        <v>0</v>
      </c>
      <c r="L96" s="550">
        <f t="shared" si="4"/>
        <v>0</v>
      </c>
      <c r="N96" s="550"/>
      <c r="O96" s="1012"/>
      <c r="P96" s="1013"/>
      <c r="U96" s="551"/>
      <c r="V96" s="1013"/>
      <c r="W96" s="1013"/>
    </row>
    <row r="97" spans="1:23" s="1011" customFormat="1" x14ac:dyDescent="0.25">
      <c r="A97" s="1195" t="s">
        <v>683</v>
      </c>
      <c r="B97" s="1195">
        <v>21000012</v>
      </c>
      <c r="C97" s="1195">
        <v>12</v>
      </c>
      <c r="D97" s="1195" t="s">
        <v>17</v>
      </c>
      <c r="E97" s="1195" t="s">
        <v>591</v>
      </c>
      <c r="F97" s="1196" t="s">
        <v>192</v>
      </c>
      <c r="G97" s="550">
        <v>87084777</v>
      </c>
      <c r="H97" s="550">
        <v>0</v>
      </c>
      <c r="I97" s="1201">
        <f t="shared" si="6"/>
        <v>87084777</v>
      </c>
      <c r="J97" s="1197">
        <f>I97</f>
        <v>87084777</v>
      </c>
      <c r="K97" s="550">
        <f t="shared" si="8"/>
        <v>0</v>
      </c>
      <c r="L97" s="550">
        <f t="shared" si="4"/>
        <v>0</v>
      </c>
      <c r="N97" s="550"/>
      <c r="O97" s="1012"/>
      <c r="P97" s="1013"/>
      <c r="U97" s="551"/>
      <c r="V97" s="1013"/>
      <c r="W97" s="1013"/>
    </row>
    <row r="98" spans="1:23" s="1011" customFormat="1" x14ac:dyDescent="0.25">
      <c r="A98" s="1195" t="s">
        <v>683</v>
      </c>
      <c r="B98" s="1195">
        <v>21000013</v>
      </c>
      <c r="C98" s="1195">
        <v>12</v>
      </c>
      <c r="D98" s="1195" t="s">
        <v>17</v>
      </c>
      <c r="E98" s="1195" t="s">
        <v>591</v>
      </c>
      <c r="F98" s="1196" t="s">
        <v>193</v>
      </c>
      <c r="G98" s="550">
        <v>212112768.58000001</v>
      </c>
      <c r="H98" s="550">
        <v>0</v>
      </c>
      <c r="I98" s="1201">
        <f t="shared" si="6"/>
        <v>212112768.58000001</v>
      </c>
      <c r="J98" s="1197">
        <f>I98</f>
        <v>212112768.58000001</v>
      </c>
      <c r="K98" s="550">
        <f t="shared" si="8"/>
        <v>0</v>
      </c>
      <c r="L98" s="550">
        <f t="shared" si="4"/>
        <v>0</v>
      </c>
      <c r="N98" s="550"/>
      <c r="O98" s="1012"/>
      <c r="P98" s="1013"/>
      <c r="U98" s="551"/>
      <c r="V98" s="1013"/>
      <c r="W98" s="1013"/>
    </row>
    <row r="99" spans="1:23" s="1011" customFormat="1" x14ac:dyDescent="0.25">
      <c r="A99" s="1195" t="s">
        <v>683</v>
      </c>
      <c r="B99" s="1195">
        <v>21000016</v>
      </c>
      <c r="C99" s="1195">
        <v>7</v>
      </c>
      <c r="D99" s="1195" t="s">
        <v>927</v>
      </c>
      <c r="E99" s="1195" t="s">
        <v>1153</v>
      </c>
      <c r="F99" s="1196" t="s">
        <v>749</v>
      </c>
      <c r="G99" s="550">
        <v>24208.97</v>
      </c>
      <c r="H99" s="550">
        <v>0</v>
      </c>
      <c r="I99" s="1201">
        <f t="shared" si="6"/>
        <v>24208.97</v>
      </c>
      <c r="J99" s="1197">
        <v>0</v>
      </c>
      <c r="K99" s="550">
        <f t="shared" si="8"/>
        <v>24208.97</v>
      </c>
      <c r="L99" s="550">
        <f t="shared" si="4"/>
        <v>0</v>
      </c>
      <c r="N99" s="550"/>
      <c r="O99" s="1012"/>
      <c r="P99" s="1013"/>
      <c r="U99" s="551"/>
      <c r="V99" s="1013"/>
      <c r="W99" s="1013"/>
    </row>
    <row r="100" spans="1:23" s="1011" customFormat="1" x14ac:dyDescent="0.25">
      <c r="A100" s="1195" t="s">
        <v>683</v>
      </c>
      <c r="B100" s="1195">
        <v>21000018</v>
      </c>
      <c r="C100" s="1195">
        <v>12</v>
      </c>
      <c r="D100" s="1195" t="s">
        <v>17</v>
      </c>
      <c r="E100" s="1195" t="s">
        <v>591</v>
      </c>
      <c r="F100" s="1196" t="s">
        <v>750</v>
      </c>
      <c r="G100" s="550">
        <v>1497682</v>
      </c>
      <c r="H100" s="550">
        <v>0</v>
      </c>
      <c r="I100" s="1201">
        <f t="shared" si="6"/>
        <v>1497682</v>
      </c>
      <c r="J100" s="1197">
        <f>I100</f>
        <v>1497682</v>
      </c>
      <c r="K100" s="550">
        <f t="shared" si="8"/>
        <v>0</v>
      </c>
      <c r="L100" s="550">
        <f t="shared" si="4"/>
        <v>0</v>
      </c>
      <c r="N100" s="550"/>
      <c r="O100" s="1012"/>
      <c r="P100" s="1013"/>
      <c r="U100" s="551"/>
      <c r="V100" s="1013"/>
      <c r="W100" s="1013"/>
    </row>
    <row r="101" spans="1:23" s="1011" customFormat="1" x14ac:dyDescent="0.25">
      <c r="A101" s="1195" t="s">
        <v>683</v>
      </c>
      <c r="B101" s="1195">
        <v>21100004</v>
      </c>
      <c r="C101" s="1195">
        <v>12</v>
      </c>
      <c r="D101" s="1195" t="s">
        <v>17</v>
      </c>
      <c r="E101" s="1195" t="s">
        <v>751</v>
      </c>
      <c r="F101" s="1196" t="s">
        <v>1261</v>
      </c>
      <c r="G101" s="550">
        <v>758</v>
      </c>
      <c r="H101" s="550">
        <v>0</v>
      </c>
      <c r="I101" s="1201">
        <f t="shared" si="6"/>
        <v>758</v>
      </c>
      <c r="J101" s="1197">
        <f>I101</f>
        <v>758</v>
      </c>
      <c r="K101" s="550">
        <f t="shared" si="8"/>
        <v>0</v>
      </c>
      <c r="L101" s="550">
        <f t="shared" si="4"/>
        <v>0</v>
      </c>
      <c r="N101" s="550"/>
      <c r="O101" s="1012"/>
      <c r="P101" s="1013"/>
      <c r="U101" s="551"/>
      <c r="V101" s="1013"/>
      <c r="W101" s="1013"/>
    </row>
    <row r="102" spans="1:23" s="1011" customFormat="1" x14ac:dyDescent="0.25">
      <c r="A102" s="1195" t="s">
        <v>683</v>
      </c>
      <c r="B102" s="1195">
        <v>21100008</v>
      </c>
      <c r="C102" s="1195">
        <v>12</v>
      </c>
      <c r="D102" s="1195" t="s">
        <v>17</v>
      </c>
      <c r="E102" s="1195" t="s">
        <v>1193</v>
      </c>
      <c r="F102" s="1196" t="s">
        <v>1193</v>
      </c>
      <c r="G102" s="550">
        <v>6901653.5</v>
      </c>
      <c r="H102" s="550">
        <v>0</v>
      </c>
      <c r="I102" s="1201">
        <f t="shared" si="6"/>
        <v>6901653.5</v>
      </c>
      <c r="J102" s="1197">
        <f>I102</f>
        <v>6901653.5</v>
      </c>
      <c r="K102" s="550">
        <f t="shared" si="8"/>
        <v>0</v>
      </c>
      <c r="L102" s="550">
        <f t="shared" si="4"/>
        <v>0</v>
      </c>
      <c r="N102" s="550"/>
      <c r="O102" s="1012"/>
      <c r="P102" s="1013"/>
      <c r="U102" s="551"/>
      <c r="V102" s="1013"/>
      <c r="W102" s="1013"/>
    </row>
    <row r="103" spans="1:23" s="1011" customFormat="1" x14ac:dyDescent="0.25">
      <c r="A103" s="1195" t="s">
        <v>26</v>
      </c>
      <c r="B103" s="1195">
        <v>21100011</v>
      </c>
      <c r="C103" s="1195">
        <v>17</v>
      </c>
      <c r="D103" s="1195" t="s">
        <v>153</v>
      </c>
      <c r="E103" s="1195" t="s">
        <v>134</v>
      </c>
      <c r="F103" s="1196" t="s">
        <v>752</v>
      </c>
      <c r="G103" s="550">
        <v>1424896.1299999901</v>
      </c>
      <c r="H103" s="550">
        <v>0</v>
      </c>
      <c r="I103" s="1201">
        <f t="shared" si="6"/>
        <v>1424896.1299999901</v>
      </c>
      <c r="J103" s="1197">
        <f>I103</f>
        <v>1424896.1299999901</v>
      </c>
      <c r="K103" s="550">
        <f t="shared" si="8"/>
        <v>0</v>
      </c>
      <c r="L103" s="550">
        <f t="shared" si="4"/>
        <v>0</v>
      </c>
      <c r="N103" s="550"/>
      <c r="O103" s="1012"/>
      <c r="P103" s="1013"/>
      <c r="U103" s="551"/>
      <c r="V103" s="1013"/>
      <c r="W103" s="1013"/>
    </row>
    <row r="104" spans="1:23" s="1011" customFormat="1" x14ac:dyDescent="0.25">
      <c r="A104" s="1195" t="s">
        <v>683</v>
      </c>
      <c r="B104" s="1195">
        <v>21100014</v>
      </c>
      <c r="C104" s="1195">
        <f>VLOOKUP(D104,[4]Input!C:D,2,0)</f>
        <v>6</v>
      </c>
      <c r="D104" s="1195" t="s">
        <v>152</v>
      </c>
      <c r="E104" s="1195" t="s">
        <v>753</v>
      </c>
      <c r="F104" s="1196" t="s">
        <v>1262</v>
      </c>
      <c r="G104" s="550">
        <v>1230728.4399999899</v>
      </c>
      <c r="H104" s="550">
        <v>0</v>
      </c>
      <c r="I104" s="1201">
        <f t="shared" si="6"/>
        <v>1230728.4399999899</v>
      </c>
      <c r="J104" s="550">
        <v>0</v>
      </c>
      <c r="K104" s="550">
        <f t="shared" si="8"/>
        <v>1230728.4399999899</v>
      </c>
      <c r="L104" s="550">
        <f t="shared" si="4"/>
        <v>0</v>
      </c>
      <c r="N104" s="550"/>
      <c r="O104" s="1012"/>
      <c r="P104" s="1013"/>
      <c r="U104" s="551"/>
      <c r="V104" s="1013"/>
      <c r="W104" s="1013"/>
    </row>
    <row r="105" spans="1:23" s="1011" customFormat="1" x14ac:dyDescent="0.25">
      <c r="A105" s="1195" t="s">
        <v>717</v>
      </c>
      <c r="B105" s="1195">
        <v>30000000</v>
      </c>
      <c r="C105" s="1195">
        <v>20</v>
      </c>
      <c r="D105" s="1195" t="s">
        <v>754</v>
      </c>
      <c r="E105" s="1195" t="s">
        <v>755</v>
      </c>
      <c r="F105" s="1196" t="s">
        <v>756</v>
      </c>
      <c r="G105" s="550">
        <v>0</v>
      </c>
      <c r="H105" s="550">
        <v>-2896800</v>
      </c>
      <c r="I105" s="1232">
        <f t="shared" si="6"/>
        <v>-2896800</v>
      </c>
      <c r="J105" s="1197">
        <v>0</v>
      </c>
      <c r="K105" s="550">
        <v>0</v>
      </c>
      <c r="L105" s="550">
        <v>0</v>
      </c>
      <c r="N105" s="550"/>
      <c r="O105" s="1012"/>
      <c r="P105" s="1013"/>
      <c r="U105" s="551"/>
      <c r="V105" s="1013"/>
      <c r="W105" s="1013"/>
    </row>
    <row r="106" spans="1:23" s="1011" customFormat="1" x14ac:dyDescent="0.25">
      <c r="A106" s="1195" t="s">
        <v>717</v>
      </c>
      <c r="B106" s="1195">
        <v>30000001</v>
      </c>
      <c r="C106" s="1195">
        <v>20</v>
      </c>
      <c r="D106" s="1195" t="s">
        <v>754</v>
      </c>
      <c r="E106" s="1195" t="s">
        <v>755</v>
      </c>
      <c r="F106" s="1196" t="s">
        <v>757</v>
      </c>
      <c r="G106" s="550">
        <v>0</v>
      </c>
      <c r="H106" s="550">
        <v>-36004816.200000003</v>
      </c>
      <c r="I106" s="1232">
        <f t="shared" si="6"/>
        <v>-36004816.200000003</v>
      </c>
      <c r="J106" s="1197">
        <v>0</v>
      </c>
      <c r="K106" s="550">
        <v>0</v>
      </c>
      <c r="L106" s="550">
        <v>0</v>
      </c>
      <c r="N106" s="550"/>
      <c r="O106" s="1012"/>
      <c r="P106" s="1013"/>
      <c r="U106" s="551"/>
      <c r="V106" s="1013"/>
      <c r="W106" s="1013"/>
    </row>
    <row r="107" spans="1:23" s="1011" customFormat="1" x14ac:dyDescent="0.25">
      <c r="A107" s="1195" t="s">
        <v>717</v>
      </c>
      <c r="B107" s="1195">
        <v>30000004</v>
      </c>
      <c r="C107" s="1195">
        <v>20</v>
      </c>
      <c r="D107" s="1195" t="s">
        <v>754</v>
      </c>
      <c r="E107" s="1195" t="s">
        <v>755</v>
      </c>
      <c r="F107" s="1196" t="s">
        <v>1194</v>
      </c>
      <c r="G107" s="550">
        <v>0</v>
      </c>
      <c r="H107" s="550">
        <v>-4811525</v>
      </c>
      <c r="I107" s="1201">
        <f t="shared" si="6"/>
        <v>-4811525</v>
      </c>
      <c r="J107" s="1197">
        <v>0</v>
      </c>
      <c r="K107" s="550">
        <v>0</v>
      </c>
      <c r="L107" s="550">
        <v>0</v>
      </c>
      <c r="N107" s="550"/>
      <c r="O107" s="1012"/>
      <c r="P107" s="1013"/>
      <c r="U107" s="551"/>
      <c r="V107" s="1013"/>
      <c r="W107" s="1013"/>
    </row>
    <row r="108" spans="1:23" s="1011" customFormat="1" x14ac:dyDescent="0.25">
      <c r="A108" s="1199" t="s">
        <v>717</v>
      </c>
      <c r="B108" s="1199">
        <v>30000007</v>
      </c>
      <c r="C108" s="1195">
        <v>20</v>
      </c>
      <c r="D108" s="1199" t="s">
        <v>754</v>
      </c>
      <c r="E108" s="1199" t="s">
        <v>755</v>
      </c>
      <c r="F108" s="1196" t="s">
        <v>872</v>
      </c>
      <c r="G108" s="550">
        <v>0</v>
      </c>
      <c r="H108" s="550">
        <v>-1375000</v>
      </c>
      <c r="I108" s="1201">
        <f>G108+H108</f>
        <v>-1375000</v>
      </c>
      <c r="J108" s="1197">
        <v>0</v>
      </c>
      <c r="K108" s="550">
        <v>0</v>
      </c>
      <c r="L108" s="550">
        <v>0</v>
      </c>
      <c r="M108" s="1011" t="s">
        <v>1137</v>
      </c>
      <c r="N108" s="550"/>
      <c r="O108" s="1012"/>
      <c r="P108" s="1013"/>
      <c r="U108" s="551"/>
      <c r="V108" s="1013"/>
      <c r="W108" s="1013"/>
    </row>
    <row r="109" spans="1:23" s="1011" customFormat="1" x14ac:dyDescent="0.25">
      <c r="A109" s="1195" t="s">
        <v>717</v>
      </c>
      <c r="B109" s="1195">
        <v>30000008</v>
      </c>
      <c r="C109" s="1195">
        <v>20</v>
      </c>
      <c r="D109" s="1195" t="s">
        <v>754</v>
      </c>
      <c r="E109" s="1195" t="s">
        <v>755</v>
      </c>
      <c r="F109" s="1196" t="s">
        <v>1263</v>
      </c>
      <c r="G109" s="550">
        <v>0</v>
      </c>
      <c r="H109" s="550">
        <v>-69165987.239999905</v>
      </c>
      <c r="I109" s="1232">
        <f t="shared" si="6"/>
        <v>-69165987.239999905</v>
      </c>
      <c r="J109" s="1197">
        <v>0</v>
      </c>
      <c r="K109" s="550">
        <v>0</v>
      </c>
      <c r="L109" s="550">
        <v>0</v>
      </c>
      <c r="M109" s="1011" t="s">
        <v>1137</v>
      </c>
      <c r="N109" s="550"/>
      <c r="O109" s="1012"/>
      <c r="P109" s="1013"/>
      <c r="U109" s="551"/>
      <c r="V109" s="1013"/>
      <c r="W109" s="1013"/>
    </row>
    <row r="110" spans="1:23" x14ac:dyDescent="0.25">
      <c r="A110" s="1195" t="s">
        <v>717</v>
      </c>
      <c r="B110" s="1195">
        <v>30100001</v>
      </c>
      <c r="C110" s="1195">
        <v>21</v>
      </c>
      <c r="D110" s="1195" t="s">
        <v>45</v>
      </c>
      <c r="E110" s="1195" t="s">
        <v>758</v>
      </c>
      <c r="F110" s="1196" t="s">
        <v>1264</v>
      </c>
      <c r="G110" s="550">
        <v>0</v>
      </c>
      <c r="H110" s="550">
        <v>-226317.04</v>
      </c>
      <c r="I110" s="1201">
        <f t="shared" si="6"/>
        <v>-226317.04</v>
      </c>
      <c r="J110" s="1197">
        <v>0</v>
      </c>
      <c r="K110" s="550">
        <v>0</v>
      </c>
      <c r="L110" s="550">
        <v>0</v>
      </c>
      <c r="N110" s="1014"/>
    </row>
    <row r="111" spans="1:23" s="1011" customFormat="1" x14ac:dyDescent="0.25">
      <c r="A111" s="1195" t="s">
        <v>717</v>
      </c>
      <c r="B111" s="1195">
        <v>30100004</v>
      </c>
      <c r="C111" s="1195">
        <v>21</v>
      </c>
      <c r="D111" s="1195" t="s">
        <v>45</v>
      </c>
      <c r="E111" s="1195" t="s">
        <v>759</v>
      </c>
      <c r="F111" s="1196" t="s">
        <v>1265</v>
      </c>
      <c r="G111" s="550">
        <v>0</v>
      </c>
      <c r="H111" s="550">
        <v>-250440</v>
      </c>
      <c r="I111" s="1201">
        <f t="shared" si="6"/>
        <v>-250440</v>
      </c>
      <c r="J111" s="1197">
        <v>0</v>
      </c>
      <c r="K111" s="550">
        <v>0</v>
      </c>
      <c r="L111" s="550">
        <v>0</v>
      </c>
      <c r="N111" s="550"/>
      <c r="O111" s="1012"/>
      <c r="P111" s="1013"/>
      <c r="U111" s="551"/>
      <c r="V111" s="1013"/>
      <c r="W111" s="1013"/>
    </row>
    <row r="112" spans="1:23" x14ac:dyDescent="0.25">
      <c r="A112" s="1195" t="s">
        <v>717</v>
      </c>
      <c r="B112" s="1195">
        <v>30100005</v>
      </c>
      <c r="C112" s="1195">
        <v>21</v>
      </c>
      <c r="D112" s="1195" t="s">
        <v>45</v>
      </c>
      <c r="E112" s="1195" t="s">
        <v>760</v>
      </c>
      <c r="F112" s="1196" t="s">
        <v>45</v>
      </c>
      <c r="G112" s="550">
        <v>0</v>
      </c>
      <c r="H112" s="550">
        <v>-67940.179999999906</v>
      </c>
      <c r="I112" s="1201">
        <f t="shared" si="6"/>
        <v>-67940.179999999906</v>
      </c>
      <c r="J112" s="1197">
        <v>0</v>
      </c>
      <c r="K112" s="550">
        <v>0</v>
      </c>
      <c r="L112" s="550">
        <v>0</v>
      </c>
      <c r="N112" s="1014"/>
    </row>
    <row r="113" spans="1:23" x14ac:dyDescent="0.25">
      <c r="A113" s="1195" t="s">
        <v>717</v>
      </c>
      <c r="B113" s="1195">
        <v>30100013</v>
      </c>
      <c r="C113" s="1195">
        <v>21</v>
      </c>
      <c r="D113" s="1195" t="s">
        <v>45</v>
      </c>
      <c r="E113" s="1195" t="s">
        <v>912</v>
      </c>
      <c r="F113" s="1196" t="s">
        <v>1266</v>
      </c>
      <c r="G113" s="550">
        <v>0</v>
      </c>
      <c r="H113" s="550">
        <v>-4891456.1299999896</v>
      </c>
      <c r="I113" s="1201">
        <f t="shared" si="6"/>
        <v>-4891456.1299999896</v>
      </c>
      <c r="J113" s="1197">
        <v>0</v>
      </c>
      <c r="K113" s="550">
        <v>0</v>
      </c>
      <c r="L113" s="550">
        <v>0</v>
      </c>
      <c r="N113" s="1014"/>
    </row>
    <row r="114" spans="1:23" x14ac:dyDescent="0.25">
      <c r="A114" s="1195" t="s">
        <v>717</v>
      </c>
      <c r="B114" s="1195">
        <v>30100015</v>
      </c>
      <c r="C114" s="1195">
        <v>21</v>
      </c>
      <c r="D114" s="1195" t="s">
        <v>45</v>
      </c>
      <c r="E114" s="1195" t="s">
        <v>760</v>
      </c>
      <c r="F114" s="1196" t="s">
        <v>1267</v>
      </c>
      <c r="G114" s="550">
        <v>0</v>
      </c>
      <c r="H114" s="550">
        <v>-90892.479999999894</v>
      </c>
      <c r="I114" s="1201">
        <f t="shared" si="6"/>
        <v>-90892.479999999894</v>
      </c>
      <c r="J114" s="1197">
        <v>0</v>
      </c>
      <c r="K114" s="550">
        <v>0</v>
      </c>
      <c r="L114" s="550">
        <v>0</v>
      </c>
      <c r="N114" s="1014"/>
    </row>
    <row r="115" spans="1:23" x14ac:dyDescent="0.25">
      <c r="A115" s="1195" t="s">
        <v>717</v>
      </c>
      <c r="B115" s="1195">
        <v>30100000</v>
      </c>
      <c r="C115" s="1195">
        <v>21</v>
      </c>
      <c r="D115" s="1195" t="s">
        <v>45</v>
      </c>
      <c r="E115" s="1195" t="s">
        <v>758</v>
      </c>
      <c r="F115" s="1196" t="s">
        <v>1187</v>
      </c>
      <c r="G115" s="550">
        <v>0</v>
      </c>
      <c r="H115" s="550">
        <v>-118301.89</v>
      </c>
      <c r="I115" s="1201">
        <f t="shared" si="6"/>
        <v>-118301.89</v>
      </c>
      <c r="J115" s="1197">
        <v>0</v>
      </c>
      <c r="K115" s="550">
        <v>0</v>
      </c>
      <c r="L115" s="550">
        <v>0</v>
      </c>
      <c r="N115" s="1014"/>
    </row>
    <row r="116" spans="1:23" s="1011" customFormat="1" x14ac:dyDescent="0.25">
      <c r="A116" s="1195" t="s">
        <v>97</v>
      </c>
      <c r="B116" s="1195">
        <v>40100000</v>
      </c>
      <c r="C116" s="1195">
        <v>22</v>
      </c>
      <c r="D116" s="1195" t="s">
        <v>160</v>
      </c>
      <c r="E116" s="1195" t="s">
        <v>761</v>
      </c>
      <c r="F116" s="1196" t="s">
        <v>1195</v>
      </c>
      <c r="G116" s="550">
        <v>0</v>
      </c>
      <c r="H116" s="550">
        <v>0</v>
      </c>
      <c r="I116" s="1201">
        <f t="shared" si="6"/>
        <v>0</v>
      </c>
      <c r="J116" s="1197">
        <v>0</v>
      </c>
      <c r="K116" s="550">
        <v>0</v>
      </c>
      <c r="L116" s="550">
        <v>0</v>
      </c>
      <c r="M116" s="760" t="s">
        <v>1147</v>
      </c>
      <c r="N116" s="550"/>
      <c r="O116" s="1012"/>
      <c r="P116" s="1013"/>
      <c r="U116" s="551"/>
      <c r="V116" s="1013"/>
      <c r="W116" s="1013"/>
    </row>
    <row r="117" spans="1:23" x14ac:dyDescent="0.25">
      <c r="A117" s="1195" t="s">
        <v>97</v>
      </c>
      <c r="B117" s="1195">
        <v>40100001</v>
      </c>
      <c r="C117" s="1195">
        <v>22</v>
      </c>
      <c r="D117" s="1195" t="s">
        <v>160</v>
      </c>
      <c r="E117" s="1195" t="s">
        <v>761</v>
      </c>
      <c r="F117" s="1196" t="s">
        <v>1268</v>
      </c>
      <c r="G117" s="550">
        <v>0</v>
      </c>
      <c r="H117" s="550">
        <v>-0.08</v>
      </c>
      <c r="I117" s="1201">
        <f t="shared" si="6"/>
        <v>-0.08</v>
      </c>
      <c r="J117" s="1197">
        <v>0</v>
      </c>
      <c r="K117" s="550">
        <v>0</v>
      </c>
      <c r="L117" s="550">
        <v>0</v>
      </c>
      <c r="M117" s="760" t="s">
        <v>1147</v>
      </c>
      <c r="N117" s="1014"/>
    </row>
    <row r="118" spans="1:23" x14ac:dyDescent="0.25">
      <c r="A118" s="1195" t="s">
        <v>97</v>
      </c>
      <c r="B118" s="1195">
        <v>40100002</v>
      </c>
      <c r="C118" s="1195">
        <v>22</v>
      </c>
      <c r="D118" s="1195" t="s">
        <v>160</v>
      </c>
      <c r="E118" s="1195" t="s">
        <v>761</v>
      </c>
      <c r="F118" s="1196" t="s">
        <v>762</v>
      </c>
      <c r="G118" s="550">
        <v>234308.82</v>
      </c>
      <c r="H118" s="550">
        <v>0</v>
      </c>
      <c r="I118" s="1201">
        <f t="shared" si="6"/>
        <v>234308.82</v>
      </c>
      <c r="J118" s="1197">
        <v>0</v>
      </c>
      <c r="K118" s="550">
        <v>0</v>
      </c>
      <c r="L118" s="550">
        <v>0</v>
      </c>
      <c r="M118" s="760" t="s">
        <v>1147</v>
      </c>
      <c r="N118" s="1014"/>
    </row>
    <row r="119" spans="1:23" x14ac:dyDescent="0.25">
      <c r="A119" s="1195" t="s">
        <v>97</v>
      </c>
      <c r="B119" s="1195">
        <v>40100005</v>
      </c>
      <c r="C119" s="1195">
        <v>22</v>
      </c>
      <c r="D119" s="1195" t="s">
        <v>160</v>
      </c>
      <c r="E119" s="1195" t="s">
        <v>761</v>
      </c>
      <c r="F119" s="1196" t="s">
        <v>1269</v>
      </c>
      <c r="G119" s="550">
        <v>10000.299999999899</v>
      </c>
      <c r="H119" s="550">
        <v>0</v>
      </c>
      <c r="I119" s="1201">
        <f t="shared" si="6"/>
        <v>10000.299999999899</v>
      </c>
      <c r="J119" s="1197">
        <v>0</v>
      </c>
      <c r="K119" s="550">
        <v>0</v>
      </c>
      <c r="L119" s="550">
        <v>0</v>
      </c>
      <c r="M119" s="760" t="s">
        <v>1147</v>
      </c>
      <c r="N119" s="1014"/>
    </row>
    <row r="120" spans="1:23" s="1011" customFormat="1" x14ac:dyDescent="0.25">
      <c r="A120" s="1195" t="s">
        <v>97</v>
      </c>
      <c r="B120" s="1195">
        <v>40100008</v>
      </c>
      <c r="C120" s="1195">
        <v>22</v>
      </c>
      <c r="D120" s="1195" t="s">
        <v>160</v>
      </c>
      <c r="E120" s="1195" t="s">
        <v>761</v>
      </c>
      <c r="F120" s="1196" t="s">
        <v>1270</v>
      </c>
      <c r="G120" s="550">
        <v>72442537.900000006</v>
      </c>
      <c r="H120" s="550">
        <v>0</v>
      </c>
      <c r="I120" s="1201">
        <f>G120+H120</f>
        <v>72442537.900000006</v>
      </c>
      <c r="J120" s="1197">
        <v>0</v>
      </c>
      <c r="K120" s="550">
        <v>0</v>
      </c>
      <c r="L120" s="550">
        <v>0</v>
      </c>
      <c r="M120" s="760" t="s">
        <v>1147</v>
      </c>
      <c r="N120" s="550"/>
      <c r="O120" s="1012"/>
      <c r="P120" s="1013"/>
      <c r="U120" s="551"/>
      <c r="V120" s="1013"/>
      <c r="W120" s="1013"/>
    </row>
    <row r="121" spans="1:23" x14ac:dyDescent="0.25">
      <c r="A121" s="1195" t="s">
        <v>97</v>
      </c>
      <c r="B121" s="1195">
        <v>40200003</v>
      </c>
      <c r="C121" s="1195">
        <v>22</v>
      </c>
      <c r="D121" s="1195" t="s">
        <v>160</v>
      </c>
      <c r="E121" s="1195" t="s">
        <v>761</v>
      </c>
      <c r="F121" s="1196" t="s">
        <v>1271</v>
      </c>
      <c r="G121" s="550">
        <v>1072575.3600000001</v>
      </c>
      <c r="H121" s="550">
        <v>0</v>
      </c>
      <c r="I121" s="1201">
        <f>G121+H121</f>
        <v>1072575.3600000001</v>
      </c>
      <c r="J121" s="1197">
        <v>0</v>
      </c>
      <c r="K121" s="550">
        <v>0</v>
      </c>
      <c r="L121" s="550">
        <v>0</v>
      </c>
      <c r="M121" s="760" t="s">
        <v>1147</v>
      </c>
      <c r="N121" s="1014"/>
    </row>
    <row r="122" spans="1:23" x14ac:dyDescent="0.25">
      <c r="A122" s="1195" t="s">
        <v>97</v>
      </c>
      <c r="B122" s="1195">
        <v>40100011</v>
      </c>
      <c r="C122" s="1195">
        <v>22</v>
      </c>
      <c r="D122" s="1195" t="s">
        <v>160</v>
      </c>
      <c r="E122" s="1195" t="s">
        <v>1090</v>
      </c>
      <c r="F122" s="1196" t="s">
        <v>1272</v>
      </c>
      <c r="G122" s="550">
        <v>3966283.8599999901</v>
      </c>
      <c r="H122" s="550">
        <v>0</v>
      </c>
      <c r="I122" s="1201">
        <f>G122+H122</f>
        <v>3966283.8599999901</v>
      </c>
      <c r="J122" s="1197">
        <v>0</v>
      </c>
      <c r="K122" s="550">
        <v>0</v>
      </c>
      <c r="L122" s="550">
        <v>0</v>
      </c>
      <c r="M122" s="1044" t="s">
        <v>1147</v>
      </c>
      <c r="N122" s="1014"/>
    </row>
    <row r="123" spans="1:23" x14ac:dyDescent="0.25">
      <c r="A123" s="1195" t="s">
        <v>97</v>
      </c>
      <c r="B123" s="1210">
        <v>40100007</v>
      </c>
      <c r="C123" s="1195">
        <v>23</v>
      </c>
      <c r="D123" s="1195" t="s">
        <v>161</v>
      </c>
      <c r="E123" s="1195" t="s">
        <v>763</v>
      </c>
      <c r="F123" s="1196" t="s">
        <v>764</v>
      </c>
      <c r="G123" s="550">
        <v>34055264.18</v>
      </c>
      <c r="H123" s="550">
        <v>0</v>
      </c>
      <c r="I123" s="1201">
        <f t="shared" si="6"/>
        <v>34055264.18</v>
      </c>
      <c r="J123" s="1197">
        <v>0</v>
      </c>
      <c r="K123" s="550">
        <v>0</v>
      </c>
      <c r="L123" s="550">
        <v>0</v>
      </c>
      <c r="M123" s="1044" t="s">
        <v>1147</v>
      </c>
      <c r="N123" s="1014"/>
      <c r="Q123" s="542">
        <f>I123</f>
        <v>34055264.18</v>
      </c>
    </row>
    <row r="124" spans="1:23" x14ac:dyDescent="0.25">
      <c r="A124" s="1195" t="s">
        <v>97</v>
      </c>
      <c r="B124" s="1210">
        <v>40100009</v>
      </c>
      <c r="C124" s="1195">
        <v>23</v>
      </c>
      <c r="D124" s="1195" t="s">
        <v>161</v>
      </c>
      <c r="E124" s="1195" t="s">
        <v>763</v>
      </c>
      <c r="F124" s="1196" t="s">
        <v>1273</v>
      </c>
      <c r="G124" s="550">
        <v>43648143.68</v>
      </c>
      <c r="H124" s="550">
        <v>0</v>
      </c>
      <c r="I124" s="1201">
        <f t="shared" si="6"/>
        <v>43648143.68</v>
      </c>
      <c r="J124" s="1197">
        <v>0</v>
      </c>
      <c r="K124" s="550">
        <v>0</v>
      </c>
      <c r="L124" s="550">
        <v>0</v>
      </c>
      <c r="M124" s="760" t="s">
        <v>1147</v>
      </c>
      <c r="N124" s="1014"/>
    </row>
    <row r="125" spans="1:23" x14ac:dyDescent="0.25">
      <c r="A125" s="1195" t="s">
        <v>97</v>
      </c>
      <c r="B125" s="1210">
        <v>40200000</v>
      </c>
      <c r="C125" s="1195">
        <v>23</v>
      </c>
      <c r="D125" s="1195" t="s">
        <v>161</v>
      </c>
      <c r="E125" s="1195" t="s">
        <v>763</v>
      </c>
      <c r="F125" s="1196" t="s">
        <v>765</v>
      </c>
      <c r="G125" s="550">
        <v>0</v>
      </c>
      <c r="H125" s="550">
        <v>-76405643.700000003</v>
      </c>
      <c r="I125" s="1201">
        <f t="shared" si="6"/>
        <v>-76405643.700000003</v>
      </c>
      <c r="J125" s="1197">
        <v>0</v>
      </c>
      <c r="K125" s="550">
        <v>0</v>
      </c>
      <c r="L125" s="550">
        <v>0</v>
      </c>
      <c r="M125" s="760" t="s">
        <v>1147</v>
      </c>
      <c r="N125" s="1014"/>
    </row>
    <row r="126" spans="1:23" x14ac:dyDescent="0.25">
      <c r="A126" s="1195" t="s">
        <v>97</v>
      </c>
      <c r="B126" s="1210">
        <v>40200001</v>
      </c>
      <c r="C126" s="1195">
        <v>23</v>
      </c>
      <c r="D126" s="1195" t="s">
        <v>161</v>
      </c>
      <c r="E126" s="1195" t="s">
        <v>763</v>
      </c>
      <c r="F126" s="1196" t="s">
        <v>766</v>
      </c>
      <c r="G126" s="550">
        <v>0</v>
      </c>
      <c r="H126" s="550">
        <v>0</v>
      </c>
      <c r="I126" s="1201">
        <f t="shared" si="6"/>
        <v>0</v>
      </c>
      <c r="J126" s="1197">
        <v>0</v>
      </c>
      <c r="K126" s="550">
        <v>0</v>
      </c>
      <c r="L126" s="550">
        <v>0</v>
      </c>
      <c r="M126" s="1044" t="s">
        <v>1147</v>
      </c>
      <c r="N126" s="1014"/>
    </row>
    <row r="127" spans="1:23" x14ac:dyDescent="0.25">
      <c r="A127" s="1195" t="s">
        <v>97</v>
      </c>
      <c r="B127" s="1195">
        <v>40200004</v>
      </c>
      <c r="C127" s="1195">
        <v>23</v>
      </c>
      <c r="D127" s="1195" t="s">
        <v>161</v>
      </c>
      <c r="E127" s="1195" t="s">
        <v>763</v>
      </c>
      <c r="F127" s="1196" t="s">
        <v>1274</v>
      </c>
      <c r="G127" s="550">
        <v>0</v>
      </c>
      <c r="H127" s="550">
        <v>-2669.6599999999899</v>
      </c>
      <c r="I127" s="1201">
        <f t="shared" si="6"/>
        <v>-2669.6599999999899</v>
      </c>
      <c r="J127" s="1197">
        <v>0</v>
      </c>
      <c r="K127" s="550">
        <v>0</v>
      </c>
      <c r="L127" s="550">
        <v>0</v>
      </c>
      <c r="M127" s="1044" t="s">
        <v>1147</v>
      </c>
      <c r="N127" s="1014"/>
    </row>
    <row r="128" spans="1:23" x14ac:dyDescent="0.25">
      <c r="A128" s="1199" t="s">
        <v>97</v>
      </c>
      <c r="B128" s="1210">
        <v>40200006</v>
      </c>
      <c r="C128" s="1195">
        <v>23</v>
      </c>
      <c r="D128" s="1199" t="s">
        <v>161</v>
      </c>
      <c r="E128" s="1199" t="s">
        <v>763</v>
      </c>
      <c r="F128" s="1196" t="s">
        <v>1121</v>
      </c>
      <c r="G128" s="550">
        <v>10988214.35</v>
      </c>
      <c r="H128" s="550">
        <v>0</v>
      </c>
      <c r="I128" s="1201">
        <f t="shared" si="6"/>
        <v>10988214.35</v>
      </c>
      <c r="J128" s="1197">
        <v>0</v>
      </c>
      <c r="K128" s="550">
        <v>0</v>
      </c>
      <c r="L128" s="550">
        <v>0</v>
      </c>
      <c r="N128" s="1014"/>
    </row>
    <row r="129" spans="1:17" x14ac:dyDescent="0.25">
      <c r="A129" s="1199" t="s">
        <v>97</v>
      </c>
      <c r="B129" s="1199">
        <v>40200011</v>
      </c>
      <c r="C129" s="1195">
        <v>23</v>
      </c>
      <c r="D129" s="1199" t="s">
        <v>161</v>
      </c>
      <c r="E129" s="1199" t="s">
        <v>763</v>
      </c>
      <c r="F129" s="1196" t="s">
        <v>1275</v>
      </c>
      <c r="G129" s="550">
        <v>0</v>
      </c>
      <c r="H129" s="550">
        <v>-38423397.710000001</v>
      </c>
      <c r="I129" s="1201">
        <f t="shared" si="6"/>
        <v>-38423397.710000001</v>
      </c>
      <c r="J129" s="1197">
        <v>0</v>
      </c>
      <c r="K129" s="550">
        <v>0</v>
      </c>
      <c r="L129" s="550">
        <v>0</v>
      </c>
      <c r="N129" s="1014"/>
    </row>
    <row r="130" spans="1:17" x14ac:dyDescent="0.25">
      <c r="A130" s="1195" t="s">
        <v>97</v>
      </c>
      <c r="B130" s="1195">
        <v>40300004</v>
      </c>
      <c r="C130" s="1195">
        <v>24</v>
      </c>
      <c r="D130" s="1195" t="s">
        <v>198</v>
      </c>
      <c r="E130" s="1195" t="s">
        <v>767</v>
      </c>
      <c r="F130" s="1196" t="s">
        <v>768</v>
      </c>
      <c r="G130" s="1261">
        <v>9562593.3800000008</v>
      </c>
      <c r="H130" s="550">
        <v>0</v>
      </c>
      <c r="I130" s="1201">
        <f t="shared" si="6"/>
        <v>9562593.3800000008</v>
      </c>
      <c r="J130" s="1197">
        <v>0</v>
      </c>
      <c r="K130" s="550">
        <v>0</v>
      </c>
      <c r="L130" s="550">
        <v>0</v>
      </c>
      <c r="M130" s="760" t="s">
        <v>1147</v>
      </c>
      <c r="N130" s="1014"/>
    </row>
    <row r="131" spans="1:17" x14ac:dyDescent="0.25">
      <c r="A131" s="1195" t="s">
        <v>97</v>
      </c>
      <c r="B131" s="1195">
        <v>40400009</v>
      </c>
      <c r="C131" s="1195">
        <v>25</v>
      </c>
      <c r="D131" s="1195" t="s">
        <v>202</v>
      </c>
      <c r="E131" s="1195" t="s">
        <v>151</v>
      </c>
      <c r="F131" s="1196" t="s">
        <v>1276</v>
      </c>
      <c r="G131" s="550">
        <v>31003761.25</v>
      </c>
      <c r="H131" s="550">
        <v>0</v>
      </c>
      <c r="I131" s="1201">
        <f t="shared" si="6"/>
        <v>31003761.25</v>
      </c>
      <c r="J131" s="1197">
        <v>0</v>
      </c>
      <c r="K131" s="550">
        <v>0</v>
      </c>
      <c r="L131" s="550">
        <v>0</v>
      </c>
      <c r="M131" s="760" t="s">
        <v>1147</v>
      </c>
      <c r="N131" s="1014"/>
    </row>
    <row r="132" spans="1:17" x14ac:dyDescent="0.25">
      <c r="A132" s="1195" t="s">
        <v>97</v>
      </c>
      <c r="B132" s="1195">
        <v>40400014</v>
      </c>
      <c r="C132" s="1195">
        <v>25</v>
      </c>
      <c r="D132" s="1195" t="s">
        <v>202</v>
      </c>
      <c r="E132" s="1195" t="s">
        <v>917</v>
      </c>
      <c r="F132" s="1196" t="s">
        <v>513</v>
      </c>
      <c r="G132" s="550">
        <v>2007199</v>
      </c>
      <c r="H132" s="550">
        <v>0</v>
      </c>
      <c r="I132" s="1201">
        <f t="shared" si="6"/>
        <v>2007199</v>
      </c>
      <c r="J132" s="1197">
        <v>0</v>
      </c>
      <c r="K132" s="550">
        <v>0</v>
      </c>
      <c r="L132" s="550">
        <v>0</v>
      </c>
      <c r="N132" s="1014"/>
    </row>
    <row r="133" spans="1:17" x14ac:dyDescent="0.25">
      <c r="A133" s="1195" t="s">
        <v>97</v>
      </c>
      <c r="B133" s="1195">
        <v>40400019</v>
      </c>
      <c r="C133" s="1195">
        <v>25</v>
      </c>
      <c r="D133" s="1195" t="s">
        <v>202</v>
      </c>
      <c r="E133" s="1195" t="s">
        <v>151</v>
      </c>
      <c r="F133" s="1196" t="s">
        <v>1277</v>
      </c>
      <c r="G133" s="550">
        <v>47620</v>
      </c>
      <c r="H133" s="550">
        <v>0</v>
      </c>
      <c r="I133" s="1201">
        <f t="shared" si="6"/>
        <v>47620</v>
      </c>
      <c r="J133" s="1197">
        <v>0</v>
      </c>
      <c r="K133" s="550">
        <v>0</v>
      </c>
      <c r="L133" s="550">
        <v>0</v>
      </c>
      <c r="N133" s="1014"/>
      <c r="Q133" s="542">
        <f>J133</f>
        <v>0</v>
      </c>
    </row>
    <row r="134" spans="1:17" x14ac:dyDescent="0.25">
      <c r="A134" s="1199" t="s">
        <v>97</v>
      </c>
      <c r="B134" s="1199">
        <v>40400000</v>
      </c>
      <c r="C134" s="1195">
        <v>25</v>
      </c>
      <c r="D134" s="1199" t="s">
        <v>202</v>
      </c>
      <c r="E134" s="1199" t="s">
        <v>894</v>
      </c>
      <c r="F134" s="1196" t="s">
        <v>894</v>
      </c>
      <c r="G134" s="550">
        <v>5013308</v>
      </c>
      <c r="H134" s="550">
        <v>0</v>
      </c>
      <c r="I134" s="1201">
        <f>G134+H134</f>
        <v>5013308</v>
      </c>
      <c r="J134" s="1197">
        <v>0</v>
      </c>
      <c r="K134" s="550">
        <v>0</v>
      </c>
      <c r="L134" s="550">
        <v>0</v>
      </c>
      <c r="N134" s="1014"/>
    </row>
    <row r="135" spans="1:17" x14ac:dyDescent="0.25">
      <c r="A135" s="1195" t="s">
        <v>97</v>
      </c>
      <c r="B135" s="1195">
        <v>40400004</v>
      </c>
      <c r="C135" s="1195">
        <v>26</v>
      </c>
      <c r="D135" s="1195" t="s">
        <v>194</v>
      </c>
      <c r="E135" s="1195" t="s">
        <v>203</v>
      </c>
      <c r="F135" s="1196" t="s">
        <v>1278</v>
      </c>
      <c r="G135" s="550">
        <v>50094.559999999903</v>
      </c>
      <c r="H135" s="550">
        <v>0</v>
      </c>
      <c r="I135" s="1201">
        <f>G135+H135</f>
        <v>50094.559999999903</v>
      </c>
      <c r="J135" s="1197">
        <v>0</v>
      </c>
      <c r="K135" s="550">
        <v>0</v>
      </c>
      <c r="L135" s="550">
        <v>0</v>
      </c>
      <c r="N135" s="1014"/>
    </row>
    <row r="136" spans="1:17" x14ac:dyDescent="0.25">
      <c r="A136" s="1195" t="s">
        <v>97</v>
      </c>
      <c r="B136" s="1195">
        <v>40600000</v>
      </c>
      <c r="C136" s="1195">
        <v>26</v>
      </c>
      <c r="D136" s="1195" t="s">
        <v>194</v>
      </c>
      <c r="E136" s="1195" t="s">
        <v>770</v>
      </c>
      <c r="F136" s="1196" t="s">
        <v>1197</v>
      </c>
      <c r="G136" s="550">
        <v>9522573.5500000007</v>
      </c>
      <c r="H136" s="550">
        <v>0</v>
      </c>
      <c r="I136" s="1201">
        <f t="shared" ref="I136:I199" si="9">G136+H136</f>
        <v>9522573.5500000007</v>
      </c>
      <c r="J136" s="1197">
        <v>0</v>
      </c>
      <c r="K136" s="550">
        <v>0</v>
      </c>
      <c r="L136" s="550">
        <v>0</v>
      </c>
      <c r="N136" s="1014"/>
    </row>
    <row r="137" spans="1:17" x14ac:dyDescent="0.25">
      <c r="A137" s="1195" t="s">
        <v>97</v>
      </c>
      <c r="B137" s="1195">
        <v>40600002</v>
      </c>
      <c r="C137" s="1195">
        <v>26</v>
      </c>
      <c r="D137" s="1195" t="s">
        <v>194</v>
      </c>
      <c r="E137" s="1195" t="s">
        <v>769</v>
      </c>
      <c r="F137" s="1196" t="s">
        <v>1279</v>
      </c>
      <c r="G137" s="550">
        <v>2027753.3799999901</v>
      </c>
      <c r="H137" s="550">
        <v>0</v>
      </c>
      <c r="I137" s="1201">
        <f t="shared" si="9"/>
        <v>2027753.3799999901</v>
      </c>
      <c r="J137" s="1197">
        <v>0</v>
      </c>
      <c r="K137" s="550">
        <v>0</v>
      </c>
      <c r="L137" s="550">
        <v>0</v>
      </c>
      <c r="N137" s="1014"/>
    </row>
    <row r="138" spans="1:17" x14ac:dyDescent="0.25">
      <c r="A138" s="1195" t="s">
        <v>97</v>
      </c>
      <c r="B138" s="1195">
        <v>40600003</v>
      </c>
      <c r="C138" s="1195">
        <v>26</v>
      </c>
      <c r="D138" s="1195" t="s">
        <v>194</v>
      </c>
      <c r="E138" s="1195" t="s">
        <v>769</v>
      </c>
      <c r="F138" s="1196" t="s">
        <v>1280</v>
      </c>
      <c r="G138" s="550">
        <v>0</v>
      </c>
      <c r="H138" s="550">
        <v>-1570775.47</v>
      </c>
      <c r="I138" s="1201">
        <f t="shared" si="9"/>
        <v>-1570775.47</v>
      </c>
      <c r="J138" s="1197">
        <v>0</v>
      </c>
      <c r="K138" s="550">
        <v>0</v>
      </c>
      <c r="L138" s="550">
        <v>0</v>
      </c>
      <c r="N138" s="1014"/>
    </row>
    <row r="139" spans="1:17" x14ac:dyDescent="0.25">
      <c r="A139" s="1195" t="s">
        <v>97</v>
      </c>
      <c r="B139" s="1195">
        <v>40600004</v>
      </c>
      <c r="C139" s="1195">
        <v>26</v>
      </c>
      <c r="D139" s="1195" t="s">
        <v>194</v>
      </c>
      <c r="E139" s="1195" t="s">
        <v>770</v>
      </c>
      <c r="F139" s="1196" t="s">
        <v>1281</v>
      </c>
      <c r="G139" s="550">
        <v>12173006.960000001</v>
      </c>
      <c r="H139" s="550">
        <v>0</v>
      </c>
      <c r="I139" s="1201">
        <f t="shared" si="9"/>
        <v>12173006.960000001</v>
      </c>
      <c r="J139" s="1197">
        <v>0</v>
      </c>
      <c r="K139" s="550">
        <v>0</v>
      </c>
      <c r="L139" s="550">
        <v>0</v>
      </c>
      <c r="N139" s="1014"/>
    </row>
    <row r="140" spans="1:17" x14ac:dyDescent="0.25">
      <c r="A140" s="1195" t="s">
        <v>97</v>
      </c>
      <c r="B140" s="1195">
        <v>40600005</v>
      </c>
      <c r="C140" s="1195">
        <v>26</v>
      </c>
      <c r="D140" s="1195" t="s">
        <v>194</v>
      </c>
      <c r="E140" s="1195" t="s">
        <v>1496</v>
      </c>
      <c r="F140" s="1196" t="s">
        <v>1198</v>
      </c>
      <c r="G140" s="550">
        <v>3914159</v>
      </c>
      <c r="H140" s="550">
        <v>0</v>
      </c>
      <c r="I140" s="1201">
        <f t="shared" si="9"/>
        <v>3914159</v>
      </c>
      <c r="J140" s="1197">
        <v>0</v>
      </c>
      <c r="K140" s="550">
        <v>0</v>
      </c>
      <c r="L140" s="550">
        <v>0</v>
      </c>
      <c r="N140" s="1014"/>
    </row>
    <row r="141" spans="1:17" x14ac:dyDescent="0.25">
      <c r="A141" s="1195" t="s">
        <v>97</v>
      </c>
      <c r="B141" s="1195">
        <v>40600007</v>
      </c>
      <c r="C141" s="1195">
        <v>26</v>
      </c>
      <c r="D141" s="1195" t="s">
        <v>194</v>
      </c>
      <c r="E141" s="1195" t="s">
        <v>1496</v>
      </c>
      <c r="F141" s="1196" t="s">
        <v>1282</v>
      </c>
      <c r="G141" s="550">
        <v>643551.83999999904</v>
      </c>
      <c r="H141" s="550">
        <v>0</v>
      </c>
      <c r="I141" s="1201">
        <f t="shared" si="9"/>
        <v>643551.83999999904</v>
      </c>
      <c r="J141" s="1197">
        <v>0</v>
      </c>
      <c r="K141" s="550">
        <v>0</v>
      </c>
      <c r="L141" s="550">
        <v>0</v>
      </c>
      <c r="N141" s="1014"/>
    </row>
    <row r="142" spans="1:17" x14ac:dyDescent="0.25">
      <c r="A142" s="1195" t="s">
        <v>97</v>
      </c>
      <c r="B142" s="1195">
        <v>40600008</v>
      </c>
      <c r="C142" s="1195">
        <v>26</v>
      </c>
      <c r="D142" s="1195" t="s">
        <v>194</v>
      </c>
      <c r="E142" s="1195" t="s">
        <v>1206</v>
      </c>
      <c r="F142" s="1196" t="s">
        <v>1199</v>
      </c>
      <c r="G142" s="550">
        <v>61500</v>
      </c>
      <c r="H142" s="550">
        <v>0</v>
      </c>
      <c r="I142" s="1201">
        <f t="shared" si="9"/>
        <v>61500</v>
      </c>
      <c r="J142" s="1197">
        <v>0</v>
      </c>
      <c r="K142" s="550">
        <v>0</v>
      </c>
      <c r="L142" s="550">
        <v>0</v>
      </c>
      <c r="N142" s="1014"/>
    </row>
    <row r="143" spans="1:17" x14ac:dyDescent="0.25">
      <c r="A143" s="1195" t="s">
        <v>97</v>
      </c>
      <c r="B143" s="1195">
        <v>40700001</v>
      </c>
      <c r="C143" s="1195">
        <v>26</v>
      </c>
      <c r="D143" s="1195" t="s">
        <v>194</v>
      </c>
      <c r="E143" s="1195" t="s">
        <v>1207</v>
      </c>
      <c r="F143" s="1196" t="s">
        <v>1200</v>
      </c>
      <c r="G143" s="550">
        <v>40000</v>
      </c>
      <c r="H143" s="550">
        <v>0</v>
      </c>
      <c r="I143" s="1201">
        <f t="shared" si="9"/>
        <v>40000</v>
      </c>
      <c r="J143" s="1197">
        <v>0</v>
      </c>
      <c r="K143" s="550">
        <v>0</v>
      </c>
      <c r="L143" s="550">
        <v>0</v>
      </c>
      <c r="N143" s="1014"/>
    </row>
    <row r="144" spans="1:17" x14ac:dyDescent="0.25">
      <c r="A144" s="1195" t="s">
        <v>97</v>
      </c>
      <c r="B144" s="1195">
        <v>40700003</v>
      </c>
      <c r="C144" s="1195">
        <v>26</v>
      </c>
      <c r="D144" s="1195" t="s">
        <v>194</v>
      </c>
      <c r="E144" s="1195" t="s">
        <v>1207</v>
      </c>
      <c r="F144" s="1196" t="s">
        <v>1283</v>
      </c>
      <c r="G144" s="550">
        <v>6665</v>
      </c>
      <c r="H144" s="550">
        <v>0</v>
      </c>
      <c r="I144" s="1201">
        <f t="shared" si="9"/>
        <v>6665</v>
      </c>
      <c r="J144" s="1197">
        <v>0</v>
      </c>
      <c r="K144" s="550">
        <v>0</v>
      </c>
      <c r="L144" s="550">
        <v>0</v>
      </c>
      <c r="N144" s="1014"/>
    </row>
    <row r="145" spans="1:16383" x14ac:dyDescent="0.25">
      <c r="A145" s="1195" t="s">
        <v>97</v>
      </c>
      <c r="B145" s="1195">
        <v>40700004</v>
      </c>
      <c r="C145" s="1195">
        <v>26</v>
      </c>
      <c r="D145" s="1195" t="s">
        <v>194</v>
      </c>
      <c r="E145" s="1195" t="s">
        <v>197</v>
      </c>
      <c r="F145" s="1196" t="s">
        <v>1284</v>
      </c>
      <c r="G145" s="550">
        <v>27691.040000000001</v>
      </c>
      <c r="H145" s="550">
        <v>0</v>
      </c>
      <c r="I145" s="1201">
        <f t="shared" si="9"/>
        <v>27691.040000000001</v>
      </c>
      <c r="J145" s="1197">
        <v>0</v>
      </c>
      <c r="K145" s="550">
        <v>0</v>
      </c>
      <c r="L145" s="550">
        <v>0</v>
      </c>
      <c r="N145" s="1014"/>
    </row>
    <row r="146" spans="1:16383" x14ac:dyDescent="0.25">
      <c r="A146" s="1195" t="s">
        <v>97</v>
      </c>
      <c r="B146" s="1195">
        <v>40700006</v>
      </c>
      <c r="C146" s="1195">
        <v>26</v>
      </c>
      <c r="D146" s="1195" t="s">
        <v>194</v>
      </c>
      <c r="E146" s="1195" t="s">
        <v>770</v>
      </c>
      <c r="F146" s="1196" t="s">
        <v>1285</v>
      </c>
      <c r="G146" s="550">
        <v>11098.82</v>
      </c>
      <c r="H146" s="550">
        <v>0</v>
      </c>
      <c r="I146" s="1201">
        <f t="shared" si="9"/>
        <v>11098.82</v>
      </c>
      <c r="J146" s="1197">
        <v>0</v>
      </c>
      <c r="K146" s="550">
        <v>0</v>
      </c>
      <c r="L146" s="550">
        <v>0</v>
      </c>
      <c r="N146" s="1014"/>
    </row>
    <row r="147" spans="1:16383" x14ac:dyDescent="0.25">
      <c r="A147" s="1195" t="s">
        <v>97</v>
      </c>
      <c r="B147" s="1195">
        <v>40700010</v>
      </c>
      <c r="C147" s="1195">
        <v>26</v>
      </c>
      <c r="D147" s="1195" t="s">
        <v>194</v>
      </c>
      <c r="E147" s="1195" t="s">
        <v>155</v>
      </c>
      <c r="F147" s="1196" t="s">
        <v>1286</v>
      </c>
      <c r="G147" s="550">
        <v>8675890.5999999903</v>
      </c>
      <c r="H147" s="550">
        <v>0</v>
      </c>
      <c r="I147" s="1201">
        <f t="shared" si="9"/>
        <v>8675890.5999999903</v>
      </c>
      <c r="J147" s="1197">
        <v>0</v>
      </c>
      <c r="K147" s="550">
        <v>0</v>
      </c>
      <c r="L147" s="550">
        <v>0</v>
      </c>
      <c r="N147" s="1014"/>
    </row>
    <row r="148" spans="1:16383" x14ac:dyDescent="0.25">
      <c r="A148" s="1195" t="s">
        <v>97</v>
      </c>
      <c r="B148" s="1195">
        <v>40700011</v>
      </c>
      <c r="C148" s="1195">
        <v>26</v>
      </c>
      <c r="D148" s="1195" t="s">
        <v>194</v>
      </c>
      <c r="E148" s="1195" t="s">
        <v>138</v>
      </c>
      <c r="F148" s="1196" t="s">
        <v>1201</v>
      </c>
      <c r="G148" s="550">
        <v>5000</v>
      </c>
      <c r="H148" s="550">
        <v>0</v>
      </c>
      <c r="I148" s="1201">
        <f t="shared" si="9"/>
        <v>5000</v>
      </c>
      <c r="J148" s="1197">
        <v>0</v>
      </c>
      <c r="K148" s="550">
        <v>0</v>
      </c>
      <c r="L148" s="550">
        <v>0</v>
      </c>
      <c r="N148" s="1014"/>
    </row>
    <row r="149" spans="1:16383" x14ac:dyDescent="0.25">
      <c r="A149" s="1195" t="s">
        <v>97</v>
      </c>
      <c r="B149" s="1195">
        <v>40700021</v>
      </c>
      <c r="C149" s="1195">
        <v>26</v>
      </c>
      <c r="D149" s="1195" t="s">
        <v>194</v>
      </c>
      <c r="E149" s="1195" t="s">
        <v>196</v>
      </c>
      <c r="F149" s="1196" t="s">
        <v>1202</v>
      </c>
      <c r="G149" s="550">
        <v>330709.64</v>
      </c>
      <c r="H149" s="550">
        <v>0</v>
      </c>
      <c r="I149" s="1201">
        <f t="shared" si="9"/>
        <v>330709.64</v>
      </c>
      <c r="J149" s="1197">
        <v>0</v>
      </c>
      <c r="K149" s="550">
        <v>0</v>
      </c>
      <c r="L149" s="550">
        <v>0</v>
      </c>
      <c r="N149" s="1014"/>
    </row>
    <row r="150" spans="1:16383" x14ac:dyDescent="0.25">
      <c r="A150" s="1195" t="s">
        <v>97</v>
      </c>
      <c r="B150" s="1195">
        <v>40700023</v>
      </c>
      <c r="C150" s="1195">
        <v>26</v>
      </c>
      <c r="D150" s="1195" t="s">
        <v>194</v>
      </c>
      <c r="E150" s="1195" t="s">
        <v>1208</v>
      </c>
      <c r="F150" s="1196" t="s">
        <v>1203</v>
      </c>
      <c r="G150" s="550">
        <v>1201187.3</v>
      </c>
      <c r="H150" s="550">
        <v>0</v>
      </c>
      <c r="I150" s="1201">
        <f t="shared" si="9"/>
        <v>1201187.3</v>
      </c>
      <c r="J150" s="1197">
        <v>0</v>
      </c>
      <c r="K150" s="550">
        <v>0</v>
      </c>
      <c r="L150" s="550">
        <v>0</v>
      </c>
      <c r="N150" s="1014"/>
    </row>
    <row r="151" spans="1:16383" x14ac:dyDescent="0.25">
      <c r="A151" s="1195" t="s">
        <v>97</v>
      </c>
      <c r="B151" s="1195">
        <v>40700024</v>
      </c>
      <c r="C151" s="1195">
        <v>26</v>
      </c>
      <c r="D151" s="1195" t="s">
        <v>194</v>
      </c>
      <c r="E151" s="1195" t="s">
        <v>197</v>
      </c>
      <c r="F151" s="1196" t="s">
        <v>1287</v>
      </c>
      <c r="G151" s="550">
        <v>960</v>
      </c>
      <c r="H151" s="550">
        <v>0</v>
      </c>
      <c r="I151" s="1201">
        <f t="shared" si="9"/>
        <v>960</v>
      </c>
      <c r="J151" s="1197">
        <v>0</v>
      </c>
      <c r="K151" s="550">
        <v>0</v>
      </c>
      <c r="L151" s="550">
        <v>0</v>
      </c>
      <c r="N151" s="1014"/>
    </row>
    <row r="152" spans="1:16383" x14ac:dyDescent="0.25">
      <c r="A152" s="1195" t="s">
        <v>97</v>
      </c>
      <c r="B152" s="1195">
        <v>40700028</v>
      </c>
      <c r="C152" s="1195">
        <v>26</v>
      </c>
      <c r="D152" s="1195" t="s">
        <v>194</v>
      </c>
      <c r="E152" s="1195" t="s">
        <v>197</v>
      </c>
      <c r="F152" s="1196" t="s">
        <v>1204</v>
      </c>
      <c r="G152" s="550">
        <v>240246.6</v>
      </c>
      <c r="H152" s="550">
        <v>0</v>
      </c>
      <c r="I152" s="1201">
        <f t="shared" si="9"/>
        <v>240246.6</v>
      </c>
      <c r="J152" s="1197">
        <v>0</v>
      </c>
      <c r="K152" s="550">
        <v>0</v>
      </c>
      <c r="L152" s="550">
        <v>0</v>
      </c>
      <c r="M152" s="550"/>
      <c r="N152" s="1012"/>
      <c r="O152" s="1013"/>
      <c r="P152" s="1011"/>
      <c r="Q152" s="1011"/>
      <c r="R152" s="1011"/>
      <c r="S152" s="1011"/>
      <c r="T152" s="551"/>
      <c r="U152" s="1013"/>
      <c r="V152" s="1013"/>
      <c r="W152" s="1011"/>
      <c r="X152" s="1011"/>
      <c r="Y152" s="1011"/>
      <c r="Z152" s="1011"/>
      <c r="AA152" s="1011"/>
      <c r="AB152" s="1011"/>
      <c r="AC152" s="1011"/>
      <c r="AD152" s="1011"/>
      <c r="AE152" s="1011"/>
      <c r="AF152" s="1011"/>
      <c r="AG152" s="1011"/>
      <c r="AH152" s="1011"/>
      <c r="AI152" s="1011"/>
      <c r="AJ152" s="1011"/>
      <c r="AK152" s="1011"/>
      <c r="AL152" s="1011"/>
      <c r="AM152" s="1011"/>
      <c r="AN152" s="1011"/>
      <c r="AO152" s="1011"/>
      <c r="AP152" s="1011"/>
      <c r="AQ152" s="1011"/>
      <c r="AR152" s="1011"/>
      <c r="AS152" s="1011"/>
      <c r="AT152" s="1011"/>
      <c r="AU152" s="1011"/>
      <c r="AV152" s="1011"/>
      <c r="AW152" s="1011"/>
      <c r="AX152" s="1011"/>
      <c r="AY152" s="1011"/>
      <c r="AZ152" s="1011"/>
      <c r="BA152" s="1011"/>
      <c r="BB152" s="1011"/>
      <c r="BC152" s="1011"/>
      <c r="BD152" s="1011"/>
      <c r="BE152" s="1011"/>
      <c r="BF152" s="1011"/>
      <c r="BG152" s="1011"/>
      <c r="BH152" s="1011"/>
      <c r="BI152" s="1011"/>
      <c r="BJ152" s="1011"/>
      <c r="BK152" s="1011"/>
      <c r="BL152" s="1011"/>
      <c r="BM152" s="1011"/>
      <c r="BN152" s="1011"/>
      <c r="BO152" s="1011"/>
      <c r="BP152" s="1011"/>
      <c r="BQ152" s="1011"/>
      <c r="BR152" s="1011"/>
      <c r="BS152" s="1011"/>
      <c r="BT152" s="1011"/>
      <c r="BU152" s="1011"/>
      <c r="BV152" s="1011"/>
      <c r="BW152" s="1011"/>
      <c r="BX152" s="1011"/>
      <c r="BY152" s="1011"/>
      <c r="BZ152" s="1011"/>
      <c r="CA152" s="1011"/>
      <c r="CB152" s="1011"/>
      <c r="CC152" s="1011"/>
      <c r="CD152" s="1011"/>
      <c r="CE152" s="1011"/>
      <c r="CF152" s="1011"/>
      <c r="CG152" s="1011"/>
      <c r="CH152" s="1011"/>
      <c r="CI152" s="1011"/>
      <c r="CJ152" s="1011"/>
      <c r="CK152" s="1011"/>
      <c r="CL152" s="1011"/>
      <c r="CM152" s="1011"/>
      <c r="CN152" s="1011"/>
      <c r="CO152" s="1011"/>
      <c r="CP152" s="1011"/>
      <c r="CQ152" s="1011"/>
      <c r="CR152" s="1011"/>
      <c r="CS152" s="1011"/>
      <c r="CT152" s="1011"/>
      <c r="CU152" s="1011"/>
      <c r="CV152" s="1011"/>
      <c r="CW152" s="1011"/>
      <c r="CX152" s="1011"/>
      <c r="CY152" s="1011"/>
      <c r="CZ152" s="1011"/>
      <c r="DA152" s="1011"/>
      <c r="DB152" s="1011"/>
      <c r="DC152" s="1011"/>
      <c r="DD152" s="1011"/>
      <c r="DE152" s="1011"/>
      <c r="DF152" s="1011"/>
      <c r="DG152" s="1011"/>
      <c r="DH152" s="1011"/>
      <c r="DI152" s="1011"/>
      <c r="DJ152" s="1011"/>
      <c r="DK152" s="1011"/>
      <c r="DL152" s="1011"/>
      <c r="DM152" s="1011"/>
      <c r="DN152" s="1011"/>
      <c r="DO152" s="1011"/>
      <c r="DP152" s="1011"/>
      <c r="DQ152" s="1011"/>
      <c r="DR152" s="1011"/>
      <c r="DS152" s="1011"/>
      <c r="DT152" s="1011"/>
      <c r="DU152" s="1011"/>
      <c r="DV152" s="1011"/>
      <c r="DW152" s="1011"/>
      <c r="DX152" s="1011"/>
      <c r="DY152" s="1011"/>
      <c r="DZ152" s="1011"/>
      <c r="EA152" s="1011"/>
      <c r="EB152" s="1011"/>
      <c r="EC152" s="1011"/>
      <c r="ED152" s="1011"/>
      <c r="EE152" s="1011"/>
      <c r="EF152" s="1011"/>
      <c r="EG152" s="1011"/>
      <c r="EH152" s="1011"/>
      <c r="EI152" s="1011"/>
      <c r="EJ152" s="1011"/>
      <c r="EK152" s="1011"/>
      <c r="EL152" s="1011"/>
      <c r="EM152" s="1011"/>
      <c r="EN152" s="1011"/>
      <c r="EO152" s="1011"/>
      <c r="EP152" s="1011"/>
      <c r="EQ152" s="1011"/>
      <c r="ER152" s="1011"/>
      <c r="ES152" s="1011"/>
      <c r="ET152" s="1011"/>
      <c r="EU152" s="1011"/>
      <c r="EV152" s="1011"/>
      <c r="EW152" s="1011"/>
      <c r="EX152" s="1011"/>
      <c r="EY152" s="1011"/>
      <c r="EZ152" s="1011"/>
      <c r="FA152" s="1011"/>
      <c r="FB152" s="1011"/>
      <c r="FC152" s="1011"/>
      <c r="FD152" s="1011"/>
      <c r="FE152" s="1011"/>
      <c r="FF152" s="1011"/>
      <c r="FG152" s="1011"/>
      <c r="FH152" s="1011"/>
      <c r="FI152" s="1011"/>
      <c r="FJ152" s="1011"/>
      <c r="FK152" s="1011"/>
      <c r="FL152" s="1011"/>
      <c r="FM152" s="1011"/>
      <c r="FN152" s="1011"/>
      <c r="FO152" s="1011"/>
      <c r="FP152" s="1011"/>
      <c r="FQ152" s="1011"/>
      <c r="FR152" s="1011"/>
      <c r="FS152" s="1011"/>
      <c r="FT152" s="1011"/>
      <c r="FU152" s="1011"/>
      <c r="FV152" s="1011"/>
      <c r="FW152" s="1011"/>
      <c r="FX152" s="1011"/>
      <c r="FY152" s="1011"/>
      <c r="FZ152" s="1011"/>
      <c r="GA152" s="1011"/>
      <c r="GB152" s="1011"/>
      <c r="GC152" s="1011"/>
      <c r="GD152" s="1011"/>
      <c r="GE152" s="1011"/>
      <c r="GF152" s="1011"/>
      <c r="GG152" s="1011"/>
      <c r="GH152" s="1011"/>
      <c r="GI152" s="1011"/>
      <c r="GJ152" s="1011"/>
      <c r="GK152" s="1011"/>
      <c r="GL152" s="1011"/>
      <c r="GM152" s="1011"/>
      <c r="GN152" s="1011"/>
      <c r="GO152" s="1011"/>
      <c r="GP152" s="1011"/>
      <c r="GQ152" s="1011"/>
      <c r="GR152" s="1011"/>
      <c r="GS152" s="1011"/>
      <c r="GT152" s="1011"/>
      <c r="GU152" s="1011"/>
      <c r="GV152" s="1011"/>
      <c r="GW152" s="1011"/>
      <c r="GX152" s="1011"/>
      <c r="GY152" s="1011"/>
      <c r="GZ152" s="1011"/>
      <c r="HA152" s="1011"/>
      <c r="HB152" s="1011"/>
      <c r="HC152" s="1011"/>
      <c r="HD152" s="1011"/>
      <c r="HE152" s="1011"/>
      <c r="HF152" s="1011"/>
      <c r="HG152" s="1011"/>
      <c r="HH152" s="1011"/>
      <c r="HI152" s="1011"/>
      <c r="HJ152" s="1011"/>
      <c r="HK152" s="1011"/>
      <c r="HL152" s="1011"/>
      <c r="HM152" s="1011"/>
      <c r="HN152" s="1011"/>
      <c r="HO152" s="1011"/>
      <c r="HP152" s="1011"/>
      <c r="HQ152" s="1011"/>
      <c r="HR152" s="1011"/>
      <c r="HS152" s="1011"/>
      <c r="HT152" s="1011"/>
      <c r="HU152" s="1011"/>
      <c r="HV152" s="1011"/>
      <c r="HW152" s="1011"/>
      <c r="HX152" s="1011"/>
      <c r="HY152" s="1011"/>
      <c r="HZ152" s="1011"/>
      <c r="IA152" s="1011"/>
      <c r="IB152" s="1011"/>
      <c r="IC152" s="1011"/>
      <c r="ID152" s="1011"/>
      <c r="IE152" s="1011"/>
      <c r="IF152" s="1011"/>
      <c r="IG152" s="1011"/>
      <c r="IH152" s="1011"/>
      <c r="II152" s="1011"/>
      <c r="IJ152" s="1011"/>
      <c r="IK152" s="1011"/>
      <c r="IL152" s="1011"/>
      <c r="IM152" s="1011"/>
      <c r="IN152" s="1011"/>
      <c r="IO152" s="1011"/>
      <c r="IP152" s="1011"/>
      <c r="IQ152" s="1011"/>
      <c r="IR152" s="1011"/>
      <c r="IS152" s="1011"/>
      <c r="IT152" s="1011"/>
      <c r="IU152" s="1011"/>
      <c r="IV152" s="1011"/>
      <c r="IW152" s="1011"/>
      <c r="IX152" s="1011"/>
      <c r="IY152" s="1011"/>
      <c r="IZ152" s="1011"/>
      <c r="JA152" s="1011"/>
      <c r="JB152" s="1011"/>
      <c r="JC152" s="1011"/>
      <c r="JD152" s="1011"/>
      <c r="JE152" s="1011"/>
      <c r="JF152" s="1011"/>
      <c r="JG152" s="1011"/>
      <c r="JH152" s="1011"/>
      <c r="JI152" s="1011"/>
      <c r="JJ152" s="1011"/>
      <c r="JK152" s="1011"/>
      <c r="JL152" s="1011"/>
      <c r="JM152" s="1011"/>
      <c r="JN152" s="1011"/>
      <c r="JO152" s="1011"/>
      <c r="JP152" s="1011"/>
      <c r="JQ152" s="1011"/>
      <c r="JR152" s="1011"/>
      <c r="JS152" s="1011"/>
      <c r="JT152" s="1011"/>
      <c r="JU152" s="1011"/>
      <c r="JV152" s="1011"/>
      <c r="JW152" s="1011"/>
      <c r="JX152" s="1011"/>
      <c r="JY152" s="1011"/>
      <c r="JZ152" s="1011"/>
      <c r="KA152" s="1011"/>
      <c r="KB152" s="1011"/>
      <c r="KC152" s="1011"/>
      <c r="KD152" s="1011"/>
      <c r="KE152" s="1011"/>
      <c r="KF152" s="1011"/>
      <c r="KG152" s="1011"/>
      <c r="KH152" s="1011"/>
      <c r="KI152" s="1011"/>
      <c r="KJ152" s="1011"/>
      <c r="KK152" s="1011"/>
      <c r="KL152" s="1011"/>
      <c r="KM152" s="1011"/>
      <c r="KN152" s="1011"/>
      <c r="KO152" s="1011"/>
      <c r="KP152" s="1011"/>
      <c r="KQ152" s="1011"/>
      <c r="KR152" s="1011"/>
      <c r="KS152" s="1011"/>
      <c r="KT152" s="1011"/>
      <c r="KU152" s="1011"/>
      <c r="KV152" s="1011"/>
      <c r="KW152" s="1011"/>
      <c r="KX152" s="1011"/>
      <c r="KY152" s="1011"/>
      <c r="KZ152" s="1011"/>
      <c r="LA152" s="1011"/>
      <c r="LB152" s="1011"/>
      <c r="LC152" s="1011"/>
      <c r="LD152" s="1011"/>
      <c r="LE152" s="1011"/>
      <c r="LF152" s="1011"/>
      <c r="LG152" s="1011"/>
      <c r="LH152" s="1011"/>
      <c r="LI152" s="1011"/>
      <c r="LJ152" s="1011"/>
      <c r="LK152" s="1011"/>
      <c r="LL152" s="1011"/>
      <c r="LM152" s="1011"/>
      <c r="LN152" s="1011"/>
      <c r="LO152" s="1011"/>
      <c r="LP152" s="1011"/>
      <c r="LQ152" s="1011"/>
      <c r="LR152" s="1011"/>
      <c r="LS152" s="1011"/>
      <c r="LT152" s="1011"/>
      <c r="LU152" s="1011"/>
      <c r="LV152" s="1011"/>
      <c r="LW152" s="1011"/>
      <c r="LX152" s="1011"/>
      <c r="LY152" s="1011"/>
      <c r="LZ152" s="1011"/>
      <c r="MA152" s="1011"/>
      <c r="MB152" s="1011"/>
      <c r="MC152" s="1011"/>
      <c r="MD152" s="1011"/>
      <c r="ME152" s="1011"/>
      <c r="MF152" s="1011"/>
      <c r="MG152" s="1011"/>
      <c r="MH152" s="1011"/>
      <c r="MI152" s="1011"/>
      <c r="MJ152" s="1011"/>
      <c r="MK152" s="1011"/>
      <c r="ML152" s="1011"/>
      <c r="MM152" s="1011"/>
      <c r="MN152" s="1011"/>
      <c r="MO152" s="1011"/>
      <c r="MP152" s="1011"/>
      <c r="MQ152" s="1011"/>
      <c r="MR152" s="1011"/>
      <c r="MS152" s="1011"/>
      <c r="MT152" s="1011"/>
      <c r="MU152" s="1011"/>
      <c r="MV152" s="1011"/>
      <c r="MW152" s="1011"/>
      <c r="MX152" s="1011"/>
      <c r="MY152" s="1011"/>
      <c r="MZ152" s="1011"/>
      <c r="NA152" s="1011"/>
      <c r="NB152" s="1011"/>
      <c r="NC152" s="1011"/>
      <c r="ND152" s="1011"/>
      <c r="NE152" s="1011"/>
      <c r="NF152" s="1011"/>
      <c r="NG152" s="1011"/>
      <c r="NH152" s="1011"/>
      <c r="NI152" s="1011"/>
      <c r="NJ152" s="1011"/>
      <c r="NK152" s="1011"/>
      <c r="NL152" s="1011"/>
      <c r="NM152" s="1011"/>
      <c r="NN152" s="1011"/>
      <c r="NO152" s="1011"/>
      <c r="NP152" s="1011"/>
      <c r="NQ152" s="1011"/>
      <c r="NR152" s="1011"/>
      <c r="NS152" s="1011"/>
      <c r="NT152" s="1011"/>
      <c r="NU152" s="1011"/>
      <c r="NV152" s="1011"/>
      <c r="NW152" s="1011"/>
      <c r="NX152" s="1011"/>
      <c r="NY152" s="1011"/>
      <c r="NZ152" s="1011"/>
      <c r="OA152" s="1011"/>
      <c r="OB152" s="1011"/>
      <c r="OC152" s="1011"/>
      <c r="OD152" s="1011"/>
      <c r="OE152" s="1011"/>
      <c r="OF152" s="1011"/>
      <c r="OG152" s="1011"/>
      <c r="OH152" s="1011"/>
      <c r="OI152" s="1011"/>
      <c r="OJ152" s="1011"/>
      <c r="OK152" s="1011"/>
      <c r="OL152" s="1011"/>
      <c r="OM152" s="1011"/>
      <c r="ON152" s="1011"/>
      <c r="OO152" s="1011"/>
      <c r="OP152" s="1011"/>
      <c r="OQ152" s="1011"/>
      <c r="OR152" s="1011"/>
      <c r="OS152" s="1011"/>
      <c r="OT152" s="1011"/>
      <c r="OU152" s="1011"/>
      <c r="OV152" s="1011"/>
      <c r="OW152" s="1011"/>
      <c r="OX152" s="1011"/>
      <c r="OY152" s="1011"/>
      <c r="OZ152" s="1011"/>
      <c r="PA152" s="1011"/>
      <c r="PB152" s="1011"/>
      <c r="PC152" s="1011"/>
      <c r="PD152" s="1011"/>
      <c r="PE152" s="1011"/>
      <c r="PF152" s="1011"/>
      <c r="PG152" s="1011"/>
      <c r="PH152" s="1011"/>
      <c r="PI152" s="1011"/>
      <c r="PJ152" s="1011"/>
      <c r="PK152" s="1011"/>
      <c r="PL152" s="1011"/>
      <c r="PM152" s="1011"/>
      <c r="PN152" s="1011"/>
      <c r="PO152" s="1011"/>
      <c r="PP152" s="1011"/>
      <c r="PQ152" s="1011"/>
      <c r="PR152" s="1011"/>
      <c r="PS152" s="1011"/>
      <c r="PT152" s="1011"/>
      <c r="PU152" s="1011"/>
      <c r="PV152" s="1011"/>
      <c r="PW152" s="1011"/>
      <c r="PX152" s="1011"/>
      <c r="PY152" s="1011"/>
      <c r="PZ152" s="1011"/>
      <c r="QA152" s="1011"/>
      <c r="QB152" s="1011"/>
      <c r="QC152" s="1011"/>
      <c r="QD152" s="1011"/>
      <c r="QE152" s="1011"/>
      <c r="QF152" s="1011"/>
      <c r="QG152" s="1011"/>
      <c r="QH152" s="1011"/>
      <c r="QI152" s="1011"/>
      <c r="QJ152" s="1011"/>
      <c r="QK152" s="1011"/>
      <c r="QL152" s="1011"/>
      <c r="QM152" s="1011"/>
      <c r="QN152" s="1011"/>
      <c r="QO152" s="1011"/>
      <c r="QP152" s="1011"/>
      <c r="QQ152" s="1011"/>
      <c r="QR152" s="1011"/>
      <c r="QS152" s="1011"/>
      <c r="QT152" s="1011"/>
      <c r="QU152" s="1011"/>
      <c r="QV152" s="1011"/>
      <c r="QW152" s="1011"/>
      <c r="QX152" s="1011"/>
      <c r="QY152" s="1011"/>
      <c r="QZ152" s="1011"/>
      <c r="RA152" s="1011"/>
      <c r="RB152" s="1011"/>
      <c r="RC152" s="1011"/>
      <c r="RD152" s="1011"/>
      <c r="RE152" s="1011"/>
      <c r="RF152" s="1011"/>
      <c r="RG152" s="1011"/>
      <c r="RH152" s="1011"/>
      <c r="RI152" s="1011"/>
      <c r="RJ152" s="1011"/>
      <c r="RK152" s="1011"/>
      <c r="RL152" s="1011"/>
      <c r="RM152" s="1011"/>
      <c r="RN152" s="1011"/>
      <c r="RO152" s="1011"/>
      <c r="RP152" s="1011"/>
      <c r="RQ152" s="1011"/>
      <c r="RR152" s="1011"/>
      <c r="RS152" s="1011"/>
      <c r="RT152" s="1011"/>
      <c r="RU152" s="1011"/>
      <c r="RV152" s="1011"/>
      <c r="RW152" s="1011"/>
      <c r="RX152" s="1011"/>
      <c r="RY152" s="1011"/>
      <c r="RZ152" s="1011"/>
      <c r="SA152" s="1011"/>
      <c r="SB152" s="1011"/>
      <c r="SC152" s="1011"/>
      <c r="SD152" s="1011"/>
      <c r="SE152" s="1011"/>
      <c r="SF152" s="1011"/>
      <c r="SG152" s="1011"/>
      <c r="SH152" s="1011"/>
      <c r="SI152" s="1011"/>
      <c r="SJ152" s="1011"/>
      <c r="SK152" s="1011"/>
      <c r="SL152" s="1011"/>
      <c r="SM152" s="1011"/>
      <c r="SN152" s="1011"/>
      <c r="SO152" s="1011"/>
      <c r="SP152" s="1011"/>
      <c r="SQ152" s="1011"/>
      <c r="SR152" s="1011"/>
      <c r="SS152" s="1011"/>
      <c r="ST152" s="1011"/>
      <c r="SU152" s="1011"/>
      <c r="SV152" s="1011"/>
      <c r="SW152" s="1011"/>
      <c r="SX152" s="1011"/>
      <c r="SY152" s="1011"/>
      <c r="SZ152" s="1011"/>
      <c r="TA152" s="1011"/>
      <c r="TB152" s="1011"/>
      <c r="TC152" s="1011"/>
      <c r="TD152" s="1011"/>
      <c r="TE152" s="1011"/>
      <c r="TF152" s="1011"/>
      <c r="TG152" s="1011"/>
      <c r="TH152" s="1011"/>
      <c r="TI152" s="1011"/>
      <c r="TJ152" s="1011"/>
      <c r="TK152" s="1011"/>
      <c r="TL152" s="1011"/>
      <c r="TM152" s="1011"/>
      <c r="TN152" s="1011"/>
      <c r="TO152" s="1011"/>
      <c r="TP152" s="1011"/>
      <c r="TQ152" s="1011"/>
      <c r="TR152" s="1011"/>
      <c r="TS152" s="1011"/>
      <c r="TT152" s="1011"/>
      <c r="TU152" s="1011"/>
      <c r="TV152" s="1011"/>
      <c r="TW152" s="1011"/>
      <c r="TX152" s="1011"/>
      <c r="TY152" s="1011"/>
      <c r="TZ152" s="1011"/>
      <c r="UA152" s="1011"/>
      <c r="UB152" s="1011"/>
      <c r="UC152" s="1011"/>
      <c r="UD152" s="1011"/>
      <c r="UE152" s="1011"/>
      <c r="UF152" s="1011"/>
      <c r="UG152" s="1011"/>
      <c r="UH152" s="1011"/>
      <c r="UI152" s="1011"/>
      <c r="UJ152" s="1011"/>
      <c r="UK152" s="1011"/>
      <c r="UL152" s="1011"/>
      <c r="UM152" s="1011"/>
      <c r="UN152" s="1011"/>
      <c r="UO152" s="1011"/>
      <c r="UP152" s="1011"/>
      <c r="UQ152" s="1011"/>
      <c r="UR152" s="1011"/>
      <c r="US152" s="1011"/>
      <c r="UT152" s="1011"/>
      <c r="UU152" s="1011"/>
      <c r="UV152" s="1011"/>
      <c r="UW152" s="1011"/>
      <c r="UX152" s="1011"/>
      <c r="UY152" s="1011"/>
      <c r="UZ152" s="1011"/>
      <c r="VA152" s="1011"/>
      <c r="VB152" s="1011"/>
      <c r="VC152" s="1011"/>
      <c r="VD152" s="1011"/>
      <c r="VE152" s="1011"/>
      <c r="VF152" s="1011"/>
      <c r="VG152" s="1011"/>
      <c r="VH152" s="1011"/>
      <c r="VI152" s="1011"/>
      <c r="VJ152" s="1011"/>
      <c r="VK152" s="1011"/>
      <c r="VL152" s="1011"/>
      <c r="VM152" s="1011"/>
      <c r="VN152" s="1011"/>
      <c r="VO152" s="1011"/>
      <c r="VP152" s="1011"/>
      <c r="VQ152" s="1011"/>
      <c r="VR152" s="1011"/>
      <c r="VS152" s="1011"/>
      <c r="VT152" s="1011"/>
      <c r="VU152" s="1011"/>
      <c r="VV152" s="1011"/>
      <c r="VW152" s="1011"/>
      <c r="VX152" s="1011"/>
      <c r="VY152" s="1011"/>
      <c r="VZ152" s="1011"/>
      <c r="WA152" s="1011"/>
      <c r="WB152" s="1011"/>
      <c r="WC152" s="1011"/>
      <c r="WD152" s="1011"/>
      <c r="WE152" s="1011"/>
      <c r="WF152" s="1011"/>
      <c r="WG152" s="1011"/>
      <c r="WH152" s="1011"/>
      <c r="WI152" s="1011"/>
      <c r="WJ152" s="1011"/>
      <c r="WK152" s="1011"/>
      <c r="WL152" s="1011"/>
      <c r="WM152" s="1011"/>
      <c r="WN152" s="1011"/>
      <c r="WO152" s="1011"/>
      <c r="WP152" s="1011"/>
      <c r="WQ152" s="1011"/>
      <c r="WR152" s="1011"/>
      <c r="WS152" s="1011"/>
      <c r="WT152" s="1011"/>
      <c r="WU152" s="1011"/>
      <c r="WV152" s="1011"/>
      <c r="WW152" s="1011"/>
      <c r="WX152" s="1011"/>
      <c r="WY152" s="1011"/>
      <c r="WZ152" s="1011"/>
      <c r="XA152" s="1011"/>
      <c r="XB152" s="1011"/>
      <c r="XC152" s="1011"/>
      <c r="XD152" s="1011"/>
      <c r="XE152" s="1011"/>
      <c r="XF152" s="1011"/>
      <c r="XG152" s="1011"/>
      <c r="XH152" s="1011"/>
      <c r="XI152" s="1011"/>
      <c r="XJ152" s="1011"/>
      <c r="XK152" s="1011"/>
      <c r="XL152" s="1011"/>
      <c r="XM152" s="1011"/>
      <c r="XN152" s="1011"/>
      <c r="XO152" s="1011"/>
      <c r="XP152" s="1011"/>
      <c r="XQ152" s="1011"/>
      <c r="XR152" s="1011"/>
      <c r="XS152" s="1011"/>
      <c r="XT152" s="1011"/>
      <c r="XU152" s="1011"/>
      <c r="XV152" s="1011"/>
      <c r="XW152" s="1011"/>
      <c r="XX152" s="1011"/>
      <c r="XY152" s="1011"/>
      <c r="XZ152" s="1011"/>
      <c r="YA152" s="1011"/>
      <c r="YB152" s="1011"/>
      <c r="YC152" s="1011"/>
      <c r="YD152" s="1011"/>
      <c r="YE152" s="1011"/>
      <c r="YF152" s="1011"/>
      <c r="YG152" s="1011"/>
      <c r="YH152" s="1011"/>
      <c r="YI152" s="1011"/>
      <c r="YJ152" s="1011"/>
      <c r="YK152" s="1011"/>
      <c r="YL152" s="1011"/>
      <c r="YM152" s="1011"/>
      <c r="YN152" s="1011"/>
      <c r="YO152" s="1011"/>
      <c r="YP152" s="1011"/>
      <c r="YQ152" s="1011"/>
      <c r="YR152" s="1011"/>
      <c r="YS152" s="1011"/>
      <c r="YT152" s="1011"/>
      <c r="YU152" s="1011"/>
      <c r="YV152" s="1011"/>
      <c r="YW152" s="1011"/>
      <c r="YX152" s="1011"/>
      <c r="YY152" s="1011"/>
      <c r="YZ152" s="1011"/>
      <c r="ZA152" s="1011"/>
      <c r="ZB152" s="1011"/>
      <c r="ZC152" s="1011"/>
      <c r="ZD152" s="1011"/>
      <c r="ZE152" s="1011"/>
      <c r="ZF152" s="1011"/>
      <c r="ZG152" s="1011"/>
      <c r="ZH152" s="1011"/>
      <c r="ZI152" s="1011"/>
      <c r="ZJ152" s="1011"/>
      <c r="ZK152" s="1011"/>
      <c r="ZL152" s="1011"/>
      <c r="ZM152" s="1011"/>
      <c r="ZN152" s="1011"/>
      <c r="ZO152" s="1011"/>
      <c r="ZP152" s="1011"/>
      <c r="ZQ152" s="1011"/>
      <c r="ZR152" s="1011"/>
      <c r="ZS152" s="1011"/>
      <c r="ZT152" s="1011"/>
      <c r="ZU152" s="1011"/>
      <c r="ZV152" s="1011"/>
      <c r="ZW152" s="1011"/>
      <c r="ZX152" s="1011"/>
      <c r="ZY152" s="1011"/>
      <c r="ZZ152" s="1011"/>
      <c r="AAA152" s="1011"/>
      <c r="AAB152" s="1011"/>
      <c r="AAC152" s="1011"/>
      <c r="AAD152" s="1011"/>
      <c r="AAE152" s="1011"/>
      <c r="AAF152" s="1011"/>
      <c r="AAG152" s="1011"/>
      <c r="AAH152" s="1011"/>
      <c r="AAI152" s="1011"/>
      <c r="AAJ152" s="1011"/>
      <c r="AAK152" s="1011"/>
      <c r="AAL152" s="1011"/>
      <c r="AAM152" s="1011"/>
      <c r="AAN152" s="1011"/>
      <c r="AAO152" s="1011"/>
      <c r="AAP152" s="1011"/>
      <c r="AAQ152" s="1011"/>
      <c r="AAR152" s="1011"/>
      <c r="AAS152" s="1011"/>
      <c r="AAT152" s="1011"/>
      <c r="AAU152" s="1011"/>
      <c r="AAV152" s="1011"/>
      <c r="AAW152" s="1011"/>
      <c r="AAX152" s="1011"/>
      <c r="AAY152" s="1011"/>
      <c r="AAZ152" s="1011"/>
      <c r="ABA152" s="1011"/>
      <c r="ABB152" s="1011"/>
      <c r="ABC152" s="1011"/>
      <c r="ABD152" s="1011"/>
      <c r="ABE152" s="1011"/>
      <c r="ABF152" s="1011"/>
      <c r="ABG152" s="1011"/>
      <c r="ABH152" s="1011"/>
      <c r="ABI152" s="1011"/>
      <c r="ABJ152" s="1011"/>
      <c r="ABK152" s="1011"/>
      <c r="ABL152" s="1011"/>
      <c r="ABM152" s="1011"/>
      <c r="ABN152" s="1011"/>
      <c r="ABO152" s="1011"/>
      <c r="ABP152" s="1011"/>
      <c r="ABQ152" s="1011"/>
      <c r="ABR152" s="1011"/>
      <c r="ABS152" s="1011"/>
      <c r="ABT152" s="1011"/>
      <c r="ABU152" s="1011"/>
      <c r="ABV152" s="1011"/>
      <c r="ABW152" s="1011"/>
      <c r="ABX152" s="1011"/>
      <c r="ABY152" s="1011"/>
      <c r="ABZ152" s="1011"/>
      <c r="ACA152" s="1011"/>
      <c r="ACB152" s="1011"/>
      <c r="ACC152" s="1011"/>
      <c r="ACD152" s="1011"/>
      <c r="ACE152" s="1011"/>
      <c r="ACF152" s="1011"/>
      <c r="ACG152" s="1011"/>
      <c r="ACH152" s="1011"/>
      <c r="ACI152" s="1011"/>
      <c r="ACJ152" s="1011"/>
      <c r="ACK152" s="1011"/>
      <c r="ACL152" s="1011"/>
      <c r="ACM152" s="1011"/>
      <c r="ACN152" s="1011"/>
      <c r="ACO152" s="1011"/>
      <c r="ACP152" s="1011"/>
      <c r="ACQ152" s="1011"/>
      <c r="ACR152" s="1011"/>
      <c r="ACS152" s="1011"/>
      <c r="ACT152" s="1011"/>
      <c r="ACU152" s="1011"/>
      <c r="ACV152" s="1011"/>
      <c r="ACW152" s="1011"/>
      <c r="ACX152" s="1011"/>
      <c r="ACY152" s="1011"/>
      <c r="ACZ152" s="1011"/>
      <c r="ADA152" s="1011"/>
      <c r="ADB152" s="1011"/>
      <c r="ADC152" s="1011"/>
      <c r="ADD152" s="1011"/>
      <c r="ADE152" s="1011"/>
      <c r="ADF152" s="1011"/>
      <c r="ADG152" s="1011"/>
      <c r="ADH152" s="1011"/>
      <c r="ADI152" s="1011"/>
      <c r="ADJ152" s="1011"/>
      <c r="ADK152" s="1011"/>
      <c r="ADL152" s="1011"/>
      <c r="ADM152" s="1011"/>
      <c r="ADN152" s="1011"/>
      <c r="ADO152" s="1011"/>
      <c r="ADP152" s="1011"/>
      <c r="ADQ152" s="1011"/>
      <c r="ADR152" s="1011"/>
      <c r="ADS152" s="1011"/>
      <c r="ADT152" s="1011"/>
      <c r="ADU152" s="1011"/>
      <c r="ADV152" s="1011"/>
      <c r="ADW152" s="1011"/>
      <c r="ADX152" s="1011"/>
      <c r="ADY152" s="1011"/>
      <c r="ADZ152" s="1011"/>
      <c r="AEA152" s="1011"/>
      <c r="AEB152" s="1011"/>
      <c r="AEC152" s="1011"/>
      <c r="AED152" s="1011"/>
      <c r="AEE152" s="1011"/>
      <c r="AEF152" s="1011"/>
      <c r="AEG152" s="1011"/>
      <c r="AEH152" s="1011"/>
      <c r="AEI152" s="1011"/>
      <c r="AEJ152" s="1011"/>
      <c r="AEK152" s="1011"/>
      <c r="AEL152" s="1011"/>
      <c r="AEM152" s="1011"/>
      <c r="AEN152" s="1011"/>
      <c r="AEO152" s="1011"/>
      <c r="AEP152" s="1011"/>
      <c r="AEQ152" s="1011"/>
      <c r="AER152" s="1011"/>
      <c r="AES152" s="1011"/>
      <c r="AET152" s="1011"/>
      <c r="AEU152" s="1011"/>
      <c r="AEV152" s="1011"/>
      <c r="AEW152" s="1011"/>
      <c r="AEX152" s="1011"/>
      <c r="AEY152" s="1011"/>
      <c r="AEZ152" s="1011"/>
      <c r="AFA152" s="1011"/>
      <c r="AFB152" s="1011"/>
      <c r="AFC152" s="1011"/>
      <c r="AFD152" s="1011"/>
      <c r="AFE152" s="1011"/>
      <c r="AFF152" s="1011"/>
      <c r="AFG152" s="1011"/>
      <c r="AFH152" s="1011"/>
      <c r="AFI152" s="1011"/>
      <c r="AFJ152" s="1011"/>
      <c r="AFK152" s="1011"/>
      <c r="AFL152" s="1011"/>
      <c r="AFM152" s="1011"/>
      <c r="AFN152" s="1011"/>
      <c r="AFO152" s="1011"/>
      <c r="AFP152" s="1011"/>
      <c r="AFQ152" s="1011"/>
      <c r="AFR152" s="1011"/>
      <c r="AFS152" s="1011"/>
      <c r="AFT152" s="1011"/>
      <c r="AFU152" s="1011"/>
      <c r="AFV152" s="1011"/>
      <c r="AFW152" s="1011"/>
      <c r="AFX152" s="1011"/>
      <c r="AFY152" s="1011"/>
      <c r="AFZ152" s="1011"/>
      <c r="AGA152" s="1011"/>
      <c r="AGB152" s="1011"/>
      <c r="AGC152" s="1011"/>
      <c r="AGD152" s="1011"/>
      <c r="AGE152" s="1011"/>
      <c r="AGF152" s="1011"/>
      <c r="AGG152" s="1011"/>
      <c r="AGH152" s="1011"/>
      <c r="AGI152" s="1011"/>
      <c r="AGJ152" s="1011"/>
      <c r="AGK152" s="1011"/>
      <c r="AGL152" s="1011"/>
      <c r="AGM152" s="1011"/>
      <c r="AGN152" s="1011"/>
      <c r="AGO152" s="1011"/>
      <c r="AGP152" s="1011"/>
      <c r="AGQ152" s="1011"/>
      <c r="AGR152" s="1011"/>
      <c r="AGS152" s="1011"/>
      <c r="AGT152" s="1011"/>
      <c r="AGU152" s="1011"/>
      <c r="AGV152" s="1011"/>
      <c r="AGW152" s="1011"/>
      <c r="AGX152" s="1011"/>
      <c r="AGY152" s="1011"/>
      <c r="AGZ152" s="1011"/>
      <c r="AHA152" s="1011"/>
      <c r="AHB152" s="1011"/>
      <c r="AHC152" s="1011"/>
      <c r="AHD152" s="1011"/>
      <c r="AHE152" s="1011"/>
      <c r="AHF152" s="1011"/>
      <c r="AHG152" s="1011"/>
      <c r="AHH152" s="1011"/>
      <c r="AHI152" s="1011"/>
      <c r="AHJ152" s="1011"/>
      <c r="AHK152" s="1011"/>
      <c r="AHL152" s="1011"/>
      <c r="AHM152" s="1011"/>
      <c r="AHN152" s="1011"/>
      <c r="AHO152" s="1011"/>
      <c r="AHP152" s="1011"/>
      <c r="AHQ152" s="1011"/>
      <c r="AHR152" s="1011"/>
      <c r="AHS152" s="1011"/>
      <c r="AHT152" s="1011"/>
      <c r="AHU152" s="1011"/>
      <c r="AHV152" s="1011"/>
      <c r="AHW152" s="1011"/>
      <c r="AHX152" s="1011"/>
      <c r="AHY152" s="1011"/>
      <c r="AHZ152" s="1011"/>
      <c r="AIA152" s="1011"/>
      <c r="AIB152" s="1011"/>
      <c r="AIC152" s="1011"/>
      <c r="AID152" s="1011"/>
      <c r="AIE152" s="1011"/>
      <c r="AIF152" s="1011"/>
      <c r="AIG152" s="1011"/>
      <c r="AIH152" s="1011"/>
      <c r="AII152" s="1011"/>
      <c r="AIJ152" s="1011"/>
      <c r="AIK152" s="1011"/>
      <c r="AIL152" s="1011"/>
      <c r="AIM152" s="1011"/>
      <c r="AIN152" s="1011"/>
      <c r="AIO152" s="1011"/>
      <c r="AIP152" s="1011"/>
      <c r="AIQ152" s="1011"/>
      <c r="AIR152" s="1011"/>
      <c r="AIS152" s="1011"/>
      <c r="AIT152" s="1011"/>
      <c r="AIU152" s="1011"/>
      <c r="AIV152" s="1011"/>
      <c r="AIW152" s="1011"/>
      <c r="AIX152" s="1011"/>
      <c r="AIY152" s="1011"/>
      <c r="AIZ152" s="1011"/>
      <c r="AJA152" s="1011"/>
      <c r="AJB152" s="1011"/>
      <c r="AJC152" s="1011"/>
      <c r="AJD152" s="1011"/>
      <c r="AJE152" s="1011"/>
      <c r="AJF152" s="1011"/>
      <c r="AJG152" s="1011"/>
      <c r="AJH152" s="1011"/>
      <c r="AJI152" s="1011"/>
      <c r="AJJ152" s="1011"/>
      <c r="AJK152" s="1011"/>
      <c r="AJL152" s="1011"/>
      <c r="AJM152" s="1011"/>
      <c r="AJN152" s="1011"/>
      <c r="AJO152" s="1011"/>
      <c r="AJP152" s="1011"/>
      <c r="AJQ152" s="1011"/>
      <c r="AJR152" s="1011"/>
      <c r="AJS152" s="1011"/>
      <c r="AJT152" s="1011"/>
      <c r="AJU152" s="1011"/>
      <c r="AJV152" s="1011"/>
      <c r="AJW152" s="1011"/>
      <c r="AJX152" s="1011"/>
      <c r="AJY152" s="1011"/>
      <c r="AJZ152" s="1011"/>
      <c r="AKA152" s="1011"/>
      <c r="AKB152" s="1011"/>
      <c r="AKC152" s="1011"/>
      <c r="AKD152" s="1011"/>
      <c r="AKE152" s="1011"/>
      <c r="AKF152" s="1011"/>
      <c r="AKG152" s="1011"/>
      <c r="AKH152" s="1011"/>
      <c r="AKI152" s="1011"/>
      <c r="AKJ152" s="1011"/>
      <c r="AKK152" s="1011"/>
      <c r="AKL152" s="1011"/>
      <c r="AKM152" s="1011"/>
      <c r="AKN152" s="1011"/>
      <c r="AKO152" s="1011"/>
      <c r="AKP152" s="1011"/>
      <c r="AKQ152" s="1011"/>
      <c r="AKR152" s="1011"/>
      <c r="AKS152" s="1011"/>
      <c r="AKT152" s="1011"/>
      <c r="AKU152" s="1011"/>
      <c r="AKV152" s="1011"/>
      <c r="AKW152" s="1011"/>
      <c r="AKX152" s="1011"/>
      <c r="AKY152" s="1011"/>
      <c r="AKZ152" s="1011"/>
      <c r="ALA152" s="1011"/>
      <c r="ALB152" s="1011"/>
      <c r="ALC152" s="1011"/>
      <c r="ALD152" s="1011"/>
      <c r="ALE152" s="1011"/>
      <c r="ALF152" s="1011"/>
      <c r="ALG152" s="1011"/>
      <c r="ALH152" s="1011"/>
      <c r="ALI152" s="1011"/>
      <c r="ALJ152" s="1011"/>
      <c r="ALK152" s="1011"/>
      <c r="ALL152" s="1011"/>
      <c r="ALM152" s="1011"/>
      <c r="ALN152" s="1011"/>
      <c r="ALO152" s="1011"/>
      <c r="ALP152" s="1011"/>
      <c r="ALQ152" s="1011"/>
      <c r="ALR152" s="1011"/>
      <c r="ALS152" s="1011"/>
      <c r="ALT152" s="1011"/>
      <c r="ALU152" s="1011"/>
      <c r="ALV152" s="1011"/>
      <c r="ALW152" s="1011"/>
      <c r="ALX152" s="1011"/>
      <c r="ALY152" s="1011"/>
      <c r="ALZ152" s="1011"/>
      <c r="AMA152" s="1011"/>
      <c r="AMB152" s="1011"/>
      <c r="AMC152" s="1011"/>
      <c r="AMD152" s="1011"/>
      <c r="AME152" s="1011"/>
      <c r="AMF152" s="1011"/>
      <c r="AMG152" s="1011"/>
      <c r="AMH152" s="1011"/>
      <c r="AMI152" s="1011"/>
      <c r="AMJ152" s="1011"/>
      <c r="AMK152" s="1011"/>
      <c r="AML152" s="1011"/>
      <c r="AMM152" s="1011"/>
      <c r="AMN152" s="1011"/>
      <c r="AMO152" s="1011"/>
      <c r="AMP152" s="1011"/>
      <c r="AMQ152" s="1011"/>
      <c r="AMR152" s="1011"/>
      <c r="AMS152" s="1011"/>
      <c r="AMT152" s="1011"/>
      <c r="AMU152" s="1011"/>
      <c r="AMV152" s="1011"/>
      <c r="AMW152" s="1011"/>
      <c r="AMX152" s="1011"/>
      <c r="AMY152" s="1011"/>
      <c r="AMZ152" s="1011"/>
      <c r="ANA152" s="1011"/>
      <c r="ANB152" s="1011"/>
      <c r="ANC152" s="1011"/>
      <c r="AND152" s="1011"/>
      <c r="ANE152" s="1011"/>
      <c r="ANF152" s="1011"/>
      <c r="ANG152" s="1011"/>
      <c r="ANH152" s="1011"/>
      <c r="ANI152" s="1011"/>
      <c r="ANJ152" s="1011"/>
      <c r="ANK152" s="1011"/>
      <c r="ANL152" s="1011"/>
      <c r="ANM152" s="1011"/>
      <c r="ANN152" s="1011"/>
      <c r="ANO152" s="1011"/>
      <c r="ANP152" s="1011"/>
      <c r="ANQ152" s="1011"/>
      <c r="ANR152" s="1011"/>
      <c r="ANS152" s="1011"/>
      <c r="ANT152" s="1011"/>
      <c r="ANU152" s="1011"/>
      <c r="ANV152" s="1011"/>
      <c r="ANW152" s="1011"/>
      <c r="ANX152" s="1011"/>
      <c r="ANY152" s="1011"/>
      <c r="ANZ152" s="1011"/>
      <c r="AOA152" s="1011"/>
      <c r="AOB152" s="1011"/>
      <c r="AOC152" s="1011"/>
      <c r="AOD152" s="1011"/>
      <c r="AOE152" s="1011"/>
      <c r="AOF152" s="1011"/>
      <c r="AOG152" s="1011"/>
      <c r="AOH152" s="1011"/>
      <c r="AOI152" s="1011"/>
      <c r="AOJ152" s="1011"/>
      <c r="AOK152" s="1011"/>
      <c r="AOL152" s="1011"/>
      <c r="AOM152" s="1011"/>
      <c r="AON152" s="1011"/>
      <c r="AOO152" s="1011"/>
      <c r="AOP152" s="1011"/>
      <c r="AOQ152" s="1011"/>
      <c r="AOR152" s="1011"/>
      <c r="AOS152" s="1011"/>
      <c r="AOT152" s="1011"/>
      <c r="AOU152" s="1011"/>
      <c r="AOV152" s="1011"/>
      <c r="AOW152" s="1011"/>
      <c r="AOX152" s="1011"/>
      <c r="AOY152" s="1011"/>
      <c r="AOZ152" s="1011"/>
      <c r="APA152" s="1011"/>
      <c r="APB152" s="1011"/>
      <c r="APC152" s="1011"/>
      <c r="APD152" s="1011"/>
      <c r="APE152" s="1011"/>
      <c r="APF152" s="1011"/>
      <c r="APG152" s="1011"/>
      <c r="APH152" s="1011"/>
      <c r="API152" s="1011"/>
      <c r="APJ152" s="1011"/>
      <c r="APK152" s="1011"/>
      <c r="APL152" s="1011"/>
      <c r="APM152" s="1011"/>
      <c r="APN152" s="1011"/>
      <c r="APO152" s="1011"/>
      <c r="APP152" s="1011"/>
      <c r="APQ152" s="1011"/>
      <c r="APR152" s="1011"/>
      <c r="APS152" s="1011"/>
      <c r="APT152" s="1011"/>
      <c r="APU152" s="1011"/>
      <c r="APV152" s="1011"/>
      <c r="APW152" s="1011"/>
      <c r="APX152" s="1011"/>
      <c r="APY152" s="1011"/>
      <c r="APZ152" s="1011"/>
      <c r="AQA152" s="1011"/>
      <c r="AQB152" s="1011"/>
      <c r="AQC152" s="1011"/>
      <c r="AQD152" s="1011"/>
      <c r="AQE152" s="1011"/>
      <c r="AQF152" s="1011"/>
      <c r="AQG152" s="1011"/>
      <c r="AQH152" s="1011"/>
      <c r="AQI152" s="1011"/>
      <c r="AQJ152" s="1011"/>
      <c r="AQK152" s="1011"/>
      <c r="AQL152" s="1011"/>
      <c r="AQM152" s="1011"/>
      <c r="AQN152" s="1011"/>
      <c r="AQO152" s="1011"/>
      <c r="AQP152" s="1011"/>
      <c r="AQQ152" s="1011"/>
      <c r="AQR152" s="1011"/>
      <c r="AQS152" s="1011"/>
      <c r="AQT152" s="1011"/>
      <c r="AQU152" s="1011"/>
      <c r="AQV152" s="1011"/>
      <c r="AQW152" s="1011"/>
      <c r="AQX152" s="1011"/>
      <c r="AQY152" s="1011"/>
      <c r="AQZ152" s="1011"/>
      <c r="ARA152" s="1011"/>
      <c r="ARB152" s="1011"/>
      <c r="ARC152" s="1011"/>
      <c r="ARD152" s="1011"/>
      <c r="ARE152" s="1011"/>
      <c r="ARF152" s="1011"/>
      <c r="ARG152" s="1011"/>
      <c r="ARH152" s="1011"/>
      <c r="ARI152" s="1011"/>
      <c r="ARJ152" s="1011"/>
      <c r="ARK152" s="1011"/>
      <c r="ARL152" s="1011"/>
      <c r="ARM152" s="1011"/>
      <c r="ARN152" s="1011"/>
      <c r="ARO152" s="1011"/>
      <c r="ARP152" s="1011"/>
      <c r="ARQ152" s="1011"/>
      <c r="ARR152" s="1011"/>
      <c r="ARS152" s="1011"/>
      <c r="ART152" s="1011"/>
      <c r="ARU152" s="1011"/>
      <c r="ARV152" s="1011"/>
      <c r="ARW152" s="1011"/>
      <c r="ARX152" s="1011"/>
      <c r="ARY152" s="1011"/>
      <c r="ARZ152" s="1011"/>
      <c r="ASA152" s="1011"/>
      <c r="ASB152" s="1011"/>
      <c r="ASC152" s="1011"/>
      <c r="ASD152" s="1011"/>
      <c r="ASE152" s="1011"/>
      <c r="ASF152" s="1011"/>
      <c r="ASG152" s="1011"/>
      <c r="ASH152" s="1011"/>
      <c r="ASI152" s="1011"/>
      <c r="ASJ152" s="1011"/>
      <c r="ASK152" s="1011"/>
      <c r="ASL152" s="1011"/>
      <c r="ASM152" s="1011"/>
      <c r="ASN152" s="1011"/>
      <c r="ASO152" s="1011"/>
      <c r="ASP152" s="1011"/>
      <c r="ASQ152" s="1011"/>
      <c r="ASR152" s="1011"/>
      <c r="ASS152" s="1011"/>
      <c r="AST152" s="1011"/>
      <c r="ASU152" s="1011"/>
      <c r="ASV152" s="1011"/>
      <c r="ASW152" s="1011"/>
      <c r="ASX152" s="1011"/>
      <c r="ASY152" s="1011"/>
      <c r="ASZ152" s="1011"/>
      <c r="ATA152" s="1011"/>
      <c r="ATB152" s="1011"/>
      <c r="ATC152" s="1011"/>
      <c r="ATD152" s="1011"/>
      <c r="ATE152" s="1011"/>
      <c r="ATF152" s="1011"/>
      <c r="ATG152" s="1011"/>
      <c r="ATH152" s="1011"/>
      <c r="ATI152" s="1011"/>
      <c r="ATJ152" s="1011"/>
      <c r="ATK152" s="1011"/>
      <c r="ATL152" s="1011"/>
      <c r="ATM152" s="1011"/>
      <c r="ATN152" s="1011"/>
      <c r="ATO152" s="1011"/>
      <c r="ATP152" s="1011"/>
      <c r="ATQ152" s="1011"/>
      <c r="ATR152" s="1011"/>
      <c r="ATS152" s="1011"/>
      <c r="ATT152" s="1011"/>
      <c r="ATU152" s="1011"/>
      <c r="ATV152" s="1011"/>
      <c r="ATW152" s="1011"/>
      <c r="ATX152" s="1011"/>
      <c r="ATY152" s="1011"/>
      <c r="ATZ152" s="1011"/>
      <c r="AUA152" s="1011"/>
      <c r="AUB152" s="1011"/>
      <c r="AUC152" s="1011"/>
      <c r="AUD152" s="1011"/>
      <c r="AUE152" s="1011"/>
      <c r="AUF152" s="1011"/>
      <c r="AUG152" s="1011"/>
      <c r="AUH152" s="1011"/>
      <c r="AUI152" s="1011"/>
      <c r="AUJ152" s="1011"/>
      <c r="AUK152" s="1011"/>
      <c r="AUL152" s="1011"/>
      <c r="AUM152" s="1011"/>
      <c r="AUN152" s="1011"/>
      <c r="AUO152" s="1011"/>
      <c r="AUP152" s="1011"/>
      <c r="AUQ152" s="1011"/>
      <c r="AUR152" s="1011"/>
      <c r="AUS152" s="1011"/>
      <c r="AUT152" s="1011"/>
      <c r="AUU152" s="1011"/>
      <c r="AUV152" s="1011"/>
      <c r="AUW152" s="1011"/>
      <c r="AUX152" s="1011"/>
      <c r="AUY152" s="1011"/>
      <c r="AUZ152" s="1011"/>
      <c r="AVA152" s="1011"/>
      <c r="AVB152" s="1011"/>
      <c r="AVC152" s="1011"/>
      <c r="AVD152" s="1011"/>
      <c r="AVE152" s="1011"/>
      <c r="AVF152" s="1011"/>
      <c r="AVG152" s="1011"/>
      <c r="AVH152" s="1011"/>
      <c r="AVI152" s="1011"/>
      <c r="AVJ152" s="1011"/>
      <c r="AVK152" s="1011"/>
      <c r="AVL152" s="1011"/>
      <c r="AVM152" s="1011"/>
      <c r="AVN152" s="1011"/>
      <c r="AVO152" s="1011"/>
      <c r="AVP152" s="1011"/>
      <c r="AVQ152" s="1011"/>
      <c r="AVR152" s="1011"/>
      <c r="AVS152" s="1011"/>
      <c r="AVT152" s="1011"/>
      <c r="AVU152" s="1011"/>
      <c r="AVV152" s="1011"/>
      <c r="AVW152" s="1011"/>
      <c r="AVX152" s="1011"/>
      <c r="AVY152" s="1011"/>
      <c r="AVZ152" s="1011"/>
      <c r="AWA152" s="1011"/>
      <c r="AWB152" s="1011"/>
      <c r="AWC152" s="1011"/>
      <c r="AWD152" s="1011"/>
      <c r="AWE152" s="1011"/>
      <c r="AWF152" s="1011"/>
      <c r="AWG152" s="1011"/>
      <c r="AWH152" s="1011"/>
      <c r="AWI152" s="1011"/>
      <c r="AWJ152" s="1011"/>
      <c r="AWK152" s="1011"/>
      <c r="AWL152" s="1011"/>
      <c r="AWM152" s="1011"/>
      <c r="AWN152" s="1011"/>
      <c r="AWO152" s="1011"/>
      <c r="AWP152" s="1011"/>
      <c r="AWQ152" s="1011"/>
      <c r="AWR152" s="1011"/>
      <c r="AWS152" s="1011"/>
      <c r="AWT152" s="1011"/>
      <c r="AWU152" s="1011"/>
      <c r="AWV152" s="1011"/>
      <c r="AWW152" s="1011"/>
      <c r="AWX152" s="1011"/>
      <c r="AWY152" s="1011"/>
      <c r="AWZ152" s="1011"/>
      <c r="AXA152" s="1011"/>
      <c r="AXB152" s="1011"/>
      <c r="AXC152" s="1011"/>
      <c r="AXD152" s="1011"/>
      <c r="AXE152" s="1011"/>
      <c r="AXF152" s="1011"/>
      <c r="AXG152" s="1011"/>
      <c r="AXH152" s="1011"/>
      <c r="AXI152" s="1011"/>
      <c r="AXJ152" s="1011"/>
      <c r="AXK152" s="1011"/>
      <c r="AXL152" s="1011"/>
      <c r="AXM152" s="1011"/>
      <c r="AXN152" s="1011"/>
      <c r="AXO152" s="1011"/>
      <c r="AXP152" s="1011"/>
      <c r="AXQ152" s="1011"/>
      <c r="AXR152" s="1011"/>
      <c r="AXS152" s="1011"/>
      <c r="AXT152" s="1011"/>
      <c r="AXU152" s="1011"/>
      <c r="AXV152" s="1011"/>
      <c r="AXW152" s="1011"/>
      <c r="AXX152" s="1011"/>
      <c r="AXY152" s="1011"/>
      <c r="AXZ152" s="1011"/>
      <c r="AYA152" s="1011"/>
      <c r="AYB152" s="1011"/>
      <c r="AYC152" s="1011"/>
      <c r="AYD152" s="1011"/>
      <c r="AYE152" s="1011"/>
      <c r="AYF152" s="1011"/>
      <c r="AYG152" s="1011"/>
      <c r="AYH152" s="1011"/>
      <c r="AYI152" s="1011"/>
      <c r="AYJ152" s="1011"/>
      <c r="AYK152" s="1011"/>
      <c r="AYL152" s="1011"/>
      <c r="AYM152" s="1011"/>
      <c r="AYN152" s="1011"/>
      <c r="AYO152" s="1011"/>
      <c r="AYP152" s="1011"/>
      <c r="AYQ152" s="1011"/>
      <c r="AYR152" s="1011"/>
      <c r="AYS152" s="1011"/>
      <c r="AYT152" s="1011"/>
      <c r="AYU152" s="1011"/>
      <c r="AYV152" s="1011"/>
      <c r="AYW152" s="1011"/>
      <c r="AYX152" s="1011"/>
      <c r="AYY152" s="1011"/>
      <c r="AYZ152" s="1011"/>
      <c r="AZA152" s="1011"/>
      <c r="AZB152" s="1011"/>
      <c r="AZC152" s="1011"/>
      <c r="AZD152" s="1011"/>
      <c r="AZE152" s="1011"/>
      <c r="AZF152" s="1011"/>
      <c r="AZG152" s="1011"/>
      <c r="AZH152" s="1011"/>
      <c r="AZI152" s="1011"/>
      <c r="AZJ152" s="1011"/>
      <c r="AZK152" s="1011"/>
      <c r="AZL152" s="1011"/>
      <c r="AZM152" s="1011"/>
      <c r="AZN152" s="1011"/>
      <c r="AZO152" s="1011"/>
      <c r="AZP152" s="1011"/>
      <c r="AZQ152" s="1011"/>
      <c r="AZR152" s="1011"/>
      <c r="AZS152" s="1011"/>
      <c r="AZT152" s="1011"/>
      <c r="AZU152" s="1011"/>
      <c r="AZV152" s="1011"/>
      <c r="AZW152" s="1011"/>
      <c r="AZX152" s="1011"/>
      <c r="AZY152" s="1011"/>
      <c r="AZZ152" s="1011"/>
      <c r="BAA152" s="1011"/>
      <c r="BAB152" s="1011"/>
      <c r="BAC152" s="1011"/>
      <c r="BAD152" s="1011"/>
      <c r="BAE152" s="1011"/>
      <c r="BAF152" s="1011"/>
      <c r="BAG152" s="1011"/>
      <c r="BAH152" s="1011"/>
      <c r="BAI152" s="1011"/>
      <c r="BAJ152" s="1011"/>
      <c r="BAK152" s="1011"/>
      <c r="BAL152" s="1011"/>
      <c r="BAM152" s="1011"/>
      <c r="BAN152" s="1011"/>
      <c r="BAO152" s="1011"/>
      <c r="BAP152" s="1011"/>
      <c r="BAQ152" s="1011"/>
      <c r="BAR152" s="1011"/>
      <c r="BAS152" s="1011"/>
      <c r="BAT152" s="1011"/>
      <c r="BAU152" s="1011"/>
      <c r="BAV152" s="1011"/>
      <c r="BAW152" s="1011"/>
      <c r="BAX152" s="1011"/>
      <c r="BAY152" s="1011"/>
      <c r="BAZ152" s="1011"/>
      <c r="BBA152" s="1011"/>
      <c r="BBB152" s="1011"/>
      <c r="BBC152" s="1011"/>
      <c r="BBD152" s="1011"/>
      <c r="BBE152" s="1011"/>
      <c r="BBF152" s="1011"/>
      <c r="BBG152" s="1011"/>
      <c r="BBH152" s="1011"/>
      <c r="BBI152" s="1011"/>
      <c r="BBJ152" s="1011"/>
      <c r="BBK152" s="1011"/>
      <c r="BBL152" s="1011"/>
      <c r="BBM152" s="1011"/>
      <c r="BBN152" s="1011"/>
      <c r="BBO152" s="1011"/>
      <c r="BBP152" s="1011"/>
      <c r="BBQ152" s="1011"/>
      <c r="BBR152" s="1011"/>
      <c r="BBS152" s="1011"/>
      <c r="BBT152" s="1011"/>
      <c r="BBU152" s="1011"/>
      <c r="BBV152" s="1011"/>
      <c r="BBW152" s="1011"/>
      <c r="BBX152" s="1011"/>
      <c r="BBY152" s="1011"/>
      <c r="BBZ152" s="1011"/>
      <c r="BCA152" s="1011"/>
      <c r="BCB152" s="1011"/>
      <c r="BCC152" s="1011"/>
      <c r="BCD152" s="1011"/>
      <c r="BCE152" s="1011"/>
      <c r="BCF152" s="1011"/>
      <c r="BCG152" s="1011"/>
      <c r="BCH152" s="1011"/>
      <c r="BCI152" s="1011"/>
      <c r="BCJ152" s="1011"/>
      <c r="BCK152" s="1011"/>
      <c r="BCL152" s="1011"/>
      <c r="BCM152" s="1011"/>
      <c r="BCN152" s="1011"/>
      <c r="BCO152" s="1011"/>
      <c r="BCP152" s="1011"/>
      <c r="BCQ152" s="1011"/>
      <c r="BCR152" s="1011"/>
      <c r="BCS152" s="1011"/>
      <c r="BCT152" s="1011"/>
      <c r="BCU152" s="1011"/>
      <c r="BCV152" s="1011"/>
      <c r="BCW152" s="1011"/>
      <c r="BCX152" s="1011"/>
      <c r="BCY152" s="1011"/>
      <c r="BCZ152" s="1011"/>
      <c r="BDA152" s="1011"/>
      <c r="BDB152" s="1011"/>
      <c r="BDC152" s="1011"/>
      <c r="BDD152" s="1011"/>
      <c r="BDE152" s="1011"/>
      <c r="BDF152" s="1011"/>
      <c r="BDG152" s="1011"/>
      <c r="BDH152" s="1011"/>
      <c r="BDI152" s="1011"/>
      <c r="BDJ152" s="1011"/>
      <c r="BDK152" s="1011"/>
      <c r="BDL152" s="1011"/>
      <c r="BDM152" s="1011"/>
      <c r="BDN152" s="1011"/>
      <c r="BDO152" s="1011"/>
      <c r="BDP152" s="1011"/>
      <c r="BDQ152" s="1011"/>
      <c r="BDR152" s="1011"/>
      <c r="BDS152" s="1011"/>
      <c r="BDT152" s="1011"/>
      <c r="BDU152" s="1011"/>
      <c r="BDV152" s="1011"/>
      <c r="BDW152" s="1011"/>
      <c r="BDX152" s="1011"/>
      <c r="BDY152" s="1011"/>
      <c r="BDZ152" s="1011"/>
      <c r="BEA152" s="1011"/>
      <c r="BEB152" s="1011"/>
      <c r="BEC152" s="1011"/>
      <c r="BED152" s="1011"/>
      <c r="BEE152" s="1011"/>
      <c r="BEF152" s="1011"/>
      <c r="BEG152" s="1011"/>
      <c r="BEH152" s="1011"/>
      <c r="BEI152" s="1011"/>
      <c r="BEJ152" s="1011"/>
      <c r="BEK152" s="1011"/>
      <c r="BEL152" s="1011"/>
      <c r="BEM152" s="1011"/>
      <c r="BEN152" s="1011"/>
      <c r="BEO152" s="1011"/>
      <c r="BEP152" s="1011"/>
      <c r="BEQ152" s="1011"/>
      <c r="BER152" s="1011"/>
      <c r="BES152" s="1011"/>
      <c r="BET152" s="1011"/>
      <c r="BEU152" s="1011"/>
      <c r="BEV152" s="1011"/>
      <c r="BEW152" s="1011"/>
      <c r="BEX152" s="1011"/>
      <c r="BEY152" s="1011"/>
      <c r="BEZ152" s="1011"/>
      <c r="BFA152" s="1011"/>
      <c r="BFB152" s="1011"/>
      <c r="BFC152" s="1011"/>
      <c r="BFD152" s="1011"/>
      <c r="BFE152" s="1011"/>
      <c r="BFF152" s="1011"/>
      <c r="BFG152" s="1011"/>
      <c r="BFH152" s="1011"/>
      <c r="BFI152" s="1011"/>
      <c r="BFJ152" s="1011"/>
      <c r="BFK152" s="1011"/>
      <c r="BFL152" s="1011"/>
      <c r="BFM152" s="1011"/>
      <c r="BFN152" s="1011"/>
      <c r="BFO152" s="1011"/>
      <c r="BFP152" s="1011"/>
      <c r="BFQ152" s="1011"/>
      <c r="BFR152" s="1011"/>
      <c r="BFS152" s="1011"/>
      <c r="BFT152" s="1011"/>
      <c r="BFU152" s="1011"/>
      <c r="BFV152" s="1011"/>
      <c r="BFW152" s="1011"/>
      <c r="BFX152" s="1011"/>
      <c r="BFY152" s="1011"/>
      <c r="BFZ152" s="1011"/>
      <c r="BGA152" s="1011"/>
      <c r="BGB152" s="1011"/>
      <c r="BGC152" s="1011"/>
      <c r="BGD152" s="1011"/>
      <c r="BGE152" s="1011"/>
      <c r="BGF152" s="1011"/>
      <c r="BGG152" s="1011"/>
      <c r="BGH152" s="1011"/>
      <c r="BGI152" s="1011"/>
      <c r="BGJ152" s="1011"/>
      <c r="BGK152" s="1011"/>
      <c r="BGL152" s="1011"/>
      <c r="BGM152" s="1011"/>
      <c r="BGN152" s="1011"/>
      <c r="BGO152" s="1011"/>
      <c r="BGP152" s="1011"/>
      <c r="BGQ152" s="1011"/>
      <c r="BGR152" s="1011"/>
      <c r="BGS152" s="1011"/>
      <c r="BGT152" s="1011"/>
      <c r="BGU152" s="1011"/>
      <c r="BGV152" s="1011"/>
      <c r="BGW152" s="1011"/>
      <c r="BGX152" s="1011"/>
      <c r="BGY152" s="1011"/>
      <c r="BGZ152" s="1011"/>
      <c r="BHA152" s="1011"/>
      <c r="BHB152" s="1011"/>
      <c r="BHC152" s="1011"/>
      <c r="BHD152" s="1011"/>
      <c r="BHE152" s="1011"/>
      <c r="BHF152" s="1011"/>
      <c r="BHG152" s="1011"/>
      <c r="BHH152" s="1011"/>
      <c r="BHI152" s="1011"/>
      <c r="BHJ152" s="1011"/>
      <c r="BHK152" s="1011"/>
      <c r="BHL152" s="1011"/>
      <c r="BHM152" s="1011"/>
      <c r="BHN152" s="1011"/>
      <c r="BHO152" s="1011"/>
      <c r="BHP152" s="1011"/>
      <c r="BHQ152" s="1011"/>
      <c r="BHR152" s="1011"/>
      <c r="BHS152" s="1011"/>
      <c r="BHT152" s="1011"/>
      <c r="BHU152" s="1011"/>
      <c r="BHV152" s="1011"/>
      <c r="BHW152" s="1011"/>
      <c r="BHX152" s="1011"/>
      <c r="BHY152" s="1011"/>
      <c r="BHZ152" s="1011"/>
      <c r="BIA152" s="1011"/>
      <c r="BIB152" s="1011"/>
      <c r="BIC152" s="1011"/>
      <c r="BID152" s="1011"/>
      <c r="BIE152" s="1011"/>
      <c r="BIF152" s="1011"/>
      <c r="BIG152" s="1011"/>
      <c r="BIH152" s="1011"/>
      <c r="BII152" s="1011"/>
      <c r="BIJ152" s="1011"/>
      <c r="BIK152" s="1011"/>
      <c r="BIL152" s="1011"/>
      <c r="BIM152" s="1011"/>
      <c r="BIN152" s="1011"/>
      <c r="BIO152" s="1011"/>
      <c r="BIP152" s="1011"/>
      <c r="BIQ152" s="1011"/>
      <c r="BIR152" s="1011"/>
      <c r="BIS152" s="1011"/>
      <c r="BIT152" s="1011"/>
      <c r="BIU152" s="1011"/>
      <c r="BIV152" s="1011"/>
      <c r="BIW152" s="1011"/>
      <c r="BIX152" s="1011"/>
      <c r="BIY152" s="1011"/>
      <c r="BIZ152" s="1011"/>
      <c r="BJA152" s="1011"/>
      <c r="BJB152" s="1011"/>
      <c r="BJC152" s="1011"/>
      <c r="BJD152" s="1011"/>
      <c r="BJE152" s="1011"/>
      <c r="BJF152" s="1011"/>
      <c r="BJG152" s="1011"/>
      <c r="BJH152" s="1011"/>
      <c r="BJI152" s="1011"/>
      <c r="BJJ152" s="1011"/>
      <c r="BJK152" s="1011"/>
      <c r="BJL152" s="1011"/>
      <c r="BJM152" s="1011"/>
      <c r="BJN152" s="1011"/>
      <c r="BJO152" s="1011"/>
      <c r="BJP152" s="1011"/>
      <c r="BJQ152" s="1011"/>
      <c r="BJR152" s="1011"/>
      <c r="BJS152" s="1011"/>
      <c r="BJT152" s="1011"/>
      <c r="BJU152" s="1011"/>
      <c r="BJV152" s="1011"/>
      <c r="BJW152" s="1011"/>
      <c r="BJX152" s="1011"/>
      <c r="BJY152" s="1011"/>
      <c r="BJZ152" s="1011"/>
      <c r="BKA152" s="1011"/>
      <c r="BKB152" s="1011"/>
      <c r="BKC152" s="1011"/>
      <c r="BKD152" s="1011"/>
      <c r="BKE152" s="1011"/>
      <c r="BKF152" s="1011"/>
      <c r="BKG152" s="1011"/>
      <c r="BKH152" s="1011"/>
      <c r="BKI152" s="1011"/>
      <c r="BKJ152" s="1011"/>
      <c r="BKK152" s="1011"/>
      <c r="BKL152" s="1011"/>
      <c r="BKM152" s="1011"/>
      <c r="BKN152" s="1011"/>
      <c r="BKO152" s="1011"/>
      <c r="BKP152" s="1011"/>
      <c r="BKQ152" s="1011"/>
      <c r="BKR152" s="1011"/>
      <c r="BKS152" s="1011"/>
      <c r="BKT152" s="1011"/>
      <c r="BKU152" s="1011"/>
      <c r="BKV152" s="1011"/>
      <c r="BKW152" s="1011"/>
      <c r="BKX152" s="1011"/>
      <c r="BKY152" s="1011"/>
      <c r="BKZ152" s="1011"/>
      <c r="BLA152" s="1011"/>
      <c r="BLB152" s="1011"/>
      <c r="BLC152" s="1011"/>
      <c r="BLD152" s="1011"/>
      <c r="BLE152" s="1011"/>
      <c r="BLF152" s="1011"/>
      <c r="BLG152" s="1011"/>
      <c r="BLH152" s="1011"/>
      <c r="BLI152" s="1011"/>
      <c r="BLJ152" s="1011"/>
      <c r="BLK152" s="1011"/>
      <c r="BLL152" s="1011"/>
      <c r="BLM152" s="1011"/>
      <c r="BLN152" s="1011"/>
      <c r="BLO152" s="1011"/>
      <c r="BLP152" s="1011"/>
      <c r="BLQ152" s="1011"/>
      <c r="BLR152" s="1011"/>
      <c r="BLS152" s="1011"/>
      <c r="BLT152" s="1011"/>
      <c r="BLU152" s="1011"/>
      <c r="BLV152" s="1011"/>
      <c r="BLW152" s="1011"/>
      <c r="BLX152" s="1011"/>
      <c r="BLY152" s="1011"/>
      <c r="BLZ152" s="1011"/>
      <c r="BMA152" s="1011"/>
      <c r="BMB152" s="1011"/>
      <c r="BMC152" s="1011"/>
      <c r="BMD152" s="1011"/>
      <c r="BME152" s="1011"/>
      <c r="BMF152" s="1011"/>
      <c r="BMG152" s="1011"/>
      <c r="BMH152" s="1011"/>
      <c r="BMI152" s="1011"/>
      <c r="BMJ152" s="1011"/>
      <c r="BMK152" s="1011"/>
      <c r="BML152" s="1011"/>
      <c r="BMM152" s="1011"/>
      <c r="BMN152" s="1011"/>
      <c r="BMO152" s="1011"/>
      <c r="BMP152" s="1011"/>
      <c r="BMQ152" s="1011"/>
      <c r="BMR152" s="1011"/>
      <c r="BMS152" s="1011"/>
      <c r="BMT152" s="1011"/>
      <c r="BMU152" s="1011"/>
      <c r="BMV152" s="1011"/>
      <c r="BMW152" s="1011"/>
      <c r="BMX152" s="1011"/>
      <c r="BMY152" s="1011"/>
      <c r="BMZ152" s="1011"/>
      <c r="BNA152" s="1011"/>
      <c r="BNB152" s="1011"/>
      <c r="BNC152" s="1011"/>
      <c r="BND152" s="1011"/>
      <c r="BNE152" s="1011"/>
      <c r="BNF152" s="1011"/>
      <c r="BNG152" s="1011"/>
      <c r="BNH152" s="1011"/>
      <c r="BNI152" s="1011"/>
      <c r="BNJ152" s="1011"/>
      <c r="BNK152" s="1011"/>
      <c r="BNL152" s="1011"/>
      <c r="BNM152" s="1011"/>
      <c r="BNN152" s="1011"/>
      <c r="BNO152" s="1011"/>
      <c r="BNP152" s="1011"/>
      <c r="BNQ152" s="1011"/>
      <c r="BNR152" s="1011"/>
      <c r="BNS152" s="1011"/>
      <c r="BNT152" s="1011"/>
      <c r="BNU152" s="1011"/>
      <c r="BNV152" s="1011"/>
      <c r="BNW152" s="1011"/>
      <c r="BNX152" s="1011"/>
      <c r="BNY152" s="1011"/>
      <c r="BNZ152" s="1011"/>
      <c r="BOA152" s="1011"/>
      <c r="BOB152" s="1011"/>
      <c r="BOC152" s="1011"/>
      <c r="BOD152" s="1011"/>
      <c r="BOE152" s="1011"/>
      <c r="BOF152" s="1011"/>
      <c r="BOG152" s="1011"/>
      <c r="BOH152" s="1011"/>
      <c r="BOI152" s="1011"/>
      <c r="BOJ152" s="1011"/>
      <c r="BOK152" s="1011"/>
      <c r="BOL152" s="1011"/>
      <c r="BOM152" s="1011"/>
      <c r="BON152" s="1011"/>
      <c r="BOO152" s="1011"/>
      <c r="BOP152" s="1011"/>
      <c r="BOQ152" s="1011"/>
      <c r="BOR152" s="1011"/>
      <c r="BOS152" s="1011"/>
      <c r="BOT152" s="1011"/>
      <c r="BOU152" s="1011"/>
      <c r="BOV152" s="1011"/>
      <c r="BOW152" s="1011"/>
      <c r="BOX152" s="1011"/>
      <c r="BOY152" s="1011"/>
      <c r="BOZ152" s="1011"/>
      <c r="BPA152" s="1011"/>
      <c r="BPB152" s="1011"/>
      <c r="BPC152" s="1011"/>
      <c r="BPD152" s="1011"/>
      <c r="BPE152" s="1011"/>
      <c r="BPF152" s="1011"/>
      <c r="BPG152" s="1011"/>
      <c r="BPH152" s="1011"/>
      <c r="BPI152" s="1011"/>
      <c r="BPJ152" s="1011"/>
      <c r="BPK152" s="1011"/>
      <c r="BPL152" s="1011"/>
      <c r="BPM152" s="1011"/>
      <c r="BPN152" s="1011"/>
      <c r="BPO152" s="1011"/>
      <c r="BPP152" s="1011"/>
      <c r="BPQ152" s="1011"/>
      <c r="BPR152" s="1011"/>
      <c r="BPS152" s="1011"/>
      <c r="BPT152" s="1011"/>
      <c r="BPU152" s="1011"/>
      <c r="BPV152" s="1011"/>
      <c r="BPW152" s="1011"/>
      <c r="BPX152" s="1011"/>
      <c r="BPY152" s="1011"/>
      <c r="BPZ152" s="1011"/>
      <c r="BQA152" s="1011"/>
      <c r="BQB152" s="1011"/>
      <c r="BQC152" s="1011"/>
      <c r="BQD152" s="1011"/>
      <c r="BQE152" s="1011"/>
      <c r="BQF152" s="1011"/>
      <c r="BQG152" s="1011"/>
      <c r="BQH152" s="1011"/>
      <c r="BQI152" s="1011"/>
      <c r="BQJ152" s="1011"/>
      <c r="BQK152" s="1011"/>
      <c r="BQL152" s="1011"/>
      <c r="BQM152" s="1011"/>
      <c r="BQN152" s="1011"/>
      <c r="BQO152" s="1011"/>
      <c r="BQP152" s="1011"/>
      <c r="BQQ152" s="1011"/>
      <c r="BQR152" s="1011"/>
      <c r="BQS152" s="1011"/>
      <c r="BQT152" s="1011"/>
      <c r="BQU152" s="1011"/>
      <c r="BQV152" s="1011"/>
      <c r="BQW152" s="1011"/>
      <c r="BQX152" s="1011"/>
      <c r="BQY152" s="1011"/>
      <c r="BQZ152" s="1011"/>
      <c r="BRA152" s="1011"/>
      <c r="BRB152" s="1011"/>
      <c r="BRC152" s="1011"/>
      <c r="BRD152" s="1011"/>
      <c r="BRE152" s="1011"/>
      <c r="BRF152" s="1011"/>
      <c r="BRG152" s="1011"/>
      <c r="BRH152" s="1011"/>
      <c r="BRI152" s="1011"/>
      <c r="BRJ152" s="1011"/>
      <c r="BRK152" s="1011"/>
      <c r="BRL152" s="1011"/>
      <c r="BRM152" s="1011"/>
      <c r="BRN152" s="1011"/>
      <c r="BRO152" s="1011"/>
      <c r="BRP152" s="1011"/>
      <c r="BRQ152" s="1011"/>
      <c r="BRR152" s="1011"/>
      <c r="BRS152" s="1011"/>
      <c r="BRT152" s="1011"/>
      <c r="BRU152" s="1011"/>
      <c r="BRV152" s="1011"/>
      <c r="BRW152" s="1011"/>
      <c r="BRX152" s="1011"/>
      <c r="BRY152" s="1011"/>
      <c r="BRZ152" s="1011"/>
      <c r="BSA152" s="1011"/>
      <c r="BSB152" s="1011"/>
      <c r="BSC152" s="1011"/>
      <c r="BSD152" s="1011"/>
      <c r="BSE152" s="1011"/>
      <c r="BSF152" s="1011"/>
      <c r="BSG152" s="1011"/>
      <c r="BSH152" s="1011"/>
      <c r="BSI152" s="1011"/>
      <c r="BSJ152" s="1011"/>
      <c r="BSK152" s="1011"/>
      <c r="BSL152" s="1011"/>
      <c r="BSM152" s="1011"/>
      <c r="BSN152" s="1011"/>
      <c r="BSO152" s="1011"/>
      <c r="BSP152" s="1011"/>
      <c r="BSQ152" s="1011"/>
      <c r="BSR152" s="1011"/>
      <c r="BSS152" s="1011"/>
      <c r="BST152" s="1011"/>
      <c r="BSU152" s="1011"/>
      <c r="BSV152" s="1011"/>
      <c r="BSW152" s="1011"/>
      <c r="BSX152" s="1011"/>
      <c r="BSY152" s="1011"/>
      <c r="BSZ152" s="1011"/>
      <c r="BTA152" s="1011"/>
      <c r="BTB152" s="1011"/>
      <c r="BTC152" s="1011"/>
      <c r="BTD152" s="1011"/>
      <c r="BTE152" s="1011"/>
      <c r="BTF152" s="1011"/>
      <c r="BTG152" s="1011"/>
      <c r="BTH152" s="1011"/>
      <c r="BTI152" s="1011"/>
      <c r="BTJ152" s="1011"/>
      <c r="BTK152" s="1011"/>
      <c r="BTL152" s="1011"/>
      <c r="BTM152" s="1011"/>
      <c r="BTN152" s="1011"/>
      <c r="BTO152" s="1011"/>
      <c r="BTP152" s="1011"/>
      <c r="BTQ152" s="1011"/>
      <c r="BTR152" s="1011"/>
      <c r="BTS152" s="1011"/>
      <c r="BTT152" s="1011"/>
      <c r="BTU152" s="1011"/>
      <c r="BTV152" s="1011"/>
      <c r="BTW152" s="1011"/>
      <c r="BTX152" s="1011"/>
      <c r="BTY152" s="1011"/>
      <c r="BTZ152" s="1011"/>
      <c r="BUA152" s="1011"/>
      <c r="BUB152" s="1011"/>
      <c r="BUC152" s="1011"/>
      <c r="BUD152" s="1011"/>
      <c r="BUE152" s="1011"/>
      <c r="BUF152" s="1011"/>
      <c r="BUG152" s="1011"/>
      <c r="BUH152" s="1011"/>
      <c r="BUI152" s="1011"/>
      <c r="BUJ152" s="1011"/>
      <c r="BUK152" s="1011"/>
      <c r="BUL152" s="1011"/>
      <c r="BUM152" s="1011"/>
      <c r="BUN152" s="1011"/>
      <c r="BUO152" s="1011"/>
      <c r="BUP152" s="1011"/>
      <c r="BUQ152" s="1011"/>
      <c r="BUR152" s="1011"/>
      <c r="BUS152" s="1011"/>
      <c r="BUT152" s="1011"/>
      <c r="BUU152" s="1011"/>
      <c r="BUV152" s="1011"/>
      <c r="BUW152" s="1011"/>
      <c r="BUX152" s="1011"/>
      <c r="BUY152" s="1011"/>
      <c r="BUZ152" s="1011"/>
      <c r="BVA152" s="1011"/>
      <c r="BVB152" s="1011"/>
      <c r="BVC152" s="1011"/>
      <c r="BVD152" s="1011"/>
      <c r="BVE152" s="1011"/>
      <c r="BVF152" s="1011"/>
      <c r="BVG152" s="1011"/>
      <c r="BVH152" s="1011"/>
      <c r="BVI152" s="1011"/>
      <c r="BVJ152" s="1011"/>
      <c r="BVK152" s="1011"/>
      <c r="BVL152" s="1011"/>
      <c r="BVM152" s="1011"/>
      <c r="BVN152" s="1011"/>
      <c r="BVO152" s="1011"/>
      <c r="BVP152" s="1011"/>
      <c r="BVQ152" s="1011"/>
      <c r="BVR152" s="1011"/>
      <c r="BVS152" s="1011"/>
      <c r="BVT152" s="1011"/>
      <c r="BVU152" s="1011"/>
      <c r="BVV152" s="1011"/>
      <c r="BVW152" s="1011"/>
      <c r="BVX152" s="1011"/>
      <c r="BVY152" s="1011"/>
      <c r="BVZ152" s="1011"/>
      <c r="BWA152" s="1011"/>
      <c r="BWB152" s="1011"/>
      <c r="BWC152" s="1011"/>
      <c r="BWD152" s="1011"/>
      <c r="BWE152" s="1011"/>
      <c r="BWF152" s="1011"/>
      <c r="BWG152" s="1011"/>
      <c r="BWH152" s="1011"/>
      <c r="BWI152" s="1011"/>
      <c r="BWJ152" s="1011"/>
      <c r="BWK152" s="1011"/>
      <c r="BWL152" s="1011"/>
      <c r="BWM152" s="1011"/>
      <c r="BWN152" s="1011"/>
      <c r="BWO152" s="1011"/>
      <c r="BWP152" s="1011"/>
      <c r="BWQ152" s="1011"/>
      <c r="BWR152" s="1011"/>
      <c r="BWS152" s="1011"/>
      <c r="BWT152" s="1011"/>
      <c r="BWU152" s="1011"/>
      <c r="BWV152" s="1011"/>
      <c r="BWW152" s="1011"/>
      <c r="BWX152" s="1011"/>
      <c r="BWY152" s="1011"/>
      <c r="BWZ152" s="1011"/>
      <c r="BXA152" s="1011"/>
      <c r="BXB152" s="1011"/>
      <c r="BXC152" s="1011"/>
      <c r="BXD152" s="1011"/>
      <c r="BXE152" s="1011"/>
      <c r="BXF152" s="1011"/>
      <c r="BXG152" s="1011"/>
      <c r="BXH152" s="1011"/>
      <c r="BXI152" s="1011"/>
      <c r="BXJ152" s="1011"/>
      <c r="BXK152" s="1011"/>
      <c r="BXL152" s="1011"/>
      <c r="BXM152" s="1011"/>
      <c r="BXN152" s="1011"/>
      <c r="BXO152" s="1011"/>
      <c r="BXP152" s="1011"/>
      <c r="BXQ152" s="1011"/>
      <c r="BXR152" s="1011"/>
      <c r="BXS152" s="1011"/>
      <c r="BXT152" s="1011"/>
      <c r="BXU152" s="1011"/>
      <c r="BXV152" s="1011"/>
      <c r="BXW152" s="1011"/>
      <c r="BXX152" s="1011"/>
      <c r="BXY152" s="1011"/>
      <c r="BXZ152" s="1011"/>
      <c r="BYA152" s="1011"/>
      <c r="BYB152" s="1011"/>
      <c r="BYC152" s="1011"/>
      <c r="BYD152" s="1011"/>
      <c r="BYE152" s="1011"/>
      <c r="BYF152" s="1011"/>
      <c r="BYG152" s="1011"/>
      <c r="BYH152" s="1011"/>
      <c r="BYI152" s="1011"/>
      <c r="BYJ152" s="1011"/>
      <c r="BYK152" s="1011"/>
      <c r="BYL152" s="1011"/>
      <c r="BYM152" s="1011"/>
      <c r="BYN152" s="1011"/>
      <c r="BYO152" s="1011"/>
      <c r="BYP152" s="1011"/>
      <c r="BYQ152" s="1011"/>
      <c r="BYR152" s="1011"/>
      <c r="BYS152" s="1011"/>
      <c r="BYT152" s="1011"/>
      <c r="BYU152" s="1011"/>
      <c r="BYV152" s="1011"/>
      <c r="BYW152" s="1011"/>
      <c r="BYX152" s="1011"/>
      <c r="BYY152" s="1011"/>
      <c r="BYZ152" s="1011"/>
      <c r="BZA152" s="1011"/>
      <c r="BZB152" s="1011"/>
      <c r="BZC152" s="1011"/>
      <c r="BZD152" s="1011"/>
      <c r="BZE152" s="1011"/>
      <c r="BZF152" s="1011"/>
      <c r="BZG152" s="1011"/>
      <c r="BZH152" s="1011"/>
      <c r="BZI152" s="1011"/>
      <c r="BZJ152" s="1011"/>
      <c r="BZK152" s="1011"/>
      <c r="BZL152" s="1011"/>
      <c r="BZM152" s="1011"/>
      <c r="BZN152" s="1011"/>
      <c r="BZO152" s="1011"/>
      <c r="BZP152" s="1011"/>
      <c r="BZQ152" s="1011"/>
      <c r="BZR152" s="1011"/>
      <c r="BZS152" s="1011"/>
      <c r="BZT152" s="1011"/>
      <c r="BZU152" s="1011"/>
      <c r="BZV152" s="1011"/>
      <c r="BZW152" s="1011"/>
      <c r="BZX152" s="1011"/>
      <c r="BZY152" s="1011"/>
      <c r="BZZ152" s="1011"/>
      <c r="CAA152" s="1011"/>
      <c r="CAB152" s="1011"/>
      <c r="CAC152" s="1011"/>
      <c r="CAD152" s="1011"/>
      <c r="CAE152" s="1011"/>
      <c r="CAF152" s="1011"/>
      <c r="CAG152" s="1011"/>
      <c r="CAH152" s="1011"/>
      <c r="CAI152" s="1011"/>
      <c r="CAJ152" s="1011"/>
      <c r="CAK152" s="1011"/>
      <c r="CAL152" s="1011"/>
      <c r="CAM152" s="1011"/>
      <c r="CAN152" s="1011"/>
      <c r="CAO152" s="1011"/>
      <c r="CAP152" s="1011"/>
      <c r="CAQ152" s="1011"/>
      <c r="CAR152" s="1011"/>
      <c r="CAS152" s="1011"/>
      <c r="CAT152" s="1011"/>
      <c r="CAU152" s="1011"/>
      <c r="CAV152" s="1011"/>
      <c r="CAW152" s="1011"/>
      <c r="CAX152" s="1011"/>
      <c r="CAY152" s="1011"/>
      <c r="CAZ152" s="1011"/>
      <c r="CBA152" s="1011"/>
      <c r="CBB152" s="1011"/>
      <c r="CBC152" s="1011"/>
      <c r="CBD152" s="1011"/>
      <c r="CBE152" s="1011"/>
      <c r="CBF152" s="1011"/>
      <c r="CBG152" s="1011"/>
      <c r="CBH152" s="1011"/>
      <c r="CBI152" s="1011"/>
      <c r="CBJ152" s="1011"/>
      <c r="CBK152" s="1011"/>
      <c r="CBL152" s="1011"/>
      <c r="CBM152" s="1011"/>
      <c r="CBN152" s="1011"/>
      <c r="CBO152" s="1011"/>
      <c r="CBP152" s="1011"/>
      <c r="CBQ152" s="1011"/>
      <c r="CBR152" s="1011"/>
      <c r="CBS152" s="1011"/>
      <c r="CBT152" s="1011"/>
      <c r="CBU152" s="1011"/>
      <c r="CBV152" s="1011"/>
      <c r="CBW152" s="1011"/>
      <c r="CBX152" s="1011"/>
      <c r="CBY152" s="1011"/>
      <c r="CBZ152" s="1011"/>
      <c r="CCA152" s="1011"/>
      <c r="CCB152" s="1011"/>
      <c r="CCC152" s="1011"/>
      <c r="CCD152" s="1011"/>
      <c r="CCE152" s="1011"/>
      <c r="CCF152" s="1011"/>
      <c r="CCG152" s="1011"/>
      <c r="CCH152" s="1011"/>
      <c r="CCI152" s="1011"/>
      <c r="CCJ152" s="1011"/>
      <c r="CCK152" s="1011"/>
      <c r="CCL152" s="1011"/>
      <c r="CCM152" s="1011"/>
      <c r="CCN152" s="1011"/>
      <c r="CCO152" s="1011"/>
      <c r="CCP152" s="1011"/>
      <c r="CCQ152" s="1011"/>
      <c r="CCR152" s="1011"/>
      <c r="CCS152" s="1011"/>
      <c r="CCT152" s="1011"/>
      <c r="CCU152" s="1011"/>
      <c r="CCV152" s="1011"/>
      <c r="CCW152" s="1011"/>
      <c r="CCX152" s="1011"/>
      <c r="CCY152" s="1011"/>
      <c r="CCZ152" s="1011"/>
      <c r="CDA152" s="1011"/>
      <c r="CDB152" s="1011"/>
      <c r="CDC152" s="1011"/>
      <c r="CDD152" s="1011"/>
      <c r="CDE152" s="1011"/>
      <c r="CDF152" s="1011"/>
      <c r="CDG152" s="1011"/>
      <c r="CDH152" s="1011"/>
      <c r="CDI152" s="1011"/>
      <c r="CDJ152" s="1011"/>
      <c r="CDK152" s="1011"/>
      <c r="CDL152" s="1011"/>
      <c r="CDM152" s="1011"/>
      <c r="CDN152" s="1011"/>
      <c r="CDO152" s="1011"/>
      <c r="CDP152" s="1011"/>
      <c r="CDQ152" s="1011"/>
      <c r="CDR152" s="1011"/>
      <c r="CDS152" s="1011"/>
      <c r="CDT152" s="1011"/>
      <c r="CDU152" s="1011"/>
      <c r="CDV152" s="1011"/>
      <c r="CDW152" s="1011"/>
      <c r="CDX152" s="1011"/>
      <c r="CDY152" s="1011"/>
      <c r="CDZ152" s="1011"/>
      <c r="CEA152" s="1011"/>
      <c r="CEB152" s="1011"/>
      <c r="CEC152" s="1011"/>
      <c r="CED152" s="1011"/>
      <c r="CEE152" s="1011"/>
      <c r="CEF152" s="1011"/>
      <c r="CEG152" s="1011"/>
      <c r="CEH152" s="1011"/>
      <c r="CEI152" s="1011"/>
      <c r="CEJ152" s="1011"/>
      <c r="CEK152" s="1011"/>
      <c r="CEL152" s="1011"/>
      <c r="CEM152" s="1011"/>
      <c r="CEN152" s="1011"/>
      <c r="CEO152" s="1011"/>
      <c r="CEP152" s="1011"/>
      <c r="CEQ152" s="1011"/>
      <c r="CER152" s="1011"/>
      <c r="CES152" s="1011"/>
      <c r="CET152" s="1011"/>
      <c r="CEU152" s="1011"/>
      <c r="CEV152" s="1011"/>
      <c r="CEW152" s="1011"/>
      <c r="CEX152" s="1011"/>
      <c r="CEY152" s="1011"/>
      <c r="CEZ152" s="1011"/>
      <c r="CFA152" s="1011"/>
      <c r="CFB152" s="1011"/>
      <c r="CFC152" s="1011"/>
      <c r="CFD152" s="1011"/>
      <c r="CFE152" s="1011"/>
      <c r="CFF152" s="1011"/>
      <c r="CFG152" s="1011"/>
      <c r="CFH152" s="1011"/>
      <c r="CFI152" s="1011"/>
      <c r="CFJ152" s="1011"/>
      <c r="CFK152" s="1011"/>
      <c r="CFL152" s="1011"/>
      <c r="CFM152" s="1011"/>
      <c r="CFN152" s="1011"/>
      <c r="CFO152" s="1011"/>
      <c r="CFP152" s="1011"/>
      <c r="CFQ152" s="1011"/>
      <c r="CFR152" s="1011"/>
      <c r="CFS152" s="1011"/>
      <c r="CFT152" s="1011"/>
      <c r="CFU152" s="1011"/>
      <c r="CFV152" s="1011"/>
      <c r="CFW152" s="1011"/>
      <c r="CFX152" s="1011"/>
      <c r="CFY152" s="1011"/>
      <c r="CFZ152" s="1011"/>
      <c r="CGA152" s="1011"/>
      <c r="CGB152" s="1011"/>
      <c r="CGC152" s="1011"/>
      <c r="CGD152" s="1011"/>
      <c r="CGE152" s="1011"/>
      <c r="CGF152" s="1011"/>
      <c r="CGG152" s="1011"/>
      <c r="CGH152" s="1011"/>
      <c r="CGI152" s="1011"/>
      <c r="CGJ152" s="1011"/>
      <c r="CGK152" s="1011"/>
      <c r="CGL152" s="1011"/>
      <c r="CGM152" s="1011"/>
      <c r="CGN152" s="1011"/>
      <c r="CGO152" s="1011"/>
      <c r="CGP152" s="1011"/>
      <c r="CGQ152" s="1011"/>
      <c r="CGR152" s="1011"/>
      <c r="CGS152" s="1011"/>
      <c r="CGT152" s="1011"/>
      <c r="CGU152" s="1011"/>
      <c r="CGV152" s="1011"/>
      <c r="CGW152" s="1011"/>
      <c r="CGX152" s="1011"/>
      <c r="CGY152" s="1011"/>
      <c r="CGZ152" s="1011"/>
      <c r="CHA152" s="1011"/>
      <c r="CHB152" s="1011"/>
      <c r="CHC152" s="1011"/>
      <c r="CHD152" s="1011"/>
      <c r="CHE152" s="1011"/>
      <c r="CHF152" s="1011"/>
      <c r="CHG152" s="1011"/>
      <c r="CHH152" s="1011"/>
      <c r="CHI152" s="1011"/>
      <c r="CHJ152" s="1011"/>
      <c r="CHK152" s="1011"/>
      <c r="CHL152" s="1011"/>
      <c r="CHM152" s="1011"/>
      <c r="CHN152" s="1011"/>
      <c r="CHO152" s="1011"/>
      <c r="CHP152" s="1011"/>
      <c r="CHQ152" s="1011"/>
      <c r="CHR152" s="1011"/>
      <c r="CHS152" s="1011"/>
      <c r="CHT152" s="1011"/>
      <c r="CHU152" s="1011"/>
      <c r="CHV152" s="1011"/>
      <c r="CHW152" s="1011"/>
      <c r="CHX152" s="1011"/>
      <c r="CHY152" s="1011"/>
      <c r="CHZ152" s="1011"/>
      <c r="CIA152" s="1011"/>
      <c r="CIB152" s="1011"/>
      <c r="CIC152" s="1011"/>
      <c r="CID152" s="1011"/>
      <c r="CIE152" s="1011"/>
      <c r="CIF152" s="1011"/>
      <c r="CIG152" s="1011"/>
      <c r="CIH152" s="1011"/>
      <c r="CII152" s="1011"/>
      <c r="CIJ152" s="1011"/>
      <c r="CIK152" s="1011"/>
      <c r="CIL152" s="1011"/>
      <c r="CIM152" s="1011"/>
      <c r="CIN152" s="1011"/>
      <c r="CIO152" s="1011"/>
      <c r="CIP152" s="1011"/>
      <c r="CIQ152" s="1011"/>
      <c r="CIR152" s="1011"/>
      <c r="CIS152" s="1011"/>
      <c r="CIT152" s="1011"/>
      <c r="CIU152" s="1011"/>
      <c r="CIV152" s="1011"/>
      <c r="CIW152" s="1011"/>
      <c r="CIX152" s="1011"/>
      <c r="CIY152" s="1011"/>
      <c r="CIZ152" s="1011"/>
      <c r="CJA152" s="1011"/>
      <c r="CJB152" s="1011"/>
      <c r="CJC152" s="1011"/>
      <c r="CJD152" s="1011"/>
      <c r="CJE152" s="1011"/>
      <c r="CJF152" s="1011"/>
      <c r="CJG152" s="1011"/>
      <c r="CJH152" s="1011"/>
      <c r="CJI152" s="1011"/>
      <c r="CJJ152" s="1011"/>
      <c r="CJK152" s="1011"/>
      <c r="CJL152" s="1011"/>
      <c r="CJM152" s="1011"/>
      <c r="CJN152" s="1011"/>
      <c r="CJO152" s="1011"/>
      <c r="CJP152" s="1011"/>
      <c r="CJQ152" s="1011"/>
      <c r="CJR152" s="1011"/>
      <c r="CJS152" s="1011"/>
      <c r="CJT152" s="1011"/>
      <c r="CJU152" s="1011"/>
      <c r="CJV152" s="1011"/>
      <c r="CJW152" s="1011"/>
      <c r="CJX152" s="1011"/>
      <c r="CJY152" s="1011"/>
      <c r="CJZ152" s="1011"/>
      <c r="CKA152" s="1011"/>
      <c r="CKB152" s="1011"/>
      <c r="CKC152" s="1011"/>
      <c r="CKD152" s="1011"/>
      <c r="CKE152" s="1011"/>
      <c r="CKF152" s="1011"/>
      <c r="CKG152" s="1011"/>
      <c r="CKH152" s="1011"/>
      <c r="CKI152" s="1011"/>
      <c r="CKJ152" s="1011"/>
      <c r="CKK152" s="1011"/>
      <c r="CKL152" s="1011"/>
      <c r="CKM152" s="1011"/>
      <c r="CKN152" s="1011"/>
      <c r="CKO152" s="1011"/>
      <c r="CKP152" s="1011"/>
      <c r="CKQ152" s="1011"/>
      <c r="CKR152" s="1011"/>
      <c r="CKS152" s="1011"/>
      <c r="CKT152" s="1011"/>
      <c r="CKU152" s="1011"/>
      <c r="CKV152" s="1011"/>
      <c r="CKW152" s="1011"/>
      <c r="CKX152" s="1011"/>
      <c r="CKY152" s="1011"/>
      <c r="CKZ152" s="1011"/>
      <c r="CLA152" s="1011"/>
      <c r="CLB152" s="1011"/>
      <c r="CLC152" s="1011"/>
      <c r="CLD152" s="1011"/>
      <c r="CLE152" s="1011"/>
      <c r="CLF152" s="1011"/>
      <c r="CLG152" s="1011"/>
      <c r="CLH152" s="1011"/>
      <c r="CLI152" s="1011"/>
      <c r="CLJ152" s="1011"/>
      <c r="CLK152" s="1011"/>
      <c r="CLL152" s="1011"/>
      <c r="CLM152" s="1011"/>
      <c r="CLN152" s="1011"/>
      <c r="CLO152" s="1011"/>
      <c r="CLP152" s="1011"/>
      <c r="CLQ152" s="1011"/>
      <c r="CLR152" s="1011"/>
      <c r="CLS152" s="1011"/>
      <c r="CLT152" s="1011"/>
      <c r="CLU152" s="1011"/>
      <c r="CLV152" s="1011"/>
      <c r="CLW152" s="1011"/>
      <c r="CLX152" s="1011"/>
      <c r="CLY152" s="1011"/>
      <c r="CLZ152" s="1011"/>
      <c r="CMA152" s="1011"/>
      <c r="CMB152" s="1011"/>
      <c r="CMC152" s="1011"/>
      <c r="CMD152" s="1011"/>
      <c r="CME152" s="1011"/>
      <c r="CMF152" s="1011"/>
      <c r="CMG152" s="1011"/>
      <c r="CMH152" s="1011"/>
      <c r="CMI152" s="1011"/>
      <c r="CMJ152" s="1011"/>
      <c r="CMK152" s="1011"/>
      <c r="CML152" s="1011"/>
      <c r="CMM152" s="1011"/>
      <c r="CMN152" s="1011"/>
      <c r="CMO152" s="1011"/>
      <c r="CMP152" s="1011"/>
      <c r="CMQ152" s="1011"/>
      <c r="CMR152" s="1011"/>
      <c r="CMS152" s="1011"/>
      <c r="CMT152" s="1011"/>
      <c r="CMU152" s="1011"/>
      <c r="CMV152" s="1011"/>
      <c r="CMW152" s="1011"/>
      <c r="CMX152" s="1011"/>
      <c r="CMY152" s="1011"/>
      <c r="CMZ152" s="1011"/>
      <c r="CNA152" s="1011"/>
      <c r="CNB152" s="1011"/>
      <c r="CNC152" s="1011"/>
      <c r="CND152" s="1011"/>
      <c r="CNE152" s="1011"/>
      <c r="CNF152" s="1011"/>
      <c r="CNG152" s="1011"/>
      <c r="CNH152" s="1011"/>
      <c r="CNI152" s="1011"/>
      <c r="CNJ152" s="1011"/>
      <c r="CNK152" s="1011"/>
      <c r="CNL152" s="1011"/>
      <c r="CNM152" s="1011"/>
      <c r="CNN152" s="1011"/>
      <c r="CNO152" s="1011"/>
      <c r="CNP152" s="1011"/>
      <c r="CNQ152" s="1011"/>
      <c r="CNR152" s="1011"/>
      <c r="CNS152" s="1011"/>
      <c r="CNT152" s="1011"/>
      <c r="CNU152" s="1011"/>
      <c r="CNV152" s="1011"/>
      <c r="CNW152" s="1011"/>
      <c r="CNX152" s="1011"/>
      <c r="CNY152" s="1011"/>
      <c r="CNZ152" s="1011"/>
      <c r="COA152" s="1011"/>
      <c r="COB152" s="1011"/>
      <c r="COC152" s="1011"/>
      <c r="COD152" s="1011"/>
      <c r="COE152" s="1011"/>
      <c r="COF152" s="1011"/>
      <c r="COG152" s="1011"/>
      <c r="COH152" s="1011"/>
      <c r="COI152" s="1011"/>
      <c r="COJ152" s="1011"/>
      <c r="COK152" s="1011"/>
      <c r="COL152" s="1011"/>
      <c r="COM152" s="1011"/>
      <c r="CON152" s="1011"/>
      <c r="COO152" s="1011"/>
      <c r="COP152" s="1011"/>
      <c r="COQ152" s="1011"/>
      <c r="COR152" s="1011"/>
      <c r="COS152" s="1011"/>
      <c r="COT152" s="1011"/>
      <c r="COU152" s="1011"/>
      <c r="COV152" s="1011"/>
      <c r="COW152" s="1011"/>
      <c r="COX152" s="1011"/>
      <c r="COY152" s="1011"/>
      <c r="COZ152" s="1011"/>
      <c r="CPA152" s="1011"/>
      <c r="CPB152" s="1011"/>
      <c r="CPC152" s="1011"/>
      <c r="CPD152" s="1011"/>
      <c r="CPE152" s="1011"/>
      <c r="CPF152" s="1011"/>
      <c r="CPG152" s="1011"/>
      <c r="CPH152" s="1011"/>
      <c r="CPI152" s="1011"/>
      <c r="CPJ152" s="1011"/>
      <c r="CPK152" s="1011"/>
      <c r="CPL152" s="1011"/>
      <c r="CPM152" s="1011"/>
      <c r="CPN152" s="1011"/>
      <c r="CPO152" s="1011"/>
      <c r="CPP152" s="1011"/>
      <c r="CPQ152" s="1011"/>
      <c r="CPR152" s="1011"/>
      <c r="CPS152" s="1011"/>
      <c r="CPT152" s="1011"/>
      <c r="CPU152" s="1011"/>
      <c r="CPV152" s="1011"/>
      <c r="CPW152" s="1011"/>
      <c r="CPX152" s="1011"/>
      <c r="CPY152" s="1011"/>
      <c r="CPZ152" s="1011"/>
      <c r="CQA152" s="1011"/>
      <c r="CQB152" s="1011"/>
      <c r="CQC152" s="1011"/>
      <c r="CQD152" s="1011"/>
      <c r="CQE152" s="1011"/>
      <c r="CQF152" s="1011"/>
      <c r="CQG152" s="1011"/>
      <c r="CQH152" s="1011"/>
      <c r="CQI152" s="1011"/>
      <c r="CQJ152" s="1011"/>
      <c r="CQK152" s="1011"/>
      <c r="CQL152" s="1011"/>
      <c r="CQM152" s="1011"/>
      <c r="CQN152" s="1011"/>
      <c r="CQO152" s="1011"/>
      <c r="CQP152" s="1011"/>
      <c r="CQQ152" s="1011"/>
      <c r="CQR152" s="1011"/>
      <c r="CQS152" s="1011"/>
      <c r="CQT152" s="1011"/>
      <c r="CQU152" s="1011"/>
      <c r="CQV152" s="1011"/>
      <c r="CQW152" s="1011"/>
      <c r="CQX152" s="1011"/>
      <c r="CQY152" s="1011"/>
      <c r="CQZ152" s="1011"/>
      <c r="CRA152" s="1011"/>
      <c r="CRB152" s="1011"/>
      <c r="CRC152" s="1011"/>
      <c r="CRD152" s="1011"/>
      <c r="CRE152" s="1011"/>
      <c r="CRF152" s="1011"/>
      <c r="CRG152" s="1011"/>
      <c r="CRH152" s="1011"/>
      <c r="CRI152" s="1011"/>
      <c r="CRJ152" s="1011"/>
      <c r="CRK152" s="1011"/>
      <c r="CRL152" s="1011"/>
      <c r="CRM152" s="1011"/>
      <c r="CRN152" s="1011"/>
      <c r="CRO152" s="1011"/>
      <c r="CRP152" s="1011"/>
      <c r="CRQ152" s="1011"/>
      <c r="CRR152" s="1011"/>
      <c r="CRS152" s="1011"/>
      <c r="CRT152" s="1011"/>
      <c r="CRU152" s="1011"/>
      <c r="CRV152" s="1011"/>
      <c r="CRW152" s="1011"/>
      <c r="CRX152" s="1011"/>
      <c r="CRY152" s="1011"/>
      <c r="CRZ152" s="1011"/>
      <c r="CSA152" s="1011"/>
      <c r="CSB152" s="1011"/>
      <c r="CSC152" s="1011"/>
      <c r="CSD152" s="1011"/>
      <c r="CSE152" s="1011"/>
      <c r="CSF152" s="1011"/>
      <c r="CSG152" s="1011"/>
      <c r="CSH152" s="1011"/>
      <c r="CSI152" s="1011"/>
      <c r="CSJ152" s="1011"/>
      <c r="CSK152" s="1011"/>
      <c r="CSL152" s="1011"/>
      <c r="CSM152" s="1011"/>
      <c r="CSN152" s="1011"/>
      <c r="CSO152" s="1011"/>
      <c r="CSP152" s="1011"/>
      <c r="CSQ152" s="1011"/>
      <c r="CSR152" s="1011"/>
      <c r="CSS152" s="1011"/>
      <c r="CST152" s="1011"/>
      <c r="CSU152" s="1011"/>
      <c r="CSV152" s="1011"/>
      <c r="CSW152" s="1011"/>
      <c r="CSX152" s="1011"/>
      <c r="CSY152" s="1011"/>
      <c r="CSZ152" s="1011"/>
      <c r="CTA152" s="1011"/>
      <c r="CTB152" s="1011"/>
      <c r="CTC152" s="1011"/>
      <c r="CTD152" s="1011"/>
      <c r="CTE152" s="1011"/>
      <c r="CTF152" s="1011"/>
      <c r="CTG152" s="1011"/>
      <c r="CTH152" s="1011"/>
      <c r="CTI152" s="1011"/>
      <c r="CTJ152" s="1011"/>
      <c r="CTK152" s="1011"/>
      <c r="CTL152" s="1011"/>
      <c r="CTM152" s="1011"/>
      <c r="CTN152" s="1011"/>
      <c r="CTO152" s="1011"/>
      <c r="CTP152" s="1011"/>
      <c r="CTQ152" s="1011"/>
      <c r="CTR152" s="1011"/>
      <c r="CTS152" s="1011"/>
      <c r="CTT152" s="1011"/>
      <c r="CTU152" s="1011"/>
      <c r="CTV152" s="1011"/>
      <c r="CTW152" s="1011"/>
      <c r="CTX152" s="1011"/>
      <c r="CTY152" s="1011"/>
      <c r="CTZ152" s="1011"/>
      <c r="CUA152" s="1011"/>
      <c r="CUB152" s="1011"/>
      <c r="CUC152" s="1011"/>
      <c r="CUD152" s="1011"/>
      <c r="CUE152" s="1011"/>
      <c r="CUF152" s="1011"/>
      <c r="CUG152" s="1011"/>
      <c r="CUH152" s="1011"/>
      <c r="CUI152" s="1011"/>
      <c r="CUJ152" s="1011"/>
      <c r="CUK152" s="1011"/>
      <c r="CUL152" s="1011"/>
      <c r="CUM152" s="1011"/>
      <c r="CUN152" s="1011"/>
      <c r="CUO152" s="1011"/>
      <c r="CUP152" s="1011"/>
      <c r="CUQ152" s="1011"/>
      <c r="CUR152" s="1011"/>
      <c r="CUS152" s="1011"/>
      <c r="CUT152" s="1011"/>
      <c r="CUU152" s="1011"/>
      <c r="CUV152" s="1011"/>
      <c r="CUW152" s="1011"/>
      <c r="CUX152" s="1011"/>
      <c r="CUY152" s="1011"/>
      <c r="CUZ152" s="1011"/>
      <c r="CVA152" s="1011"/>
      <c r="CVB152" s="1011"/>
      <c r="CVC152" s="1011"/>
      <c r="CVD152" s="1011"/>
      <c r="CVE152" s="1011"/>
      <c r="CVF152" s="1011"/>
      <c r="CVG152" s="1011"/>
      <c r="CVH152" s="1011"/>
      <c r="CVI152" s="1011"/>
      <c r="CVJ152" s="1011"/>
      <c r="CVK152" s="1011"/>
      <c r="CVL152" s="1011"/>
      <c r="CVM152" s="1011"/>
      <c r="CVN152" s="1011"/>
      <c r="CVO152" s="1011"/>
      <c r="CVP152" s="1011"/>
      <c r="CVQ152" s="1011"/>
      <c r="CVR152" s="1011"/>
      <c r="CVS152" s="1011"/>
      <c r="CVT152" s="1011"/>
      <c r="CVU152" s="1011"/>
      <c r="CVV152" s="1011"/>
      <c r="CVW152" s="1011"/>
      <c r="CVX152" s="1011"/>
      <c r="CVY152" s="1011"/>
      <c r="CVZ152" s="1011"/>
      <c r="CWA152" s="1011"/>
      <c r="CWB152" s="1011"/>
      <c r="CWC152" s="1011"/>
      <c r="CWD152" s="1011"/>
      <c r="CWE152" s="1011"/>
      <c r="CWF152" s="1011"/>
      <c r="CWG152" s="1011"/>
      <c r="CWH152" s="1011"/>
      <c r="CWI152" s="1011"/>
      <c r="CWJ152" s="1011"/>
      <c r="CWK152" s="1011"/>
      <c r="CWL152" s="1011"/>
      <c r="CWM152" s="1011"/>
      <c r="CWN152" s="1011"/>
      <c r="CWO152" s="1011"/>
      <c r="CWP152" s="1011"/>
      <c r="CWQ152" s="1011"/>
      <c r="CWR152" s="1011"/>
      <c r="CWS152" s="1011"/>
      <c r="CWT152" s="1011"/>
      <c r="CWU152" s="1011"/>
      <c r="CWV152" s="1011"/>
      <c r="CWW152" s="1011"/>
      <c r="CWX152" s="1011"/>
      <c r="CWY152" s="1011"/>
      <c r="CWZ152" s="1011"/>
      <c r="CXA152" s="1011"/>
      <c r="CXB152" s="1011"/>
      <c r="CXC152" s="1011"/>
      <c r="CXD152" s="1011"/>
      <c r="CXE152" s="1011"/>
      <c r="CXF152" s="1011"/>
      <c r="CXG152" s="1011"/>
      <c r="CXH152" s="1011"/>
      <c r="CXI152" s="1011"/>
      <c r="CXJ152" s="1011"/>
      <c r="CXK152" s="1011"/>
      <c r="CXL152" s="1011"/>
      <c r="CXM152" s="1011"/>
      <c r="CXN152" s="1011"/>
      <c r="CXO152" s="1011"/>
      <c r="CXP152" s="1011"/>
      <c r="CXQ152" s="1011"/>
      <c r="CXR152" s="1011"/>
      <c r="CXS152" s="1011"/>
      <c r="CXT152" s="1011"/>
      <c r="CXU152" s="1011"/>
      <c r="CXV152" s="1011"/>
      <c r="CXW152" s="1011"/>
      <c r="CXX152" s="1011"/>
      <c r="CXY152" s="1011"/>
      <c r="CXZ152" s="1011"/>
      <c r="CYA152" s="1011"/>
      <c r="CYB152" s="1011"/>
      <c r="CYC152" s="1011"/>
      <c r="CYD152" s="1011"/>
      <c r="CYE152" s="1011"/>
      <c r="CYF152" s="1011"/>
      <c r="CYG152" s="1011"/>
      <c r="CYH152" s="1011"/>
      <c r="CYI152" s="1011"/>
      <c r="CYJ152" s="1011"/>
      <c r="CYK152" s="1011"/>
      <c r="CYL152" s="1011"/>
      <c r="CYM152" s="1011"/>
      <c r="CYN152" s="1011"/>
      <c r="CYO152" s="1011"/>
      <c r="CYP152" s="1011"/>
      <c r="CYQ152" s="1011"/>
      <c r="CYR152" s="1011"/>
      <c r="CYS152" s="1011"/>
      <c r="CYT152" s="1011"/>
      <c r="CYU152" s="1011"/>
      <c r="CYV152" s="1011"/>
      <c r="CYW152" s="1011"/>
      <c r="CYX152" s="1011"/>
      <c r="CYY152" s="1011"/>
      <c r="CYZ152" s="1011"/>
      <c r="CZA152" s="1011"/>
      <c r="CZB152" s="1011"/>
      <c r="CZC152" s="1011"/>
      <c r="CZD152" s="1011"/>
      <c r="CZE152" s="1011"/>
      <c r="CZF152" s="1011"/>
      <c r="CZG152" s="1011"/>
      <c r="CZH152" s="1011"/>
      <c r="CZI152" s="1011"/>
      <c r="CZJ152" s="1011"/>
      <c r="CZK152" s="1011"/>
      <c r="CZL152" s="1011"/>
      <c r="CZM152" s="1011"/>
      <c r="CZN152" s="1011"/>
      <c r="CZO152" s="1011"/>
      <c r="CZP152" s="1011"/>
      <c r="CZQ152" s="1011"/>
      <c r="CZR152" s="1011"/>
      <c r="CZS152" s="1011"/>
      <c r="CZT152" s="1011"/>
      <c r="CZU152" s="1011"/>
      <c r="CZV152" s="1011"/>
      <c r="CZW152" s="1011"/>
      <c r="CZX152" s="1011"/>
      <c r="CZY152" s="1011"/>
      <c r="CZZ152" s="1011"/>
      <c r="DAA152" s="1011"/>
      <c r="DAB152" s="1011"/>
      <c r="DAC152" s="1011"/>
      <c r="DAD152" s="1011"/>
      <c r="DAE152" s="1011"/>
      <c r="DAF152" s="1011"/>
      <c r="DAG152" s="1011"/>
      <c r="DAH152" s="1011"/>
      <c r="DAI152" s="1011"/>
      <c r="DAJ152" s="1011"/>
      <c r="DAK152" s="1011"/>
      <c r="DAL152" s="1011"/>
      <c r="DAM152" s="1011"/>
      <c r="DAN152" s="1011"/>
      <c r="DAO152" s="1011"/>
      <c r="DAP152" s="1011"/>
      <c r="DAQ152" s="1011"/>
      <c r="DAR152" s="1011"/>
      <c r="DAS152" s="1011"/>
      <c r="DAT152" s="1011"/>
      <c r="DAU152" s="1011"/>
      <c r="DAV152" s="1011"/>
      <c r="DAW152" s="1011"/>
      <c r="DAX152" s="1011"/>
      <c r="DAY152" s="1011"/>
      <c r="DAZ152" s="1011"/>
      <c r="DBA152" s="1011"/>
      <c r="DBB152" s="1011"/>
      <c r="DBC152" s="1011"/>
      <c r="DBD152" s="1011"/>
      <c r="DBE152" s="1011"/>
      <c r="DBF152" s="1011"/>
      <c r="DBG152" s="1011"/>
      <c r="DBH152" s="1011"/>
      <c r="DBI152" s="1011"/>
      <c r="DBJ152" s="1011"/>
      <c r="DBK152" s="1011"/>
      <c r="DBL152" s="1011"/>
      <c r="DBM152" s="1011"/>
      <c r="DBN152" s="1011"/>
      <c r="DBO152" s="1011"/>
      <c r="DBP152" s="1011"/>
      <c r="DBQ152" s="1011"/>
      <c r="DBR152" s="1011"/>
      <c r="DBS152" s="1011"/>
      <c r="DBT152" s="1011"/>
      <c r="DBU152" s="1011"/>
      <c r="DBV152" s="1011"/>
      <c r="DBW152" s="1011"/>
      <c r="DBX152" s="1011"/>
      <c r="DBY152" s="1011"/>
      <c r="DBZ152" s="1011"/>
      <c r="DCA152" s="1011"/>
      <c r="DCB152" s="1011"/>
      <c r="DCC152" s="1011"/>
      <c r="DCD152" s="1011"/>
      <c r="DCE152" s="1011"/>
      <c r="DCF152" s="1011"/>
      <c r="DCG152" s="1011"/>
      <c r="DCH152" s="1011"/>
      <c r="DCI152" s="1011"/>
      <c r="DCJ152" s="1011"/>
      <c r="DCK152" s="1011"/>
      <c r="DCL152" s="1011"/>
      <c r="DCM152" s="1011"/>
      <c r="DCN152" s="1011"/>
      <c r="DCO152" s="1011"/>
      <c r="DCP152" s="1011"/>
      <c r="DCQ152" s="1011"/>
      <c r="DCR152" s="1011"/>
      <c r="DCS152" s="1011"/>
      <c r="DCT152" s="1011"/>
      <c r="DCU152" s="1011"/>
      <c r="DCV152" s="1011"/>
      <c r="DCW152" s="1011"/>
      <c r="DCX152" s="1011"/>
      <c r="DCY152" s="1011"/>
      <c r="DCZ152" s="1011"/>
      <c r="DDA152" s="1011"/>
      <c r="DDB152" s="1011"/>
      <c r="DDC152" s="1011"/>
      <c r="DDD152" s="1011"/>
      <c r="DDE152" s="1011"/>
      <c r="DDF152" s="1011"/>
      <c r="DDG152" s="1011"/>
      <c r="DDH152" s="1011"/>
      <c r="DDI152" s="1011"/>
      <c r="DDJ152" s="1011"/>
      <c r="DDK152" s="1011"/>
      <c r="DDL152" s="1011"/>
      <c r="DDM152" s="1011"/>
      <c r="DDN152" s="1011"/>
      <c r="DDO152" s="1011"/>
      <c r="DDP152" s="1011"/>
      <c r="DDQ152" s="1011"/>
      <c r="DDR152" s="1011"/>
      <c r="DDS152" s="1011"/>
      <c r="DDT152" s="1011"/>
      <c r="DDU152" s="1011"/>
      <c r="DDV152" s="1011"/>
      <c r="DDW152" s="1011"/>
      <c r="DDX152" s="1011"/>
      <c r="DDY152" s="1011"/>
      <c r="DDZ152" s="1011"/>
      <c r="DEA152" s="1011"/>
      <c r="DEB152" s="1011"/>
      <c r="DEC152" s="1011"/>
      <c r="DED152" s="1011"/>
      <c r="DEE152" s="1011"/>
      <c r="DEF152" s="1011"/>
      <c r="DEG152" s="1011"/>
      <c r="DEH152" s="1011"/>
      <c r="DEI152" s="1011"/>
      <c r="DEJ152" s="1011"/>
      <c r="DEK152" s="1011"/>
      <c r="DEL152" s="1011"/>
      <c r="DEM152" s="1011"/>
      <c r="DEN152" s="1011"/>
      <c r="DEO152" s="1011"/>
      <c r="DEP152" s="1011"/>
      <c r="DEQ152" s="1011"/>
      <c r="DER152" s="1011"/>
      <c r="DES152" s="1011"/>
      <c r="DET152" s="1011"/>
      <c r="DEU152" s="1011"/>
      <c r="DEV152" s="1011"/>
      <c r="DEW152" s="1011"/>
      <c r="DEX152" s="1011"/>
      <c r="DEY152" s="1011"/>
      <c r="DEZ152" s="1011"/>
      <c r="DFA152" s="1011"/>
      <c r="DFB152" s="1011"/>
      <c r="DFC152" s="1011"/>
      <c r="DFD152" s="1011"/>
      <c r="DFE152" s="1011"/>
      <c r="DFF152" s="1011"/>
      <c r="DFG152" s="1011"/>
      <c r="DFH152" s="1011"/>
      <c r="DFI152" s="1011"/>
      <c r="DFJ152" s="1011"/>
      <c r="DFK152" s="1011"/>
      <c r="DFL152" s="1011"/>
      <c r="DFM152" s="1011"/>
      <c r="DFN152" s="1011"/>
      <c r="DFO152" s="1011"/>
      <c r="DFP152" s="1011"/>
      <c r="DFQ152" s="1011"/>
      <c r="DFR152" s="1011"/>
      <c r="DFS152" s="1011"/>
      <c r="DFT152" s="1011"/>
      <c r="DFU152" s="1011"/>
      <c r="DFV152" s="1011"/>
      <c r="DFW152" s="1011"/>
      <c r="DFX152" s="1011"/>
      <c r="DFY152" s="1011"/>
      <c r="DFZ152" s="1011"/>
      <c r="DGA152" s="1011"/>
      <c r="DGB152" s="1011"/>
      <c r="DGC152" s="1011"/>
      <c r="DGD152" s="1011"/>
      <c r="DGE152" s="1011"/>
      <c r="DGF152" s="1011"/>
      <c r="DGG152" s="1011"/>
      <c r="DGH152" s="1011"/>
      <c r="DGI152" s="1011"/>
      <c r="DGJ152" s="1011"/>
      <c r="DGK152" s="1011"/>
      <c r="DGL152" s="1011"/>
      <c r="DGM152" s="1011"/>
      <c r="DGN152" s="1011"/>
      <c r="DGO152" s="1011"/>
      <c r="DGP152" s="1011"/>
      <c r="DGQ152" s="1011"/>
      <c r="DGR152" s="1011"/>
      <c r="DGS152" s="1011"/>
      <c r="DGT152" s="1011"/>
      <c r="DGU152" s="1011"/>
      <c r="DGV152" s="1011"/>
      <c r="DGW152" s="1011"/>
      <c r="DGX152" s="1011"/>
      <c r="DGY152" s="1011"/>
      <c r="DGZ152" s="1011"/>
      <c r="DHA152" s="1011"/>
      <c r="DHB152" s="1011"/>
      <c r="DHC152" s="1011"/>
      <c r="DHD152" s="1011"/>
      <c r="DHE152" s="1011"/>
      <c r="DHF152" s="1011"/>
      <c r="DHG152" s="1011"/>
      <c r="DHH152" s="1011"/>
      <c r="DHI152" s="1011"/>
      <c r="DHJ152" s="1011"/>
      <c r="DHK152" s="1011"/>
      <c r="DHL152" s="1011"/>
      <c r="DHM152" s="1011"/>
      <c r="DHN152" s="1011"/>
      <c r="DHO152" s="1011"/>
      <c r="DHP152" s="1011"/>
      <c r="DHQ152" s="1011"/>
      <c r="DHR152" s="1011"/>
      <c r="DHS152" s="1011"/>
      <c r="DHT152" s="1011"/>
      <c r="DHU152" s="1011"/>
      <c r="DHV152" s="1011"/>
      <c r="DHW152" s="1011"/>
      <c r="DHX152" s="1011"/>
      <c r="DHY152" s="1011"/>
      <c r="DHZ152" s="1011"/>
      <c r="DIA152" s="1011"/>
      <c r="DIB152" s="1011"/>
      <c r="DIC152" s="1011"/>
      <c r="DID152" s="1011"/>
      <c r="DIE152" s="1011"/>
      <c r="DIF152" s="1011"/>
      <c r="DIG152" s="1011"/>
      <c r="DIH152" s="1011"/>
      <c r="DII152" s="1011"/>
      <c r="DIJ152" s="1011"/>
      <c r="DIK152" s="1011"/>
      <c r="DIL152" s="1011"/>
      <c r="DIM152" s="1011"/>
      <c r="DIN152" s="1011"/>
      <c r="DIO152" s="1011"/>
      <c r="DIP152" s="1011"/>
      <c r="DIQ152" s="1011"/>
      <c r="DIR152" s="1011"/>
      <c r="DIS152" s="1011"/>
      <c r="DIT152" s="1011"/>
      <c r="DIU152" s="1011"/>
      <c r="DIV152" s="1011"/>
      <c r="DIW152" s="1011"/>
      <c r="DIX152" s="1011"/>
      <c r="DIY152" s="1011"/>
      <c r="DIZ152" s="1011"/>
      <c r="DJA152" s="1011"/>
      <c r="DJB152" s="1011"/>
      <c r="DJC152" s="1011"/>
      <c r="DJD152" s="1011"/>
      <c r="DJE152" s="1011"/>
      <c r="DJF152" s="1011"/>
      <c r="DJG152" s="1011"/>
      <c r="DJH152" s="1011"/>
      <c r="DJI152" s="1011"/>
      <c r="DJJ152" s="1011"/>
      <c r="DJK152" s="1011"/>
      <c r="DJL152" s="1011"/>
      <c r="DJM152" s="1011"/>
      <c r="DJN152" s="1011"/>
      <c r="DJO152" s="1011"/>
      <c r="DJP152" s="1011"/>
      <c r="DJQ152" s="1011"/>
      <c r="DJR152" s="1011"/>
      <c r="DJS152" s="1011"/>
      <c r="DJT152" s="1011"/>
      <c r="DJU152" s="1011"/>
      <c r="DJV152" s="1011"/>
      <c r="DJW152" s="1011"/>
      <c r="DJX152" s="1011"/>
      <c r="DJY152" s="1011"/>
      <c r="DJZ152" s="1011"/>
      <c r="DKA152" s="1011"/>
      <c r="DKB152" s="1011"/>
      <c r="DKC152" s="1011"/>
      <c r="DKD152" s="1011"/>
      <c r="DKE152" s="1011"/>
      <c r="DKF152" s="1011"/>
      <c r="DKG152" s="1011"/>
      <c r="DKH152" s="1011"/>
      <c r="DKI152" s="1011"/>
      <c r="DKJ152" s="1011"/>
      <c r="DKK152" s="1011"/>
      <c r="DKL152" s="1011"/>
      <c r="DKM152" s="1011"/>
      <c r="DKN152" s="1011"/>
      <c r="DKO152" s="1011"/>
      <c r="DKP152" s="1011"/>
      <c r="DKQ152" s="1011"/>
      <c r="DKR152" s="1011"/>
      <c r="DKS152" s="1011"/>
      <c r="DKT152" s="1011"/>
      <c r="DKU152" s="1011"/>
      <c r="DKV152" s="1011"/>
      <c r="DKW152" s="1011"/>
      <c r="DKX152" s="1011"/>
      <c r="DKY152" s="1011"/>
      <c r="DKZ152" s="1011"/>
      <c r="DLA152" s="1011"/>
      <c r="DLB152" s="1011"/>
      <c r="DLC152" s="1011"/>
      <c r="DLD152" s="1011"/>
      <c r="DLE152" s="1011"/>
      <c r="DLF152" s="1011"/>
      <c r="DLG152" s="1011"/>
      <c r="DLH152" s="1011"/>
      <c r="DLI152" s="1011"/>
      <c r="DLJ152" s="1011"/>
      <c r="DLK152" s="1011"/>
      <c r="DLL152" s="1011"/>
      <c r="DLM152" s="1011"/>
      <c r="DLN152" s="1011"/>
      <c r="DLO152" s="1011"/>
      <c r="DLP152" s="1011"/>
      <c r="DLQ152" s="1011"/>
      <c r="DLR152" s="1011"/>
      <c r="DLS152" s="1011"/>
      <c r="DLT152" s="1011"/>
      <c r="DLU152" s="1011"/>
      <c r="DLV152" s="1011"/>
      <c r="DLW152" s="1011"/>
      <c r="DLX152" s="1011"/>
      <c r="DLY152" s="1011"/>
      <c r="DLZ152" s="1011"/>
      <c r="DMA152" s="1011"/>
      <c r="DMB152" s="1011"/>
      <c r="DMC152" s="1011"/>
      <c r="DMD152" s="1011"/>
      <c r="DME152" s="1011"/>
      <c r="DMF152" s="1011"/>
      <c r="DMG152" s="1011"/>
      <c r="DMH152" s="1011"/>
      <c r="DMI152" s="1011"/>
      <c r="DMJ152" s="1011"/>
      <c r="DMK152" s="1011"/>
      <c r="DML152" s="1011"/>
      <c r="DMM152" s="1011"/>
      <c r="DMN152" s="1011"/>
      <c r="DMO152" s="1011"/>
      <c r="DMP152" s="1011"/>
      <c r="DMQ152" s="1011"/>
      <c r="DMR152" s="1011"/>
      <c r="DMS152" s="1011"/>
      <c r="DMT152" s="1011"/>
      <c r="DMU152" s="1011"/>
      <c r="DMV152" s="1011"/>
      <c r="DMW152" s="1011"/>
      <c r="DMX152" s="1011"/>
      <c r="DMY152" s="1011"/>
      <c r="DMZ152" s="1011"/>
      <c r="DNA152" s="1011"/>
      <c r="DNB152" s="1011"/>
      <c r="DNC152" s="1011"/>
      <c r="DND152" s="1011"/>
      <c r="DNE152" s="1011"/>
      <c r="DNF152" s="1011"/>
      <c r="DNG152" s="1011"/>
      <c r="DNH152" s="1011"/>
      <c r="DNI152" s="1011"/>
      <c r="DNJ152" s="1011"/>
      <c r="DNK152" s="1011"/>
      <c r="DNL152" s="1011"/>
      <c r="DNM152" s="1011"/>
      <c r="DNN152" s="1011"/>
      <c r="DNO152" s="1011"/>
      <c r="DNP152" s="1011"/>
      <c r="DNQ152" s="1011"/>
      <c r="DNR152" s="1011"/>
      <c r="DNS152" s="1011"/>
      <c r="DNT152" s="1011"/>
      <c r="DNU152" s="1011"/>
      <c r="DNV152" s="1011"/>
      <c r="DNW152" s="1011"/>
      <c r="DNX152" s="1011"/>
      <c r="DNY152" s="1011"/>
      <c r="DNZ152" s="1011"/>
      <c r="DOA152" s="1011"/>
      <c r="DOB152" s="1011"/>
      <c r="DOC152" s="1011"/>
      <c r="DOD152" s="1011"/>
      <c r="DOE152" s="1011"/>
      <c r="DOF152" s="1011"/>
      <c r="DOG152" s="1011"/>
      <c r="DOH152" s="1011"/>
      <c r="DOI152" s="1011"/>
      <c r="DOJ152" s="1011"/>
      <c r="DOK152" s="1011"/>
      <c r="DOL152" s="1011"/>
      <c r="DOM152" s="1011"/>
      <c r="DON152" s="1011"/>
      <c r="DOO152" s="1011"/>
      <c r="DOP152" s="1011"/>
      <c r="DOQ152" s="1011"/>
      <c r="DOR152" s="1011"/>
      <c r="DOS152" s="1011"/>
      <c r="DOT152" s="1011"/>
      <c r="DOU152" s="1011"/>
      <c r="DOV152" s="1011"/>
      <c r="DOW152" s="1011"/>
      <c r="DOX152" s="1011"/>
      <c r="DOY152" s="1011"/>
      <c r="DOZ152" s="1011"/>
      <c r="DPA152" s="1011"/>
      <c r="DPB152" s="1011"/>
      <c r="DPC152" s="1011"/>
      <c r="DPD152" s="1011"/>
      <c r="DPE152" s="1011"/>
      <c r="DPF152" s="1011"/>
      <c r="DPG152" s="1011"/>
      <c r="DPH152" s="1011"/>
      <c r="DPI152" s="1011"/>
      <c r="DPJ152" s="1011"/>
      <c r="DPK152" s="1011"/>
      <c r="DPL152" s="1011"/>
      <c r="DPM152" s="1011"/>
      <c r="DPN152" s="1011"/>
      <c r="DPO152" s="1011"/>
      <c r="DPP152" s="1011"/>
      <c r="DPQ152" s="1011"/>
      <c r="DPR152" s="1011"/>
      <c r="DPS152" s="1011"/>
      <c r="DPT152" s="1011"/>
      <c r="DPU152" s="1011"/>
      <c r="DPV152" s="1011"/>
      <c r="DPW152" s="1011"/>
      <c r="DPX152" s="1011"/>
      <c r="DPY152" s="1011"/>
      <c r="DPZ152" s="1011"/>
      <c r="DQA152" s="1011"/>
      <c r="DQB152" s="1011"/>
      <c r="DQC152" s="1011"/>
      <c r="DQD152" s="1011"/>
      <c r="DQE152" s="1011"/>
      <c r="DQF152" s="1011"/>
      <c r="DQG152" s="1011"/>
      <c r="DQH152" s="1011"/>
      <c r="DQI152" s="1011"/>
      <c r="DQJ152" s="1011"/>
      <c r="DQK152" s="1011"/>
      <c r="DQL152" s="1011"/>
      <c r="DQM152" s="1011"/>
      <c r="DQN152" s="1011"/>
      <c r="DQO152" s="1011"/>
      <c r="DQP152" s="1011"/>
      <c r="DQQ152" s="1011"/>
      <c r="DQR152" s="1011"/>
      <c r="DQS152" s="1011"/>
      <c r="DQT152" s="1011"/>
      <c r="DQU152" s="1011"/>
      <c r="DQV152" s="1011"/>
      <c r="DQW152" s="1011"/>
      <c r="DQX152" s="1011"/>
      <c r="DQY152" s="1011"/>
      <c r="DQZ152" s="1011"/>
      <c r="DRA152" s="1011"/>
      <c r="DRB152" s="1011"/>
      <c r="DRC152" s="1011"/>
      <c r="DRD152" s="1011"/>
      <c r="DRE152" s="1011"/>
      <c r="DRF152" s="1011"/>
      <c r="DRG152" s="1011"/>
      <c r="DRH152" s="1011"/>
      <c r="DRI152" s="1011"/>
      <c r="DRJ152" s="1011"/>
      <c r="DRK152" s="1011"/>
      <c r="DRL152" s="1011"/>
      <c r="DRM152" s="1011"/>
      <c r="DRN152" s="1011"/>
      <c r="DRO152" s="1011"/>
      <c r="DRP152" s="1011"/>
      <c r="DRQ152" s="1011"/>
      <c r="DRR152" s="1011"/>
      <c r="DRS152" s="1011"/>
      <c r="DRT152" s="1011"/>
      <c r="DRU152" s="1011"/>
      <c r="DRV152" s="1011"/>
      <c r="DRW152" s="1011"/>
      <c r="DRX152" s="1011"/>
      <c r="DRY152" s="1011"/>
      <c r="DRZ152" s="1011"/>
      <c r="DSA152" s="1011"/>
      <c r="DSB152" s="1011"/>
      <c r="DSC152" s="1011"/>
      <c r="DSD152" s="1011"/>
      <c r="DSE152" s="1011"/>
      <c r="DSF152" s="1011"/>
      <c r="DSG152" s="1011"/>
      <c r="DSH152" s="1011"/>
      <c r="DSI152" s="1011"/>
      <c r="DSJ152" s="1011"/>
      <c r="DSK152" s="1011"/>
      <c r="DSL152" s="1011"/>
      <c r="DSM152" s="1011"/>
      <c r="DSN152" s="1011"/>
      <c r="DSO152" s="1011"/>
      <c r="DSP152" s="1011"/>
      <c r="DSQ152" s="1011"/>
      <c r="DSR152" s="1011"/>
      <c r="DSS152" s="1011"/>
      <c r="DST152" s="1011"/>
      <c r="DSU152" s="1011"/>
      <c r="DSV152" s="1011"/>
      <c r="DSW152" s="1011"/>
      <c r="DSX152" s="1011"/>
      <c r="DSY152" s="1011"/>
      <c r="DSZ152" s="1011"/>
      <c r="DTA152" s="1011"/>
      <c r="DTB152" s="1011"/>
      <c r="DTC152" s="1011"/>
      <c r="DTD152" s="1011"/>
      <c r="DTE152" s="1011"/>
      <c r="DTF152" s="1011"/>
      <c r="DTG152" s="1011"/>
      <c r="DTH152" s="1011"/>
      <c r="DTI152" s="1011"/>
      <c r="DTJ152" s="1011"/>
      <c r="DTK152" s="1011"/>
      <c r="DTL152" s="1011"/>
      <c r="DTM152" s="1011"/>
      <c r="DTN152" s="1011"/>
      <c r="DTO152" s="1011"/>
      <c r="DTP152" s="1011"/>
      <c r="DTQ152" s="1011"/>
      <c r="DTR152" s="1011"/>
      <c r="DTS152" s="1011"/>
      <c r="DTT152" s="1011"/>
      <c r="DTU152" s="1011"/>
      <c r="DTV152" s="1011"/>
      <c r="DTW152" s="1011"/>
      <c r="DTX152" s="1011"/>
      <c r="DTY152" s="1011"/>
      <c r="DTZ152" s="1011"/>
      <c r="DUA152" s="1011"/>
      <c r="DUB152" s="1011"/>
      <c r="DUC152" s="1011"/>
      <c r="DUD152" s="1011"/>
      <c r="DUE152" s="1011"/>
      <c r="DUF152" s="1011"/>
      <c r="DUG152" s="1011"/>
      <c r="DUH152" s="1011"/>
      <c r="DUI152" s="1011"/>
      <c r="DUJ152" s="1011"/>
      <c r="DUK152" s="1011"/>
      <c r="DUL152" s="1011"/>
      <c r="DUM152" s="1011"/>
      <c r="DUN152" s="1011"/>
      <c r="DUO152" s="1011"/>
      <c r="DUP152" s="1011"/>
      <c r="DUQ152" s="1011"/>
      <c r="DUR152" s="1011"/>
      <c r="DUS152" s="1011"/>
      <c r="DUT152" s="1011"/>
      <c r="DUU152" s="1011"/>
      <c r="DUV152" s="1011"/>
      <c r="DUW152" s="1011"/>
      <c r="DUX152" s="1011"/>
      <c r="DUY152" s="1011"/>
      <c r="DUZ152" s="1011"/>
      <c r="DVA152" s="1011"/>
      <c r="DVB152" s="1011"/>
      <c r="DVC152" s="1011"/>
      <c r="DVD152" s="1011"/>
      <c r="DVE152" s="1011"/>
      <c r="DVF152" s="1011"/>
      <c r="DVG152" s="1011"/>
      <c r="DVH152" s="1011"/>
      <c r="DVI152" s="1011"/>
      <c r="DVJ152" s="1011"/>
      <c r="DVK152" s="1011"/>
      <c r="DVL152" s="1011"/>
      <c r="DVM152" s="1011"/>
      <c r="DVN152" s="1011"/>
      <c r="DVO152" s="1011"/>
      <c r="DVP152" s="1011"/>
      <c r="DVQ152" s="1011"/>
      <c r="DVR152" s="1011"/>
      <c r="DVS152" s="1011"/>
      <c r="DVT152" s="1011"/>
      <c r="DVU152" s="1011"/>
      <c r="DVV152" s="1011"/>
      <c r="DVW152" s="1011"/>
      <c r="DVX152" s="1011"/>
      <c r="DVY152" s="1011"/>
      <c r="DVZ152" s="1011"/>
      <c r="DWA152" s="1011"/>
      <c r="DWB152" s="1011"/>
      <c r="DWC152" s="1011"/>
      <c r="DWD152" s="1011"/>
      <c r="DWE152" s="1011"/>
      <c r="DWF152" s="1011"/>
      <c r="DWG152" s="1011"/>
      <c r="DWH152" s="1011"/>
      <c r="DWI152" s="1011"/>
      <c r="DWJ152" s="1011"/>
      <c r="DWK152" s="1011"/>
      <c r="DWL152" s="1011"/>
      <c r="DWM152" s="1011"/>
      <c r="DWN152" s="1011"/>
      <c r="DWO152" s="1011"/>
      <c r="DWP152" s="1011"/>
      <c r="DWQ152" s="1011"/>
      <c r="DWR152" s="1011"/>
      <c r="DWS152" s="1011"/>
      <c r="DWT152" s="1011"/>
      <c r="DWU152" s="1011"/>
      <c r="DWV152" s="1011"/>
      <c r="DWW152" s="1011"/>
      <c r="DWX152" s="1011"/>
      <c r="DWY152" s="1011"/>
      <c r="DWZ152" s="1011"/>
      <c r="DXA152" s="1011"/>
      <c r="DXB152" s="1011"/>
      <c r="DXC152" s="1011"/>
      <c r="DXD152" s="1011"/>
      <c r="DXE152" s="1011"/>
      <c r="DXF152" s="1011"/>
      <c r="DXG152" s="1011"/>
      <c r="DXH152" s="1011"/>
      <c r="DXI152" s="1011"/>
      <c r="DXJ152" s="1011"/>
      <c r="DXK152" s="1011"/>
      <c r="DXL152" s="1011"/>
      <c r="DXM152" s="1011"/>
      <c r="DXN152" s="1011"/>
      <c r="DXO152" s="1011"/>
      <c r="DXP152" s="1011"/>
      <c r="DXQ152" s="1011"/>
      <c r="DXR152" s="1011"/>
      <c r="DXS152" s="1011"/>
      <c r="DXT152" s="1011"/>
      <c r="DXU152" s="1011"/>
      <c r="DXV152" s="1011"/>
      <c r="DXW152" s="1011"/>
      <c r="DXX152" s="1011"/>
      <c r="DXY152" s="1011"/>
      <c r="DXZ152" s="1011"/>
      <c r="DYA152" s="1011"/>
      <c r="DYB152" s="1011"/>
      <c r="DYC152" s="1011"/>
      <c r="DYD152" s="1011"/>
      <c r="DYE152" s="1011"/>
      <c r="DYF152" s="1011"/>
      <c r="DYG152" s="1011"/>
      <c r="DYH152" s="1011"/>
      <c r="DYI152" s="1011"/>
      <c r="DYJ152" s="1011"/>
      <c r="DYK152" s="1011"/>
      <c r="DYL152" s="1011"/>
      <c r="DYM152" s="1011"/>
      <c r="DYN152" s="1011"/>
      <c r="DYO152" s="1011"/>
      <c r="DYP152" s="1011"/>
      <c r="DYQ152" s="1011"/>
      <c r="DYR152" s="1011"/>
      <c r="DYS152" s="1011"/>
      <c r="DYT152" s="1011"/>
      <c r="DYU152" s="1011"/>
      <c r="DYV152" s="1011"/>
      <c r="DYW152" s="1011"/>
      <c r="DYX152" s="1011"/>
      <c r="DYY152" s="1011"/>
      <c r="DYZ152" s="1011"/>
      <c r="DZA152" s="1011"/>
      <c r="DZB152" s="1011"/>
      <c r="DZC152" s="1011"/>
      <c r="DZD152" s="1011"/>
      <c r="DZE152" s="1011"/>
      <c r="DZF152" s="1011"/>
      <c r="DZG152" s="1011"/>
      <c r="DZH152" s="1011"/>
      <c r="DZI152" s="1011"/>
      <c r="DZJ152" s="1011"/>
      <c r="DZK152" s="1011"/>
      <c r="DZL152" s="1011"/>
      <c r="DZM152" s="1011"/>
      <c r="DZN152" s="1011"/>
      <c r="DZO152" s="1011"/>
      <c r="DZP152" s="1011"/>
      <c r="DZQ152" s="1011"/>
      <c r="DZR152" s="1011"/>
      <c r="DZS152" s="1011"/>
      <c r="DZT152" s="1011"/>
      <c r="DZU152" s="1011"/>
      <c r="DZV152" s="1011"/>
      <c r="DZW152" s="1011"/>
      <c r="DZX152" s="1011"/>
      <c r="DZY152" s="1011"/>
      <c r="DZZ152" s="1011"/>
      <c r="EAA152" s="1011"/>
      <c r="EAB152" s="1011"/>
      <c r="EAC152" s="1011"/>
      <c r="EAD152" s="1011"/>
      <c r="EAE152" s="1011"/>
      <c r="EAF152" s="1011"/>
      <c r="EAG152" s="1011"/>
      <c r="EAH152" s="1011"/>
      <c r="EAI152" s="1011"/>
      <c r="EAJ152" s="1011"/>
      <c r="EAK152" s="1011"/>
      <c r="EAL152" s="1011"/>
      <c r="EAM152" s="1011"/>
      <c r="EAN152" s="1011"/>
      <c r="EAO152" s="1011"/>
      <c r="EAP152" s="1011"/>
      <c r="EAQ152" s="1011"/>
      <c r="EAR152" s="1011"/>
      <c r="EAS152" s="1011"/>
      <c r="EAT152" s="1011"/>
      <c r="EAU152" s="1011"/>
      <c r="EAV152" s="1011"/>
      <c r="EAW152" s="1011"/>
      <c r="EAX152" s="1011"/>
      <c r="EAY152" s="1011"/>
      <c r="EAZ152" s="1011"/>
      <c r="EBA152" s="1011"/>
      <c r="EBB152" s="1011"/>
      <c r="EBC152" s="1011"/>
      <c r="EBD152" s="1011"/>
      <c r="EBE152" s="1011"/>
      <c r="EBF152" s="1011"/>
      <c r="EBG152" s="1011"/>
      <c r="EBH152" s="1011"/>
      <c r="EBI152" s="1011"/>
      <c r="EBJ152" s="1011"/>
      <c r="EBK152" s="1011"/>
      <c r="EBL152" s="1011"/>
      <c r="EBM152" s="1011"/>
      <c r="EBN152" s="1011"/>
      <c r="EBO152" s="1011"/>
      <c r="EBP152" s="1011"/>
      <c r="EBQ152" s="1011"/>
      <c r="EBR152" s="1011"/>
      <c r="EBS152" s="1011"/>
      <c r="EBT152" s="1011"/>
      <c r="EBU152" s="1011"/>
      <c r="EBV152" s="1011"/>
      <c r="EBW152" s="1011"/>
      <c r="EBX152" s="1011"/>
      <c r="EBY152" s="1011"/>
      <c r="EBZ152" s="1011"/>
      <c r="ECA152" s="1011"/>
      <c r="ECB152" s="1011"/>
      <c r="ECC152" s="1011"/>
      <c r="ECD152" s="1011"/>
      <c r="ECE152" s="1011"/>
      <c r="ECF152" s="1011"/>
      <c r="ECG152" s="1011"/>
      <c r="ECH152" s="1011"/>
      <c r="ECI152" s="1011"/>
      <c r="ECJ152" s="1011"/>
      <c r="ECK152" s="1011"/>
      <c r="ECL152" s="1011"/>
      <c r="ECM152" s="1011"/>
      <c r="ECN152" s="1011"/>
      <c r="ECO152" s="1011"/>
      <c r="ECP152" s="1011"/>
      <c r="ECQ152" s="1011"/>
      <c r="ECR152" s="1011"/>
      <c r="ECS152" s="1011"/>
      <c r="ECT152" s="1011"/>
      <c r="ECU152" s="1011"/>
      <c r="ECV152" s="1011"/>
      <c r="ECW152" s="1011"/>
      <c r="ECX152" s="1011"/>
      <c r="ECY152" s="1011"/>
      <c r="ECZ152" s="1011"/>
      <c r="EDA152" s="1011"/>
      <c r="EDB152" s="1011"/>
      <c r="EDC152" s="1011"/>
      <c r="EDD152" s="1011"/>
      <c r="EDE152" s="1011"/>
      <c r="EDF152" s="1011"/>
      <c r="EDG152" s="1011"/>
      <c r="EDH152" s="1011"/>
      <c r="EDI152" s="1011"/>
      <c r="EDJ152" s="1011"/>
      <c r="EDK152" s="1011"/>
      <c r="EDL152" s="1011"/>
      <c r="EDM152" s="1011"/>
      <c r="EDN152" s="1011"/>
      <c r="EDO152" s="1011"/>
      <c r="EDP152" s="1011"/>
      <c r="EDQ152" s="1011"/>
      <c r="EDR152" s="1011"/>
      <c r="EDS152" s="1011"/>
      <c r="EDT152" s="1011"/>
      <c r="EDU152" s="1011"/>
      <c r="EDV152" s="1011"/>
      <c r="EDW152" s="1011"/>
      <c r="EDX152" s="1011"/>
      <c r="EDY152" s="1011"/>
      <c r="EDZ152" s="1011"/>
      <c r="EEA152" s="1011"/>
      <c r="EEB152" s="1011"/>
      <c r="EEC152" s="1011"/>
      <c r="EED152" s="1011"/>
      <c r="EEE152" s="1011"/>
      <c r="EEF152" s="1011"/>
      <c r="EEG152" s="1011"/>
      <c r="EEH152" s="1011"/>
      <c r="EEI152" s="1011"/>
      <c r="EEJ152" s="1011"/>
      <c r="EEK152" s="1011"/>
      <c r="EEL152" s="1011"/>
      <c r="EEM152" s="1011"/>
      <c r="EEN152" s="1011"/>
      <c r="EEO152" s="1011"/>
      <c r="EEP152" s="1011"/>
      <c r="EEQ152" s="1011"/>
      <c r="EER152" s="1011"/>
      <c r="EES152" s="1011"/>
      <c r="EET152" s="1011"/>
      <c r="EEU152" s="1011"/>
      <c r="EEV152" s="1011"/>
      <c r="EEW152" s="1011"/>
      <c r="EEX152" s="1011"/>
      <c r="EEY152" s="1011"/>
      <c r="EEZ152" s="1011"/>
      <c r="EFA152" s="1011"/>
      <c r="EFB152" s="1011"/>
      <c r="EFC152" s="1011"/>
      <c r="EFD152" s="1011"/>
      <c r="EFE152" s="1011"/>
      <c r="EFF152" s="1011"/>
      <c r="EFG152" s="1011"/>
      <c r="EFH152" s="1011"/>
      <c r="EFI152" s="1011"/>
      <c r="EFJ152" s="1011"/>
      <c r="EFK152" s="1011"/>
      <c r="EFL152" s="1011"/>
      <c r="EFM152" s="1011"/>
      <c r="EFN152" s="1011"/>
      <c r="EFO152" s="1011"/>
      <c r="EFP152" s="1011"/>
      <c r="EFQ152" s="1011"/>
      <c r="EFR152" s="1011"/>
      <c r="EFS152" s="1011"/>
      <c r="EFT152" s="1011"/>
      <c r="EFU152" s="1011"/>
      <c r="EFV152" s="1011"/>
      <c r="EFW152" s="1011"/>
      <c r="EFX152" s="1011"/>
      <c r="EFY152" s="1011"/>
      <c r="EFZ152" s="1011"/>
      <c r="EGA152" s="1011"/>
      <c r="EGB152" s="1011"/>
      <c r="EGC152" s="1011"/>
      <c r="EGD152" s="1011"/>
      <c r="EGE152" s="1011"/>
      <c r="EGF152" s="1011"/>
      <c r="EGG152" s="1011"/>
      <c r="EGH152" s="1011"/>
      <c r="EGI152" s="1011"/>
      <c r="EGJ152" s="1011"/>
      <c r="EGK152" s="1011"/>
      <c r="EGL152" s="1011"/>
      <c r="EGM152" s="1011"/>
      <c r="EGN152" s="1011"/>
      <c r="EGO152" s="1011"/>
      <c r="EGP152" s="1011"/>
      <c r="EGQ152" s="1011"/>
      <c r="EGR152" s="1011"/>
      <c r="EGS152" s="1011"/>
      <c r="EGT152" s="1011"/>
      <c r="EGU152" s="1011"/>
      <c r="EGV152" s="1011"/>
      <c r="EGW152" s="1011"/>
      <c r="EGX152" s="1011"/>
      <c r="EGY152" s="1011"/>
      <c r="EGZ152" s="1011"/>
      <c r="EHA152" s="1011"/>
      <c r="EHB152" s="1011"/>
      <c r="EHC152" s="1011"/>
      <c r="EHD152" s="1011"/>
      <c r="EHE152" s="1011"/>
      <c r="EHF152" s="1011"/>
      <c r="EHG152" s="1011"/>
      <c r="EHH152" s="1011"/>
      <c r="EHI152" s="1011"/>
      <c r="EHJ152" s="1011"/>
      <c r="EHK152" s="1011"/>
      <c r="EHL152" s="1011"/>
      <c r="EHM152" s="1011"/>
      <c r="EHN152" s="1011"/>
      <c r="EHO152" s="1011"/>
      <c r="EHP152" s="1011"/>
      <c r="EHQ152" s="1011"/>
      <c r="EHR152" s="1011"/>
      <c r="EHS152" s="1011"/>
      <c r="EHT152" s="1011"/>
      <c r="EHU152" s="1011"/>
      <c r="EHV152" s="1011"/>
      <c r="EHW152" s="1011"/>
      <c r="EHX152" s="1011"/>
      <c r="EHY152" s="1011"/>
      <c r="EHZ152" s="1011"/>
      <c r="EIA152" s="1011"/>
      <c r="EIB152" s="1011"/>
      <c r="EIC152" s="1011"/>
      <c r="EID152" s="1011"/>
      <c r="EIE152" s="1011"/>
      <c r="EIF152" s="1011"/>
      <c r="EIG152" s="1011"/>
      <c r="EIH152" s="1011"/>
      <c r="EII152" s="1011"/>
      <c r="EIJ152" s="1011"/>
      <c r="EIK152" s="1011"/>
      <c r="EIL152" s="1011"/>
      <c r="EIM152" s="1011"/>
      <c r="EIN152" s="1011"/>
      <c r="EIO152" s="1011"/>
      <c r="EIP152" s="1011"/>
      <c r="EIQ152" s="1011"/>
      <c r="EIR152" s="1011"/>
      <c r="EIS152" s="1011"/>
      <c r="EIT152" s="1011"/>
      <c r="EIU152" s="1011"/>
      <c r="EIV152" s="1011"/>
      <c r="EIW152" s="1011"/>
      <c r="EIX152" s="1011"/>
      <c r="EIY152" s="1011"/>
      <c r="EIZ152" s="1011"/>
      <c r="EJA152" s="1011"/>
      <c r="EJB152" s="1011"/>
      <c r="EJC152" s="1011"/>
      <c r="EJD152" s="1011"/>
      <c r="EJE152" s="1011"/>
      <c r="EJF152" s="1011"/>
      <c r="EJG152" s="1011"/>
      <c r="EJH152" s="1011"/>
      <c r="EJI152" s="1011"/>
      <c r="EJJ152" s="1011"/>
      <c r="EJK152" s="1011"/>
      <c r="EJL152" s="1011"/>
      <c r="EJM152" s="1011"/>
      <c r="EJN152" s="1011"/>
      <c r="EJO152" s="1011"/>
      <c r="EJP152" s="1011"/>
      <c r="EJQ152" s="1011"/>
      <c r="EJR152" s="1011"/>
      <c r="EJS152" s="1011"/>
      <c r="EJT152" s="1011"/>
      <c r="EJU152" s="1011"/>
      <c r="EJV152" s="1011"/>
      <c r="EJW152" s="1011"/>
      <c r="EJX152" s="1011"/>
      <c r="EJY152" s="1011"/>
      <c r="EJZ152" s="1011"/>
      <c r="EKA152" s="1011"/>
      <c r="EKB152" s="1011"/>
      <c r="EKC152" s="1011"/>
      <c r="EKD152" s="1011"/>
      <c r="EKE152" s="1011"/>
      <c r="EKF152" s="1011"/>
      <c r="EKG152" s="1011"/>
      <c r="EKH152" s="1011"/>
      <c r="EKI152" s="1011"/>
      <c r="EKJ152" s="1011"/>
      <c r="EKK152" s="1011"/>
      <c r="EKL152" s="1011"/>
      <c r="EKM152" s="1011"/>
      <c r="EKN152" s="1011"/>
      <c r="EKO152" s="1011"/>
      <c r="EKP152" s="1011"/>
      <c r="EKQ152" s="1011"/>
      <c r="EKR152" s="1011"/>
      <c r="EKS152" s="1011"/>
      <c r="EKT152" s="1011"/>
      <c r="EKU152" s="1011"/>
      <c r="EKV152" s="1011"/>
      <c r="EKW152" s="1011"/>
      <c r="EKX152" s="1011"/>
      <c r="EKY152" s="1011"/>
      <c r="EKZ152" s="1011"/>
      <c r="ELA152" s="1011"/>
      <c r="ELB152" s="1011"/>
      <c r="ELC152" s="1011"/>
      <c r="ELD152" s="1011"/>
      <c r="ELE152" s="1011"/>
      <c r="ELF152" s="1011"/>
      <c r="ELG152" s="1011"/>
      <c r="ELH152" s="1011"/>
      <c r="ELI152" s="1011"/>
      <c r="ELJ152" s="1011"/>
      <c r="ELK152" s="1011"/>
      <c r="ELL152" s="1011"/>
      <c r="ELM152" s="1011"/>
      <c r="ELN152" s="1011"/>
      <c r="ELO152" s="1011"/>
      <c r="ELP152" s="1011"/>
      <c r="ELQ152" s="1011"/>
      <c r="ELR152" s="1011"/>
      <c r="ELS152" s="1011"/>
      <c r="ELT152" s="1011"/>
      <c r="ELU152" s="1011"/>
      <c r="ELV152" s="1011"/>
      <c r="ELW152" s="1011"/>
      <c r="ELX152" s="1011"/>
      <c r="ELY152" s="1011"/>
      <c r="ELZ152" s="1011"/>
      <c r="EMA152" s="1011"/>
      <c r="EMB152" s="1011"/>
      <c r="EMC152" s="1011"/>
      <c r="EMD152" s="1011"/>
      <c r="EME152" s="1011"/>
      <c r="EMF152" s="1011"/>
      <c r="EMG152" s="1011"/>
      <c r="EMH152" s="1011"/>
      <c r="EMI152" s="1011"/>
      <c r="EMJ152" s="1011"/>
      <c r="EMK152" s="1011"/>
      <c r="EML152" s="1011"/>
      <c r="EMM152" s="1011"/>
      <c r="EMN152" s="1011"/>
      <c r="EMO152" s="1011"/>
      <c r="EMP152" s="1011"/>
      <c r="EMQ152" s="1011"/>
      <c r="EMR152" s="1011"/>
      <c r="EMS152" s="1011"/>
      <c r="EMT152" s="1011"/>
      <c r="EMU152" s="1011"/>
      <c r="EMV152" s="1011"/>
      <c r="EMW152" s="1011"/>
      <c r="EMX152" s="1011"/>
      <c r="EMY152" s="1011"/>
      <c r="EMZ152" s="1011"/>
      <c r="ENA152" s="1011"/>
      <c r="ENB152" s="1011"/>
      <c r="ENC152" s="1011"/>
      <c r="END152" s="1011"/>
      <c r="ENE152" s="1011"/>
      <c r="ENF152" s="1011"/>
      <c r="ENG152" s="1011"/>
      <c r="ENH152" s="1011"/>
      <c r="ENI152" s="1011"/>
      <c r="ENJ152" s="1011"/>
      <c r="ENK152" s="1011"/>
      <c r="ENL152" s="1011"/>
      <c r="ENM152" s="1011"/>
      <c r="ENN152" s="1011"/>
      <c r="ENO152" s="1011"/>
      <c r="ENP152" s="1011"/>
      <c r="ENQ152" s="1011"/>
      <c r="ENR152" s="1011"/>
      <c r="ENS152" s="1011"/>
      <c r="ENT152" s="1011"/>
      <c r="ENU152" s="1011"/>
      <c r="ENV152" s="1011"/>
      <c r="ENW152" s="1011"/>
      <c r="ENX152" s="1011"/>
      <c r="ENY152" s="1011"/>
      <c r="ENZ152" s="1011"/>
      <c r="EOA152" s="1011"/>
      <c r="EOB152" s="1011"/>
      <c r="EOC152" s="1011"/>
      <c r="EOD152" s="1011"/>
      <c r="EOE152" s="1011"/>
      <c r="EOF152" s="1011"/>
      <c r="EOG152" s="1011"/>
      <c r="EOH152" s="1011"/>
      <c r="EOI152" s="1011"/>
      <c r="EOJ152" s="1011"/>
      <c r="EOK152" s="1011"/>
      <c r="EOL152" s="1011"/>
      <c r="EOM152" s="1011"/>
      <c r="EON152" s="1011"/>
      <c r="EOO152" s="1011"/>
      <c r="EOP152" s="1011"/>
      <c r="EOQ152" s="1011"/>
      <c r="EOR152" s="1011"/>
      <c r="EOS152" s="1011"/>
      <c r="EOT152" s="1011"/>
      <c r="EOU152" s="1011"/>
      <c r="EOV152" s="1011"/>
      <c r="EOW152" s="1011"/>
      <c r="EOX152" s="1011"/>
      <c r="EOY152" s="1011"/>
      <c r="EOZ152" s="1011"/>
      <c r="EPA152" s="1011"/>
      <c r="EPB152" s="1011"/>
      <c r="EPC152" s="1011"/>
      <c r="EPD152" s="1011"/>
      <c r="EPE152" s="1011"/>
      <c r="EPF152" s="1011"/>
      <c r="EPG152" s="1011"/>
      <c r="EPH152" s="1011"/>
      <c r="EPI152" s="1011"/>
      <c r="EPJ152" s="1011"/>
      <c r="EPK152" s="1011"/>
      <c r="EPL152" s="1011"/>
      <c r="EPM152" s="1011"/>
      <c r="EPN152" s="1011"/>
      <c r="EPO152" s="1011"/>
      <c r="EPP152" s="1011"/>
      <c r="EPQ152" s="1011"/>
      <c r="EPR152" s="1011"/>
      <c r="EPS152" s="1011"/>
      <c r="EPT152" s="1011"/>
      <c r="EPU152" s="1011"/>
      <c r="EPV152" s="1011"/>
      <c r="EPW152" s="1011"/>
      <c r="EPX152" s="1011"/>
      <c r="EPY152" s="1011"/>
      <c r="EPZ152" s="1011"/>
      <c r="EQA152" s="1011"/>
      <c r="EQB152" s="1011"/>
      <c r="EQC152" s="1011"/>
      <c r="EQD152" s="1011"/>
      <c r="EQE152" s="1011"/>
      <c r="EQF152" s="1011"/>
      <c r="EQG152" s="1011"/>
      <c r="EQH152" s="1011"/>
      <c r="EQI152" s="1011"/>
      <c r="EQJ152" s="1011"/>
      <c r="EQK152" s="1011"/>
      <c r="EQL152" s="1011"/>
      <c r="EQM152" s="1011"/>
      <c r="EQN152" s="1011"/>
      <c r="EQO152" s="1011"/>
      <c r="EQP152" s="1011"/>
      <c r="EQQ152" s="1011"/>
      <c r="EQR152" s="1011"/>
      <c r="EQS152" s="1011"/>
      <c r="EQT152" s="1011"/>
      <c r="EQU152" s="1011"/>
      <c r="EQV152" s="1011"/>
      <c r="EQW152" s="1011"/>
      <c r="EQX152" s="1011"/>
      <c r="EQY152" s="1011"/>
      <c r="EQZ152" s="1011"/>
      <c r="ERA152" s="1011"/>
      <c r="ERB152" s="1011"/>
      <c r="ERC152" s="1011"/>
      <c r="ERD152" s="1011"/>
      <c r="ERE152" s="1011"/>
      <c r="ERF152" s="1011"/>
      <c r="ERG152" s="1011"/>
      <c r="ERH152" s="1011"/>
      <c r="ERI152" s="1011"/>
      <c r="ERJ152" s="1011"/>
      <c r="ERK152" s="1011"/>
      <c r="ERL152" s="1011"/>
      <c r="ERM152" s="1011"/>
      <c r="ERN152" s="1011"/>
      <c r="ERO152" s="1011"/>
      <c r="ERP152" s="1011"/>
      <c r="ERQ152" s="1011"/>
      <c r="ERR152" s="1011"/>
      <c r="ERS152" s="1011"/>
      <c r="ERT152" s="1011"/>
      <c r="ERU152" s="1011"/>
      <c r="ERV152" s="1011"/>
      <c r="ERW152" s="1011"/>
      <c r="ERX152" s="1011"/>
      <c r="ERY152" s="1011"/>
      <c r="ERZ152" s="1011"/>
      <c r="ESA152" s="1011"/>
      <c r="ESB152" s="1011"/>
      <c r="ESC152" s="1011"/>
      <c r="ESD152" s="1011"/>
      <c r="ESE152" s="1011"/>
      <c r="ESF152" s="1011"/>
      <c r="ESG152" s="1011"/>
      <c r="ESH152" s="1011"/>
      <c r="ESI152" s="1011"/>
      <c r="ESJ152" s="1011"/>
      <c r="ESK152" s="1011"/>
      <c r="ESL152" s="1011"/>
      <c r="ESM152" s="1011"/>
      <c r="ESN152" s="1011"/>
      <c r="ESO152" s="1011"/>
      <c r="ESP152" s="1011"/>
      <c r="ESQ152" s="1011"/>
      <c r="ESR152" s="1011"/>
      <c r="ESS152" s="1011"/>
      <c r="EST152" s="1011"/>
      <c r="ESU152" s="1011"/>
      <c r="ESV152" s="1011"/>
      <c r="ESW152" s="1011"/>
      <c r="ESX152" s="1011"/>
      <c r="ESY152" s="1011"/>
      <c r="ESZ152" s="1011"/>
      <c r="ETA152" s="1011"/>
      <c r="ETB152" s="1011"/>
      <c r="ETC152" s="1011"/>
      <c r="ETD152" s="1011"/>
      <c r="ETE152" s="1011"/>
      <c r="ETF152" s="1011"/>
      <c r="ETG152" s="1011"/>
      <c r="ETH152" s="1011"/>
      <c r="ETI152" s="1011"/>
      <c r="ETJ152" s="1011"/>
      <c r="ETK152" s="1011"/>
      <c r="ETL152" s="1011"/>
      <c r="ETM152" s="1011"/>
      <c r="ETN152" s="1011"/>
      <c r="ETO152" s="1011"/>
      <c r="ETP152" s="1011"/>
      <c r="ETQ152" s="1011"/>
      <c r="ETR152" s="1011"/>
      <c r="ETS152" s="1011"/>
      <c r="ETT152" s="1011"/>
      <c r="ETU152" s="1011"/>
      <c r="ETV152" s="1011"/>
      <c r="ETW152" s="1011"/>
      <c r="ETX152" s="1011"/>
      <c r="ETY152" s="1011"/>
      <c r="ETZ152" s="1011"/>
      <c r="EUA152" s="1011"/>
      <c r="EUB152" s="1011"/>
      <c r="EUC152" s="1011"/>
      <c r="EUD152" s="1011"/>
      <c r="EUE152" s="1011"/>
      <c r="EUF152" s="1011"/>
      <c r="EUG152" s="1011"/>
      <c r="EUH152" s="1011"/>
      <c r="EUI152" s="1011"/>
      <c r="EUJ152" s="1011"/>
      <c r="EUK152" s="1011"/>
      <c r="EUL152" s="1011"/>
      <c r="EUM152" s="1011"/>
      <c r="EUN152" s="1011"/>
      <c r="EUO152" s="1011"/>
      <c r="EUP152" s="1011"/>
      <c r="EUQ152" s="1011"/>
      <c r="EUR152" s="1011"/>
      <c r="EUS152" s="1011"/>
      <c r="EUT152" s="1011"/>
      <c r="EUU152" s="1011"/>
      <c r="EUV152" s="1011"/>
      <c r="EUW152" s="1011"/>
      <c r="EUX152" s="1011"/>
      <c r="EUY152" s="1011"/>
      <c r="EUZ152" s="1011"/>
      <c r="EVA152" s="1011"/>
      <c r="EVB152" s="1011"/>
      <c r="EVC152" s="1011"/>
      <c r="EVD152" s="1011"/>
      <c r="EVE152" s="1011"/>
      <c r="EVF152" s="1011"/>
      <c r="EVG152" s="1011"/>
      <c r="EVH152" s="1011"/>
      <c r="EVI152" s="1011"/>
      <c r="EVJ152" s="1011"/>
      <c r="EVK152" s="1011"/>
      <c r="EVL152" s="1011"/>
      <c r="EVM152" s="1011"/>
      <c r="EVN152" s="1011"/>
      <c r="EVO152" s="1011"/>
      <c r="EVP152" s="1011"/>
      <c r="EVQ152" s="1011"/>
      <c r="EVR152" s="1011"/>
      <c r="EVS152" s="1011"/>
      <c r="EVT152" s="1011"/>
      <c r="EVU152" s="1011"/>
      <c r="EVV152" s="1011"/>
      <c r="EVW152" s="1011"/>
      <c r="EVX152" s="1011"/>
      <c r="EVY152" s="1011"/>
      <c r="EVZ152" s="1011"/>
      <c r="EWA152" s="1011"/>
      <c r="EWB152" s="1011"/>
      <c r="EWC152" s="1011"/>
      <c r="EWD152" s="1011"/>
      <c r="EWE152" s="1011"/>
      <c r="EWF152" s="1011"/>
      <c r="EWG152" s="1011"/>
      <c r="EWH152" s="1011"/>
      <c r="EWI152" s="1011"/>
      <c r="EWJ152" s="1011"/>
      <c r="EWK152" s="1011"/>
      <c r="EWL152" s="1011"/>
      <c r="EWM152" s="1011"/>
      <c r="EWN152" s="1011"/>
      <c r="EWO152" s="1011"/>
      <c r="EWP152" s="1011"/>
      <c r="EWQ152" s="1011"/>
      <c r="EWR152" s="1011"/>
      <c r="EWS152" s="1011"/>
      <c r="EWT152" s="1011"/>
      <c r="EWU152" s="1011"/>
      <c r="EWV152" s="1011"/>
      <c r="EWW152" s="1011"/>
      <c r="EWX152" s="1011"/>
      <c r="EWY152" s="1011"/>
      <c r="EWZ152" s="1011"/>
      <c r="EXA152" s="1011"/>
      <c r="EXB152" s="1011"/>
      <c r="EXC152" s="1011"/>
      <c r="EXD152" s="1011"/>
      <c r="EXE152" s="1011"/>
      <c r="EXF152" s="1011"/>
      <c r="EXG152" s="1011"/>
      <c r="EXH152" s="1011"/>
      <c r="EXI152" s="1011"/>
      <c r="EXJ152" s="1011"/>
      <c r="EXK152" s="1011"/>
      <c r="EXL152" s="1011"/>
      <c r="EXM152" s="1011"/>
      <c r="EXN152" s="1011"/>
      <c r="EXO152" s="1011"/>
      <c r="EXP152" s="1011"/>
      <c r="EXQ152" s="1011"/>
      <c r="EXR152" s="1011"/>
      <c r="EXS152" s="1011"/>
      <c r="EXT152" s="1011"/>
      <c r="EXU152" s="1011"/>
      <c r="EXV152" s="1011"/>
      <c r="EXW152" s="1011"/>
      <c r="EXX152" s="1011"/>
      <c r="EXY152" s="1011"/>
      <c r="EXZ152" s="1011"/>
      <c r="EYA152" s="1011"/>
      <c r="EYB152" s="1011"/>
      <c r="EYC152" s="1011"/>
      <c r="EYD152" s="1011"/>
      <c r="EYE152" s="1011"/>
      <c r="EYF152" s="1011"/>
      <c r="EYG152" s="1011"/>
      <c r="EYH152" s="1011"/>
      <c r="EYI152" s="1011"/>
      <c r="EYJ152" s="1011"/>
      <c r="EYK152" s="1011"/>
      <c r="EYL152" s="1011"/>
      <c r="EYM152" s="1011"/>
      <c r="EYN152" s="1011"/>
      <c r="EYO152" s="1011"/>
      <c r="EYP152" s="1011"/>
      <c r="EYQ152" s="1011"/>
      <c r="EYR152" s="1011"/>
      <c r="EYS152" s="1011"/>
      <c r="EYT152" s="1011"/>
      <c r="EYU152" s="1011"/>
      <c r="EYV152" s="1011"/>
      <c r="EYW152" s="1011"/>
      <c r="EYX152" s="1011"/>
      <c r="EYY152" s="1011"/>
      <c r="EYZ152" s="1011"/>
      <c r="EZA152" s="1011"/>
      <c r="EZB152" s="1011"/>
      <c r="EZC152" s="1011"/>
      <c r="EZD152" s="1011"/>
      <c r="EZE152" s="1011"/>
      <c r="EZF152" s="1011"/>
      <c r="EZG152" s="1011"/>
      <c r="EZH152" s="1011"/>
      <c r="EZI152" s="1011"/>
      <c r="EZJ152" s="1011"/>
      <c r="EZK152" s="1011"/>
      <c r="EZL152" s="1011"/>
      <c r="EZM152" s="1011"/>
      <c r="EZN152" s="1011"/>
      <c r="EZO152" s="1011"/>
      <c r="EZP152" s="1011"/>
      <c r="EZQ152" s="1011"/>
      <c r="EZR152" s="1011"/>
      <c r="EZS152" s="1011"/>
      <c r="EZT152" s="1011"/>
      <c r="EZU152" s="1011"/>
      <c r="EZV152" s="1011"/>
      <c r="EZW152" s="1011"/>
      <c r="EZX152" s="1011"/>
      <c r="EZY152" s="1011"/>
      <c r="EZZ152" s="1011"/>
      <c r="FAA152" s="1011"/>
      <c r="FAB152" s="1011"/>
      <c r="FAC152" s="1011"/>
      <c r="FAD152" s="1011"/>
      <c r="FAE152" s="1011"/>
      <c r="FAF152" s="1011"/>
      <c r="FAG152" s="1011"/>
      <c r="FAH152" s="1011"/>
      <c r="FAI152" s="1011"/>
      <c r="FAJ152" s="1011"/>
      <c r="FAK152" s="1011"/>
      <c r="FAL152" s="1011"/>
      <c r="FAM152" s="1011"/>
      <c r="FAN152" s="1011"/>
      <c r="FAO152" s="1011"/>
      <c r="FAP152" s="1011"/>
      <c r="FAQ152" s="1011"/>
      <c r="FAR152" s="1011"/>
      <c r="FAS152" s="1011"/>
      <c r="FAT152" s="1011"/>
      <c r="FAU152" s="1011"/>
      <c r="FAV152" s="1011"/>
      <c r="FAW152" s="1011"/>
      <c r="FAX152" s="1011"/>
      <c r="FAY152" s="1011"/>
      <c r="FAZ152" s="1011"/>
      <c r="FBA152" s="1011"/>
      <c r="FBB152" s="1011"/>
      <c r="FBC152" s="1011"/>
      <c r="FBD152" s="1011"/>
      <c r="FBE152" s="1011"/>
      <c r="FBF152" s="1011"/>
      <c r="FBG152" s="1011"/>
      <c r="FBH152" s="1011"/>
      <c r="FBI152" s="1011"/>
      <c r="FBJ152" s="1011"/>
      <c r="FBK152" s="1011"/>
      <c r="FBL152" s="1011"/>
      <c r="FBM152" s="1011"/>
      <c r="FBN152" s="1011"/>
      <c r="FBO152" s="1011"/>
      <c r="FBP152" s="1011"/>
      <c r="FBQ152" s="1011"/>
      <c r="FBR152" s="1011"/>
      <c r="FBS152" s="1011"/>
      <c r="FBT152" s="1011"/>
      <c r="FBU152" s="1011"/>
      <c r="FBV152" s="1011"/>
      <c r="FBW152" s="1011"/>
      <c r="FBX152" s="1011"/>
      <c r="FBY152" s="1011"/>
      <c r="FBZ152" s="1011"/>
      <c r="FCA152" s="1011"/>
      <c r="FCB152" s="1011"/>
      <c r="FCC152" s="1011"/>
      <c r="FCD152" s="1011"/>
      <c r="FCE152" s="1011"/>
      <c r="FCF152" s="1011"/>
      <c r="FCG152" s="1011"/>
      <c r="FCH152" s="1011"/>
      <c r="FCI152" s="1011"/>
      <c r="FCJ152" s="1011"/>
      <c r="FCK152" s="1011"/>
      <c r="FCL152" s="1011"/>
      <c r="FCM152" s="1011"/>
      <c r="FCN152" s="1011"/>
      <c r="FCO152" s="1011"/>
      <c r="FCP152" s="1011"/>
      <c r="FCQ152" s="1011"/>
      <c r="FCR152" s="1011"/>
      <c r="FCS152" s="1011"/>
      <c r="FCT152" s="1011"/>
      <c r="FCU152" s="1011"/>
      <c r="FCV152" s="1011"/>
      <c r="FCW152" s="1011"/>
      <c r="FCX152" s="1011"/>
      <c r="FCY152" s="1011"/>
      <c r="FCZ152" s="1011"/>
      <c r="FDA152" s="1011"/>
      <c r="FDB152" s="1011"/>
      <c r="FDC152" s="1011"/>
      <c r="FDD152" s="1011"/>
      <c r="FDE152" s="1011"/>
      <c r="FDF152" s="1011"/>
      <c r="FDG152" s="1011"/>
      <c r="FDH152" s="1011"/>
      <c r="FDI152" s="1011"/>
      <c r="FDJ152" s="1011"/>
      <c r="FDK152" s="1011"/>
      <c r="FDL152" s="1011"/>
      <c r="FDM152" s="1011"/>
      <c r="FDN152" s="1011"/>
      <c r="FDO152" s="1011"/>
      <c r="FDP152" s="1011"/>
      <c r="FDQ152" s="1011"/>
      <c r="FDR152" s="1011"/>
      <c r="FDS152" s="1011"/>
      <c r="FDT152" s="1011"/>
      <c r="FDU152" s="1011"/>
      <c r="FDV152" s="1011"/>
      <c r="FDW152" s="1011"/>
      <c r="FDX152" s="1011"/>
      <c r="FDY152" s="1011"/>
      <c r="FDZ152" s="1011"/>
      <c r="FEA152" s="1011"/>
      <c r="FEB152" s="1011"/>
      <c r="FEC152" s="1011"/>
      <c r="FED152" s="1011"/>
      <c r="FEE152" s="1011"/>
      <c r="FEF152" s="1011"/>
      <c r="FEG152" s="1011"/>
      <c r="FEH152" s="1011"/>
      <c r="FEI152" s="1011"/>
      <c r="FEJ152" s="1011"/>
      <c r="FEK152" s="1011"/>
      <c r="FEL152" s="1011"/>
      <c r="FEM152" s="1011"/>
      <c r="FEN152" s="1011"/>
      <c r="FEO152" s="1011"/>
      <c r="FEP152" s="1011"/>
      <c r="FEQ152" s="1011"/>
      <c r="FER152" s="1011"/>
      <c r="FES152" s="1011"/>
      <c r="FET152" s="1011"/>
      <c r="FEU152" s="1011"/>
      <c r="FEV152" s="1011"/>
      <c r="FEW152" s="1011"/>
      <c r="FEX152" s="1011"/>
      <c r="FEY152" s="1011"/>
      <c r="FEZ152" s="1011"/>
      <c r="FFA152" s="1011"/>
      <c r="FFB152" s="1011"/>
      <c r="FFC152" s="1011"/>
      <c r="FFD152" s="1011"/>
      <c r="FFE152" s="1011"/>
      <c r="FFF152" s="1011"/>
      <c r="FFG152" s="1011"/>
      <c r="FFH152" s="1011"/>
      <c r="FFI152" s="1011"/>
      <c r="FFJ152" s="1011"/>
      <c r="FFK152" s="1011"/>
      <c r="FFL152" s="1011"/>
      <c r="FFM152" s="1011"/>
      <c r="FFN152" s="1011"/>
      <c r="FFO152" s="1011"/>
      <c r="FFP152" s="1011"/>
      <c r="FFQ152" s="1011"/>
      <c r="FFR152" s="1011"/>
      <c r="FFS152" s="1011"/>
      <c r="FFT152" s="1011"/>
      <c r="FFU152" s="1011"/>
      <c r="FFV152" s="1011"/>
      <c r="FFW152" s="1011"/>
      <c r="FFX152" s="1011"/>
      <c r="FFY152" s="1011"/>
      <c r="FFZ152" s="1011"/>
      <c r="FGA152" s="1011"/>
      <c r="FGB152" s="1011"/>
      <c r="FGC152" s="1011"/>
      <c r="FGD152" s="1011"/>
      <c r="FGE152" s="1011"/>
      <c r="FGF152" s="1011"/>
      <c r="FGG152" s="1011"/>
      <c r="FGH152" s="1011"/>
      <c r="FGI152" s="1011"/>
      <c r="FGJ152" s="1011"/>
      <c r="FGK152" s="1011"/>
      <c r="FGL152" s="1011"/>
      <c r="FGM152" s="1011"/>
      <c r="FGN152" s="1011"/>
      <c r="FGO152" s="1011"/>
      <c r="FGP152" s="1011"/>
      <c r="FGQ152" s="1011"/>
      <c r="FGR152" s="1011"/>
      <c r="FGS152" s="1011"/>
      <c r="FGT152" s="1011"/>
      <c r="FGU152" s="1011"/>
      <c r="FGV152" s="1011"/>
      <c r="FGW152" s="1011"/>
      <c r="FGX152" s="1011"/>
      <c r="FGY152" s="1011"/>
      <c r="FGZ152" s="1011"/>
      <c r="FHA152" s="1011"/>
      <c r="FHB152" s="1011"/>
      <c r="FHC152" s="1011"/>
      <c r="FHD152" s="1011"/>
      <c r="FHE152" s="1011"/>
      <c r="FHF152" s="1011"/>
      <c r="FHG152" s="1011"/>
      <c r="FHH152" s="1011"/>
      <c r="FHI152" s="1011"/>
      <c r="FHJ152" s="1011"/>
      <c r="FHK152" s="1011"/>
      <c r="FHL152" s="1011"/>
      <c r="FHM152" s="1011"/>
      <c r="FHN152" s="1011"/>
      <c r="FHO152" s="1011"/>
      <c r="FHP152" s="1011"/>
      <c r="FHQ152" s="1011"/>
      <c r="FHR152" s="1011"/>
      <c r="FHS152" s="1011"/>
      <c r="FHT152" s="1011"/>
      <c r="FHU152" s="1011"/>
      <c r="FHV152" s="1011"/>
      <c r="FHW152" s="1011"/>
      <c r="FHX152" s="1011"/>
      <c r="FHY152" s="1011"/>
      <c r="FHZ152" s="1011"/>
      <c r="FIA152" s="1011"/>
      <c r="FIB152" s="1011"/>
      <c r="FIC152" s="1011"/>
      <c r="FID152" s="1011"/>
      <c r="FIE152" s="1011"/>
      <c r="FIF152" s="1011"/>
      <c r="FIG152" s="1011"/>
      <c r="FIH152" s="1011"/>
      <c r="FII152" s="1011"/>
      <c r="FIJ152" s="1011"/>
      <c r="FIK152" s="1011"/>
      <c r="FIL152" s="1011"/>
      <c r="FIM152" s="1011"/>
      <c r="FIN152" s="1011"/>
      <c r="FIO152" s="1011"/>
      <c r="FIP152" s="1011"/>
      <c r="FIQ152" s="1011"/>
      <c r="FIR152" s="1011"/>
      <c r="FIS152" s="1011"/>
      <c r="FIT152" s="1011"/>
      <c r="FIU152" s="1011"/>
      <c r="FIV152" s="1011"/>
      <c r="FIW152" s="1011"/>
      <c r="FIX152" s="1011"/>
      <c r="FIY152" s="1011"/>
      <c r="FIZ152" s="1011"/>
      <c r="FJA152" s="1011"/>
      <c r="FJB152" s="1011"/>
      <c r="FJC152" s="1011"/>
      <c r="FJD152" s="1011"/>
      <c r="FJE152" s="1011"/>
      <c r="FJF152" s="1011"/>
      <c r="FJG152" s="1011"/>
      <c r="FJH152" s="1011"/>
      <c r="FJI152" s="1011"/>
      <c r="FJJ152" s="1011"/>
      <c r="FJK152" s="1011"/>
      <c r="FJL152" s="1011"/>
      <c r="FJM152" s="1011"/>
      <c r="FJN152" s="1011"/>
      <c r="FJO152" s="1011"/>
      <c r="FJP152" s="1011"/>
      <c r="FJQ152" s="1011"/>
      <c r="FJR152" s="1011"/>
      <c r="FJS152" s="1011"/>
      <c r="FJT152" s="1011"/>
      <c r="FJU152" s="1011"/>
      <c r="FJV152" s="1011"/>
      <c r="FJW152" s="1011"/>
      <c r="FJX152" s="1011"/>
      <c r="FJY152" s="1011"/>
      <c r="FJZ152" s="1011"/>
      <c r="FKA152" s="1011"/>
      <c r="FKB152" s="1011"/>
      <c r="FKC152" s="1011"/>
      <c r="FKD152" s="1011"/>
      <c r="FKE152" s="1011"/>
      <c r="FKF152" s="1011"/>
      <c r="FKG152" s="1011"/>
      <c r="FKH152" s="1011"/>
      <c r="FKI152" s="1011"/>
      <c r="FKJ152" s="1011"/>
      <c r="FKK152" s="1011"/>
      <c r="FKL152" s="1011"/>
      <c r="FKM152" s="1011"/>
      <c r="FKN152" s="1011"/>
      <c r="FKO152" s="1011"/>
      <c r="FKP152" s="1011"/>
      <c r="FKQ152" s="1011"/>
      <c r="FKR152" s="1011"/>
      <c r="FKS152" s="1011"/>
      <c r="FKT152" s="1011"/>
      <c r="FKU152" s="1011"/>
      <c r="FKV152" s="1011"/>
      <c r="FKW152" s="1011"/>
      <c r="FKX152" s="1011"/>
      <c r="FKY152" s="1011"/>
      <c r="FKZ152" s="1011"/>
      <c r="FLA152" s="1011"/>
      <c r="FLB152" s="1011"/>
      <c r="FLC152" s="1011"/>
      <c r="FLD152" s="1011"/>
      <c r="FLE152" s="1011"/>
      <c r="FLF152" s="1011"/>
      <c r="FLG152" s="1011"/>
      <c r="FLH152" s="1011"/>
      <c r="FLI152" s="1011"/>
      <c r="FLJ152" s="1011"/>
      <c r="FLK152" s="1011"/>
      <c r="FLL152" s="1011"/>
      <c r="FLM152" s="1011"/>
      <c r="FLN152" s="1011"/>
      <c r="FLO152" s="1011"/>
      <c r="FLP152" s="1011"/>
      <c r="FLQ152" s="1011"/>
      <c r="FLR152" s="1011"/>
      <c r="FLS152" s="1011"/>
      <c r="FLT152" s="1011"/>
      <c r="FLU152" s="1011"/>
      <c r="FLV152" s="1011"/>
      <c r="FLW152" s="1011"/>
      <c r="FLX152" s="1011"/>
      <c r="FLY152" s="1011"/>
      <c r="FLZ152" s="1011"/>
      <c r="FMA152" s="1011"/>
      <c r="FMB152" s="1011"/>
      <c r="FMC152" s="1011"/>
      <c r="FMD152" s="1011"/>
      <c r="FME152" s="1011"/>
      <c r="FMF152" s="1011"/>
      <c r="FMG152" s="1011"/>
      <c r="FMH152" s="1011"/>
      <c r="FMI152" s="1011"/>
      <c r="FMJ152" s="1011"/>
      <c r="FMK152" s="1011"/>
      <c r="FML152" s="1011"/>
      <c r="FMM152" s="1011"/>
      <c r="FMN152" s="1011"/>
      <c r="FMO152" s="1011"/>
      <c r="FMP152" s="1011"/>
      <c r="FMQ152" s="1011"/>
      <c r="FMR152" s="1011"/>
      <c r="FMS152" s="1011"/>
      <c r="FMT152" s="1011"/>
      <c r="FMU152" s="1011"/>
      <c r="FMV152" s="1011"/>
      <c r="FMW152" s="1011"/>
      <c r="FMX152" s="1011"/>
      <c r="FMY152" s="1011"/>
      <c r="FMZ152" s="1011"/>
      <c r="FNA152" s="1011"/>
      <c r="FNB152" s="1011"/>
      <c r="FNC152" s="1011"/>
      <c r="FND152" s="1011"/>
      <c r="FNE152" s="1011"/>
      <c r="FNF152" s="1011"/>
      <c r="FNG152" s="1011"/>
      <c r="FNH152" s="1011"/>
      <c r="FNI152" s="1011"/>
      <c r="FNJ152" s="1011"/>
      <c r="FNK152" s="1011"/>
      <c r="FNL152" s="1011"/>
      <c r="FNM152" s="1011"/>
      <c r="FNN152" s="1011"/>
      <c r="FNO152" s="1011"/>
      <c r="FNP152" s="1011"/>
      <c r="FNQ152" s="1011"/>
      <c r="FNR152" s="1011"/>
      <c r="FNS152" s="1011"/>
      <c r="FNT152" s="1011"/>
      <c r="FNU152" s="1011"/>
      <c r="FNV152" s="1011"/>
      <c r="FNW152" s="1011"/>
      <c r="FNX152" s="1011"/>
      <c r="FNY152" s="1011"/>
      <c r="FNZ152" s="1011"/>
      <c r="FOA152" s="1011"/>
      <c r="FOB152" s="1011"/>
      <c r="FOC152" s="1011"/>
      <c r="FOD152" s="1011"/>
      <c r="FOE152" s="1011"/>
      <c r="FOF152" s="1011"/>
      <c r="FOG152" s="1011"/>
      <c r="FOH152" s="1011"/>
      <c r="FOI152" s="1011"/>
      <c r="FOJ152" s="1011"/>
      <c r="FOK152" s="1011"/>
      <c r="FOL152" s="1011"/>
      <c r="FOM152" s="1011"/>
      <c r="FON152" s="1011"/>
      <c r="FOO152" s="1011"/>
      <c r="FOP152" s="1011"/>
      <c r="FOQ152" s="1011"/>
      <c r="FOR152" s="1011"/>
      <c r="FOS152" s="1011"/>
      <c r="FOT152" s="1011"/>
      <c r="FOU152" s="1011"/>
      <c r="FOV152" s="1011"/>
      <c r="FOW152" s="1011"/>
      <c r="FOX152" s="1011"/>
      <c r="FOY152" s="1011"/>
      <c r="FOZ152" s="1011"/>
      <c r="FPA152" s="1011"/>
      <c r="FPB152" s="1011"/>
      <c r="FPC152" s="1011"/>
      <c r="FPD152" s="1011"/>
      <c r="FPE152" s="1011"/>
      <c r="FPF152" s="1011"/>
      <c r="FPG152" s="1011"/>
      <c r="FPH152" s="1011"/>
      <c r="FPI152" s="1011"/>
      <c r="FPJ152" s="1011"/>
      <c r="FPK152" s="1011"/>
      <c r="FPL152" s="1011"/>
      <c r="FPM152" s="1011"/>
      <c r="FPN152" s="1011"/>
      <c r="FPO152" s="1011"/>
      <c r="FPP152" s="1011"/>
      <c r="FPQ152" s="1011"/>
      <c r="FPR152" s="1011"/>
      <c r="FPS152" s="1011"/>
      <c r="FPT152" s="1011"/>
      <c r="FPU152" s="1011"/>
      <c r="FPV152" s="1011"/>
      <c r="FPW152" s="1011"/>
      <c r="FPX152" s="1011"/>
      <c r="FPY152" s="1011"/>
      <c r="FPZ152" s="1011"/>
      <c r="FQA152" s="1011"/>
      <c r="FQB152" s="1011"/>
      <c r="FQC152" s="1011"/>
      <c r="FQD152" s="1011"/>
      <c r="FQE152" s="1011"/>
      <c r="FQF152" s="1011"/>
      <c r="FQG152" s="1011"/>
      <c r="FQH152" s="1011"/>
      <c r="FQI152" s="1011"/>
      <c r="FQJ152" s="1011"/>
      <c r="FQK152" s="1011"/>
      <c r="FQL152" s="1011"/>
      <c r="FQM152" s="1011"/>
      <c r="FQN152" s="1011"/>
      <c r="FQO152" s="1011"/>
      <c r="FQP152" s="1011"/>
      <c r="FQQ152" s="1011"/>
      <c r="FQR152" s="1011"/>
      <c r="FQS152" s="1011"/>
      <c r="FQT152" s="1011"/>
      <c r="FQU152" s="1011"/>
      <c r="FQV152" s="1011"/>
      <c r="FQW152" s="1011"/>
      <c r="FQX152" s="1011"/>
      <c r="FQY152" s="1011"/>
      <c r="FQZ152" s="1011"/>
      <c r="FRA152" s="1011"/>
      <c r="FRB152" s="1011"/>
      <c r="FRC152" s="1011"/>
      <c r="FRD152" s="1011"/>
      <c r="FRE152" s="1011"/>
      <c r="FRF152" s="1011"/>
      <c r="FRG152" s="1011"/>
      <c r="FRH152" s="1011"/>
      <c r="FRI152" s="1011"/>
      <c r="FRJ152" s="1011"/>
      <c r="FRK152" s="1011"/>
      <c r="FRL152" s="1011"/>
      <c r="FRM152" s="1011"/>
      <c r="FRN152" s="1011"/>
      <c r="FRO152" s="1011"/>
      <c r="FRP152" s="1011"/>
      <c r="FRQ152" s="1011"/>
      <c r="FRR152" s="1011"/>
      <c r="FRS152" s="1011"/>
      <c r="FRT152" s="1011"/>
      <c r="FRU152" s="1011"/>
      <c r="FRV152" s="1011"/>
      <c r="FRW152" s="1011"/>
      <c r="FRX152" s="1011"/>
      <c r="FRY152" s="1011"/>
      <c r="FRZ152" s="1011"/>
      <c r="FSA152" s="1011"/>
      <c r="FSB152" s="1011"/>
      <c r="FSC152" s="1011"/>
      <c r="FSD152" s="1011"/>
      <c r="FSE152" s="1011"/>
      <c r="FSF152" s="1011"/>
      <c r="FSG152" s="1011"/>
      <c r="FSH152" s="1011"/>
      <c r="FSI152" s="1011"/>
      <c r="FSJ152" s="1011"/>
      <c r="FSK152" s="1011"/>
      <c r="FSL152" s="1011"/>
      <c r="FSM152" s="1011"/>
      <c r="FSN152" s="1011"/>
      <c r="FSO152" s="1011"/>
      <c r="FSP152" s="1011"/>
      <c r="FSQ152" s="1011"/>
      <c r="FSR152" s="1011"/>
      <c r="FSS152" s="1011"/>
      <c r="FST152" s="1011"/>
      <c r="FSU152" s="1011"/>
      <c r="FSV152" s="1011"/>
      <c r="FSW152" s="1011"/>
      <c r="FSX152" s="1011"/>
      <c r="FSY152" s="1011"/>
      <c r="FSZ152" s="1011"/>
      <c r="FTA152" s="1011"/>
      <c r="FTB152" s="1011"/>
      <c r="FTC152" s="1011"/>
      <c r="FTD152" s="1011"/>
      <c r="FTE152" s="1011"/>
      <c r="FTF152" s="1011"/>
      <c r="FTG152" s="1011"/>
      <c r="FTH152" s="1011"/>
      <c r="FTI152" s="1011"/>
      <c r="FTJ152" s="1011"/>
      <c r="FTK152" s="1011"/>
      <c r="FTL152" s="1011"/>
      <c r="FTM152" s="1011"/>
      <c r="FTN152" s="1011"/>
      <c r="FTO152" s="1011"/>
      <c r="FTP152" s="1011"/>
      <c r="FTQ152" s="1011"/>
      <c r="FTR152" s="1011"/>
      <c r="FTS152" s="1011"/>
      <c r="FTT152" s="1011"/>
      <c r="FTU152" s="1011"/>
      <c r="FTV152" s="1011"/>
      <c r="FTW152" s="1011"/>
      <c r="FTX152" s="1011"/>
      <c r="FTY152" s="1011"/>
      <c r="FTZ152" s="1011"/>
      <c r="FUA152" s="1011"/>
      <c r="FUB152" s="1011"/>
      <c r="FUC152" s="1011"/>
      <c r="FUD152" s="1011"/>
      <c r="FUE152" s="1011"/>
      <c r="FUF152" s="1011"/>
      <c r="FUG152" s="1011"/>
      <c r="FUH152" s="1011"/>
      <c r="FUI152" s="1011"/>
      <c r="FUJ152" s="1011"/>
      <c r="FUK152" s="1011"/>
      <c r="FUL152" s="1011"/>
      <c r="FUM152" s="1011"/>
      <c r="FUN152" s="1011"/>
      <c r="FUO152" s="1011"/>
      <c r="FUP152" s="1011"/>
      <c r="FUQ152" s="1011"/>
      <c r="FUR152" s="1011"/>
      <c r="FUS152" s="1011"/>
      <c r="FUT152" s="1011"/>
      <c r="FUU152" s="1011"/>
      <c r="FUV152" s="1011"/>
      <c r="FUW152" s="1011"/>
      <c r="FUX152" s="1011"/>
      <c r="FUY152" s="1011"/>
      <c r="FUZ152" s="1011"/>
      <c r="FVA152" s="1011"/>
      <c r="FVB152" s="1011"/>
      <c r="FVC152" s="1011"/>
      <c r="FVD152" s="1011"/>
      <c r="FVE152" s="1011"/>
      <c r="FVF152" s="1011"/>
      <c r="FVG152" s="1011"/>
      <c r="FVH152" s="1011"/>
      <c r="FVI152" s="1011"/>
      <c r="FVJ152" s="1011"/>
      <c r="FVK152" s="1011"/>
      <c r="FVL152" s="1011"/>
      <c r="FVM152" s="1011"/>
      <c r="FVN152" s="1011"/>
      <c r="FVO152" s="1011"/>
      <c r="FVP152" s="1011"/>
      <c r="FVQ152" s="1011"/>
      <c r="FVR152" s="1011"/>
      <c r="FVS152" s="1011"/>
      <c r="FVT152" s="1011"/>
      <c r="FVU152" s="1011"/>
      <c r="FVV152" s="1011"/>
      <c r="FVW152" s="1011"/>
      <c r="FVX152" s="1011"/>
      <c r="FVY152" s="1011"/>
      <c r="FVZ152" s="1011"/>
      <c r="FWA152" s="1011"/>
      <c r="FWB152" s="1011"/>
      <c r="FWC152" s="1011"/>
      <c r="FWD152" s="1011"/>
      <c r="FWE152" s="1011"/>
      <c r="FWF152" s="1011"/>
      <c r="FWG152" s="1011"/>
      <c r="FWH152" s="1011"/>
      <c r="FWI152" s="1011"/>
      <c r="FWJ152" s="1011"/>
      <c r="FWK152" s="1011"/>
      <c r="FWL152" s="1011"/>
      <c r="FWM152" s="1011"/>
      <c r="FWN152" s="1011"/>
      <c r="FWO152" s="1011"/>
      <c r="FWP152" s="1011"/>
      <c r="FWQ152" s="1011"/>
      <c r="FWR152" s="1011"/>
      <c r="FWS152" s="1011"/>
      <c r="FWT152" s="1011"/>
      <c r="FWU152" s="1011"/>
      <c r="FWV152" s="1011"/>
      <c r="FWW152" s="1011"/>
      <c r="FWX152" s="1011"/>
      <c r="FWY152" s="1011"/>
      <c r="FWZ152" s="1011"/>
      <c r="FXA152" s="1011"/>
      <c r="FXB152" s="1011"/>
      <c r="FXC152" s="1011"/>
      <c r="FXD152" s="1011"/>
      <c r="FXE152" s="1011"/>
      <c r="FXF152" s="1011"/>
      <c r="FXG152" s="1011"/>
      <c r="FXH152" s="1011"/>
      <c r="FXI152" s="1011"/>
      <c r="FXJ152" s="1011"/>
      <c r="FXK152" s="1011"/>
      <c r="FXL152" s="1011"/>
      <c r="FXM152" s="1011"/>
      <c r="FXN152" s="1011"/>
      <c r="FXO152" s="1011"/>
      <c r="FXP152" s="1011"/>
      <c r="FXQ152" s="1011"/>
      <c r="FXR152" s="1011"/>
      <c r="FXS152" s="1011"/>
      <c r="FXT152" s="1011"/>
      <c r="FXU152" s="1011"/>
      <c r="FXV152" s="1011"/>
      <c r="FXW152" s="1011"/>
      <c r="FXX152" s="1011"/>
      <c r="FXY152" s="1011"/>
      <c r="FXZ152" s="1011"/>
      <c r="FYA152" s="1011"/>
      <c r="FYB152" s="1011"/>
      <c r="FYC152" s="1011"/>
      <c r="FYD152" s="1011"/>
      <c r="FYE152" s="1011"/>
      <c r="FYF152" s="1011"/>
      <c r="FYG152" s="1011"/>
      <c r="FYH152" s="1011"/>
      <c r="FYI152" s="1011"/>
      <c r="FYJ152" s="1011"/>
      <c r="FYK152" s="1011"/>
      <c r="FYL152" s="1011"/>
      <c r="FYM152" s="1011"/>
      <c r="FYN152" s="1011"/>
      <c r="FYO152" s="1011"/>
      <c r="FYP152" s="1011"/>
      <c r="FYQ152" s="1011"/>
      <c r="FYR152" s="1011"/>
      <c r="FYS152" s="1011"/>
      <c r="FYT152" s="1011"/>
      <c r="FYU152" s="1011"/>
      <c r="FYV152" s="1011"/>
      <c r="FYW152" s="1011"/>
      <c r="FYX152" s="1011"/>
      <c r="FYY152" s="1011"/>
      <c r="FYZ152" s="1011"/>
      <c r="FZA152" s="1011"/>
      <c r="FZB152" s="1011"/>
      <c r="FZC152" s="1011"/>
      <c r="FZD152" s="1011"/>
      <c r="FZE152" s="1011"/>
      <c r="FZF152" s="1011"/>
      <c r="FZG152" s="1011"/>
      <c r="FZH152" s="1011"/>
      <c r="FZI152" s="1011"/>
      <c r="FZJ152" s="1011"/>
      <c r="FZK152" s="1011"/>
      <c r="FZL152" s="1011"/>
      <c r="FZM152" s="1011"/>
      <c r="FZN152" s="1011"/>
      <c r="FZO152" s="1011"/>
      <c r="FZP152" s="1011"/>
      <c r="FZQ152" s="1011"/>
      <c r="FZR152" s="1011"/>
      <c r="FZS152" s="1011"/>
      <c r="FZT152" s="1011"/>
      <c r="FZU152" s="1011"/>
      <c r="FZV152" s="1011"/>
      <c r="FZW152" s="1011"/>
      <c r="FZX152" s="1011"/>
      <c r="FZY152" s="1011"/>
      <c r="FZZ152" s="1011"/>
      <c r="GAA152" s="1011"/>
      <c r="GAB152" s="1011"/>
      <c r="GAC152" s="1011"/>
      <c r="GAD152" s="1011"/>
      <c r="GAE152" s="1011"/>
      <c r="GAF152" s="1011"/>
      <c r="GAG152" s="1011"/>
      <c r="GAH152" s="1011"/>
      <c r="GAI152" s="1011"/>
      <c r="GAJ152" s="1011"/>
      <c r="GAK152" s="1011"/>
      <c r="GAL152" s="1011"/>
      <c r="GAM152" s="1011"/>
      <c r="GAN152" s="1011"/>
      <c r="GAO152" s="1011"/>
      <c r="GAP152" s="1011"/>
      <c r="GAQ152" s="1011"/>
      <c r="GAR152" s="1011"/>
      <c r="GAS152" s="1011"/>
      <c r="GAT152" s="1011"/>
      <c r="GAU152" s="1011"/>
      <c r="GAV152" s="1011"/>
      <c r="GAW152" s="1011"/>
      <c r="GAX152" s="1011"/>
      <c r="GAY152" s="1011"/>
      <c r="GAZ152" s="1011"/>
      <c r="GBA152" s="1011"/>
      <c r="GBB152" s="1011"/>
      <c r="GBC152" s="1011"/>
      <c r="GBD152" s="1011"/>
      <c r="GBE152" s="1011"/>
      <c r="GBF152" s="1011"/>
      <c r="GBG152" s="1011"/>
      <c r="GBH152" s="1011"/>
      <c r="GBI152" s="1011"/>
      <c r="GBJ152" s="1011"/>
      <c r="GBK152" s="1011"/>
      <c r="GBL152" s="1011"/>
      <c r="GBM152" s="1011"/>
      <c r="GBN152" s="1011"/>
      <c r="GBO152" s="1011"/>
      <c r="GBP152" s="1011"/>
      <c r="GBQ152" s="1011"/>
      <c r="GBR152" s="1011"/>
      <c r="GBS152" s="1011"/>
      <c r="GBT152" s="1011"/>
      <c r="GBU152" s="1011"/>
      <c r="GBV152" s="1011"/>
      <c r="GBW152" s="1011"/>
      <c r="GBX152" s="1011"/>
      <c r="GBY152" s="1011"/>
      <c r="GBZ152" s="1011"/>
      <c r="GCA152" s="1011"/>
      <c r="GCB152" s="1011"/>
      <c r="GCC152" s="1011"/>
      <c r="GCD152" s="1011"/>
      <c r="GCE152" s="1011"/>
      <c r="GCF152" s="1011"/>
      <c r="GCG152" s="1011"/>
      <c r="GCH152" s="1011"/>
      <c r="GCI152" s="1011"/>
      <c r="GCJ152" s="1011"/>
      <c r="GCK152" s="1011"/>
      <c r="GCL152" s="1011"/>
      <c r="GCM152" s="1011"/>
      <c r="GCN152" s="1011"/>
      <c r="GCO152" s="1011"/>
      <c r="GCP152" s="1011"/>
      <c r="GCQ152" s="1011"/>
      <c r="GCR152" s="1011"/>
      <c r="GCS152" s="1011"/>
      <c r="GCT152" s="1011"/>
      <c r="GCU152" s="1011"/>
      <c r="GCV152" s="1011"/>
      <c r="GCW152" s="1011"/>
      <c r="GCX152" s="1011"/>
      <c r="GCY152" s="1011"/>
      <c r="GCZ152" s="1011"/>
      <c r="GDA152" s="1011"/>
      <c r="GDB152" s="1011"/>
      <c r="GDC152" s="1011"/>
      <c r="GDD152" s="1011"/>
      <c r="GDE152" s="1011"/>
      <c r="GDF152" s="1011"/>
      <c r="GDG152" s="1011"/>
      <c r="GDH152" s="1011"/>
      <c r="GDI152" s="1011"/>
      <c r="GDJ152" s="1011"/>
      <c r="GDK152" s="1011"/>
      <c r="GDL152" s="1011"/>
      <c r="GDM152" s="1011"/>
      <c r="GDN152" s="1011"/>
      <c r="GDO152" s="1011"/>
      <c r="GDP152" s="1011"/>
      <c r="GDQ152" s="1011"/>
      <c r="GDR152" s="1011"/>
      <c r="GDS152" s="1011"/>
      <c r="GDT152" s="1011"/>
      <c r="GDU152" s="1011"/>
      <c r="GDV152" s="1011"/>
      <c r="GDW152" s="1011"/>
      <c r="GDX152" s="1011"/>
      <c r="GDY152" s="1011"/>
      <c r="GDZ152" s="1011"/>
      <c r="GEA152" s="1011"/>
      <c r="GEB152" s="1011"/>
      <c r="GEC152" s="1011"/>
      <c r="GED152" s="1011"/>
      <c r="GEE152" s="1011"/>
      <c r="GEF152" s="1011"/>
      <c r="GEG152" s="1011"/>
      <c r="GEH152" s="1011"/>
      <c r="GEI152" s="1011"/>
      <c r="GEJ152" s="1011"/>
      <c r="GEK152" s="1011"/>
      <c r="GEL152" s="1011"/>
      <c r="GEM152" s="1011"/>
      <c r="GEN152" s="1011"/>
      <c r="GEO152" s="1011"/>
      <c r="GEP152" s="1011"/>
      <c r="GEQ152" s="1011"/>
      <c r="GER152" s="1011"/>
      <c r="GES152" s="1011"/>
      <c r="GET152" s="1011"/>
      <c r="GEU152" s="1011"/>
      <c r="GEV152" s="1011"/>
      <c r="GEW152" s="1011"/>
      <c r="GEX152" s="1011"/>
      <c r="GEY152" s="1011"/>
      <c r="GEZ152" s="1011"/>
      <c r="GFA152" s="1011"/>
      <c r="GFB152" s="1011"/>
      <c r="GFC152" s="1011"/>
      <c r="GFD152" s="1011"/>
      <c r="GFE152" s="1011"/>
      <c r="GFF152" s="1011"/>
      <c r="GFG152" s="1011"/>
      <c r="GFH152" s="1011"/>
      <c r="GFI152" s="1011"/>
      <c r="GFJ152" s="1011"/>
      <c r="GFK152" s="1011"/>
      <c r="GFL152" s="1011"/>
      <c r="GFM152" s="1011"/>
      <c r="GFN152" s="1011"/>
      <c r="GFO152" s="1011"/>
      <c r="GFP152" s="1011"/>
      <c r="GFQ152" s="1011"/>
      <c r="GFR152" s="1011"/>
      <c r="GFS152" s="1011"/>
      <c r="GFT152" s="1011"/>
      <c r="GFU152" s="1011"/>
      <c r="GFV152" s="1011"/>
      <c r="GFW152" s="1011"/>
      <c r="GFX152" s="1011"/>
      <c r="GFY152" s="1011"/>
      <c r="GFZ152" s="1011"/>
      <c r="GGA152" s="1011"/>
      <c r="GGB152" s="1011"/>
      <c r="GGC152" s="1011"/>
      <c r="GGD152" s="1011"/>
      <c r="GGE152" s="1011"/>
      <c r="GGF152" s="1011"/>
      <c r="GGG152" s="1011"/>
      <c r="GGH152" s="1011"/>
      <c r="GGI152" s="1011"/>
      <c r="GGJ152" s="1011"/>
      <c r="GGK152" s="1011"/>
      <c r="GGL152" s="1011"/>
      <c r="GGM152" s="1011"/>
      <c r="GGN152" s="1011"/>
      <c r="GGO152" s="1011"/>
      <c r="GGP152" s="1011"/>
      <c r="GGQ152" s="1011"/>
      <c r="GGR152" s="1011"/>
      <c r="GGS152" s="1011"/>
      <c r="GGT152" s="1011"/>
      <c r="GGU152" s="1011"/>
      <c r="GGV152" s="1011"/>
      <c r="GGW152" s="1011"/>
      <c r="GGX152" s="1011"/>
      <c r="GGY152" s="1011"/>
      <c r="GGZ152" s="1011"/>
      <c r="GHA152" s="1011"/>
      <c r="GHB152" s="1011"/>
      <c r="GHC152" s="1011"/>
      <c r="GHD152" s="1011"/>
      <c r="GHE152" s="1011"/>
      <c r="GHF152" s="1011"/>
      <c r="GHG152" s="1011"/>
      <c r="GHH152" s="1011"/>
      <c r="GHI152" s="1011"/>
      <c r="GHJ152" s="1011"/>
      <c r="GHK152" s="1011"/>
      <c r="GHL152" s="1011"/>
      <c r="GHM152" s="1011"/>
      <c r="GHN152" s="1011"/>
      <c r="GHO152" s="1011"/>
      <c r="GHP152" s="1011"/>
      <c r="GHQ152" s="1011"/>
      <c r="GHR152" s="1011"/>
      <c r="GHS152" s="1011"/>
      <c r="GHT152" s="1011"/>
      <c r="GHU152" s="1011"/>
      <c r="GHV152" s="1011"/>
      <c r="GHW152" s="1011"/>
      <c r="GHX152" s="1011"/>
      <c r="GHY152" s="1011"/>
      <c r="GHZ152" s="1011"/>
      <c r="GIA152" s="1011"/>
      <c r="GIB152" s="1011"/>
      <c r="GIC152" s="1011"/>
      <c r="GID152" s="1011"/>
      <c r="GIE152" s="1011"/>
      <c r="GIF152" s="1011"/>
      <c r="GIG152" s="1011"/>
      <c r="GIH152" s="1011"/>
      <c r="GII152" s="1011"/>
      <c r="GIJ152" s="1011"/>
      <c r="GIK152" s="1011"/>
      <c r="GIL152" s="1011"/>
      <c r="GIM152" s="1011"/>
      <c r="GIN152" s="1011"/>
      <c r="GIO152" s="1011"/>
      <c r="GIP152" s="1011"/>
      <c r="GIQ152" s="1011"/>
      <c r="GIR152" s="1011"/>
      <c r="GIS152" s="1011"/>
      <c r="GIT152" s="1011"/>
      <c r="GIU152" s="1011"/>
      <c r="GIV152" s="1011"/>
      <c r="GIW152" s="1011"/>
      <c r="GIX152" s="1011"/>
      <c r="GIY152" s="1011"/>
      <c r="GIZ152" s="1011"/>
      <c r="GJA152" s="1011"/>
      <c r="GJB152" s="1011"/>
      <c r="GJC152" s="1011"/>
      <c r="GJD152" s="1011"/>
      <c r="GJE152" s="1011"/>
      <c r="GJF152" s="1011"/>
      <c r="GJG152" s="1011"/>
      <c r="GJH152" s="1011"/>
      <c r="GJI152" s="1011"/>
      <c r="GJJ152" s="1011"/>
      <c r="GJK152" s="1011"/>
      <c r="GJL152" s="1011"/>
      <c r="GJM152" s="1011"/>
      <c r="GJN152" s="1011"/>
      <c r="GJO152" s="1011"/>
      <c r="GJP152" s="1011"/>
      <c r="GJQ152" s="1011"/>
      <c r="GJR152" s="1011"/>
      <c r="GJS152" s="1011"/>
      <c r="GJT152" s="1011"/>
      <c r="GJU152" s="1011"/>
      <c r="GJV152" s="1011"/>
      <c r="GJW152" s="1011"/>
      <c r="GJX152" s="1011"/>
      <c r="GJY152" s="1011"/>
      <c r="GJZ152" s="1011"/>
      <c r="GKA152" s="1011"/>
      <c r="GKB152" s="1011"/>
      <c r="GKC152" s="1011"/>
      <c r="GKD152" s="1011"/>
      <c r="GKE152" s="1011"/>
      <c r="GKF152" s="1011"/>
      <c r="GKG152" s="1011"/>
      <c r="GKH152" s="1011"/>
      <c r="GKI152" s="1011"/>
      <c r="GKJ152" s="1011"/>
      <c r="GKK152" s="1011"/>
      <c r="GKL152" s="1011"/>
      <c r="GKM152" s="1011"/>
      <c r="GKN152" s="1011"/>
      <c r="GKO152" s="1011"/>
      <c r="GKP152" s="1011"/>
      <c r="GKQ152" s="1011"/>
      <c r="GKR152" s="1011"/>
      <c r="GKS152" s="1011"/>
      <c r="GKT152" s="1011"/>
      <c r="GKU152" s="1011"/>
      <c r="GKV152" s="1011"/>
      <c r="GKW152" s="1011"/>
      <c r="GKX152" s="1011"/>
      <c r="GKY152" s="1011"/>
      <c r="GKZ152" s="1011"/>
      <c r="GLA152" s="1011"/>
      <c r="GLB152" s="1011"/>
      <c r="GLC152" s="1011"/>
      <c r="GLD152" s="1011"/>
      <c r="GLE152" s="1011"/>
      <c r="GLF152" s="1011"/>
      <c r="GLG152" s="1011"/>
      <c r="GLH152" s="1011"/>
      <c r="GLI152" s="1011"/>
      <c r="GLJ152" s="1011"/>
      <c r="GLK152" s="1011"/>
      <c r="GLL152" s="1011"/>
      <c r="GLM152" s="1011"/>
      <c r="GLN152" s="1011"/>
      <c r="GLO152" s="1011"/>
      <c r="GLP152" s="1011"/>
      <c r="GLQ152" s="1011"/>
      <c r="GLR152" s="1011"/>
      <c r="GLS152" s="1011"/>
      <c r="GLT152" s="1011"/>
      <c r="GLU152" s="1011"/>
      <c r="GLV152" s="1011"/>
      <c r="GLW152" s="1011"/>
      <c r="GLX152" s="1011"/>
      <c r="GLY152" s="1011"/>
      <c r="GLZ152" s="1011"/>
      <c r="GMA152" s="1011"/>
      <c r="GMB152" s="1011"/>
      <c r="GMC152" s="1011"/>
      <c r="GMD152" s="1011"/>
      <c r="GME152" s="1011"/>
      <c r="GMF152" s="1011"/>
      <c r="GMG152" s="1011"/>
      <c r="GMH152" s="1011"/>
      <c r="GMI152" s="1011"/>
      <c r="GMJ152" s="1011"/>
      <c r="GMK152" s="1011"/>
      <c r="GML152" s="1011"/>
      <c r="GMM152" s="1011"/>
      <c r="GMN152" s="1011"/>
      <c r="GMO152" s="1011"/>
      <c r="GMP152" s="1011"/>
      <c r="GMQ152" s="1011"/>
      <c r="GMR152" s="1011"/>
      <c r="GMS152" s="1011"/>
      <c r="GMT152" s="1011"/>
      <c r="GMU152" s="1011"/>
      <c r="GMV152" s="1011"/>
      <c r="GMW152" s="1011"/>
      <c r="GMX152" s="1011"/>
      <c r="GMY152" s="1011"/>
      <c r="GMZ152" s="1011"/>
      <c r="GNA152" s="1011"/>
      <c r="GNB152" s="1011"/>
      <c r="GNC152" s="1011"/>
      <c r="GND152" s="1011"/>
      <c r="GNE152" s="1011"/>
      <c r="GNF152" s="1011"/>
      <c r="GNG152" s="1011"/>
      <c r="GNH152" s="1011"/>
      <c r="GNI152" s="1011"/>
      <c r="GNJ152" s="1011"/>
      <c r="GNK152" s="1011"/>
      <c r="GNL152" s="1011"/>
      <c r="GNM152" s="1011"/>
      <c r="GNN152" s="1011"/>
      <c r="GNO152" s="1011"/>
      <c r="GNP152" s="1011"/>
      <c r="GNQ152" s="1011"/>
      <c r="GNR152" s="1011"/>
      <c r="GNS152" s="1011"/>
      <c r="GNT152" s="1011"/>
      <c r="GNU152" s="1011"/>
      <c r="GNV152" s="1011"/>
      <c r="GNW152" s="1011"/>
      <c r="GNX152" s="1011"/>
      <c r="GNY152" s="1011"/>
      <c r="GNZ152" s="1011"/>
      <c r="GOA152" s="1011"/>
      <c r="GOB152" s="1011"/>
      <c r="GOC152" s="1011"/>
      <c r="GOD152" s="1011"/>
      <c r="GOE152" s="1011"/>
      <c r="GOF152" s="1011"/>
      <c r="GOG152" s="1011"/>
      <c r="GOH152" s="1011"/>
      <c r="GOI152" s="1011"/>
      <c r="GOJ152" s="1011"/>
      <c r="GOK152" s="1011"/>
      <c r="GOL152" s="1011"/>
      <c r="GOM152" s="1011"/>
      <c r="GON152" s="1011"/>
      <c r="GOO152" s="1011"/>
      <c r="GOP152" s="1011"/>
      <c r="GOQ152" s="1011"/>
      <c r="GOR152" s="1011"/>
      <c r="GOS152" s="1011"/>
      <c r="GOT152" s="1011"/>
      <c r="GOU152" s="1011"/>
      <c r="GOV152" s="1011"/>
      <c r="GOW152" s="1011"/>
      <c r="GOX152" s="1011"/>
      <c r="GOY152" s="1011"/>
      <c r="GOZ152" s="1011"/>
      <c r="GPA152" s="1011"/>
      <c r="GPB152" s="1011"/>
      <c r="GPC152" s="1011"/>
      <c r="GPD152" s="1011"/>
      <c r="GPE152" s="1011"/>
      <c r="GPF152" s="1011"/>
      <c r="GPG152" s="1011"/>
      <c r="GPH152" s="1011"/>
      <c r="GPI152" s="1011"/>
      <c r="GPJ152" s="1011"/>
      <c r="GPK152" s="1011"/>
      <c r="GPL152" s="1011"/>
      <c r="GPM152" s="1011"/>
      <c r="GPN152" s="1011"/>
      <c r="GPO152" s="1011"/>
      <c r="GPP152" s="1011"/>
      <c r="GPQ152" s="1011"/>
      <c r="GPR152" s="1011"/>
      <c r="GPS152" s="1011"/>
      <c r="GPT152" s="1011"/>
      <c r="GPU152" s="1011"/>
      <c r="GPV152" s="1011"/>
      <c r="GPW152" s="1011"/>
      <c r="GPX152" s="1011"/>
      <c r="GPY152" s="1011"/>
      <c r="GPZ152" s="1011"/>
      <c r="GQA152" s="1011"/>
      <c r="GQB152" s="1011"/>
      <c r="GQC152" s="1011"/>
      <c r="GQD152" s="1011"/>
      <c r="GQE152" s="1011"/>
      <c r="GQF152" s="1011"/>
      <c r="GQG152" s="1011"/>
      <c r="GQH152" s="1011"/>
      <c r="GQI152" s="1011"/>
      <c r="GQJ152" s="1011"/>
      <c r="GQK152" s="1011"/>
      <c r="GQL152" s="1011"/>
      <c r="GQM152" s="1011"/>
      <c r="GQN152" s="1011"/>
      <c r="GQO152" s="1011"/>
      <c r="GQP152" s="1011"/>
      <c r="GQQ152" s="1011"/>
      <c r="GQR152" s="1011"/>
      <c r="GQS152" s="1011"/>
      <c r="GQT152" s="1011"/>
      <c r="GQU152" s="1011"/>
      <c r="GQV152" s="1011"/>
      <c r="GQW152" s="1011"/>
      <c r="GQX152" s="1011"/>
      <c r="GQY152" s="1011"/>
      <c r="GQZ152" s="1011"/>
      <c r="GRA152" s="1011"/>
      <c r="GRB152" s="1011"/>
      <c r="GRC152" s="1011"/>
      <c r="GRD152" s="1011"/>
      <c r="GRE152" s="1011"/>
      <c r="GRF152" s="1011"/>
      <c r="GRG152" s="1011"/>
      <c r="GRH152" s="1011"/>
      <c r="GRI152" s="1011"/>
      <c r="GRJ152" s="1011"/>
      <c r="GRK152" s="1011"/>
      <c r="GRL152" s="1011"/>
      <c r="GRM152" s="1011"/>
      <c r="GRN152" s="1011"/>
      <c r="GRO152" s="1011"/>
      <c r="GRP152" s="1011"/>
      <c r="GRQ152" s="1011"/>
      <c r="GRR152" s="1011"/>
      <c r="GRS152" s="1011"/>
      <c r="GRT152" s="1011"/>
      <c r="GRU152" s="1011"/>
      <c r="GRV152" s="1011"/>
      <c r="GRW152" s="1011"/>
      <c r="GRX152" s="1011"/>
      <c r="GRY152" s="1011"/>
      <c r="GRZ152" s="1011"/>
      <c r="GSA152" s="1011"/>
      <c r="GSB152" s="1011"/>
      <c r="GSC152" s="1011"/>
      <c r="GSD152" s="1011"/>
      <c r="GSE152" s="1011"/>
      <c r="GSF152" s="1011"/>
      <c r="GSG152" s="1011"/>
      <c r="GSH152" s="1011"/>
      <c r="GSI152" s="1011"/>
      <c r="GSJ152" s="1011"/>
      <c r="GSK152" s="1011"/>
      <c r="GSL152" s="1011"/>
      <c r="GSM152" s="1011"/>
      <c r="GSN152" s="1011"/>
      <c r="GSO152" s="1011"/>
      <c r="GSP152" s="1011"/>
      <c r="GSQ152" s="1011"/>
      <c r="GSR152" s="1011"/>
      <c r="GSS152" s="1011"/>
      <c r="GST152" s="1011"/>
      <c r="GSU152" s="1011"/>
      <c r="GSV152" s="1011"/>
      <c r="GSW152" s="1011"/>
      <c r="GSX152" s="1011"/>
      <c r="GSY152" s="1011"/>
      <c r="GSZ152" s="1011"/>
      <c r="GTA152" s="1011"/>
      <c r="GTB152" s="1011"/>
      <c r="GTC152" s="1011"/>
      <c r="GTD152" s="1011"/>
      <c r="GTE152" s="1011"/>
      <c r="GTF152" s="1011"/>
      <c r="GTG152" s="1011"/>
      <c r="GTH152" s="1011"/>
      <c r="GTI152" s="1011"/>
      <c r="GTJ152" s="1011"/>
      <c r="GTK152" s="1011"/>
      <c r="GTL152" s="1011"/>
      <c r="GTM152" s="1011"/>
      <c r="GTN152" s="1011"/>
      <c r="GTO152" s="1011"/>
      <c r="GTP152" s="1011"/>
      <c r="GTQ152" s="1011"/>
      <c r="GTR152" s="1011"/>
      <c r="GTS152" s="1011"/>
      <c r="GTT152" s="1011"/>
      <c r="GTU152" s="1011"/>
      <c r="GTV152" s="1011"/>
      <c r="GTW152" s="1011"/>
      <c r="GTX152" s="1011"/>
      <c r="GTY152" s="1011"/>
      <c r="GTZ152" s="1011"/>
      <c r="GUA152" s="1011"/>
      <c r="GUB152" s="1011"/>
      <c r="GUC152" s="1011"/>
      <c r="GUD152" s="1011"/>
      <c r="GUE152" s="1011"/>
      <c r="GUF152" s="1011"/>
      <c r="GUG152" s="1011"/>
      <c r="GUH152" s="1011"/>
      <c r="GUI152" s="1011"/>
      <c r="GUJ152" s="1011"/>
      <c r="GUK152" s="1011"/>
      <c r="GUL152" s="1011"/>
      <c r="GUM152" s="1011"/>
      <c r="GUN152" s="1011"/>
      <c r="GUO152" s="1011"/>
      <c r="GUP152" s="1011"/>
      <c r="GUQ152" s="1011"/>
      <c r="GUR152" s="1011"/>
      <c r="GUS152" s="1011"/>
      <c r="GUT152" s="1011"/>
      <c r="GUU152" s="1011"/>
      <c r="GUV152" s="1011"/>
      <c r="GUW152" s="1011"/>
      <c r="GUX152" s="1011"/>
      <c r="GUY152" s="1011"/>
      <c r="GUZ152" s="1011"/>
      <c r="GVA152" s="1011"/>
      <c r="GVB152" s="1011"/>
      <c r="GVC152" s="1011"/>
      <c r="GVD152" s="1011"/>
      <c r="GVE152" s="1011"/>
      <c r="GVF152" s="1011"/>
      <c r="GVG152" s="1011"/>
      <c r="GVH152" s="1011"/>
      <c r="GVI152" s="1011"/>
      <c r="GVJ152" s="1011"/>
      <c r="GVK152" s="1011"/>
      <c r="GVL152" s="1011"/>
      <c r="GVM152" s="1011"/>
      <c r="GVN152" s="1011"/>
      <c r="GVO152" s="1011"/>
      <c r="GVP152" s="1011"/>
      <c r="GVQ152" s="1011"/>
      <c r="GVR152" s="1011"/>
      <c r="GVS152" s="1011"/>
      <c r="GVT152" s="1011"/>
      <c r="GVU152" s="1011"/>
      <c r="GVV152" s="1011"/>
      <c r="GVW152" s="1011"/>
      <c r="GVX152" s="1011"/>
      <c r="GVY152" s="1011"/>
      <c r="GVZ152" s="1011"/>
      <c r="GWA152" s="1011"/>
      <c r="GWB152" s="1011"/>
      <c r="GWC152" s="1011"/>
      <c r="GWD152" s="1011"/>
      <c r="GWE152" s="1011"/>
      <c r="GWF152" s="1011"/>
      <c r="GWG152" s="1011"/>
      <c r="GWH152" s="1011"/>
      <c r="GWI152" s="1011"/>
      <c r="GWJ152" s="1011"/>
      <c r="GWK152" s="1011"/>
      <c r="GWL152" s="1011"/>
      <c r="GWM152" s="1011"/>
      <c r="GWN152" s="1011"/>
      <c r="GWO152" s="1011"/>
      <c r="GWP152" s="1011"/>
      <c r="GWQ152" s="1011"/>
      <c r="GWR152" s="1011"/>
      <c r="GWS152" s="1011"/>
      <c r="GWT152" s="1011"/>
      <c r="GWU152" s="1011"/>
      <c r="GWV152" s="1011"/>
      <c r="GWW152" s="1011"/>
      <c r="GWX152" s="1011"/>
      <c r="GWY152" s="1011"/>
      <c r="GWZ152" s="1011"/>
      <c r="GXA152" s="1011"/>
      <c r="GXB152" s="1011"/>
      <c r="GXC152" s="1011"/>
      <c r="GXD152" s="1011"/>
      <c r="GXE152" s="1011"/>
      <c r="GXF152" s="1011"/>
      <c r="GXG152" s="1011"/>
      <c r="GXH152" s="1011"/>
      <c r="GXI152" s="1011"/>
      <c r="GXJ152" s="1011"/>
      <c r="GXK152" s="1011"/>
      <c r="GXL152" s="1011"/>
      <c r="GXM152" s="1011"/>
      <c r="GXN152" s="1011"/>
      <c r="GXO152" s="1011"/>
      <c r="GXP152" s="1011"/>
      <c r="GXQ152" s="1011"/>
      <c r="GXR152" s="1011"/>
      <c r="GXS152" s="1011"/>
      <c r="GXT152" s="1011"/>
      <c r="GXU152" s="1011"/>
      <c r="GXV152" s="1011"/>
      <c r="GXW152" s="1011"/>
      <c r="GXX152" s="1011"/>
      <c r="GXY152" s="1011"/>
      <c r="GXZ152" s="1011"/>
      <c r="GYA152" s="1011"/>
      <c r="GYB152" s="1011"/>
      <c r="GYC152" s="1011"/>
      <c r="GYD152" s="1011"/>
      <c r="GYE152" s="1011"/>
      <c r="GYF152" s="1011"/>
      <c r="GYG152" s="1011"/>
      <c r="GYH152" s="1011"/>
      <c r="GYI152" s="1011"/>
      <c r="GYJ152" s="1011"/>
      <c r="GYK152" s="1011"/>
      <c r="GYL152" s="1011"/>
      <c r="GYM152" s="1011"/>
      <c r="GYN152" s="1011"/>
      <c r="GYO152" s="1011"/>
      <c r="GYP152" s="1011"/>
      <c r="GYQ152" s="1011"/>
      <c r="GYR152" s="1011"/>
      <c r="GYS152" s="1011"/>
      <c r="GYT152" s="1011"/>
      <c r="GYU152" s="1011"/>
      <c r="GYV152" s="1011"/>
      <c r="GYW152" s="1011"/>
      <c r="GYX152" s="1011"/>
      <c r="GYY152" s="1011"/>
      <c r="GYZ152" s="1011"/>
      <c r="GZA152" s="1011"/>
      <c r="GZB152" s="1011"/>
      <c r="GZC152" s="1011"/>
      <c r="GZD152" s="1011"/>
      <c r="GZE152" s="1011"/>
      <c r="GZF152" s="1011"/>
      <c r="GZG152" s="1011"/>
      <c r="GZH152" s="1011"/>
      <c r="GZI152" s="1011"/>
      <c r="GZJ152" s="1011"/>
      <c r="GZK152" s="1011"/>
      <c r="GZL152" s="1011"/>
      <c r="GZM152" s="1011"/>
      <c r="GZN152" s="1011"/>
      <c r="GZO152" s="1011"/>
      <c r="GZP152" s="1011"/>
      <c r="GZQ152" s="1011"/>
      <c r="GZR152" s="1011"/>
      <c r="GZS152" s="1011"/>
      <c r="GZT152" s="1011"/>
      <c r="GZU152" s="1011"/>
      <c r="GZV152" s="1011"/>
      <c r="GZW152" s="1011"/>
      <c r="GZX152" s="1011"/>
      <c r="GZY152" s="1011"/>
      <c r="GZZ152" s="1011"/>
      <c r="HAA152" s="1011"/>
      <c r="HAB152" s="1011"/>
      <c r="HAC152" s="1011"/>
      <c r="HAD152" s="1011"/>
      <c r="HAE152" s="1011"/>
      <c r="HAF152" s="1011"/>
      <c r="HAG152" s="1011"/>
      <c r="HAH152" s="1011"/>
      <c r="HAI152" s="1011"/>
      <c r="HAJ152" s="1011"/>
      <c r="HAK152" s="1011"/>
      <c r="HAL152" s="1011"/>
      <c r="HAM152" s="1011"/>
      <c r="HAN152" s="1011"/>
      <c r="HAO152" s="1011"/>
      <c r="HAP152" s="1011"/>
      <c r="HAQ152" s="1011"/>
      <c r="HAR152" s="1011"/>
      <c r="HAS152" s="1011"/>
      <c r="HAT152" s="1011"/>
      <c r="HAU152" s="1011"/>
      <c r="HAV152" s="1011"/>
      <c r="HAW152" s="1011"/>
      <c r="HAX152" s="1011"/>
      <c r="HAY152" s="1011"/>
      <c r="HAZ152" s="1011"/>
      <c r="HBA152" s="1011"/>
      <c r="HBB152" s="1011"/>
      <c r="HBC152" s="1011"/>
      <c r="HBD152" s="1011"/>
      <c r="HBE152" s="1011"/>
      <c r="HBF152" s="1011"/>
      <c r="HBG152" s="1011"/>
      <c r="HBH152" s="1011"/>
      <c r="HBI152" s="1011"/>
      <c r="HBJ152" s="1011"/>
      <c r="HBK152" s="1011"/>
      <c r="HBL152" s="1011"/>
      <c r="HBM152" s="1011"/>
      <c r="HBN152" s="1011"/>
      <c r="HBO152" s="1011"/>
      <c r="HBP152" s="1011"/>
      <c r="HBQ152" s="1011"/>
      <c r="HBR152" s="1011"/>
      <c r="HBS152" s="1011"/>
      <c r="HBT152" s="1011"/>
      <c r="HBU152" s="1011"/>
      <c r="HBV152" s="1011"/>
      <c r="HBW152" s="1011"/>
      <c r="HBX152" s="1011"/>
      <c r="HBY152" s="1011"/>
      <c r="HBZ152" s="1011"/>
      <c r="HCA152" s="1011"/>
      <c r="HCB152" s="1011"/>
      <c r="HCC152" s="1011"/>
      <c r="HCD152" s="1011"/>
      <c r="HCE152" s="1011"/>
      <c r="HCF152" s="1011"/>
      <c r="HCG152" s="1011"/>
      <c r="HCH152" s="1011"/>
      <c r="HCI152" s="1011"/>
      <c r="HCJ152" s="1011"/>
      <c r="HCK152" s="1011"/>
      <c r="HCL152" s="1011"/>
      <c r="HCM152" s="1011"/>
      <c r="HCN152" s="1011"/>
      <c r="HCO152" s="1011"/>
      <c r="HCP152" s="1011"/>
      <c r="HCQ152" s="1011"/>
      <c r="HCR152" s="1011"/>
      <c r="HCS152" s="1011"/>
      <c r="HCT152" s="1011"/>
      <c r="HCU152" s="1011"/>
      <c r="HCV152" s="1011"/>
      <c r="HCW152" s="1011"/>
      <c r="HCX152" s="1011"/>
      <c r="HCY152" s="1011"/>
      <c r="HCZ152" s="1011"/>
      <c r="HDA152" s="1011"/>
      <c r="HDB152" s="1011"/>
      <c r="HDC152" s="1011"/>
      <c r="HDD152" s="1011"/>
      <c r="HDE152" s="1011"/>
      <c r="HDF152" s="1011"/>
      <c r="HDG152" s="1011"/>
      <c r="HDH152" s="1011"/>
      <c r="HDI152" s="1011"/>
      <c r="HDJ152" s="1011"/>
      <c r="HDK152" s="1011"/>
      <c r="HDL152" s="1011"/>
      <c r="HDM152" s="1011"/>
      <c r="HDN152" s="1011"/>
      <c r="HDO152" s="1011"/>
      <c r="HDP152" s="1011"/>
      <c r="HDQ152" s="1011"/>
      <c r="HDR152" s="1011"/>
      <c r="HDS152" s="1011"/>
      <c r="HDT152" s="1011"/>
      <c r="HDU152" s="1011"/>
      <c r="HDV152" s="1011"/>
      <c r="HDW152" s="1011"/>
      <c r="HDX152" s="1011"/>
      <c r="HDY152" s="1011"/>
      <c r="HDZ152" s="1011"/>
      <c r="HEA152" s="1011"/>
      <c r="HEB152" s="1011"/>
      <c r="HEC152" s="1011"/>
      <c r="HED152" s="1011"/>
      <c r="HEE152" s="1011"/>
      <c r="HEF152" s="1011"/>
      <c r="HEG152" s="1011"/>
      <c r="HEH152" s="1011"/>
      <c r="HEI152" s="1011"/>
      <c r="HEJ152" s="1011"/>
      <c r="HEK152" s="1011"/>
      <c r="HEL152" s="1011"/>
      <c r="HEM152" s="1011"/>
      <c r="HEN152" s="1011"/>
      <c r="HEO152" s="1011"/>
      <c r="HEP152" s="1011"/>
      <c r="HEQ152" s="1011"/>
      <c r="HER152" s="1011"/>
      <c r="HES152" s="1011"/>
      <c r="HET152" s="1011"/>
      <c r="HEU152" s="1011"/>
      <c r="HEV152" s="1011"/>
      <c r="HEW152" s="1011"/>
      <c r="HEX152" s="1011"/>
      <c r="HEY152" s="1011"/>
      <c r="HEZ152" s="1011"/>
      <c r="HFA152" s="1011"/>
      <c r="HFB152" s="1011"/>
      <c r="HFC152" s="1011"/>
      <c r="HFD152" s="1011"/>
      <c r="HFE152" s="1011"/>
      <c r="HFF152" s="1011"/>
      <c r="HFG152" s="1011"/>
      <c r="HFH152" s="1011"/>
      <c r="HFI152" s="1011"/>
      <c r="HFJ152" s="1011"/>
      <c r="HFK152" s="1011"/>
      <c r="HFL152" s="1011"/>
      <c r="HFM152" s="1011"/>
      <c r="HFN152" s="1011"/>
      <c r="HFO152" s="1011"/>
      <c r="HFP152" s="1011"/>
      <c r="HFQ152" s="1011"/>
      <c r="HFR152" s="1011"/>
      <c r="HFS152" s="1011"/>
      <c r="HFT152" s="1011"/>
      <c r="HFU152" s="1011"/>
      <c r="HFV152" s="1011"/>
      <c r="HFW152" s="1011"/>
      <c r="HFX152" s="1011"/>
      <c r="HFY152" s="1011"/>
      <c r="HFZ152" s="1011"/>
      <c r="HGA152" s="1011"/>
      <c r="HGB152" s="1011"/>
      <c r="HGC152" s="1011"/>
      <c r="HGD152" s="1011"/>
      <c r="HGE152" s="1011"/>
      <c r="HGF152" s="1011"/>
      <c r="HGG152" s="1011"/>
      <c r="HGH152" s="1011"/>
      <c r="HGI152" s="1011"/>
      <c r="HGJ152" s="1011"/>
      <c r="HGK152" s="1011"/>
      <c r="HGL152" s="1011"/>
      <c r="HGM152" s="1011"/>
      <c r="HGN152" s="1011"/>
      <c r="HGO152" s="1011"/>
      <c r="HGP152" s="1011"/>
      <c r="HGQ152" s="1011"/>
      <c r="HGR152" s="1011"/>
      <c r="HGS152" s="1011"/>
      <c r="HGT152" s="1011"/>
      <c r="HGU152" s="1011"/>
      <c r="HGV152" s="1011"/>
      <c r="HGW152" s="1011"/>
      <c r="HGX152" s="1011"/>
      <c r="HGY152" s="1011"/>
      <c r="HGZ152" s="1011"/>
      <c r="HHA152" s="1011"/>
      <c r="HHB152" s="1011"/>
      <c r="HHC152" s="1011"/>
      <c r="HHD152" s="1011"/>
      <c r="HHE152" s="1011"/>
      <c r="HHF152" s="1011"/>
      <c r="HHG152" s="1011"/>
      <c r="HHH152" s="1011"/>
      <c r="HHI152" s="1011"/>
      <c r="HHJ152" s="1011"/>
      <c r="HHK152" s="1011"/>
      <c r="HHL152" s="1011"/>
      <c r="HHM152" s="1011"/>
      <c r="HHN152" s="1011"/>
      <c r="HHO152" s="1011"/>
      <c r="HHP152" s="1011"/>
      <c r="HHQ152" s="1011"/>
      <c r="HHR152" s="1011"/>
      <c r="HHS152" s="1011"/>
      <c r="HHT152" s="1011"/>
      <c r="HHU152" s="1011"/>
      <c r="HHV152" s="1011"/>
      <c r="HHW152" s="1011"/>
      <c r="HHX152" s="1011"/>
      <c r="HHY152" s="1011"/>
      <c r="HHZ152" s="1011"/>
      <c r="HIA152" s="1011"/>
      <c r="HIB152" s="1011"/>
      <c r="HIC152" s="1011"/>
      <c r="HID152" s="1011"/>
      <c r="HIE152" s="1011"/>
      <c r="HIF152" s="1011"/>
      <c r="HIG152" s="1011"/>
      <c r="HIH152" s="1011"/>
      <c r="HII152" s="1011"/>
      <c r="HIJ152" s="1011"/>
      <c r="HIK152" s="1011"/>
      <c r="HIL152" s="1011"/>
      <c r="HIM152" s="1011"/>
      <c r="HIN152" s="1011"/>
      <c r="HIO152" s="1011"/>
      <c r="HIP152" s="1011"/>
      <c r="HIQ152" s="1011"/>
      <c r="HIR152" s="1011"/>
      <c r="HIS152" s="1011"/>
      <c r="HIT152" s="1011"/>
      <c r="HIU152" s="1011"/>
      <c r="HIV152" s="1011"/>
      <c r="HIW152" s="1011"/>
      <c r="HIX152" s="1011"/>
      <c r="HIY152" s="1011"/>
      <c r="HIZ152" s="1011"/>
      <c r="HJA152" s="1011"/>
      <c r="HJB152" s="1011"/>
      <c r="HJC152" s="1011"/>
      <c r="HJD152" s="1011"/>
      <c r="HJE152" s="1011"/>
      <c r="HJF152" s="1011"/>
      <c r="HJG152" s="1011"/>
      <c r="HJH152" s="1011"/>
      <c r="HJI152" s="1011"/>
      <c r="HJJ152" s="1011"/>
      <c r="HJK152" s="1011"/>
      <c r="HJL152" s="1011"/>
      <c r="HJM152" s="1011"/>
      <c r="HJN152" s="1011"/>
      <c r="HJO152" s="1011"/>
      <c r="HJP152" s="1011"/>
      <c r="HJQ152" s="1011"/>
      <c r="HJR152" s="1011"/>
      <c r="HJS152" s="1011"/>
      <c r="HJT152" s="1011"/>
      <c r="HJU152" s="1011"/>
      <c r="HJV152" s="1011"/>
      <c r="HJW152" s="1011"/>
      <c r="HJX152" s="1011"/>
      <c r="HJY152" s="1011"/>
      <c r="HJZ152" s="1011"/>
      <c r="HKA152" s="1011"/>
      <c r="HKB152" s="1011"/>
      <c r="HKC152" s="1011"/>
      <c r="HKD152" s="1011"/>
      <c r="HKE152" s="1011"/>
      <c r="HKF152" s="1011"/>
      <c r="HKG152" s="1011"/>
      <c r="HKH152" s="1011"/>
      <c r="HKI152" s="1011"/>
      <c r="HKJ152" s="1011"/>
      <c r="HKK152" s="1011"/>
      <c r="HKL152" s="1011"/>
      <c r="HKM152" s="1011"/>
      <c r="HKN152" s="1011"/>
      <c r="HKO152" s="1011"/>
      <c r="HKP152" s="1011"/>
      <c r="HKQ152" s="1011"/>
      <c r="HKR152" s="1011"/>
      <c r="HKS152" s="1011"/>
      <c r="HKT152" s="1011"/>
      <c r="HKU152" s="1011"/>
      <c r="HKV152" s="1011"/>
      <c r="HKW152" s="1011"/>
      <c r="HKX152" s="1011"/>
      <c r="HKY152" s="1011"/>
      <c r="HKZ152" s="1011"/>
      <c r="HLA152" s="1011"/>
      <c r="HLB152" s="1011"/>
      <c r="HLC152" s="1011"/>
      <c r="HLD152" s="1011"/>
      <c r="HLE152" s="1011"/>
      <c r="HLF152" s="1011"/>
      <c r="HLG152" s="1011"/>
      <c r="HLH152" s="1011"/>
      <c r="HLI152" s="1011"/>
      <c r="HLJ152" s="1011"/>
      <c r="HLK152" s="1011"/>
      <c r="HLL152" s="1011"/>
      <c r="HLM152" s="1011"/>
      <c r="HLN152" s="1011"/>
      <c r="HLO152" s="1011"/>
      <c r="HLP152" s="1011"/>
      <c r="HLQ152" s="1011"/>
      <c r="HLR152" s="1011"/>
      <c r="HLS152" s="1011"/>
      <c r="HLT152" s="1011"/>
      <c r="HLU152" s="1011"/>
      <c r="HLV152" s="1011"/>
      <c r="HLW152" s="1011"/>
      <c r="HLX152" s="1011"/>
      <c r="HLY152" s="1011"/>
      <c r="HLZ152" s="1011"/>
      <c r="HMA152" s="1011"/>
      <c r="HMB152" s="1011"/>
      <c r="HMC152" s="1011"/>
      <c r="HMD152" s="1011"/>
      <c r="HME152" s="1011"/>
      <c r="HMF152" s="1011"/>
      <c r="HMG152" s="1011"/>
      <c r="HMH152" s="1011"/>
      <c r="HMI152" s="1011"/>
      <c r="HMJ152" s="1011"/>
      <c r="HMK152" s="1011"/>
      <c r="HML152" s="1011"/>
      <c r="HMM152" s="1011"/>
      <c r="HMN152" s="1011"/>
      <c r="HMO152" s="1011"/>
      <c r="HMP152" s="1011"/>
      <c r="HMQ152" s="1011"/>
      <c r="HMR152" s="1011"/>
      <c r="HMS152" s="1011"/>
      <c r="HMT152" s="1011"/>
      <c r="HMU152" s="1011"/>
      <c r="HMV152" s="1011"/>
      <c r="HMW152" s="1011"/>
      <c r="HMX152" s="1011"/>
      <c r="HMY152" s="1011"/>
      <c r="HMZ152" s="1011"/>
      <c r="HNA152" s="1011"/>
      <c r="HNB152" s="1011"/>
      <c r="HNC152" s="1011"/>
      <c r="HND152" s="1011"/>
      <c r="HNE152" s="1011"/>
      <c r="HNF152" s="1011"/>
      <c r="HNG152" s="1011"/>
      <c r="HNH152" s="1011"/>
      <c r="HNI152" s="1011"/>
      <c r="HNJ152" s="1011"/>
      <c r="HNK152" s="1011"/>
      <c r="HNL152" s="1011"/>
      <c r="HNM152" s="1011"/>
      <c r="HNN152" s="1011"/>
      <c r="HNO152" s="1011"/>
      <c r="HNP152" s="1011"/>
      <c r="HNQ152" s="1011"/>
      <c r="HNR152" s="1011"/>
      <c r="HNS152" s="1011"/>
      <c r="HNT152" s="1011"/>
      <c r="HNU152" s="1011"/>
      <c r="HNV152" s="1011"/>
      <c r="HNW152" s="1011"/>
      <c r="HNX152" s="1011"/>
      <c r="HNY152" s="1011"/>
      <c r="HNZ152" s="1011"/>
      <c r="HOA152" s="1011"/>
      <c r="HOB152" s="1011"/>
      <c r="HOC152" s="1011"/>
      <c r="HOD152" s="1011"/>
      <c r="HOE152" s="1011"/>
      <c r="HOF152" s="1011"/>
      <c r="HOG152" s="1011"/>
      <c r="HOH152" s="1011"/>
      <c r="HOI152" s="1011"/>
      <c r="HOJ152" s="1011"/>
      <c r="HOK152" s="1011"/>
      <c r="HOL152" s="1011"/>
      <c r="HOM152" s="1011"/>
      <c r="HON152" s="1011"/>
      <c r="HOO152" s="1011"/>
      <c r="HOP152" s="1011"/>
      <c r="HOQ152" s="1011"/>
      <c r="HOR152" s="1011"/>
      <c r="HOS152" s="1011"/>
      <c r="HOT152" s="1011"/>
      <c r="HOU152" s="1011"/>
      <c r="HOV152" s="1011"/>
      <c r="HOW152" s="1011"/>
      <c r="HOX152" s="1011"/>
      <c r="HOY152" s="1011"/>
      <c r="HOZ152" s="1011"/>
      <c r="HPA152" s="1011"/>
      <c r="HPB152" s="1011"/>
      <c r="HPC152" s="1011"/>
      <c r="HPD152" s="1011"/>
      <c r="HPE152" s="1011"/>
      <c r="HPF152" s="1011"/>
      <c r="HPG152" s="1011"/>
      <c r="HPH152" s="1011"/>
      <c r="HPI152" s="1011"/>
      <c r="HPJ152" s="1011"/>
      <c r="HPK152" s="1011"/>
      <c r="HPL152" s="1011"/>
      <c r="HPM152" s="1011"/>
      <c r="HPN152" s="1011"/>
      <c r="HPO152" s="1011"/>
      <c r="HPP152" s="1011"/>
      <c r="HPQ152" s="1011"/>
      <c r="HPR152" s="1011"/>
      <c r="HPS152" s="1011"/>
      <c r="HPT152" s="1011"/>
      <c r="HPU152" s="1011"/>
      <c r="HPV152" s="1011"/>
      <c r="HPW152" s="1011"/>
      <c r="HPX152" s="1011"/>
      <c r="HPY152" s="1011"/>
      <c r="HPZ152" s="1011"/>
      <c r="HQA152" s="1011"/>
      <c r="HQB152" s="1011"/>
      <c r="HQC152" s="1011"/>
      <c r="HQD152" s="1011"/>
      <c r="HQE152" s="1011"/>
      <c r="HQF152" s="1011"/>
      <c r="HQG152" s="1011"/>
      <c r="HQH152" s="1011"/>
      <c r="HQI152" s="1011"/>
      <c r="HQJ152" s="1011"/>
      <c r="HQK152" s="1011"/>
      <c r="HQL152" s="1011"/>
      <c r="HQM152" s="1011"/>
      <c r="HQN152" s="1011"/>
      <c r="HQO152" s="1011"/>
      <c r="HQP152" s="1011"/>
      <c r="HQQ152" s="1011"/>
      <c r="HQR152" s="1011"/>
      <c r="HQS152" s="1011"/>
      <c r="HQT152" s="1011"/>
      <c r="HQU152" s="1011"/>
      <c r="HQV152" s="1011"/>
      <c r="HQW152" s="1011"/>
      <c r="HQX152" s="1011"/>
      <c r="HQY152" s="1011"/>
      <c r="HQZ152" s="1011"/>
      <c r="HRA152" s="1011"/>
      <c r="HRB152" s="1011"/>
      <c r="HRC152" s="1011"/>
      <c r="HRD152" s="1011"/>
      <c r="HRE152" s="1011"/>
      <c r="HRF152" s="1011"/>
      <c r="HRG152" s="1011"/>
      <c r="HRH152" s="1011"/>
      <c r="HRI152" s="1011"/>
      <c r="HRJ152" s="1011"/>
      <c r="HRK152" s="1011"/>
      <c r="HRL152" s="1011"/>
      <c r="HRM152" s="1011"/>
      <c r="HRN152" s="1011"/>
      <c r="HRO152" s="1011"/>
      <c r="HRP152" s="1011"/>
      <c r="HRQ152" s="1011"/>
      <c r="HRR152" s="1011"/>
      <c r="HRS152" s="1011"/>
      <c r="HRT152" s="1011"/>
      <c r="HRU152" s="1011"/>
      <c r="HRV152" s="1011"/>
      <c r="HRW152" s="1011"/>
      <c r="HRX152" s="1011"/>
      <c r="HRY152" s="1011"/>
      <c r="HRZ152" s="1011"/>
      <c r="HSA152" s="1011"/>
      <c r="HSB152" s="1011"/>
      <c r="HSC152" s="1011"/>
      <c r="HSD152" s="1011"/>
      <c r="HSE152" s="1011"/>
      <c r="HSF152" s="1011"/>
      <c r="HSG152" s="1011"/>
      <c r="HSH152" s="1011"/>
      <c r="HSI152" s="1011"/>
      <c r="HSJ152" s="1011"/>
      <c r="HSK152" s="1011"/>
      <c r="HSL152" s="1011"/>
      <c r="HSM152" s="1011"/>
      <c r="HSN152" s="1011"/>
      <c r="HSO152" s="1011"/>
      <c r="HSP152" s="1011"/>
      <c r="HSQ152" s="1011"/>
      <c r="HSR152" s="1011"/>
      <c r="HSS152" s="1011"/>
      <c r="HST152" s="1011"/>
      <c r="HSU152" s="1011"/>
      <c r="HSV152" s="1011"/>
      <c r="HSW152" s="1011"/>
      <c r="HSX152" s="1011"/>
      <c r="HSY152" s="1011"/>
      <c r="HSZ152" s="1011"/>
      <c r="HTA152" s="1011"/>
      <c r="HTB152" s="1011"/>
      <c r="HTC152" s="1011"/>
      <c r="HTD152" s="1011"/>
      <c r="HTE152" s="1011"/>
      <c r="HTF152" s="1011"/>
      <c r="HTG152" s="1011"/>
      <c r="HTH152" s="1011"/>
      <c r="HTI152" s="1011"/>
      <c r="HTJ152" s="1011"/>
      <c r="HTK152" s="1011"/>
      <c r="HTL152" s="1011"/>
      <c r="HTM152" s="1011"/>
      <c r="HTN152" s="1011"/>
      <c r="HTO152" s="1011"/>
      <c r="HTP152" s="1011"/>
      <c r="HTQ152" s="1011"/>
      <c r="HTR152" s="1011"/>
      <c r="HTS152" s="1011"/>
      <c r="HTT152" s="1011"/>
      <c r="HTU152" s="1011"/>
      <c r="HTV152" s="1011"/>
      <c r="HTW152" s="1011"/>
      <c r="HTX152" s="1011"/>
      <c r="HTY152" s="1011"/>
      <c r="HTZ152" s="1011"/>
      <c r="HUA152" s="1011"/>
      <c r="HUB152" s="1011"/>
      <c r="HUC152" s="1011"/>
      <c r="HUD152" s="1011"/>
      <c r="HUE152" s="1011"/>
      <c r="HUF152" s="1011"/>
      <c r="HUG152" s="1011"/>
      <c r="HUH152" s="1011"/>
      <c r="HUI152" s="1011"/>
      <c r="HUJ152" s="1011"/>
      <c r="HUK152" s="1011"/>
      <c r="HUL152" s="1011"/>
      <c r="HUM152" s="1011"/>
      <c r="HUN152" s="1011"/>
      <c r="HUO152" s="1011"/>
      <c r="HUP152" s="1011"/>
      <c r="HUQ152" s="1011"/>
      <c r="HUR152" s="1011"/>
      <c r="HUS152" s="1011"/>
      <c r="HUT152" s="1011"/>
      <c r="HUU152" s="1011"/>
      <c r="HUV152" s="1011"/>
      <c r="HUW152" s="1011"/>
      <c r="HUX152" s="1011"/>
      <c r="HUY152" s="1011"/>
      <c r="HUZ152" s="1011"/>
      <c r="HVA152" s="1011"/>
      <c r="HVB152" s="1011"/>
      <c r="HVC152" s="1011"/>
      <c r="HVD152" s="1011"/>
      <c r="HVE152" s="1011"/>
      <c r="HVF152" s="1011"/>
      <c r="HVG152" s="1011"/>
      <c r="HVH152" s="1011"/>
      <c r="HVI152" s="1011"/>
      <c r="HVJ152" s="1011"/>
      <c r="HVK152" s="1011"/>
      <c r="HVL152" s="1011"/>
      <c r="HVM152" s="1011"/>
      <c r="HVN152" s="1011"/>
      <c r="HVO152" s="1011"/>
      <c r="HVP152" s="1011"/>
      <c r="HVQ152" s="1011"/>
      <c r="HVR152" s="1011"/>
      <c r="HVS152" s="1011"/>
      <c r="HVT152" s="1011"/>
      <c r="HVU152" s="1011"/>
      <c r="HVV152" s="1011"/>
      <c r="HVW152" s="1011"/>
      <c r="HVX152" s="1011"/>
      <c r="HVY152" s="1011"/>
      <c r="HVZ152" s="1011"/>
      <c r="HWA152" s="1011"/>
      <c r="HWB152" s="1011"/>
      <c r="HWC152" s="1011"/>
      <c r="HWD152" s="1011"/>
      <c r="HWE152" s="1011"/>
      <c r="HWF152" s="1011"/>
      <c r="HWG152" s="1011"/>
      <c r="HWH152" s="1011"/>
      <c r="HWI152" s="1011"/>
      <c r="HWJ152" s="1011"/>
      <c r="HWK152" s="1011"/>
      <c r="HWL152" s="1011"/>
      <c r="HWM152" s="1011"/>
      <c r="HWN152" s="1011"/>
      <c r="HWO152" s="1011"/>
      <c r="HWP152" s="1011"/>
      <c r="HWQ152" s="1011"/>
      <c r="HWR152" s="1011"/>
      <c r="HWS152" s="1011"/>
      <c r="HWT152" s="1011"/>
      <c r="HWU152" s="1011"/>
      <c r="HWV152" s="1011"/>
      <c r="HWW152" s="1011"/>
      <c r="HWX152" s="1011"/>
      <c r="HWY152" s="1011"/>
      <c r="HWZ152" s="1011"/>
      <c r="HXA152" s="1011"/>
      <c r="HXB152" s="1011"/>
      <c r="HXC152" s="1011"/>
      <c r="HXD152" s="1011"/>
      <c r="HXE152" s="1011"/>
      <c r="HXF152" s="1011"/>
      <c r="HXG152" s="1011"/>
      <c r="HXH152" s="1011"/>
      <c r="HXI152" s="1011"/>
      <c r="HXJ152" s="1011"/>
      <c r="HXK152" s="1011"/>
      <c r="HXL152" s="1011"/>
      <c r="HXM152" s="1011"/>
      <c r="HXN152" s="1011"/>
      <c r="HXO152" s="1011"/>
      <c r="HXP152" s="1011"/>
      <c r="HXQ152" s="1011"/>
      <c r="HXR152" s="1011"/>
      <c r="HXS152" s="1011"/>
      <c r="HXT152" s="1011"/>
      <c r="HXU152" s="1011"/>
      <c r="HXV152" s="1011"/>
      <c r="HXW152" s="1011"/>
      <c r="HXX152" s="1011"/>
      <c r="HXY152" s="1011"/>
      <c r="HXZ152" s="1011"/>
      <c r="HYA152" s="1011"/>
      <c r="HYB152" s="1011"/>
      <c r="HYC152" s="1011"/>
      <c r="HYD152" s="1011"/>
      <c r="HYE152" s="1011"/>
      <c r="HYF152" s="1011"/>
      <c r="HYG152" s="1011"/>
      <c r="HYH152" s="1011"/>
      <c r="HYI152" s="1011"/>
      <c r="HYJ152" s="1011"/>
      <c r="HYK152" s="1011"/>
      <c r="HYL152" s="1011"/>
      <c r="HYM152" s="1011"/>
      <c r="HYN152" s="1011"/>
      <c r="HYO152" s="1011"/>
      <c r="HYP152" s="1011"/>
      <c r="HYQ152" s="1011"/>
      <c r="HYR152" s="1011"/>
      <c r="HYS152" s="1011"/>
      <c r="HYT152" s="1011"/>
      <c r="HYU152" s="1011"/>
      <c r="HYV152" s="1011"/>
      <c r="HYW152" s="1011"/>
      <c r="HYX152" s="1011"/>
      <c r="HYY152" s="1011"/>
      <c r="HYZ152" s="1011"/>
      <c r="HZA152" s="1011"/>
      <c r="HZB152" s="1011"/>
      <c r="HZC152" s="1011"/>
      <c r="HZD152" s="1011"/>
      <c r="HZE152" s="1011"/>
      <c r="HZF152" s="1011"/>
      <c r="HZG152" s="1011"/>
      <c r="HZH152" s="1011"/>
      <c r="HZI152" s="1011"/>
      <c r="HZJ152" s="1011"/>
      <c r="HZK152" s="1011"/>
      <c r="HZL152" s="1011"/>
      <c r="HZM152" s="1011"/>
      <c r="HZN152" s="1011"/>
      <c r="HZO152" s="1011"/>
      <c r="HZP152" s="1011"/>
      <c r="HZQ152" s="1011"/>
      <c r="HZR152" s="1011"/>
      <c r="HZS152" s="1011"/>
      <c r="HZT152" s="1011"/>
      <c r="HZU152" s="1011"/>
      <c r="HZV152" s="1011"/>
      <c r="HZW152" s="1011"/>
      <c r="HZX152" s="1011"/>
      <c r="HZY152" s="1011"/>
      <c r="HZZ152" s="1011"/>
      <c r="IAA152" s="1011"/>
      <c r="IAB152" s="1011"/>
      <c r="IAC152" s="1011"/>
      <c r="IAD152" s="1011"/>
      <c r="IAE152" s="1011"/>
      <c r="IAF152" s="1011"/>
      <c r="IAG152" s="1011"/>
      <c r="IAH152" s="1011"/>
      <c r="IAI152" s="1011"/>
      <c r="IAJ152" s="1011"/>
      <c r="IAK152" s="1011"/>
      <c r="IAL152" s="1011"/>
      <c r="IAM152" s="1011"/>
      <c r="IAN152" s="1011"/>
      <c r="IAO152" s="1011"/>
      <c r="IAP152" s="1011"/>
      <c r="IAQ152" s="1011"/>
      <c r="IAR152" s="1011"/>
      <c r="IAS152" s="1011"/>
      <c r="IAT152" s="1011"/>
      <c r="IAU152" s="1011"/>
      <c r="IAV152" s="1011"/>
      <c r="IAW152" s="1011"/>
      <c r="IAX152" s="1011"/>
      <c r="IAY152" s="1011"/>
      <c r="IAZ152" s="1011"/>
      <c r="IBA152" s="1011"/>
      <c r="IBB152" s="1011"/>
      <c r="IBC152" s="1011"/>
      <c r="IBD152" s="1011"/>
      <c r="IBE152" s="1011"/>
      <c r="IBF152" s="1011"/>
      <c r="IBG152" s="1011"/>
      <c r="IBH152" s="1011"/>
      <c r="IBI152" s="1011"/>
      <c r="IBJ152" s="1011"/>
      <c r="IBK152" s="1011"/>
      <c r="IBL152" s="1011"/>
      <c r="IBM152" s="1011"/>
      <c r="IBN152" s="1011"/>
      <c r="IBO152" s="1011"/>
      <c r="IBP152" s="1011"/>
      <c r="IBQ152" s="1011"/>
      <c r="IBR152" s="1011"/>
      <c r="IBS152" s="1011"/>
      <c r="IBT152" s="1011"/>
      <c r="IBU152" s="1011"/>
      <c r="IBV152" s="1011"/>
      <c r="IBW152" s="1011"/>
      <c r="IBX152" s="1011"/>
      <c r="IBY152" s="1011"/>
      <c r="IBZ152" s="1011"/>
      <c r="ICA152" s="1011"/>
      <c r="ICB152" s="1011"/>
      <c r="ICC152" s="1011"/>
      <c r="ICD152" s="1011"/>
      <c r="ICE152" s="1011"/>
      <c r="ICF152" s="1011"/>
      <c r="ICG152" s="1011"/>
      <c r="ICH152" s="1011"/>
      <c r="ICI152" s="1011"/>
      <c r="ICJ152" s="1011"/>
      <c r="ICK152" s="1011"/>
      <c r="ICL152" s="1011"/>
      <c r="ICM152" s="1011"/>
      <c r="ICN152" s="1011"/>
      <c r="ICO152" s="1011"/>
      <c r="ICP152" s="1011"/>
      <c r="ICQ152" s="1011"/>
      <c r="ICR152" s="1011"/>
      <c r="ICS152" s="1011"/>
      <c r="ICT152" s="1011"/>
      <c r="ICU152" s="1011"/>
      <c r="ICV152" s="1011"/>
      <c r="ICW152" s="1011"/>
      <c r="ICX152" s="1011"/>
      <c r="ICY152" s="1011"/>
      <c r="ICZ152" s="1011"/>
      <c r="IDA152" s="1011"/>
      <c r="IDB152" s="1011"/>
      <c r="IDC152" s="1011"/>
      <c r="IDD152" s="1011"/>
      <c r="IDE152" s="1011"/>
      <c r="IDF152" s="1011"/>
      <c r="IDG152" s="1011"/>
      <c r="IDH152" s="1011"/>
      <c r="IDI152" s="1011"/>
      <c r="IDJ152" s="1011"/>
      <c r="IDK152" s="1011"/>
      <c r="IDL152" s="1011"/>
      <c r="IDM152" s="1011"/>
      <c r="IDN152" s="1011"/>
      <c r="IDO152" s="1011"/>
      <c r="IDP152" s="1011"/>
      <c r="IDQ152" s="1011"/>
      <c r="IDR152" s="1011"/>
      <c r="IDS152" s="1011"/>
      <c r="IDT152" s="1011"/>
      <c r="IDU152" s="1011"/>
      <c r="IDV152" s="1011"/>
      <c r="IDW152" s="1011"/>
      <c r="IDX152" s="1011"/>
      <c r="IDY152" s="1011"/>
      <c r="IDZ152" s="1011"/>
      <c r="IEA152" s="1011"/>
      <c r="IEB152" s="1011"/>
      <c r="IEC152" s="1011"/>
      <c r="IED152" s="1011"/>
      <c r="IEE152" s="1011"/>
      <c r="IEF152" s="1011"/>
      <c r="IEG152" s="1011"/>
      <c r="IEH152" s="1011"/>
      <c r="IEI152" s="1011"/>
      <c r="IEJ152" s="1011"/>
      <c r="IEK152" s="1011"/>
      <c r="IEL152" s="1011"/>
      <c r="IEM152" s="1011"/>
      <c r="IEN152" s="1011"/>
      <c r="IEO152" s="1011"/>
      <c r="IEP152" s="1011"/>
      <c r="IEQ152" s="1011"/>
      <c r="IER152" s="1011"/>
      <c r="IES152" s="1011"/>
      <c r="IET152" s="1011"/>
      <c r="IEU152" s="1011"/>
      <c r="IEV152" s="1011"/>
      <c r="IEW152" s="1011"/>
      <c r="IEX152" s="1011"/>
      <c r="IEY152" s="1011"/>
      <c r="IEZ152" s="1011"/>
      <c r="IFA152" s="1011"/>
      <c r="IFB152" s="1011"/>
      <c r="IFC152" s="1011"/>
      <c r="IFD152" s="1011"/>
      <c r="IFE152" s="1011"/>
      <c r="IFF152" s="1011"/>
      <c r="IFG152" s="1011"/>
      <c r="IFH152" s="1011"/>
      <c r="IFI152" s="1011"/>
      <c r="IFJ152" s="1011"/>
      <c r="IFK152" s="1011"/>
      <c r="IFL152" s="1011"/>
      <c r="IFM152" s="1011"/>
      <c r="IFN152" s="1011"/>
      <c r="IFO152" s="1011"/>
      <c r="IFP152" s="1011"/>
      <c r="IFQ152" s="1011"/>
      <c r="IFR152" s="1011"/>
      <c r="IFS152" s="1011"/>
      <c r="IFT152" s="1011"/>
      <c r="IFU152" s="1011"/>
      <c r="IFV152" s="1011"/>
      <c r="IFW152" s="1011"/>
      <c r="IFX152" s="1011"/>
      <c r="IFY152" s="1011"/>
      <c r="IFZ152" s="1011"/>
      <c r="IGA152" s="1011"/>
      <c r="IGB152" s="1011"/>
      <c r="IGC152" s="1011"/>
      <c r="IGD152" s="1011"/>
      <c r="IGE152" s="1011"/>
      <c r="IGF152" s="1011"/>
      <c r="IGG152" s="1011"/>
      <c r="IGH152" s="1011"/>
      <c r="IGI152" s="1011"/>
      <c r="IGJ152" s="1011"/>
      <c r="IGK152" s="1011"/>
      <c r="IGL152" s="1011"/>
      <c r="IGM152" s="1011"/>
      <c r="IGN152" s="1011"/>
      <c r="IGO152" s="1011"/>
      <c r="IGP152" s="1011"/>
      <c r="IGQ152" s="1011"/>
      <c r="IGR152" s="1011"/>
      <c r="IGS152" s="1011"/>
      <c r="IGT152" s="1011"/>
      <c r="IGU152" s="1011"/>
      <c r="IGV152" s="1011"/>
      <c r="IGW152" s="1011"/>
      <c r="IGX152" s="1011"/>
      <c r="IGY152" s="1011"/>
      <c r="IGZ152" s="1011"/>
      <c r="IHA152" s="1011"/>
      <c r="IHB152" s="1011"/>
      <c r="IHC152" s="1011"/>
      <c r="IHD152" s="1011"/>
      <c r="IHE152" s="1011"/>
      <c r="IHF152" s="1011"/>
      <c r="IHG152" s="1011"/>
      <c r="IHH152" s="1011"/>
      <c r="IHI152" s="1011"/>
      <c r="IHJ152" s="1011"/>
      <c r="IHK152" s="1011"/>
      <c r="IHL152" s="1011"/>
      <c r="IHM152" s="1011"/>
      <c r="IHN152" s="1011"/>
      <c r="IHO152" s="1011"/>
      <c r="IHP152" s="1011"/>
      <c r="IHQ152" s="1011"/>
      <c r="IHR152" s="1011"/>
      <c r="IHS152" s="1011"/>
      <c r="IHT152" s="1011"/>
      <c r="IHU152" s="1011"/>
      <c r="IHV152" s="1011"/>
      <c r="IHW152" s="1011"/>
      <c r="IHX152" s="1011"/>
      <c r="IHY152" s="1011"/>
      <c r="IHZ152" s="1011"/>
      <c r="IIA152" s="1011"/>
      <c r="IIB152" s="1011"/>
      <c r="IIC152" s="1011"/>
      <c r="IID152" s="1011"/>
      <c r="IIE152" s="1011"/>
      <c r="IIF152" s="1011"/>
      <c r="IIG152" s="1011"/>
      <c r="IIH152" s="1011"/>
      <c r="III152" s="1011"/>
      <c r="IIJ152" s="1011"/>
      <c r="IIK152" s="1011"/>
      <c r="IIL152" s="1011"/>
      <c r="IIM152" s="1011"/>
      <c r="IIN152" s="1011"/>
      <c r="IIO152" s="1011"/>
      <c r="IIP152" s="1011"/>
      <c r="IIQ152" s="1011"/>
      <c r="IIR152" s="1011"/>
      <c r="IIS152" s="1011"/>
      <c r="IIT152" s="1011"/>
      <c r="IIU152" s="1011"/>
      <c r="IIV152" s="1011"/>
      <c r="IIW152" s="1011"/>
      <c r="IIX152" s="1011"/>
      <c r="IIY152" s="1011"/>
      <c r="IIZ152" s="1011"/>
      <c r="IJA152" s="1011"/>
      <c r="IJB152" s="1011"/>
      <c r="IJC152" s="1011"/>
      <c r="IJD152" s="1011"/>
      <c r="IJE152" s="1011"/>
      <c r="IJF152" s="1011"/>
      <c r="IJG152" s="1011"/>
      <c r="IJH152" s="1011"/>
      <c r="IJI152" s="1011"/>
      <c r="IJJ152" s="1011"/>
      <c r="IJK152" s="1011"/>
      <c r="IJL152" s="1011"/>
      <c r="IJM152" s="1011"/>
      <c r="IJN152" s="1011"/>
      <c r="IJO152" s="1011"/>
      <c r="IJP152" s="1011"/>
      <c r="IJQ152" s="1011"/>
      <c r="IJR152" s="1011"/>
      <c r="IJS152" s="1011"/>
      <c r="IJT152" s="1011"/>
      <c r="IJU152" s="1011"/>
      <c r="IJV152" s="1011"/>
      <c r="IJW152" s="1011"/>
      <c r="IJX152" s="1011"/>
      <c r="IJY152" s="1011"/>
      <c r="IJZ152" s="1011"/>
      <c r="IKA152" s="1011"/>
      <c r="IKB152" s="1011"/>
      <c r="IKC152" s="1011"/>
      <c r="IKD152" s="1011"/>
      <c r="IKE152" s="1011"/>
      <c r="IKF152" s="1011"/>
      <c r="IKG152" s="1011"/>
      <c r="IKH152" s="1011"/>
      <c r="IKI152" s="1011"/>
      <c r="IKJ152" s="1011"/>
      <c r="IKK152" s="1011"/>
      <c r="IKL152" s="1011"/>
      <c r="IKM152" s="1011"/>
      <c r="IKN152" s="1011"/>
      <c r="IKO152" s="1011"/>
      <c r="IKP152" s="1011"/>
      <c r="IKQ152" s="1011"/>
      <c r="IKR152" s="1011"/>
      <c r="IKS152" s="1011"/>
      <c r="IKT152" s="1011"/>
      <c r="IKU152" s="1011"/>
      <c r="IKV152" s="1011"/>
      <c r="IKW152" s="1011"/>
      <c r="IKX152" s="1011"/>
      <c r="IKY152" s="1011"/>
      <c r="IKZ152" s="1011"/>
      <c r="ILA152" s="1011"/>
      <c r="ILB152" s="1011"/>
      <c r="ILC152" s="1011"/>
      <c r="ILD152" s="1011"/>
      <c r="ILE152" s="1011"/>
      <c r="ILF152" s="1011"/>
      <c r="ILG152" s="1011"/>
      <c r="ILH152" s="1011"/>
      <c r="ILI152" s="1011"/>
      <c r="ILJ152" s="1011"/>
      <c r="ILK152" s="1011"/>
      <c r="ILL152" s="1011"/>
      <c r="ILM152" s="1011"/>
      <c r="ILN152" s="1011"/>
      <c r="ILO152" s="1011"/>
      <c r="ILP152" s="1011"/>
      <c r="ILQ152" s="1011"/>
      <c r="ILR152" s="1011"/>
      <c r="ILS152" s="1011"/>
      <c r="ILT152" s="1011"/>
      <c r="ILU152" s="1011"/>
      <c r="ILV152" s="1011"/>
      <c r="ILW152" s="1011"/>
      <c r="ILX152" s="1011"/>
      <c r="ILY152" s="1011"/>
      <c r="ILZ152" s="1011"/>
      <c r="IMA152" s="1011"/>
      <c r="IMB152" s="1011"/>
      <c r="IMC152" s="1011"/>
      <c r="IMD152" s="1011"/>
      <c r="IME152" s="1011"/>
      <c r="IMF152" s="1011"/>
      <c r="IMG152" s="1011"/>
      <c r="IMH152" s="1011"/>
      <c r="IMI152" s="1011"/>
      <c r="IMJ152" s="1011"/>
      <c r="IMK152" s="1011"/>
      <c r="IML152" s="1011"/>
      <c r="IMM152" s="1011"/>
      <c r="IMN152" s="1011"/>
      <c r="IMO152" s="1011"/>
      <c r="IMP152" s="1011"/>
      <c r="IMQ152" s="1011"/>
      <c r="IMR152" s="1011"/>
      <c r="IMS152" s="1011"/>
      <c r="IMT152" s="1011"/>
      <c r="IMU152" s="1011"/>
      <c r="IMV152" s="1011"/>
      <c r="IMW152" s="1011"/>
      <c r="IMX152" s="1011"/>
      <c r="IMY152" s="1011"/>
      <c r="IMZ152" s="1011"/>
      <c r="INA152" s="1011"/>
      <c r="INB152" s="1011"/>
      <c r="INC152" s="1011"/>
      <c r="IND152" s="1011"/>
      <c r="INE152" s="1011"/>
      <c r="INF152" s="1011"/>
      <c r="ING152" s="1011"/>
      <c r="INH152" s="1011"/>
      <c r="INI152" s="1011"/>
      <c r="INJ152" s="1011"/>
      <c r="INK152" s="1011"/>
      <c r="INL152" s="1011"/>
      <c r="INM152" s="1011"/>
      <c r="INN152" s="1011"/>
      <c r="INO152" s="1011"/>
      <c r="INP152" s="1011"/>
      <c r="INQ152" s="1011"/>
      <c r="INR152" s="1011"/>
      <c r="INS152" s="1011"/>
      <c r="INT152" s="1011"/>
      <c r="INU152" s="1011"/>
      <c r="INV152" s="1011"/>
      <c r="INW152" s="1011"/>
      <c r="INX152" s="1011"/>
      <c r="INY152" s="1011"/>
      <c r="INZ152" s="1011"/>
      <c r="IOA152" s="1011"/>
      <c r="IOB152" s="1011"/>
      <c r="IOC152" s="1011"/>
      <c r="IOD152" s="1011"/>
      <c r="IOE152" s="1011"/>
      <c r="IOF152" s="1011"/>
      <c r="IOG152" s="1011"/>
      <c r="IOH152" s="1011"/>
      <c r="IOI152" s="1011"/>
      <c r="IOJ152" s="1011"/>
      <c r="IOK152" s="1011"/>
      <c r="IOL152" s="1011"/>
      <c r="IOM152" s="1011"/>
      <c r="ION152" s="1011"/>
      <c r="IOO152" s="1011"/>
      <c r="IOP152" s="1011"/>
      <c r="IOQ152" s="1011"/>
      <c r="IOR152" s="1011"/>
      <c r="IOS152" s="1011"/>
      <c r="IOT152" s="1011"/>
      <c r="IOU152" s="1011"/>
      <c r="IOV152" s="1011"/>
      <c r="IOW152" s="1011"/>
      <c r="IOX152" s="1011"/>
      <c r="IOY152" s="1011"/>
      <c r="IOZ152" s="1011"/>
      <c r="IPA152" s="1011"/>
      <c r="IPB152" s="1011"/>
      <c r="IPC152" s="1011"/>
      <c r="IPD152" s="1011"/>
      <c r="IPE152" s="1011"/>
      <c r="IPF152" s="1011"/>
      <c r="IPG152" s="1011"/>
      <c r="IPH152" s="1011"/>
      <c r="IPI152" s="1011"/>
      <c r="IPJ152" s="1011"/>
      <c r="IPK152" s="1011"/>
      <c r="IPL152" s="1011"/>
      <c r="IPM152" s="1011"/>
      <c r="IPN152" s="1011"/>
      <c r="IPO152" s="1011"/>
      <c r="IPP152" s="1011"/>
      <c r="IPQ152" s="1011"/>
      <c r="IPR152" s="1011"/>
      <c r="IPS152" s="1011"/>
      <c r="IPT152" s="1011"/>
      <c r="IPU152" s="1011"/>
      <c r="IPV152" s="1011"/>
      <c r="IPW152" s="1011"/>
      <c r="IPX152" s="1011"/>
      <c r="IPY152" s="1011"/>
      <c r="IPZ152" s="1011"/>
      <c r="IQA152" s="1011"/>
      <c r="IQB152" s="1011"/>
      <c r="IQC152" s="1011"/>
      <c r="IQD152" s="1011"/>
      <c r="IQE152" s="1011"/>
      <c r="IQF152" s="1011"/>
      <c r="IQG152" s="1011"/>
      <c r="IQH152" s="1011"/>
      <c r="IQI152" s="1011"/>
      <c r="IQJ152" s="1011"/>
      <c r="IQK152" s="1011"/>
      <c r="IQL152" s="1011"/>
      <c r="IQM152" s="1011"/>
      <c r="IQN152" s="1011"/>
      <c r="IQO152" s="1011"/>
      <c r="IQP152" s="1011"/>
      <c r="IQQ152" s="1011"/>
      <c r="IQR152" s="1011"/>
      <c r="IQS152" s="1011"/>
      <c r="IQT152" s="1011"/>
      <c r="IQU152" s="1011"/>
      <c r="IQV152" s="1011"/>
      <c r="IQW152" s="1011"/>
      <c r="IQX152" s="1011"/>
      <c r="IQY152" s="1011"/>
      <c r="IQZ152" s="1011"/>
      <c r="IRA152" s="1011"/>
      <c r="IRB152" s="1011"/>
      <c r="IRC152" s="1011"/>
      <c r="IRD152" s="1011"/>
      <c r="IRE152" s="1011"/>
      <c r="IRF152" s="1011"/>
      <c r="IRG152" s="1011"/>
      <c r="IRH152" s="1011"/>
      <c r="IRI152" s="1011"/>
      <c r="IRJ152" s="1011"/>
      <c r="IRK152" s="1011"/>
      <c r="IRL152" s="1011"/>
      <c r="IRM152" s="1011"/>
      <c r="IRN152" s="1011"/>
      <c r="IRO152" s="1011"/>
      <c r="IRP152" s="1011"/>
      <c r="IRQ152" s="1011"/>
      <c r="IRR152" s="1011"/>
      <c r="IRS152" s="1011"/>
      <c r="IRT152" s="1011"/>
      <c r="IRU152" s="1011"/>
      <c r="IRV152" s="1011"/>
      <c r="IRW152" s="1011"/>
      <c r="IRX152" s="1011"/>
      <c r="IRY152" s="1011"/>
      <c r="IRZ152" s="1011"/>
      <c r="ISA152" s="1011"/>
      <c r="ISB152" s="1011"/>
      <c r="ISC152" s="1011"/>
      <c r="ISD152" s="1011"/>
      <c r="ISE152" s="1011"/>
      <c r="ISF152" s="1011"/>
      <c r="ISG152" s="1011"/>
      <c r="ISH152" s="1011"/>
      <c r="ISI152" s="1011"/>
      <c r="ISJ152" s="1011"/>
      <c r="ISK152" s="1011"/>
      <c r="ISL152" s="1011"/>
      <c r="ISM152" s="1011"/>
      <c r="ISN152" s="1011"/>
      <c r="ISO152" s="1011"/>
      <c r="ISP152" s="1011"/>
      <c r="ISQ152" s="1011"/>
      <c r="ISR152" s="1011"/>
      <c r="ISS152" s="1011"/>
      <c r="IST152" s="1011"/>
      <c r="ISU152" s="1011"/>
      <c r="ISV152" s="1011"/>
      <c r="ISW152" s="1011"/>
      <c r="ISX152" s="1011"/>
      <c r="ISY152" s="1011"/>
      <c r="ISZ152" s="1011"/>
      <c r="ITA152" s="1011"/>
      <c r="ITB152" s="1011"/>
      <c r="ITC152" s="1011"/>
      <c r="ITD152" s="1011"/>
      <c r="ITE152" s="1011"/>
      <c r="ITF152" s="1011"/>
      <c r="ITG152" s="1011"/>
      <c r="ITH152" s="1011"/>
      <c r="ITI152" s="1011"/>
      <c r="ITJ152" s="1011"/>
      <c r="ITK152" s="1011"/>
      <c r="ITL152" s="1011"/>
      <c r="ITM152" s="1011"/>
      <c r="ITN152" s="1011"/>
      <c r="ITO152" s="1011"/>
      <c r="ITP152" s="1011"/>
      <c r="ITQ152" s="1011"/>
      <c r="ITR152" s="1011"/>
      <c r="ITS152" s="1011"/>
      <c r="ITT152" s="1011"/>
      <c r="ITU152" s="1011"/>
      <c r="ITV152" s="1011"/>
      <c r="ITW152" s="1011"/>
      <c r="ITX152" s="1011"/>
      <c r="ITY152" s="1011"/>
      <c r="ITZ152" s="1011"/>
      <c r="IUA152" s="1011"/>
      <c r="IUB152" s="1011"/>
      <c r="IUC152" s="1011"/>
      <c r="IUD152" s="1011"/>
      <c r="IUE152" s="1011"/>
      <c r="IUF152" s="1011"/>
      <c r="IUG152" s="1011"/>
      <c r="IUH152" s="1011"/>
      <c r="IUI152" s="1011"/>
      <c r="IUJ152" s="1011"/>
      <c r="IUK152" s="1011"/>
      <c r="IUL152" s="1011"/>
      <c r="IUM152" s="1011"/>
      <c r="IUN152" s="1011"/>
      <c r="IUO152" s="1011"/>
      <c r="IUP152" s="1011"/>
      <c r="IUQ152" s="1011"/>
      <c r="IUR152" s="1011"/>
      <c r="IUS152" s="1011"/>
      <c r="IUT152" s="1011"/>
      <c r="IUU152" s="1011"/>
      <c r="IUV152" s="1011"/>
      <c r="IUW152" s="1011"/>
      <c r="IUX152" s="1011"/>
      <c r="IUY152" s="1011"/>
      <c r="IUZ152" s="1011"/>
      <c r="IVA152" s="1011"/>
      <c r="IVB152" s="1011"/>
      <c r="IVC152" s="1011"/>
      <c r="IVD152" s="1011"/>
      <c r="IVE152" s="1011"/>
      <c r="IVF152" s="1011"/>
      <c r="IVG152" s="1011"/>
      <c r="IVH152" s="1011"/>
      <c r="IVI152" s="1011"/>
      <c r="IVJ152" s="1011"/>
      <c r="IVK152" s="1011"/>
      <c r="IVL152" s="1011"/>
      <c r="IVM152" s="1011"/>
      <c r="IVN152" s="1011"/>
      <c r="IVO152" s="1011"/>
      <c r="IVP152" s="1011"/>
      <c r="IVQ152" s="1011"/>
      <c r="IVR152" s="1011"/>
      <c r="IVS152" s="1011"/>
      <c r="IVT152" s="1011"/>
      <c r="IVU152" s="1011"/>
      <c r="IVV152" s="1011"/>
      <c r="IVW152" s="1011"/>
      <c r="IVX152" s="1011"/>
      <c r="IVY152" s="1011"/>
      <c r="IVZ152" s="1011"/>
      <c r="IWA152" s="1011"/>
      <c r="IWB152" s="1011"/>
      <c r="IWC152" s="1011"/>
      <c r="IWD152" s="1011"/>
      <c r="IWE152" s="1011"/>
      <c r="IWF152" s="1011"/>
      <c r="IWG152" s="1011"/>
      <c r="IWH152" s="1011"/>
      <c r="IWI152" s="1011"/>
      <c r="IWJ152" s="1011"/>
      <c r="IWK152" s="1011"/>
      <c r="IWL152" s="1011"/>
      <c r="IWM152" s="1011"/>
      <c r="IWN152" s="1011"/>
      <c r="IWO152" s="1011"/>
      <c r="IWP152" s="1011"/>
      <c r="IWQ152" s="1011"/>
      <c r="IWR152" s="1011"/>
      <c r="IWS152" s="1011"/>
      <c r="IWT152" s="1011"/>
      <c r="IWU152" s="1011"/>
      <c r="IWV152" s="1011"/>
      <c r="IWW152" s="1011"/>
      <c r="IWX152" s="1011"/>
      <c r="IWY152" s="1011"/>
      <c r="IWZ152" s="1011"/>
      <c r="IXA152" s="1011"/>
      <c r="IXB152" s="1011"/>
      <c r="IXC152" s="1011"/>
      <c r="IXD152" s="1011"/>
      <c r="IXE152" s="1011"/>
      <c r="IXF152" s="1011"/>
      <c r="IXG152" s="1011"/>
      <c r="IXH152" s="1011"/>
      <c r="IXI152" s="1011"/>
      <c r="IXJ152" s="1011"/>
      <c r="IXK152" s="1011"/>
      <c r="IXL152" s="1011"/>
      <c r="IXM152" s="1011"/>
      <c r="IXN152" s="1011"/>
      <c r="IXO152" s="1011"/>
      <c r="IXP152" s="1011"/>
      <c r="IXQ152" s="1011"/>
      <c r="IXR152" s="1011"/>
      <c r="IXS152" s="1011"/>
      <c r="IXT152" s="1011"/>
      <c r="IXU152" s="1011"/>
      <c r="IXV152" s="1011"/>
      <c r="IXW152" s="1011"/>
      <c r="IXX152" s="1011"/>
      <c r="IXY152" s="1011"/>
      <c r="IXZ152" s="1011"/>
      <c r="IYA152" s="1011"/>
      <c r="IYB152" s="1011"/>
      <c r="IYC152" s="1011"/>
      <c r="IYD152" s="1011"/>
      <c r="IYE152" s="1011"/>
      <c r="IYF152" s="1011"/>
      <c r="IYG152" s="1011"/>
      <c r="IYH152" s="1011"/>
      <c r="IYI152" s="1011"/>
      <c r="IYJ152" s="1011"/>
      <c r="IYK152" s="1011"/>
      <c r="IYL152" s="1011"/>
      <c r="IYM152" s="1011"/>
      <c r="IYN152" s="1011"/>
      <c r="IYO152" s="1011"/>
      <c r="IYP152" s="1011"/>
      <c r="IYQ152" s="1011"/>
      <c r="IYR152" s="1011"/>
      <c r="IYS152" s="1011"/>
      <c r="IYT152" s="1011"/>
      <c r="IYU152" s="1011"/>
      <c r="IYV152" s="1011"/>
      <c r="IYW152" s="1011"/>
      <c r="IYX152" s="1011"/>
      <c r="IYY152" s="1011"/>
      <c r="IYZ152" s="1011"/>
      <c r="IZA152" s="1011"/>
      <c r="IZB152" s="1011"/>
      <c r="IZC152" s="1011"/>
      <c r="IZD152" s="1011"/>
      <c r="IZE152" s="1011"/>
      <c r="IZF152" s="1011"/>
      <c r="IZG152" s="1011"/>
      <c r="IZH152" s="1011"/>
      <c r="IZI152" s="1011"/>
      <c r="IZJ152" s="1011"/>
      <c r="IZK152" s="1011"/>
      <c r="IZL152" s="1011"/>
      <c r="IZM152" s="1011"/>
      <c r="IZN152" s="1011"/>
      <c r="IZO152" s="1011"/>
      <c r="IZP152" s="1011"/>
      <c r="IZQ152" s="1011"/>
      <c r="IZR152" s="1011"/>
      <c r="IZS152" s="1011"/>
      <c r="IZT152" s="1011"/>
      <c r="IZU152" s="1011"/>
      <c r="IZV152" s="1011"/>
      <c r="IZW152" s="1011"/>
      <c r="IZX152" s="1011"/>
      <c r="IZY152" s="1011"/>
      <c r="IZZ152" s="1011"/>
      <c r="JAA152" s="1011"/>
      <c r="JAB152" s="1011"/>
      <c r="JAC152" s="1011"/>
      <c r="JAD152" s="1011"/>
      <c r="JAE152" s="1011"/>
      <c r="JAF152" s="1011"/>
      <c r="JAG152" s="1011"/>
      <c r="JAH152" s="1011"/>
      <c r="JAI152" s="1011"/>
      <c r="JAJ152" s="1011"/>
      <c r="JAK152" s="1011"/>
      <c r="JAL152" s="1011"/>
      <c r="JAM152" s="1011"/>
      <c r="JAN152" s="1011"/>
      <c r="JAO152" s="1011"/>
      <c r="JAP152" s="1011"/>
      <c r="JAQ152" s="1011"/>
      <c r="JAR152" s="1011"/>
      <c r="JAS152" s="1011"/>
      <c r="JAT152" s="1011"/>
      <c r="JAU152" s="1011"/>
      <c r="JAV152" s="1011"/>
      <c r="JAW152" s="1011"/>
      <c r="JAX152" s="1011"/>
      <c r="JAY152" s="1011"/>
      <c r="JAZ152" s="1011"/>
      <c r="JBA152" s="1011"/>
      <c r="JBB152" s="1011"/>
      <c r="JBC152" s="1011"/>
      <c r="JBD152" s="1011"/>
      <c r="JBE152" s="1011"/>
      <c r="JBF152" s="1011"/>
      <c r="JBG152" s="1011"/>
      <c r="JBH152" s="1011"/>
      <c r="JBI152" s="1011"/>
      <c r="JBJ152" s="1011"/>
      <c r="JBK152" s="1011"/>
      <c r="JBL152" s="1011"/>
      <c r="JBM152" s="1011"/>
      <c r="JBN152" s="1011"/>
      <c r="JBO152" s="1011"/>
      <c r="JBP152" s="1011"/>
      <c r="JBQ152" s="1011"/>
      <c r="JBR152" s="1011"/>
      <c r="JBS152" s="1011"/>
      <c r="JBT152" s="1011"/>
      <c r="JBU152" s="1011"/>
      <c r="JBV152" s="1011"/>
      <c r="JBW152" s="1011"/>
      <c r="JBX152" s="1011"/>
      <c r="JBY152" s="1011"/>
      <c r="JBZ152" s="1011"/>
      <c r="JCA152" s="1011"/>
      <c r="JCB152" s="1011"/>
      <c r="JCC152" s="1011"/>
      <c r="JCD152" s="1011"/>
      <c r="JCE152" s="1011"/>
      <c r="JCF152" s="1011"/>
      <c r="JCG152" s="1011"/>
      <c r="JCH152" s="1011"/>
      <c r="JCI152" s="1011"/>
      <c r="JCJ152" s="1011"/>
      <c r="JCK152" s="1011"/>
      <c r="JCL152" s="1011"/>
      <c r="JCM152" s="1011"/>
      <c r="JCN152" s="1011"/>
      <c r="JCO152" s="1011"/>
      <c r="JCP152" s="1011"/>
      <c r="JCQ152" s="1011"/>
      <c r="JCR152" s="1011"/>
      <c r="JCS152" s="1011"/>
      <c r="JCT152" s="1011"/>
      <c r="JCU152" s="1011"/>
      <c r="JCV152" s="1011"/>
      <c r="JCW152" s="1011"/>
      <c r="JCX152" s="1011"/>
      <c r="JCY152" s="1011"/>
      <c r="JCZ152" s="1011"/>
      <c r="JDA152" s="1011"/>
      <c r="JDB152" s="1011"/>
      <c r="JDC152" s="1011"/>
      <c r="JDD152" s="1011"/>
      <c r="JDE152" s="1011"/>
      <c r="JDF152" s="1011"/>
      <c r="JDG152" s="1011"/>
      <c r="JDH152" s="1011"/>
      <c r="JDI152" s="1011"/>
      <c r="JDJ152" s="1011"/>
      <c r="JDK152" s="1011"/>
      <c r="JDL152" s="1011"/>
      <c r="JDM152" s="1011"/>
      <c r="JDN152" s="1011"/>
      <c r="JDO152" s="1011"/>
      <c r="JDP152" s="1011"/>
      <c r="JDQ152" s="1011"/>
      <c r="JDR152" s="1011"/>
      <c r="JDS152" s="1011"/>
      <c r="JDT152" s="1011"/>
      <c r="JDU152" s="1011"/>
      <c r="JDV152" s="1011"/>
      <c r="JDW152" s="1011"/>
      <c r="JDX152" s="1011"/>
      <c r="JDY152" s="1011"/>
      <c r="JDZ152" s="1011"/>
      <c r="JEA152" s="1011"/>
      <c r="JEB152" s="1011"/>
      <c r="JEC152" s="1011"/>
      <c r="JED152" s="1011"/>
      <c r="JEE152" s="1011"/>
      <c r="JEF152" s="1011"/>
      <c r="JEG152" s="1011"/>
      <c r="JEH152" s="1011"/>
      <c r="JEI152" s="1011"/>
      <c r="JEJ152" s="1011"/>
      <c r="JEK152" s="1011"/>
      <c r="JEL152" s="1011"/>
      <c r="JEM152" s="1011"/>
      <c r="JEN152" s="1011"/>
      <c r="JEO152" s="1011"/>
      <c r="JEP152" s="1011"/>
      <c r="JEQ152" s="1011"/>
      <c r="JER152" s="1011"/>
      <c r="JES152" s="1011"/>
      <c r="JET152" s="1011"/>
      <c r="JEU152" s="1011"/>
      <c r="JEV152" s="1011"/>
      <c r="JEW152" s="1011"/>
      <c r="JEX152" s="1011"/>
      <c r="JEY152" s="1011"/>
      <c r="JEZ152" s="1011"/>
      <c r="JFA152" s="1011"/>
      <c r="JFB152" s="1011"/>
      <c r="JFC152" s="1011"/>
      <c r="JFD152" s="1011"/>
      <c r="JFE152" s="1011"/>
      <c r="JFF152" s="1011"/>
      <c r="JFG152" s="1011"/>
      <c r="JFH152" s="1011"/>
      <c r="JFI152" s="1011"/>
      <c r="JFJ152" s="1011"/>
      <c r="JFK152" s="1011"/>
      <c r="JFL152" s="1011"/>
      <c r="JFM152" s="1011"/>
      <c r="JFN152" s="1011"/>
      <c r="JFO152" s="1011"/>
      <c r="JFP152" s="1011"/>
      <c r="JFQ152" s="1011"/>
      <c r="JFR152" s="1011"/>
      <c r="JFS152" s="1011"/>
      <c r="JFT152" s="1011"/>
      <c r="JFU152" s="1011"/>
      <c r="JFV152" s="1011"/>
      <c r="JFW152" s="1011"/>
      <c r="JFX152" s="1011"/>
      <c r="JFY152" s="1011"/>
      <c r="JFZ152" s="1011"/>
      <c r="JGA152" s="1011"/>
      <c r="JGB152" s="1011"/>
      <c r="JGC152" s="1011"/>
      <c r="JGD152" s="1011"/>
      <c r="JGE152" s="1011"/>
      <c r="JGF152" s="1011"/>
      <c r="JGG152" s="1011"/>
      <c r="JGH152" s="1011"/>
      <c r="JGI152" s="1011"/>
      <c r="JGJ152" s="1011"/>
      <c r="JGK152" s="1011"/>
      <c r="JGL152" s="1011"/>
      <c r="JGM152" s="1011"/>
      <c r="JGN152" s="1011"/>
      <c r="JGO152" s="1011"/>
      <c r="JGP152" s="1011"/>
      <c r="JGQ152" s="1011"/>
      <c r="JGR152" s="1011"/>
      <c r="JGS152" s="1011"/>
      <c r="JGT152" s="1011"/>
      <c r="JGU152" s="1011"/>
      <c r="JGV152" s="1011"/>
      <c r="JGW152" s="1011"/>
      <c r="JGX152" s="1011"/>
      <c r="JGY152" s="1011"/>
      <c r="JGZ152" s="1011"/>
      <c r="JHA152" s="1011"/>
      <c r="JHB152" s="1011"/>
      <c r="JHC152" s="1011"/>
      <c r="JHD152" s="1011"/>
      <c r="JHE152" s="1011"/>
      <c r="JHF152" s="1011"/>
      <c r="JHG152" s="1011"/>
      <c r="JHH152" s="1011"/>
      <c r="JHI152" s="1011"/>
      <c r="JHJ152" s="1011"/>
      <c r="JHK152" s="1011"/>
      <c r="JHL152" s="1011"/>
      <c r="JHM152" s="1011"/>
      <c r="JHN152" s="1011"/>
      <c r="JHO152" s="1011"/>
      <c r="JHP152" s="1011"/>
      <c r="JHQ152" s="1011"/>
      <c r="JHR152" s="1011"/>
      <c r="JHS152" s="1011"/>
      <c r="JHT152" s="1011"/>
      <c r="JHU152" s="1011"/>
      <c r="JHV152" s="1011"/>
      <c r="JHW152" s="1011"/>
      <c r="JHX152" s="1011"/>
      <c r="JHY152" s="1011"/>
      <c r="JHZ152" s="1011"/>
      <c r="JIA152" s="1011"/>
      <c r="JIB152" s="1011"/>
      <c r="JIC152" s="1011"/>
      <c r="JID152" s="1011"/>
      <c r="JIE152" s="1011"/>
      <c r="JIF152" s="1011"/>
      <c r="JIG152" s="1011"/>
      <c r="JIH152" s="1011"/>
      <c r="JII152" s="1011"/>
      <c r="JIJ152" s="1011"/>
      <c r="JIK152" s="1011"/>
      <c r="JIL152" s="1011"/>
      <c r="JIM152" s="1011"/>
      <c r="JIN152" s="1011"/>
      <c r="JIO152" s="1011"/>
      <c r="JIP152" s="1011"/>
      <c r="JIQ152" s="1011"/>
      <c r="JIR152" s="1011"/>
      <c r="JIS152" s="1011"/>
      <c r="JIT152" s="1011"/>
      <c r="JIU152" s="1011"/>
      <c r="JIV152" s="1011"/>
      <c r="JIW152" s="1011"/>
      <c r="JIX152" s="1011"/>
      <c r="JIY152" s="1011"/>
      <c r="JIZ152" s="1011"/>
      <c r="JJA152" s="1011"/>
      <c r="JJB152" s="1011"/>
      <c r="JJC152" s="1011"/>
      <c r="JJD152" s="1011"/>
      <c r="JJE152" s="1011"/>
      <c r="JJF152" s="1011"/>
      <c r="JJG152" s="1011"/>
      <c r="JJH152" s="1011"/>
      <c r="JJI152" s="1011"/>
      <c r="JJJ152" s="1011"/>
      <c r="JJK152" s="1011"/>
      <c r="JJL152" s="1011"/>
      <c r="JJM152" s="1011"/>
      <c r="JJN152" s="1011"/>
      <c r="JJO152" s="1011"/>
      <c r="JJP152" s="1011"/>
      <c r="JJQ152" s="1011"/>
      <c r="JJR152" s="1011"/>
      <c r="JJS152" s="1011"/>
      <c r="JJT152" s="1011"/>
      <c r="JJU152" s="1011"/>
      <c r="JJV152" s="1011"/>
      <c r="JJW152" s="1011"/>
      <c r="JJX152" s="1011"/>
      <c r="JJY152" s="1011"/>
      <c r="JJZ152" s="1011"/>
      <c r="JKA152" s="1011"/>
      <c r="JKB152" s="1011"/>
      <c r="JKC152" s="1011"/>
      <c r="JKD152" s="1011"/>
      <c r="JKE152" s="1011"/>
      <c r="JKF152" s="1011"/>
      <c r="JKG152" s="1011"/>
      <c r="JKH152" s="1011"/>
      <c r="JKI152" s="1011"/>
      <c r="JKJ152" s="1011"/>
      <c r="JKK152" s="1011"/>
      <c r="JKL152" s="1011"/>
      <c r="JKM152" s="1011"/>
      <c r="JKN152" s="1011"/>
      <c r="JKO152" s="1011"/>
      <c r="JKP152" s="1011"/>
      <c r="JKQ152" s="1011"/>
      <c r="JKR152" s="1011"/>
      <c r="JKS152" s="1011"/>
      <c r="JKT152" s="1011"/>
      <c r="JKU152" s="1011"/>
      <c r="JKV152" s="1011"/>
      <c r="JKW152" s="1011"/>
      <c r="JKX152" s="1011"/>
      <c r="JKY152" s="1011"/>
      <c r="JKZ152" s="1011"/>
      <c r="JLA152" s="1011"/>
      <c r="JLB152" s="1011"/>
      <c r="JLC152" s="1011"/>
      <c r="JLD152" s="1011"/>
      <c r="JLE152" s="1011"/>
      <c r="JLF152" s="1011"/>
      <c r="JLG152" s="1011"/>
      <c r="JLH152" s="1011"/>
      <c r="JLI152" s="1011"/>
      <c r="JLJ152" s="1011"/>
      <c r="JLK152" s="1011"/>
      <c r="JLL152" s="1011"/>
      <c r="JLM152" s="1011"/>
      <c r="JLN152" s="1011"/>
      <c r="JLO152" s="1011"/>
      <c r="JLP152" s="1011"/>
      <c r="JLQ152" s="1011"/>
      <c r="JLR152" s="1011"/>
      <c r="JLS152" s="1011"/>
      <c r="JLT152" s="1011"/>
      <c r="JLU152" s="1011"/>
      <c r="JLV152" s="1011"/>
      <c r="JLW152" s="1011"/>
      <c r="JLX152" s="1011"/>
      <c r="JLY152" s="1011"/>
      <c r="JLZ152" s="1011"/>
      <c r="JMA152" s="1011"/>
      <c r="JMB152" s="1011"/>
      <c r="JMC152" s="1011"/>
      <c r="JMD152" s="1011"/>
      <c r="JME152" s="1011"/>
      <c r="JMF152" s="1011"/>
      <c r="JMG152" s="1011"/>
      <c r="JMH152" s="1011"/>
      <c r="JMI152" s="1011"/>
      <c r="JMJ152" s="1011"/>
      <c r="JMK152" s="1011"/>
      <c r="JML152" s="1011"/>
      <c r="JMM152" s="1011"/>
      <c r="JMN152" s="1011"/>
      <c r="JMO152" s="1011"/>
      <c r="JMP152" s="1011"/>
      <c r="JMQ152" s="1011"/>
      <c r="JMR152" s="1011"/>
      <c r="JMS152" s="1011"/>
      <c r="JMT152" s="1011"/>
      <c r="JMU152" s="1011"/>
      <c r="JMV152" s="1011"/>
      <c r="JMW152" s="1011"/>
      <c r="JMX152" s="1011"/>
      <c r="JMY152" s="1011"/>
      <c r="JMZ152" s="1011"/>
      <c r="JNA152" s="1011"/>
      <c r="JNB152" s="1011"/>
      <c r="JNC152" s="1011"/>
      <c r="JND152" s="1011"/>
      <c r="JNE152" s="1011"/>
      <c r="JNF152" s="1011"/>
      <c r="JNG152" s="1011"/>
      <c r="JNH152" s="1011"/>
      <c r="JNI152" s="1011"/>
      <c r="JNJ152" s="1011"/>
      <c r="JNK152" s="1011"/>
      <c r="JNL152" s="1011"/>
      <c r="JNM152" s="1011"/>
      <c r="JNN152" s="1011"/>
      <c r="JNO152" s="1011"/>
      <c r="JNP152" s="1011"/>
      <c r="JNQ152" s="1011"/>
      <c r="JNR152" s="1011"/>
      <c r="JNS152" s="1011"/>
      <c r="JNT152" s="1011"/>
      <c r="JNU152" s="1011"/>
      <c r="JNV152" s="1011"/>
      <c r="JNW152" s="1011"/>
      <c r="JNX152" s="1011"/>
      <c r="JNY152" s="1011"/>
      <c r="JNZ152" s="1011"/>
      <c r="JOA152" s="1011"/>
      <c r="JOB152" s="1011"/>
      <c r="JOC152" s="1011"/>
      <c r="JOD152" s="1011"/>
      <c r="JOE152" s="1011"/>
      <c r="JOF152" s="1011"/>
      <c r="JOG152" s="1011"/>
      <c r="JOH152" s="1011"/>
      <c r="JOI152" s="1011"/>
      <c r="JOJ152" s="1011"/>
      <c r="JOK152" s="1011"/>
      <c r="JOL152" s="1011"/>
      <c r="JOM152" s="1011"/>
      <c r="JON152" s="1011"/>
      <c r="JOO152" s="1011"/>
      <c r="JOP152" s="1011"/>
      <c r="JOQ152" s="1011"/>
      <c r="JOR152" s="1011"/>
      <c r="JOS152" s="1011"/>
      <c r="JOT152" s="1011"/>
      <c r="JOU152" s="1011"/>
      <c r="JOV152" s="1011"/>
      <c r="JOW152" s="1011"/>
      <c r="JOX152" s="1011"/>
      <c r="JOY152" s="1011"/>
      <c r="JOZ152" s="1011"/>
      <c r="JPA152" s="1011"/>
      <c r="JPB152" s="1011"/>
      <c r="JPC152" s="1011"/>
      <c r="JPD152" s="1011"/>
      <c r="JPE152" s="1011"/>
      <c r="JPF152" s="1011"/>
      <c r="JPG152" s="1011"/>
      <c r="JPH152" s="1011"/>
      <c r="JPI152" s="1011"/>
      <c r="JPJ152" s="1011"/>
      <c r="JPK152" s="1011"/>
      <c r="JPL152" s="1011"/>
      <c r="JPM152" s="1011"/>
      <c r="JPN152" s="1011"/>
      <c r="JPO152" s="1011"/>
      <c r="JPP152" s="1011"/>
      <c r="JPQ152" s="1011"/>
      <c r="JPR152" s="1011"/>
      <c r="JPS152" s="1011"/>
      <c r="JPT152" s="1011"/>
      <c r="JPU152" s="1011"/>
      <c r="JPV152" s="1011"/>
      <c r="JPW152" s="1011"/>
      <c r="JPX152" s="1011"/>
      <c r="JPY152" s="1011"/>
      <c r="JPZ152" s="1011"/>
      <c r="JQA152" s="1011"/>
      <c r="JQB152" s="1011"/>
      <c r="JQC152" s="1011"/>
      <c r="JQD152" s="1011"/>
      <c r="JQE152" s="1011"/>
      <c r="JQF152" s="1011"/>
      <c r="JQG152" s="1011"/>
      <c r="JQH152" s="1011"/>
      <c r="JQI152" s="1011"/>
      <c r="JQJ152" s="1011"/>
      <c r="JQK152" s="1011"/>
      <c r="JQL152" s="1011"/>
      <c r="JQM152" s="1011"/>
      <c r="JQN152" s="1011"/>
      <c r="JQO152" s="1011"/>
      <c r="JQP152" s="1011"/>
      <c r="JQQ152" s="1011"/>
      <c r="JQR152" s="1011"/>
      <c r="JQS152" s="1011"/>
      <c r="JQT152" s="1011"/>
      <c r="JQU152" s="1011"/>
      <c r="JQV152" s="1011"/>
      <c r="JQW152" s="1011"/>
      <c r="JQX152" s="1011"/>
      <c r="JQY152" s="1011"/>
      <c r="JQZ152" s="1011"/>
      <c r="JRA152" s="1011"/>
      <c r="JRB152" s="1011"/>
      <c r="JRC152" s="1011"/>
      <c r="JRD152" s="1011"/>
      <c r="JRE152" s="1011"/>
      <c r="JRF152" s="1011"/>
      <c r="JRG152" s="1011"/>
      <c r="JRH152" s="1011"/>
      <c r="JRI152" s="1011"/>
      <c r="JRJ152" s="1011"/>
      <c r="JRK152" s="1011"/>
      <c r="JRL152" s="1011"/>
      <c r="JRM152" s="1011"/>
      <c r="JRN152" s="1011"/>
      <c r="JRO152" s="1011"/>
      <c r="JRP152" s="1011"/>
      <c r="JRQ152" s="1011"/>
      <c r="JRR152" s="1011"/>
      <c r="JRS152" s="1011"/>
      <c r="JRT152" s="1011"/>
      <c r="JRU152" s="1011"/>
      <c r="JRV152" s="1011"/>
      <c r="JRW152" s="1011"/>
      <c r="JRX152" s="1011"/>
      <c r="JRY152" s="1011"/>
      <c r="JRZ152" s="1011"/>
      <c r="JSA152" s="1011"/>
      <c r="JSB152" s="1011"/>
      <c r="JSC152" s="1011"/>
      <c r="JSD152" s="1011"/>
      <c r="JSE152" s="1011"/>
      <c r="JSF152" s="1011"/>
      <c r="JSG152" s="1011"/>
      <c r="JSH152" s="1011"/>
      <c r="JSI152" s="1011"/>
      <c r="JSJ152" s="1011"/>
      <c r="JSK152" s="1011"/>
      <c r="JSL152" s="1011"/>
      <c r="JSM152" s="1011"/>
      <c r="JSN152" s="1011"/>
      <c r="JSO152" s="1011"/>
      <c r="JSP152" s="1011"/>
      <c r="JSQ152" s="1011"/>
      <c r="JSR152" s="1011"/>
      <c r="JSS152" s="1011"/>
      <c r="JST152" s="1011"/>
      <c r="JSU152" s="1011"/>
      <c r="JSV152" s="1011"/>
      <c r="JSW152" s="1011"/>
      <c r="JSX152" s="1011"/>
      <c r="JSY152" s="1011"/>
      <c r="JSZ152" s="1011"/>
      <c r="JTA152" s="1011"/>
      <c r="JTB152" s="1011"/>
      <c r="JTC152" s="1011"/>
      <c r="JTD152" s="1011"/>
      <c r="JTE152" s="1011"/>
      <c r="JTF152" s="1011"/>
      <c r="JTG152" s="1011"/>
      <c r="JTH152" s="1011"/>
      <c r="JTI152" s="1011"/>
      <c r="JTJ152" s="1011"/>
      <c r="JTK152" s="1011"/>
      <c r="JTL152" s="1011"/>
      <c r="JTM152" s="1011"/>
      <c r="JTN152" s="1011"/>
      <c r="JTO152" s="1011"/>
      <c r="JTP152" s="1011"/>
      <c r="JTQ152" s="1011"/>
      <c r="JTR152" s="1011"/>
      <c r="JTS152" s="1011"/>
      <c r="JTT152" s="1011"/>
      <c r="JTU152" s="1011"/>
      <c r="JTV152" s="1011"/>
      <c r="JTW152" s="1011"/>
      <c r="JTX152" s="1011"/>
      <c r="JTY152" s="1011"/>
      <c r="JTZ152" s="1011"/>
      <c r="JUA152" s="1011"/>
      <c r="JUB152" s="1011"/>
      <c r="JUC152" s="1011"/>
      <c r="JUD152" s="1011"/>
      <c r="JUE152" s="1011"/>
      <c r="JUF152" s="1011"/>
      <c r="JUG152" s="1011"/>
      <c r="JUH152" s="1011"/>
      <c r="JUI152" s="1011"/>
      <c r="JUJ152" s="1011"/>
      <c r="JUK152" s="1011"/>
      <c r="JUL152" s="1011"/>
      <c r="JUM152" s="1011"/>
      <c r="JUN152" s="1011"/>
      <c r="JUO152" s="1011"/>
      <c r="JUP152" s="1011"/>
      <c r="JUQ152" s="1011"/>
      <c r="JUR152" s="1011"/>
      <c r="JUS152" s="1011"/>
      <c r="JUT152" s="1011"/>
      <c r="JUU152" s="1011"/>
      <c r="JUV152" s="1011"/>
      <c r="JUW152" s="1011"/>
      <c r="JUX152" s="1011"/>
      <c r="JUY152" s="1011"/>
      <c r="JUZ152" s="1011"/>
      <c r="JVA152" s="1011"/>
      <c r="JVB152" s="1011"/>
      <c r="JVC152" s="1011"/>
      <c r="JVD152" s="1011"/>
      <c r="JVE152" s="1011"/>
      <c r="JVF152" s="1011"/>
      <c r="JVG152" s="1011"/>
      <c r="JVH152" s="1011"/>
      <c r="JVI152" s="1011"/>
      <c r="JVJ152" s="1011"/>
      <c r="JVK152" s="1011"/>
      <c r="JVL152" s="1011"/>
      <c r="JVM152" s="1011"/>
      <c r="JVN152" s="1011"/>
      <c r="JVO152" s="1011"/>
      <c r="JVP152" s="1011"/>
      <c r="JVQ152" s="1011"/>
      <c r="JVR152" s="1011"/>
      <c r="JVS152" s="1011"/>
      <c r="JVT152" s="1011"/>
      <c r="JVU152" s="1011"/>
      <c r="JVV152" s="1011"/>
      <c r="JVW152" s="1011"/>
      <c r="JVX152" s="1011"/>
      <c r="JVY152" s="1011"/>
      <c r="JVZ152" s="1011"/>
      <c r="JWA152" s="1011"/>
      <c r="JWB152" s="1011"/>
      <c r="JWC152" s="1011"/>
      <c r="JWD152" s="1011"/>
      <c r="JWE152" s="1011"/>
      <c r="JWF152" s="1011"/>
      <c r="JWG152" s="1011"/>
      <c r="JWH152" s="1011"/>
      <c r="JWI152" s="1011"/>
      <c r="JWJ152" s="1011"/>
      <c r="JWK152" s="1011"/>
      <c r="JWL152" s="1011"/>
      <c r="JWM152" s="1011"/>
      <c r="JWN152" s="1011"/>
      <c r="JWO152" s="1011"/>
      <c r="JWP152" s="1011"/>
      <c r="JWQ152" s="1011"/>
      <c r="JWR152" s="1011"/>
      <c r="JWS152" s="1011"/>
      <c r="JWT152" s="1011"/>
      <c r="JWU152" s="1011"/>
      <c r="JWV152" s="1011"/>
      <c r="JWW152" s="1011"/>
      <c r="JWX152" s="1011"/>
      <c r="JWY152" s="1011"/>
      <c r="JWZ152" s="1011"/>
      <c r="JXA152" s="1011"/>
      <c r="JXB152" s="1011"/>
      <c r="JXC152" s="1011"/>
      <c r="JXD152" s="1011"/>
      <c r="JXE152" s="1011"/>
      <c r="JXF152" s="1011"/>
      <c r="JXG152" s="1011"/>
      <c r="JXH152" s="1011"/>
      <c r="JXI152" s="1011"/>
      <c r="JXJ152" s="1011"/>
      <c r="JXK152" s="1011"/>
      <c r="JXL152" s="1011"/>
      <c r="JXM152" s="1011"/>
      <c r="JXN152" s="1011"/>
      <c r="JXO152" s="1011"/>
      <c r="JXP152" s="1011"/>
      <c r="JXQ152" s="1011"/>
      <c r="JXR152" s="1011"/>
      <c r="JXS152" s="1011"/>
      <c r="JXT152" s="1011"/>
      <c r="JXU152" s="1011"/>
      <c r="JXV152" s="1011"/>
      <c r="JXW152" s="1011"/>
      <c r="JXX152" s="1011"/>
      <c r="JXY152" s="1011"/>
      <c r="JXZ152" s="1011"/>
      <c r="JYA152" s="1011"/>
      <c r="JYB152" s="1011"/>
      <c r="JYC152" s="1011"/>
      <c r="JYD152" s="1011"/>
      <c r="JYE152" s="1011"/>
      <c r="JYF152" s="1011"/>
      <c r="JYG152" s="1011"/>
      <c r="JYH152" s="1011"/>
      <c r="JYI152" s="1011"/>
      <c r="JYJ152" s="1011"/>
      <c r="JYK152" s="1011"/>
      <c r="JYL152" s="1011"/>
      <c r="JYM152" s="1011"/>
      <c r="JYN152" s="1011"/>
      <c r="JYO152" s="1011"/>
      <c r="JYP152" s="1011"/>
      <c r="JYQ152" s="1011"/>
      <c r="JYR152" s="1011"/>
      <c r="JYS152" s="1011"/>
      <c r="JYT152" s="1011"/>
      <c r="JYU152" s="1011"/>
      <c r="JYV152" s="1011"/>
      <c r="JYW152" s="1011"/>
      <c r="JYX152" s="1011"/>
      <c r="JYY152" s="1011"/>
      <c r="JYZ152" s="1011"/>
      <c r="JZA152" s="1011"/>
      <c r="JZB152" s="1011"/>
      <c r="JZC152" s="1011"/>
      <c r="JZD152" s="1011"/>
      <c r="JZE152" s="1011"/>
      <c r="JZF152" s="1011"/>
      <c r="JZG152" s="1011"/>
      <c r="JZH152" s="1011"/>
      <c r="JZI152" s="1011"/>
      <c r="JZJ152" s="1011"/>
      <c r="JZK152" s="1011"/>
      <c r="JZL152" s="1011"/>
      <c r="JZM152" s="1011"/>
      <c r="JZN152" s="1011"/>
      <c r="JZO152" s="1011"/>
      <c r="JZP152" s="1011"/>
      <c r="JZQ152" s="1011"/>
      <c r="JZR152" s="1011"/>
      <c r="JZS152" s="1011"/>
      <c r="JZT152" s="1011"/>
      <c r="JZU152" s="1011"/>
      <c r="JZV152" s="1011"/>
      <c r="JZW152" s="1011"/>
      <c r="JZX152" s="1011"/>
      <c r="JZY152" s="1011"/>
      <c r="JZZ152" s="1011"/>
      <c r="KAA152" s="1011"/>
      <c r="KAB152" s="1011"/>
      <c r="KAC152" s="1011"/>
      <c r="KAD152" s="1011"/>
      <c r="KAE152" s="1011"/>
      <c r="KAF152" s="1011"/>
      <c r="KAG152" s="1011"/>
      <c r="KAH152" s="1011"/>
      <c r="KAI152" s="1011"/>
      <c r="KAJ152" s="1011"/>
      <c r="KAK152" s="1011"/>
      <c r="KAL152" s="1011"/>
      <c r="KAM152" s="1011"/>
      <c r="KAN152" s="1011"/>
      <c r="KAO152" s="1011"/>
      <c r="KAP152" s="1011"/>
      <c r="KAQ152" s="1011"/>
      <c r="KAR152" s="1011"/>
      <c r="KAS152" s="1011"/>
      <c r="KAT152" s="1011"/>
      <c r="KAU152" s="1011"/>
      <c r="KAV152" s="1011"/>
      <c r="KAW152" s="1011"/>
      <c r="KAX152" s="1011"/>
      <c r="KAY152" s="1011"/>
      <c r="KAZ152" s="1011"/>
      <c r="KBA152" s="1011"/>
      <c r="KBB152" s="1011"/>
      <c r="KBC152" s="1011"/>
      <c r="KBD152" s="1011"/>
      <c r="KBE152" s="1011"/>
      <c r="KBF152" s="1011"/>
      <c r="KBG152" s="1011"/>
      <c r="KBH152" s="1011"/>
      <c r="KBI152" s="1011"/>
      <c r="KBJ152" s="1011"/>
      <c r="KBK152" s="1011"/>
      <c r="KBL152" s="1011"/>
      <c r="KBM152" s="1011"/>
      <c r="KBN152" s="1011"/>
      <c r="KBO152" s="1011"/>
      <c r="KBP152" s="1011"/>
      <c r="KBQ152" s="1011"/>
      <c r="KBR152" s="1011"/>
      <c r="KBS152" s="1011"/>
      <c r="KBT152" s="1011"/>
      <c r="KBU152" s="1011"/>
      <c r="KBV152" s="1011"/>
      <c r="KBW152" s="1011"/>
      <c r="KBX152" s="1011"/>
      <c r="KBY152" s="1011"/>
      <c r="KBZ152" s="1011"/>
      <c r="KCA152" s="1011"/>
      <c r="KCB152" s="1011"/>
      <c r="KCC152" s="1011"/>
      <c r="KCD152" s="1011"/>
      <c r="KCE152" s="1011"/>
      <c r="KCF152" s="1011"/>
      <c r="KCG152" s="1011"/>
      <c r="KCH152" s="1011"/>
      <c r="KCI152" s="1011"/>
      <c r="KCJ152" s="1011"/>
      <c r="KCK152" s="1011"/>
      <c r="KCL152" s="1011"/>
      <c r="KCM152" s="1011"/>
      <c r="KCN152" s="1011"/>
      <c r="KCO152" s="1011"/>
      <c r="KCP152" s="1011"/>
      <c r="KCQ152" s="1011"/>
      <c r="KCR152" s="1011"/>
      <c r="KCS152" s="1011"/>
      <c r="KCT152" s="1011"/>
      <c r="KCU152" s="1011"/>
      <c r="KCV152" s="1011"/>
      <c r="KCW152" s="1011"/>
      <c r="KCX152" s="1011"/>
      <c r="KCY152" s="1011"/>
      <c r="KCZ152" s="1011"/>
      <c r="KDA152" s="1011"/>
      <c r="KDB152" s="1011"/>
      <c r="KDC152" s="1011"/>
      <c r="KDD152" s="1011"/>
      <c r="KDE152" s="1011"/>
      <c r="KDF152" s="1011"/>
      <c r="KDG152" s="1011"/>
      <c r="KDH152" s="1011"/>
      <c r="KDI152" s="1011"/>
      <c r="KDJ152" s="1011"/>
      <c r="KDK152" s="1011"/>
      <c r="KDL152" s="1011"/>
      <c r="KDM152" s="1011"/>
      <c r="KDN152" s="1011"/>
      <c r="KDO152" s="1011"/>
      <c r="KDP152" s="1011"/>
      <c r="KDQ152" s="1011"/>
      <c r="KDR152" s="1011"/>
      <c r="KDS152" s="1011"/>
      <c r="KDT152" s="1011"/>
      <c r="KDU152" s="1011"/>
      <c r="KDV152" s="1011"/>
      <c r="KDW152" s="1011"/>
      <c r="KDX152" s="1011"/>
      <c r="KDY152" s="1011"/>
      <c r="KDZ152" s="1011"/>
      <c r="KEA152" s="1011"/>
      <c r="KEB152" s="1011"/>
      <c r="KEC152" s="1011"/>
      <c r="KED152" s="1011"/>
      <c r="KEE152" s="1011"/>
      <c r="KEF152" s="1011"/>
      <c r="KEG152" s="1011"/>
      <c r="KEH152" s="1011"/>
      <c r="KEI152" s="1011"/>
      <c r="KEJ152" s="1011"/>
      <c r="KEK152" s="1011"/>
      <c r="KEL152" s="1011"/>
      <c r="KEM152" s="1011"/>
      <c r="KEN152" s="1011"/>
      <c r="KEO152" s="1011"/>
      <c r="KEP152" s="1011"/>
      <c r="KEQ152" s="1011"/>
      <c r="KER152" s="1011"/>
      <c r="KES152" s="1011"/>
      <c r="KET152" s="1011"/>
      <c r="KEU152" s="1011"/>
      <c r="KEV152" s="1011"/>
      <c r="KEW152" s="1011"/>
      <c r="KEX152" s="1011"/>
      <c r="KEY152" s="1011"/>
      <c r="KEZ152" s="1011"/>
      <c r="KFA152" s="1011"/>
      <c r="KFB152" s="1011"/>
      <c r="KFC152" s="1011"/>
      <c r="KFD152" s="1011"/>
      <c r="KFE152" s="1011"/>
      <c r="KFF152" s="1011"/>
      <c r="KFG152" s="1011"/>
      <c r="KFH152" s="1011"/>
      <c r="KFI152" s="1011"/>
      <c r="KFJ152" s="1011"/>
      <c r="KFK152" s="1011"/>
      <c r="KFL152" s="1011"/>
      <c r="KFM152" s="1011"/>
      <c r="KFN152" s="1011"/>
      <c r="KFO152" s="1011"/>
      <c r="KFP152" s="1011"/>
      <c r="KFQ152" s="1011"/>
      <c r="KFR152" s="1011"/>
      <c r="KFS152" s="1011"/>
      <c r="KFT152" s="1011"/>
      <c r="KFU152" s="1011"/>
      <c r="KFV152" s="1011"/>
      <c r="KFW152" s="1011"/>
      <c r="KFX152" s="1011"/>
      <c r="KFY152" s="1011"/>
      <c r="KFZ152" s="1011"/>
      <c r="KGA152" s="1011"/>
      <c r="KGB152" s="1011"/>
      <c r="KGC152" s="1011"/>
      <c r="KGD152" s="1011"/>
      <c r="KGE152" s="1011"/>
      <c r="KGF152" s="1011"/>
      <c r="KGG152" s="1011"/>
      <c r="KGH152" s="1011"/>
      <c r="KGI152" s="1011"/>
      <c r="KGJ152" s="1011"/>
      <c r="KGK152" s="1011"/>
      <c r="KGL152" s="1011"/>
      <c r="KGM152" s="1011"/>
      <c r="KGN152" s="1011"/>
      <c r="KGO152" s="1011"/>
      <c r="KGP152" s="1011"/>
      <c r="KGQ152" s="1011"/>
      <c r="KGR152" s="1011"/>
      <c r="KGS152" s="1011"/>
      <c r="KGT152" s="1011"/>
      <c r="KGU152" s="1011"/>
      <c r="KGV152" s="1011"/>
      <c r="KGW152" s="1011"/>
      <c r="KGX152" s="1011"/>
      <c r="KGY152" s="1011"/>
      <c r="KGZ152" s="1011"/>
      <c r="KHA152" s="1011"/>
      <c r="KHB152" s="1011"/>
      <c r="KHC152" s="1011"/>
      <c r="KHD152" s="1011"/>
      <c r="KHE152" s="1011"/>
      <c r="KHF152" s="1011"/>
      <c r="KHG152" s="1011"/>
      <c r="KHH152" s="1011"/>
      <c r="KHI152" s="1011"/>
      <c r="KHJ152" s="1011"/>
      <c r="KHK152" s="1011"/>
      <c r="KHL152" s="1011"/>
      <c r="KHM152" s="1011"/>
      <c r="KHN152" s="1011"/>
      <c r="KHO152" s="1011"/>
      <c r="KHP152" s="1011"/>
      <c r="KHQ152" s="1011"/>
      <c r="KHR152" s="1011"/>
      <c r="KHS152" s="1011"/>
      <c r="KHT152" s="1011"/>
      <c r="KHU152" s="1011"/>
      <c r="KHV152" s="1011"/>
      <c r="KHW152" s="1011"/>
      <c r="KHX152" s="1011"/>
      <c r="KHY152" s="1011"/>
      <c r="KHZ152" s="1011"/>
      <c r="KIA152" s="1011"/>
      <c r="KIB152" s="1011"/>
      <c r="KIC152" s="1011"/>
      <c r="KID152" s="1011"/>
      <c r="KIE152" s="1011"/>
      <c r="KIF152" s="1011"/>
      <c r="KIG152" s="1011"/>
      <c r="KIH152" s="1011"/>
      <c r="KII152" s="1011"/>
      <c r="KIJ152" s="1011"/>
      <c r="KIK152" s="1011"/>
      <c r="KIL152" s="1011"/>
      <c r="KIM152" s="1011"/>
      <c r="KIN152" s="1011"/>
      <c r="KIO152" s="1011"/>
      <c r="KIP152" s="1011"/>
      <c r="KIQ152" s="1011"/>
      <c r="KIR152" s="1011"/>
      <c r="KIS152" s="1011"/>
      <c r="KIT152" s="1011"/>
      <c r="KIU152" s="1011"/>
      <c r="KIV152" s="1011"/>
      <c r="KIW152" s="1011"/>
      <c r="KIX152" s="1011"/>
      <c r="KIY152" s="1011"/>
      <c r="KIZ152" s="1011"/>
      <c r="KJA152" s="1011"/>
      <c r="KJB152" s="1011"/>
      <c r="KJC152" s="1011"/>
      <c r="KJD152" s="1011"/>
      <c r="KJE152" s="1011"/>
      <c r="KJF152" s="1011"/>
      <c r="KJG152" s="1011"/>
      <c r="KJH152" s="1011"/>
      <c r="KJI152" s="1011"/>
      <c r="KJJ152" s="1011"/>
      <c r="KJK152" s="1011"/>
      <c r="KJL152" s="1011"/>
      <c r="KJM152" s="1011"/>
      <c r="KJN152" s="1011"/>
      <c r="KJO152" s="1011"/>
      <c r="KJP152" s="1011"/>
      <c r="KJQ152" s="1011"/>
      <c r="KJR152" s="1011"/>
      <c r="KJS152" s="1011"/>
      <c r="KJT152" s="1011"/>
      <c r="KJU152" s="1011"/>
      <c r="KJV152" s="1011"/>
      <c r="KJW152" s="1011"/>
      <c r="KJX152" s="1011"/>
      <c r="KJY152" s="1011"/>
      <c r="KJZ152" s="1011"/>
      <c r="KKA152" s="1011"/>
      <c r="KKB152" s="1011"/>
      <c r="KKC152" s="1011"/>
      <c r="KKD152" s="1011"/>
      <c r="KKE152" s="1011"/>
      <c r="KKF152" s="1011"/>
      <c r="KKG152" s="1011"/>
      <c r="KKH152" s="1011"/>
      <c r="KKI152" s="1011"/>
      <c r="KKJ152" s="1011"/>
      <c r="KKK152" s="1011"/>
      <c r="KKL152" s="1011"/>
      <c r="KKM152" s="1011"/>
      <c r="KKN152" s="1011"/>
      <c r="KKO152" s="1011"/>
      <c r="KKP152" s="1011"/>
      <c r="KKQ152" s="1011"/>
      <c r="KKR152" s="1011"/>
      <c r="KKS152" s="1011"/>
      <c r="KKT152" s="1011"/>
      <c r="KKU152" s="1011"/>
      <c r="KKV152" s="1011"/>
      <c r="KKW152" s="1011"/>
      <c r="KKX152" s="1011"/>
      <c r="KKY152" s="1011"/>
      <c r="KKZ152" s="1011"/>
      <c r="KLA152" s="1011"/>
      <c r="KLB152" s="1011"/>
      <c r="KLC152" s="1011"/>
      <c r="KLD152" s="1011"/>
      <c r="KLE152" s="1011"/>
      <c r="KLF152" s="1011"/>
      <c r="KLG152" s="1011"/>
      <c r="KLH152" s="1011"/>
      <c r="KLI152" s="1011"/>
      <c r="KLJ152" s="1011"/>
      <c r="KLK152" s="1011"/>
      <c r="KLL152" s="1011"/>
      <c r="KLM152" s="1011"/>
      <c r="KLN152" s="1011"/>
      <c r="KLO152" s="1011"/>
      <c r="KLP152" s="1011"/>
      <c r="KLQ152" s="1011"/>
      <c r="KLR152" s="1011"/>
      <c r="KLS152" s="1011"/>
      <c r="KLT152" s="1011"/>
      <c r="KLU152" s="1011"/>
      <c r="KLV152" s="1011"/>
      <c r="KLW152" s="1011"/>
      <c r="KLX152" s="1011"/>
      <c r="KLY152" s="1011"/>
      <c r="KLZ152" s="1011"/>
      <c r="KMA152" s="1011"/>
      <c r="KMB152" s="1011"/>
      <c r="KMC152" s="1011"/>
      <c r="KMD152" s="1011"/>
      <c r="KME152" s="1011"/>
      <c r="KMF152" s="1011"/>
      <c r="KMG152" s="1011"/>
      <c r="KMH152" s="1011"/>
      <c r="KMI152" s="1011"/>
      <c r="KMJ152" s="1011"/>
      <c r="KMK152" s="1011"/>
      <c r="KML152" s="1011"/>
      <c r="KMM152" s="1011"/>
      <c r="KMN152" s="1011"/>
      <c r="KMO152" s="1011"/>
      <c r="KMP152" s="1011"/>
      <c r="KMQ152" s="1011"/>
      <c r="KMR152" s="1011"/>
      <c r="KMS152" s="1011"/>
      <c r="KMT152" s="1011"/>
      <c r="KMU152" s="1011"/>
      <c r="KMV152" s="1011"/>
      <c r="KMW152" s="1011"/>
      <c r="KMX152" s="1011"/>
      <c r="KMY152" s="1011"/>
      <c r="KMZ152" s="1011"/>
      <c r="KNA152" s="1011"/>
      <c r="KNB152" s="1011"/>
      <c r="KNC152" s="1011"/>
      <c r="KND152" s="1011"/>
      <c r="KNE152" s="1011"/>
      <c r="KNF152" s="1011"/>
      <c r="KNG152" s="1011"/>
      <c r="KNH152" s="1011"/>
      <c r="KNI152" s="1011"/>
      <c r="KNJ152" s="1011"/>
      <c r="KNK152" s="1011"/>
      <c r="KNL152" s="1011"/>
      <c r="KNM152" s="1011"/>
      <c r="KNN152" s="1011"/>
      <c r="KNO152" s="1011"/>
      <c r="KNP152" s="1011"/>
      <c r="KNQ152" s="1011"/>
      <c r="KNR152" s="1011"/>
      <c r="KNS152" s="1011"/>
      <c r="KNT152" s="1011"/>
      <c r="KNU152" s="1011"/>
      <c r="KNV152" s="1011"/>
      <c r="KNW152" s="1011"/>
      <c r="KNX152" s="1011"/>
      <c r="KNY152" s="1011"/>
      <c r="KNZ152" s="1011"/>
      <c r="KOA152" s="1011"/>
      <c r="KOB152" s="1011"/>
      <c r="KOC152" s="1011"/>
      <c r="KOD152" s="1011"/>
      <c r="KOE152" s="1011"/>
      <c r="KOF152" s="1011"/>
      <c r="KOG152" s="1011"/>
      <c r="KOH152" s="1011"/>
      <c r="KOI152" s="1011"/>
      <c r="KOJ152" s="1011"/>
      <c r="KOK152" s="1011"/>
      <c r="KOL152" s="1011"/>
      <c r="KOM152" s="1011"/>
      <c r="KON152" s="1011"/>
      <c r="KOO152" s="1011"/>
      <c r="KOP152" s="1011"/>
      <c r="KOQ152" s="1011"/>
      <c r="KOR152" s="1011"/>
      <c r="KOS152" s="1011"/>
      <c r="KOT152" s="1011"/>
      <c r="KOU152" s="1011"/>
      <c r="KOV152" s="1011"/>
      <c r="KOW152" s="1011"/>
      <c r="KOX152" s="1011"/>
      <c r="KOY152" s="1011"/>
      <c r="KOZ152" s="1011"/>
      <c r="KPA152" s="1011"/>
      <c r="KPB152" s="1011"/>
      <c r="KPC152" s="1011"/>
      <c r="KPD152" s="1011"/>
      <c r="KPE152" s="1011"/>
      <c r="KPF152" s="1011"/>
      <c r="KPG152" s="1011"/>
      <c r="KPH152" s="1011"/>
      <c r="KPI152" s="1011"/>
      <c r="KPJ152" s="1011"/>
      <c r="KPK152" s="1011"/>
      <c r="KPL152" s="1011"/>
      <c r="KPM152" s="1011"/>
      <c r="KPN152" s="1011"/>
      <c r="KPO152" s="1011"/>
      <c r="KPP152" s="1011"/>
      <c r="KPQ152" s="1011"/>
      <c r="KPR152" s="1011"/>
      <c r="KPS152" s="1011"/>
      <c r="KPT152" s="1011"/>
      <c r="KPU152" s="1011"/>
      <c r="KPV152" s="1011"/>
      <c r="KPW152" s="1011"/>
      <c r="KPX152" s="1011"/>
      <c r="KPY152" s="1011"/>
      <c r="KPZ152" s="1011"/>
      <c r="KQA152" s="1011"/>
      <c r="KQB152" s="1011"/>
      <c r="KQC152" s="1011"/>
      <c r="KQD152" s="1011"/>
      <c r="KQE152" s="1011"/>
      <c r="KQF152" s="1011"/>
      <c r="KQG152" s="1011"/>
      <c r="KQH152" s="1011"/>
      <c r="KQI152" s="1011"/>
      <c r="KQJ152" s="1011"/>
      <c r="KQK152" s="1011"/>
      <c r="KQL152" s="1011"/>
      <c r="KQM152" s="1011"/>
      <c r="KQN152" s="1011"/>
      <c r="KQO152" s="1011"/>
      <c r="KQP152" s="1011"/>
      <c r="KQQ152" s="1011"/>
      <c r="KQR152" s="1011"/>
      <c r="KQS152" s="1011"/>
      <c r="KQT152" s="1011"/>
      <c r="KQU152" s="1011"/>
      <c r="KQV152" s="1011"/>
      <c r="KQW152" s="1011"/>
      <c r="KQX152" s="1011"/>
      <c r="KQY152" s="1011"/>
      <c r="KQZ152" s="1011"/>
      <c r="KRA152" s="1011"/>
      <c r="KRB152" s="1011"/>
      <c r="KRC152" s="1011"/>
      <c r="KRD152" s="1011"/>
      <c r="KRE152" s="1011"/>
      <c r="KRF152" s="1011"/>
      <c r="KRG152" s="1011"/>
      <c r="KRH152" s="1011"/>
      <c r="KRI152" s="1011"/>
      <c r="KRJ152" s="1011"/>
      <c r="KRK152" s="1011"/>
      <c r="KRL152" s="1011"/>
      <c r="KRM152" s="1011"/>
      <c r="KRN152" s="1011"/>
      <c r="KRO152" s="1011"/>
      <c r="KRP152" s="1011"/>
      <c r="KRQ152" s="1011"/>
      <c r="KRR152" s="1011"/>
      <c r="KRS152" s="1011"/>
      <c r="KRT152" s="1011"/>
      <c r="KRU152" s="1011"/>
      <c r="KRV152" s="1011"/>
      <c r="KRW152" s="1011"/>
      <c r="KRX152" s="1011"/>
      <c r="KRY152" s="1011"/>
      <c r="KRZ152" s="1011"/>
      <c r="KSA152" s="1011"/>
      <c r="KSB152" s="1011"/>
      <c r="KSC152" s="1011"/>
      <c r="KSD152" s="1011"/>
      <c r="KSE152" s="1011"/>
      <c r="KSF152" s="1011"/>
      <c r="KSG152" s="1011"/>
      <c r="KSH152" s="1011"/>
      <c r="KSI152" s="1011"/>
      <c r="KSJ152" s="1011"/>
      <c r="KSK152" s="1011"/>
      <c r="KSL152" s="1011"/>
      <c r="KSM152" s="1011"/>
      <c r="KSN152" s="1011"/>
      <c r="KSO152" s="1011"/>
      <c r="KSP152" s="1011"/>
      <c r="KSQ152" s="1011"/>
      <c r="KSR152" s="1011"/>
      <c r="KSS152" s="1011"/>
      <c r="KST152" s="1011"/>
      <c r="KSU152" s="1011"/>
      <c r="KSV152" s="1011"/>
      <c r="KSW152" s="1011"/>
      <c r="KSX152" s="1011"/>
      <c r="KSY152" s="1011"/>
      <c r="KSZ152" s="1011"/>
      <c r="KTA152" s="1011"/>
      <c r="KTB152" s="1011"/>
      <c r="KTC152" s="1011"/>
      <c r="KTD152" s="1011"/>
      <c r="KTE152" s="1011"/>
      <c r="KTF152" s="1011"/>
      <c r="KTG152" s="1011"/>
      <c r="KTH152" s="1011"/>
      <c r="KTI152" s="1011"/>
      <c r="KTJ152" s="1011"/>
      <c r="KTK152" s="1011"/>
      <c r="KTL152" s="1011"/>
      <c r="KTM152" s="1011"/>
      <c r="KTN152" s="1011"/>
      <c r="KTO152" s="1011"/>
      <c r="KTP152" s="1011"/>
      <c r="KTQ152" s="1011"/>
      <c r="KTR152" s="1011"/>
      <c r="KTS152" s="1011"/>
      <c r="KTT152" s="1011"/>
      <c r="KTU152" s="1011"/>
      <c r="KTV152" s="1011"/>
      <c r="KTW152" s="1011"/>
      <c r="KTX152" s="1011"/>
      <c r="KTY152" s="1011"/>
      <c r="KTZ152" s="1011"/>
      <c r="KUA152" s="1011"/>
      <c r="KUB152" s="1011"/>
      <c r="KUC152" s="1011"/>
      <c r="KUD152" s="1011"/>
      <c r="KUE152" s="1011"/>
      <c r="KUF152" s="1011"/>
      <c r="KUG152" s="1011"/>
      <c r="KUH152" s="1011"/>
      <c r="KUI152" s="1011"/>
      <c r="KUJ152" s="1011"/>
      <c r="KUK152" s="1011"/>
      <c r="KUL152" s="1011"/>
      <c r="KUM152" s="1011"/>
      <c r="KUN152" s="1011"/>
      <c r="KUO152" s="1011"/>
      <c r="KUP152" s="1011"/>
      <c r="KUQ152" s="1011"/>
      <c r="KUR152" s="1011"/>
      <c r="KUS152" s="1011"/>
      <c r="KUT152" s="1011"/>
      <c r="KUU152" s="1011"/>
      <c r="KUV152" s="1011"/>
      <c r="KUW152" s="1011"/>
      <c r="KUX152" s="1011"/>
      <c r="KUY152" s="1011"/>
      <c r="KUZ152" s="1011"/>
      <c r="KVA152" s="1011"/>
      <c r="KVB152" s="1011"/>
      <c r="KVC152" s="1011"/>
      <c r="KVD152" s="1011"/>
      <c r="KVE152" s="1011"/>
      <c r="KVF152" s="1011"/>
      <c r="KVG152" s="1011"/>
      <c r="KVH152" s="1011"/>
      <c r="KVI152" s="1011"/>
      <c r="KVJ152" s="1011"/>
      <c r="KVK152" s="1011"/>
      <c r="KVL152" s="1011"/>
      <c r="KVM152" s="1011"/>
      <c r="KVN152" s="1011"/>
      <c r="KVO152" s="1011"/>
      <c r="KVP152" s="1011"/>
      <c r="KVQ152" s="1011"/>
      <c r="KVR152" s="1011"/>
      <c r="KVS152" s="1011"/>
      <c r="KVT152" s="1011"/>
      <c r="KVU152" s="1011"/>
      <c r="KVV152" s="1011"/>
      <c r="KVW152" s="1011"/>
      <c r="KVX152" s="1011"/>
      <c r="KVY152" s="1011"/>
      <c r="KVZ152" s="1011"/>
      <c r="KWA152" s="1011"/>
      <c r="KWB152" s="1011"/>
      <c r="KWC152" s="1011"/>
      <c r="KWD152" s="1011"/>
      <c r="KWE152" s="1011"/>
      <c r="KWF152" s="1011"/>
      <c r="KWG152" s="1011"/>
      <c r="KWH152" s="1011"/>
      <c r="KWI152" s="1011"/>
      <c r="KWJ152" s="1011"/>
      <c r="KWK152" s="1011"/>
      <c r="KWL152" s="1011"/>
      <c r="KWM152" s="1011"/>
      <c r="KWN152" s="1011"/>
      <c r="KWO152" s="1011"/>
      <c r="KWP152" s="1011"/>
      <c r="KWQ152" s="1011"/>
      <c r="KWR152" s="1011"/>
      <c r="KWS152" s="1011"/>
      <c r="KWT152" s="1011"/>
      <c r="KWU152" s="1011"/>
      <c r="KWV152" s="1011"/>
      <c r="KWW152" s="1011"/>
      <c r="KWX152" s="1011"/>
      <c r="KWY152" s="1011"/>
      <c r="KWZ152" s="1011"/>
      <c r="KXA152" s="1011"/>
      <c r="KXB152" s="1011"/>
      <c r="KXC152" s="1011"/>
      <c r="KXD152" s="1011"/>
      <c r="KXE152" s="1011"/>
      <c r="KXF152" s="1011"/>
      <c r="KXG152" s="1011"/>
      <c r="KXH152" s="1011"/>
      <c r="KXI152" s="1011"/>
      <c r="KXJ152" s="1011"/>
      <c r="KXK152" s="1011"/>
      <c r="KXL152" s="1011"/>
      <c r="KXM152" s="1011"/>
      <c r="KXN152" s="1011"/>
      <c r="KXO152" s="1011"/>
      <c r="KXP152" s="1011"/>
      <c r="KXQ152" s="1011"/>
      <c r="KXR152" s="1011"/>
      <c r="KXS152" s="1011"/>
      <c r="KXT152" s="1011"/>
      <c r="KXU152" s="1011"/>
      <c r="KXV152" s="1011"/>
      <c r="KXW152" s="1011"/>
      <c r="KXX152" s="1011"/>
      <c r="KXY152" s="1011"/>
      <c r="KXZ152" s="1011"/>
      <c r="KYA152" s="1011"/>
      <c r="KYB152" s="1011"/>
      <c r="KYC152" s="1011"/>
      <c r="KYD152" s="1011"/>
      <c r="KYE152" s="1011"/>
      <c r="KYF152" s="1011"/>
      <c r="KYG152" s="1011"/>
      <c r="KYH152" s="1011"/>
      <c r="KYI152" s="1011"/>
      <c r="KYJ152" s="1011"/>
      <c r="KYK152" s="1011"/>
      <c r="KYL152" s="1011"/>
      <c r="KYM152" s="1011"/>
      <c r="KYN152" s="1011"/>
      <c r="KYO152" s="1011"/>
      <c r="KYP152" s="1011"/>
      <c r="KYQ152" s="1011"/>
      <c r="KYR152" s="1011"/>
      <c r="KYS152" s="1011"/>
      <c r="KYT152" s="1011"/>
      <c r="KYU152" s="1011"/>
      <c r="KYV152" s="1011"/>
      <c r="KYW152" s="1011"/>
      <c r="KYX152" s="1011"/>
      <c r="KYY152" s="1011"/>
      <c r="KYZ152" s="1011"/>
      <c r="KZA152" s="1011"/>
      <c r="KZB152" s="1011"/>
      <c r="KZC152" s="1011"/>
      <c r="KZD152" s="1011"/>
      <c r="KZE152" s="1011"/>
      <c r="KZF152" s="1011"/>
      <c r="KZG152" s="1011"/>
      <c r="KZH152" s="1011"/>
      <c r="KZI152" s="1011"/>
      <c r="KZJ152" s="1011"/>
      <c r="KZK152" s="1011"/>
      <c r="KZL152" s="1011"/>
      <c r="KZM152" s="1011"/>
      <c r="KZN152" s="1011"/>
      <c r="KZO152" s="1011"/>
      <c r="KZP152" s="1011"/>
      <c r="KZQ152" s="1011"/>
      <c r="KZR152" s="1011"/>
      <c r="KZS152" s="1011"/>
      <c r="KZT152" s="1011"/>
      <c r="KZU152" s="1011"/>
      <c r="KZV152" s="1011"/>
      <c r="KZW152" s="1011"/>
      <c r="KZX152" s="1011"/>
      <c r="KZY152" s="1011"/>
      <c r="KZZ152" s="1011"/>
      <c r="LAA152" s="1011"/>
      <c r="LAB152" s="1011"/>
      <c r="LAC152" s="1011"/>
      <c r="LAD152" s="1011"/>
      <c r="LAE152" s="1011"/>
      <c r="LAF152" s="1011"/>
      <c r="LAG152" s="1011"/>
      <c r="LAH152" s="1011"/>
      <c r="LAI152" s="1011"/>
      <c r="LAJ152" s="1011"/>
      <c r="LAK152" s="1011"/>
      <c r="LAL152" s="1011"/>
      <c r="LAM152" s="1011"/>
      <c r="LAN152" s="1011"/>
      <c r="LAO152" s="1011"/>
      <c r="LAP152" s="1011"/>
      <c r="LAQ152" s="1011"/>
      <c r="LAR152" s="1011"/>
      <c r="LAS152" s="1011"/>
      <c r="LAT152" s="1011"/>
      <c r="LAU152" s="1011"/>
      <c r="LAV152" s="1011"/>
      <c r="LAW152" s="1011"/>
      <c r="LAX152" s="1011"/>
      <c r="LAY152" s="1011"/>
      <c r="LAZ152" s="1011"/>
      <c r="LBA152" s="1011"/>
      <c r="LBB152" s="1011"/>
      <c r="LBC152" s="1011"/>
      <c r="LBD152" s="1011"/>
      <c r="LBE152" s="1011"/>
      <c r="LBF152" s="1011"/>
      <c r="LBG152" s="1011"/>
      <c r="LBH152" s="1011"/>
      <c r="LBI152" s="1011"/>
      <c r="LBJ152" s="1011"/>
      <c r="LBK152" s="1011"/>
      <c r="LBL152" s="1011"/>
      <c r="LBM152" s="1011"/>
      <c r="LBN152" s="1011"/>
      <c r="LBO152" s="1011"/>
      <c r="LBP152" s="1011"/>
      <c r="LBQ152" s="1011"/>
      <c r="LBR152" s="1011"/>
      <c r="LBS152" s="1011"/>
      <c r="LBT152" s="1011"/>
      <c r="LBU152" s="1011"/>
      <c r="LBV152" s="1011"/>
      <c r="LBW152" s="1011"/>
      <c r="LBX152" s="1011"/>
      <c r="LBY152" s="1011"/>
      <c r="LBZ152" s="1011"/>
      <c r="LCA152" s="1011"/>
      <c r="LCB152" s="1011"/>
      <c r="LCC152" s="1011"/>
      <c r="LCD152" s="1011"/>
      <c r="LCE152" s="1011"/>
      <c r="LCF152" s="1011"/>
      <c r="LCG152" s="1011"/>
      <c r="LCH152" s="1011"/>
      <c r="LCI152" s="1011"/>
      <c r="LCJ152" s="1011"/>
      <c r="LCK152" s="1011"/>
      <c r="LCL152" s="1011"/>
      <c r="LCM152" s="1011"/>
      <c r="LCN152" s="1011"/>
      <c r="LCO152" s="1011"/>
      <c r="LCP152" s="1011"/>
      <c r="LCQ152" s="1011"/>
      <c r="LCR152" s="1011"/>
      <c r="LCS152" s="1011"/>
      <c r="LCT152" s="1011"/>
      <c r="LCU152" s="1011"/>
      <c r="LCV152" s="1011"/>
      <c r="LCW152" s="1011"/>
      <c r="LCX152" s="1011"/>
      <c r="LCY152" s="1011"/>
      <c r="LCZ152" s="1011"/>
      <c r="LDA152" s="1011"/>
      <c r="LDB152" s="1011"/>
      <c r="LDC152" s="1011"/>
      <c r="LDD152" s="1011"/>
      <c r="LDE152" s="1011"/>
      <c r="LDF152" s="1011"/>
      <c r="LDG152" s="1011"/>
      <c r="LDH152" s="1011"/>
      <c r="LDI152" s="1011"/>
      <c r="LDJ152" s="1011"/>
      <c r="LDK152" s="1011"/>
      <c r="LDL152" s="1011"/>
      <c r="LDM152" s="1011"/>
      <c r="LDN152" s="1011"/>
      <c r="LDO152" s="1011"/>
      <c r="LDP152" s="1011"/>
      <c r="LDQ152" s="1011"/>
      <c r="LDR152" s="1011"/>
      <c r="LDS152" s="1011"/>
      <c r="LDT152" s="1011"/>
      <c r="LDU152" s="1011"/>
      <c r="LDV152" s="1011"/>
      <c r="LDW152" s="1011"/>
      <c r="LDX152" s="1011"/>
      <c r="LDY152" s="1011"/>
      <c r="LDZ152" s="1011"/>
      <c r="LEA152" s="1011"/>
      <c r="LEB152" s="1011"/>
      <c r="LEC152" s="1011"/>
      <c r="LED152" s="1011"/>
      <c r="LEE152" s="1011"/>
      <c r="LEF152" s="1011"/>
      <c r="LEG152" s="1011"/>
      <c r="LEH152" s="1011"/>
      <c r="LEI152" s="1011"/>
      <c r="LEJ152" s="1011"/>
      <c r="LEK152" s="1011"/>
      <c r="LEL152" s="1011"/>
      <c r="LEM152" s="1011"/>
      <c r="LEN152" s="1011"/>
      <c r="LEO152" s="1011"/>
      <c r="LEP152" s="1011"/>
      <c r="LEQ152" s="1011"/>
      <c r="LER152" s="1011"/>
      <c r="LES152" s="1011"/>
      <c r="LET152" s="1011"/>
      <c r="LEU152" s="1011"/>
      <c r="LEV152" s="1011"/>
      <c r="LEW152" s="1011"/>
      <c r="LEX152" s="1011"/>
      <c r="LEY152" s="1011"/>
      <c r="LEZ152" s="1011"/>
      <c r="LFA152" s="1011"/>
      <c r="LFB152" s="1011"/>
      <c r="LFC152" s="1011"/>
      <c r="LFD152" s="1011"/>
      <c r="LFE152" s="1011"/>
      <c r="LFF152" s="1011"/>
      <c r="LFG152" s="1011"/>
      <c r="LFH152" s="1011"/>
      <c r="LFI152" s="1011"/>
      <c r="LFJ152" s="1011"/>
      <c r="LFK152" s="1011"/>
      <c r="LFL152" s="1011"/>
      <c r="LFM152" s="1011"/>
      <c r="LFN152" s="1011"/>
      <c r="LFO152" s="1011"/>
      <c r="LFP152" s="1011"/>
      <c r="LFQ152" s="1011"/>
      <c r="LFR152" s="1011"/>
      <c r="LFS152" s="1011"/>
      <c r="LFT152" s="1011"/>
      <c r="LFU152" s="1011"/>
      <c r="LFV152" s="1011"/>
      <c r="LFW152" s="1011"/>
      <c r="LFX152" s="1011"/>
      <c r="LFY152" s="1011"/>
      <c r="LFZ152" s="1011"/>
      <c r="LGA152" s="1011"/>
      <c r="LGB152" s="1011"/>
      <c r="LGC152" s="1011"/>
      <c r="LGD152" s="1011"/>
      <c r="LGE152" s="1011"/>
      <c r="LGF152" s="1011"/>
      <c r="LGG152" s="1011"/>
      <c r="LGH152" s="1011"/>
      <c r="LGI152" s="1011"/>
      <c r="LGJ152" s="1011"/>
      <c r="LGK152" s="1011"/>
      <c r="LGL152" s="1011"/>
      <c r="LGM152" s="1011"/>
      <c r="LGN152" s="1011"/>
      <c r="LGO152" s="1011"/>
      <c r="LGP152" s="1011"/>
      <c r="LGQ152" s="1011"/>
      <c r="LGR152" s="1011"/>
      <c r="LGS152" s="1011"/>
      <c r="LGT152" s="1011"/>
      <c r="LGU152" s="1011"/>
      <c r="LGV152" s="1011"/>
      <c r="LGW152" s="1011"/>
      <c r="LGX152" s="1011"/>
      <c r="LGY152" s="1011"/>
      <c r="LGZ152" s="1011"/>
      <c r="LHA152" s="1011"/>
      <c r="LHB152" s="1011"/>
      <c r="LHC152" s="1011"/>
      <c r="LHD152" s="1011"/>
      <c r="LHE152" s="1011"/>
      <c r="LHF152" s="1011"/>
      <c r="LHG152" s="1011"/>
      <c r="LHH152" s="1011"/>
      <c r="LHI152" s="1011"/>
      <c r="LHJ152" s="1011"/>
      <c r="LHK152" s="1011"/>
      <c r="LHL152" s="1011"/>
      <c r="LHM152" s="1011"/>
      <c r="LHN152" s="1011"/>
      <c r="LHO152" s="1011"/>
      <c r="LHP152" s="1011"/>
      <c r="LHQ152" s="1011"/>
      <c r="LHR152" s="1011"/>
      <c r="LHS152" s="1011"/>
      <c r="LHT152" s="1011"/>
      <c r="LHU152" s="1011"/>
      <c r="LHV152" s="1011"/>
      <c r="LHW152" s="1011"/>
      <c r="LHX152" s="1011"/>
      <c r="LHY152" s="1011"/>
      <c r="LHZ152" s="1011"/>
      <c r="LIA152" s="1011"/>
      <c r="LIB152" s="1011"/>
      <c r="LIC152" s="1011"/>
      <c r="LID152" s="1011"/>
      <c r="LIE152" s="1011"/>
      <c r="LIF152" s="1011"/>
      <c r="LIG152" s="1011"/>
      <c r="LIH152" s="1011"/>
      <c r="LII152" s="1011"/>
      <c r="LIJ152" s="1011"/>
      <c r="LIK152" s="1011"/>
      <c r="LIL152" s="1011"/>
      <c r="LIM152" s="1011"/>
      <c r="LIN152" s="1011"/>
      <c r="LIO152" s="1011"/>
      <c r="LIP152" s="1011"/>
      <c r="LIQ152" s="1011"/>
      <c r="LIR152" s="1011"/>
      <c r="LIS152" s="1011"/>
      <c r="LIT152" s="1011"/>
      <c r="LIU152" s="1011"/>
      <c r="LIV152" s="1011"/>
      <c r="LIW152" s="1011"/>
      <c r="LIX152" s="1011"/>
      <c r="LIY152" s="1011"/>
      <c r="LIZ152" s="1011"/>
      <c r="LJA152" s="1011"/>
      <c r="LJB152" s="1011"/>
      <c r="LJC152" s="1011"/>
      <c r="LJD152" s="1011"/>
      <c r="LJE152" s="1011"/>
      <c r="LJF152" s="1011"/>
      <c r="LJG152" s="1011"/>
      <c r="LJH152" s="1011"/>
      <c r="LJI152" s="1011"/>
      <c r="LJJ152" s="1011"/>
      <c r="LJK152" s="1011"/>
      <c r="LJL152" s="1011"/>
      <c r="LJM152" s="1011"/>
      <c r="LJN152" s="1011"/>
      <c r="LJO152" s="1011"/>
      <c r="LJP152" s="1011"/>
      <c r="LJQ152" s="1011"/>
      <c r="LJR152" s="1011"/>
      <c r="LJS152" s="1011"/>
      <c r="LJT152" s="1011"/>
      <c r="LJU152" s="1011"/>
      <c r="LJV152" s="1011"/>
      <c r="LJW152" s="1011"/>
      <c r="LJX152" s="1011"/>
      <c r="LJY152" s="1011"/>
      <c r="LJZ152" s="1011"/>
      <c r="LKA152" s="1011"/>
      <c r="LKB152" s="1011"/>
      <c r="LKC152" s="1011"/>
      <c r="LKD152" s="1011"/>
      <c r="LKE152" s="1011"/>
      <c r="LKF152" s="1011"/>
      <c r="LKG152" s="1011"/>
      <c r="LKH152" s="1011"/>
      <c r="LKI152" s="1011"/>
      <c r="LKJ152" s="1011"/>
      <c r="LKK152" s="1011"/>
      <c r="LKL152" s="1011"/>
      <c r="LKM152" s="1011"/>
      <c r="LKN152" s="1011"/>
      <c r="LKO152" s="1011"/>
      <c r="LKP152" s="1011"/>
      <c r="LKQ152" s="1011"/>
      <c r="LKR152" s="1011"/>
      <c r="LKS152" s="1011"/>
      <c r="LKT152" s="1011"/>
      <c r="LKU152" s="1011"/>
      <c r="LKV152" s="1011"/>
      <c r="LKW152" s="1011"/>
      <c r="LKX152" s="1011"/>
      <c r="LKY152" s="1011"/>
      <c r="LKZ152" s="1011"/>
      <c r="LLA152" s="1011"/>
      <c r="LLB152" s="1011"/>
      <c r="LLC152" s="1011"/>
      <c r="LLD152" s="1011"/>
      <c r="LLE152" s="1011"/>
      <c r="LLF152" s="1011"/>
      <c r="LLG152" s="1011"/>
      <c r="LLH152" s="1011"/>
      <c r="LLI152" s="1011"/>
      <c r="LLJ152" s="1011"/>
      <c r="LLK152" s="1011"/>
      <c r="LLL152" s="1011"/>
      <c r="LLM152" s="1011"/>
      <c r="LLN152" s="1011"/>
      <c r="LLO152" s="1011"/>
      <c r="LLP152" s="1011"/>
      <c r="LLQ152" s="1011"/>
      <c r="LLR152" s="1011"/>
      <c r="LLS152" s="1011"/>
      <c r="LLT152" s="1011"/>
      <c r="LLU152" s="1011"/>
      <c r="LLV152" s="1011"/>
      <c r="LLW152" s="1011"/>
      <c r="LLX152" s="1011"/>
      <c r="LLY152" s="1011"/>
      <c r="LLZ152" s="1011"/>
      <c r="LMA152" s="1011"/>
      <c r="LMB152" s="1011"/>
      <c r="LMC152" s="1011"/>
      <c r="LMD152" s="1011"/>
      <c r="LME152" s="1011"/>
      <c r="LMF152" s="1011"/>
      <c r="LMG152" s="1011"/>
      <c r="LMH152" s="1011"/>
      <c r="LMI152" s="1011"/>
      <c r="LMJ152" s="1011"/>
      <c r="LMK152" s="1011"/>
      <c r="LML152" s="1011"/>
      <c r="LMM152" s="1011"/>
      <c r="LMN152" s="1011"/>
      <c r="LMO152" s="1011"/>
      <c r="LMP152" s="1011"/>
      <c r="LMQ152" s="1011"/>
      <c r="LMR152" s="1011"/>
      <c r="LMS152" s="1011"/>
      <c r="LMT152" s="1011"/>
      <c r="LMU152" s="1011"/>
      <c r="LMV152" s="1011"/>
      <c r="LMW152" s="1011"/>
      <c r="LMX152" s="1011"/>
      <c r="LMY152" s="1011"/>
      <c r="LMZ152" s="1011"/>
      <c r="LNA152" s="1011"/>
      <c r="LNB152" s="1011"/>
      <c r="LNC152" s="1011"/>
      <c r="LND152" s="1011"/>
      <c r="LNE152" s="1011"/>
      <c r="LNF152" s="1011"/>
      <c r="LNG152" s="1011"/>
      <c r="LNH152" s="1011"/>
      <c r="LNI152" s="1011"/>
      <c r="LNJ152" s="1011"/>
      <c r="LNK152" s="1011"/>
      <c r="LNL152" s="1011"/>
      <c r="LNM152" s="1011"/>
      <c r="LNN152" s="1011"/>
      <c r="LNO152" s="1011"/>
      <c r="LNP152" s="1011"/>
      <c r="LNQ152" s="1011"/>
      <c r="LNR152" s="1011"/>
      <c r="LNS152" s="1011"/>
      <c r="LNT152" s="1011"/>
      <c r="LNU152" s="1011"/>
      <c r="LNV152" s="1011"/>
      <c r="LNW152" s="1011"/>
      <c r="LNX152" s="1011"/>
      <c r="LNY152" s="1011"/>
      <c r="LNZ152" s="1011"/>
      <c r="LOA152" s="1011"/>
      <c r="LOB152" s="1011"/>
      <c r="LOC152" s="1011"/>
      <c r="LOD152" s="1011"/>
      <c r="LOE152" s="1011"/>
      <c r="LOF152" s="1011"/>
      <c r="LOG152" s="1011"/>
      <c r="LOH152" s="1011"/>
      <c r="LOI152" s="1011"/>
      <c r="LOJ152" s="1011"/>
      <c r="LOK152" s="1011"/>
      <c r="LOL152" s="1011"/>
      <c r="LOM152" s="1011"/>
      <c r="LON152" s="1011"/>
      <c r="LOO152" s="1011"/>
      <c r="LOP152" s="1011"/>
      <c r="LOQ152" s="1011"/>
      <c r="LOR152" s="1011"/>
      <c r="LOS152" s="1011"/>
      <c r="LOT152" s="1011"/>
      <c r="LOU152" s="1011"/>
      <c r="LOV152" s="1011"/>
      <c r="LOW152" s="1011"/>
      <c r="LOX152" s="1011"/>
      <c r="LOY152" s="1011"/>
      <c r="LOZ152" s="1011"/>
      <c r="LPA152" s="1011"/>
      <c r="LPB152" s="1011"/>
      <c r="LPC152" s="1011"/>
      <c r="LPD152" s="1011"/>
      <c r="LPE152" s="1011"/>
      <c r="LPF152" s="1011"/>
      <c r="LPG152" s="1011"/>
      <c r="LPH152" s="1011"/>
      <c r="LPI152" s="1011"/>
      <c r="LPJ152" s="1011"/>
      <c r="LPK152" s="1011"/>
      <c r="LPL152" s="1011"/>
      <c r="LPM152" s="1011"/>
      <c r="LPN152" s="1011"/>
      <c r="LPO152" s="1011"/>
      <c r="LPP152" s="1011"/>
      <c r="LPQ152" s="1011"/>
      <c r="LPR152" s="1011"/>
      <c r="LPS152" s="1011"/>
      <c r="LPT152" s="1011"/>
      <c r="LPU152" s="1011"/>
      <c r="LPV152" s="1011"/>
      <c r="LPW152" s="1011"/>
      <c r="LPX152" s="1011"/>
      <c r="LPY152" s="1011"/>
      <c r="LPZ152" s="1011"/>
      <c r="LQA152" s="1011"/>
      <c r="LQB152" s="1011"/>
      <c r="LQC152" s="1011"/>
      <c r="LQD152" s="1011"/>
      <c r="LQE152" s="1011"/>
      <c r="LQF152" s="1011"/>
      <c r="LQG152" s="1011"/>
      <c r="LQH152" s="1011"/>
      <c r="LQI152" s="1011"/>
      <c r="LQJ152" s="1011"/>
      <c r="LQK152" s="1011"/>
      <c r="LQL152" s="1011"/>
      <c r="LQM152" s="1011"/>
      <c r="LQN152" s="1011"/>
      <c r="LQO152" s="1011"/>
      <c r="LQP152" s="1011"/>
      <c r="LQQ152" s="1011"/>
      <c r="LQR152" s="1011"/>
      <c r="LQS152" s="1011"/>
      <c r="LQT152" s="1011"/>
      <c r="LQU152" s="1011"/>
      <c r="LQV152" s="1011"/>
      <c r="LQW152" s="1011"/>
      <c r="LQX152" s="1011"/>
      <c r="LQY152" s="1011"/>
      <c r="LQZ152" s="1011"/>
      <c r="LRA152" s="1011"/>
      <c r="LRB152" s="1011"/>
      <c r="LRC152" s="1011"/>
      <c r="LRD152" s="1011"/>
      <c r="LRE152" s="1011"/>
      <c r="LRF152" s="1011"/>
      <c r="LRG152" s="1011"/>
      <c r="LRH152" s="1011"/>
      <c r="LRI152" s="1011"/>
      <c r="LRJ152" s="1011"/>
      <c r="LRK152" s="1011"/>
      <c r="LRL152" s="1011"/>
      <c r="LRM152" s="1011"/>
      <c r="LRN152" s="1011"/>
      <c r="LRO152" s="1011"/>
      <c r="LRP152" s="1011"/>
      <c r="LRQ152" s="1011"/>
      <c r="LRR152" s="1011"/>
      <c r="LRS152" s="1011"/>
      <c r="LRT152" s="1011"/>
      <c r="LRU152" s="1011"/>
      <c r="LRV152" s="1011"/>
      <c r="LRW152" s="1011"/>
      <c r="LRX152" s="1011"/>
      <c r="LRY152" s="1011"/>
      <c r="LRZ152" s="1011"/>
      <c r="LSA152" s="1011"/>
      <c r="LSB152" s="1011"/>
      <c r="LSC152" s="1011"/>
      <c r="LSD152" s="1011"/>
      <c r="LSE152" s="1011"/>
      <c r="LSF152" s="1011"/>
      <c r="LSG152" s="1011"/>
      <c r="LSH152" s="1011"/>
      <c r="LSI152" s="1011"/>
      <c r="LSJ152" s="1011"/>
      <c r="LSK152" s="1011"/>
      <c r="LSL152" s="1011"/>
      <c r="LSM152" s="1011"/>
      <c r="LSN152" s="1011"/>
      <c r="LSO152" s="1011"/>
      <c r="LSP152" s="1011"/>
      <c r="LSQ152" s="1011"/>
      <c r="LSR152" s="1011"/>
      <c r="LSS152" s="1011"/>
      <c r="LST152" s="1011"/>
      <c r="LSU152" s="1011"/>
      <c r="LSV152" s="1011"/>
      <c r="LSW152" s="1011"/>
      <c r="LSX152" s="1011"/>
      <c r="LSY152" s="1011"/>
      <c r="LSZ152" s="1011"/>
      <c r="LTA152" s="1011"/>
      <c r="LTB152" s="1011"/>
      <c r="LTC152" s="1011"/>
      <c r="LTD152" s="1011"/>
      <c r="LTE152" s="1011"/>
      <c r="LTF152" s="1011"/>
      <c r="LTG152" s="1011"/>
      <c r="LTH152" s="1011"/>
      <c r="LTI152" s="1011"/>
      <c r="LTJ152" s="1011"/>
      <c r="LTK152" s="1011"/>
      <c r="LTL152" s="1011"/>
      <c r="LTM152" s="1011"/>
      <c r="LTN152" s="1011"/>
      <c r="LTO152" s="1011"/>
      <c r="LTP152" s="1011"/>
      <c r="LTQ152" s="1011"/>
      <c r="LTR152" s="1011"/>
      <c r="LTS152" s="1011"/>
      <c r="LTT152" s="1011"/>
      <c r="LTU152" s="1011"/>
      <c r="LTV152" s="1011"/>
      <c r="LTW152" s="1011"/>
      <c r="LTX152" s="1011"/>
      <c r="LTY152" s="1011"/>
      <c r="LTZ152" s="1011"/>
      <c r="LUA152" s="1011"/>
      <c r="LUB152" s="1011"/>
      <c r="LUC152" s="1011"/>
      <c r="LUD152" s="1011"/>
      <c r="LUE152" s="1011"/>
      <c r="LUF152" s="1011"/>
      <c r="LUG152" s="1011"/>
      <c r="LUH152" s="1011"/>
      <c r="LUI152" s="1011"/>
      <c r="LUJ152" s="1011"/>
      <c r="LUK152" s="1011"/>
      <c r="LUL152" s="1011"/>
      <c r="LUM152" s="1011"/>
      <c r="LUN152" s="1011"/>
      <c r="LUO152" s="1011"/>
      <c r="LUP152" s="1011"/>
      <c r="LUQ152" s="1011"/>
      <c r="LUR152" s="1011"/>
      <c r="LUS152" s="1011"/>
      <c r="LUT152" s="1011"/>
      <c r="LUU152" s="1011"/>
      <c r="LUV152" s="1011"/>
      <c r="LUW152" s="1011"/>
      <c r="LUX152" s="1011"/>
      <c r="LUY152" s="1011"/>
      <c r="LUZ152" s="1011"/>
      <c r="LVA152" s="1011"/>
      <c r="LVB152" s="1011"/>
      <c r="LVC152" s="1011"/>
      <c r="LVD152" s="1011"/>
      <c r="LVE152" s="1011"/>
      <c r="LVF152" s="1011"/>
      <c r="LVG152" s="1011"/>
      <c r="LVH152" s="1011"/>
      <c r="LVI152" s="1011"/>
      <c r="LVJ152" s="1011"/>
      <c r="LVK152" s="1011"/>
      <c r="LVL152" s="1011"/>
      <c r="LVM152" s="1011"/>
      <c r="LVN152" s="1011"/>
      <c r="LVO152" s="1011"/>
      <c r="LVP152" s="1011"/>
      <c r="LVQ152" s="1011"/>
      <c r="LVR152" s="1011"/>
      <c r="LVS152" s="1011"/>
      <c r="LVT152" s="1011"/>
      <c r="LVU152" s="1011"/>
      <c r="LVV152" s="1011"/>
      <c r="LVW152" s="1011"/>
      <c r="LVX152" s="1011"/>
      <c r="LVY152" s="1011"/>
      <c r="LVZ152" s="1011"/>
      <c r="LWA152" s="1011"/>
      <c r="LWB152" s="1011"/>
      <c r="LWC152" s="1011"/>
      <c r="LWD152" s="1011"/>
      <c r="LWE152" s="1011"/>
      <c r="LWF152" s="1011"/>
      <c r="LWG152" s="1011"/>
      <c r="LWH152" s="1011"/>
      <c r="LWI152" s="1011"/>
      <c r="LWJ152" s="1011"/>
      <c r="LWK152" s="1011"/>
      <c r="LWL152" s="1011"/>
      <c r="LWM152" s="1011"/>
      <c r="LWN152" s="1011"/>
      <c r="LWO152" s="1011"/>
      <c r="LWP152" s="1011"/>
      <c r="LWQ152" s="1011"/>
      <c r="LWR152" s="1011"/>
      <c r="LWS152" s="1011"/>
      <c r="LWT152" s="1011"/>
      <c r="LWU152" s="1011"/>
      <c r="LWV152" s="1011"/>
      <c r="LWW152" s="1011"/>
      <c r="LWX152" s="1011"/>
      <c r="LWY152" s="1011"/>
      <c r="LWZ152" s="1011"/>
      <c r="LXA152" s="1011"/>
      <c r="LXB152" s="1011"/>
      <c r="LXC152" s="1011"/>
      <c r="LXD152" s="1011"/>
      <c r="LXE152" s="1011"/>
      <c r="LXF152" s="1011"/>
      <c r="LXG152" s="1011"/>
      <c r="LXH152" s="1011"/>
      <c r="LXI152" s="1011"/>
      <c r="LXJ152" s="1011"/>
      <c r="LXK152" s="1011"/>
      <c r="LXL152" s="1011"/>
      <c r="LXM152" s="1011"/>
      <c r="LXN152" s="1011"/>
      <c r="LXO152" s="1011"/>
      <c r="LXP152" s="1011"/>
      <c r="LXQ152" s="1011"/>
      <c r="LXR152" s="1011"/>
      <c r="LXS152" s="1011"/>
      <c r="LXT152" s="1011"/>
      <c r="LXU152" s="1011"/>
      <c r="LXV152" s="1011"/>
      <c r="LXW152" s="1011"/>
      <c r="LXX152" s="1011"/>
      <c r="LXY152" s="1011"/>
      <c r="LXZ152" s="1011"/>
      <c r="LYA152" s="1011"/>
      <c r="LYB152" s="1011"/>
      <c r="LYC152" s="1011"/>
      <c r="LYD152" s="1011"/>
      <c r="LYE152" s="1011"/>
      <c r="LYF152" s="1011"/>
      <c r="LYG152" s="1011"/>
      <c r="LYH152" s="1011"/>
      <c r="LYI152" s="1011"/>
      <c r="LYJ152" s="1011"/>
      <c r="LYK152" s="1011"/>
      <c r="LYL152" s="1011"/>
      <c r="LYM152" s="1011"/>
      <c r="LYN152" s="1011"/>
      <c r="LYO152" s="1011"/>
      <c r="LYP152" s="1011"/>
      <c r="LYQ152" s="1011"/>
      <c r="LYR152" s="1011"/>
      <c r="LYS152" s="1011"/>
      <c r="LYT152" s="1011"/>
      <c r="LYU152" s="1011"/>
      <c r="LYV152" s="1011"/>
      <c r="LYW152" s="1011"/>
      <c r="LYX152" s="1011"/>
      <c r="LYY152" s="1011"/>
      <c r="LYZ152" s="1011"/>
      <c r="LZA152" s="1011"/>
      <c r="LZB152" s="1011"/>
      <c r="LZC152" s="1011"/>
      <c r="LZD152" s="1011"/>
      <c r="LZE152" s="1011"/>
      <c r="LZF152" s="1011"/>
      <c r="LZG152" s="1011"/>
      <c r="LZH152" s="1011"/>
      <c r="LZI152" s="1011"/>
      <c r="LZJ152" s="1011"/>
      <c r="LZK152" s="1011"/>
      <c r="LZL152" s="1011"/>
      <c r="LZM152" s="1011"/>
      <c r="LZN152" s="1011"/>
      <c r="LZO152" s="1011"/>
      <c r="LZP152" s="1011"/>
      <c r="LZQ152" s="1011"/>
      <c r="LZR152" s="1011"/>
      <c r="LZS152" s="1011"/>
      <c r="LZT152" s="1011"/>
      <c r="LZU152" s="1011"/>
      <c r="LZV152" s="1011"/>
      <c r="LZW152" s="1011"/>
      <c r="LZX152" s="1011"/>
      <c r="LZY152" s="1011"/>
      <c r="LZZ152" s="1011"/>
      <c r="MAA152" s="1011"/>
      <c r="MAB152" s="1011"/>
      <c r="MAC152" s="1011"/>
      <c r="MAD152" s="1011"/>
      <c r="MAE152" s="1011"/>
      <c r="MAF152" s="1011"/>
      <c r="MAG152" s="1011"/>
      <c r="MAH152" s="1011"/>
      <c r="MAI152" s="1011"/>
      <c r="MAJ152" s="1011"/>
      <c r="MAK152" s="1011"/>
      <c r="MAL152" s="1011"/>
      <c r="MAM152" s="1011"/>
      <c r="MAN152" s="1011"/>
      <c r="MAO152" s="1011"/>
      <c r="MAP152" s="1011"/>
      <c r="MAQ152" s="1011"/>
      <c r="MAR152" s="1011"/>
      <c r="MAS152" s="1011"/>
      <c r="MAT152" s="1011"/>
      <c r="MAU152" s="1011"/>
      <c r="MAV152" s="1011"/>
      <c r="MAW152" s="1011"/>
      <c r="MAX152" s="1011"/>
      <c r="MAY152" s="1011"/>
      <c r="MAZ152" s="1011"/>
      <c r="MBA152" s="1011"/>
      <c r="MBB152" s="1011"/>
      <c r="MBC152" s="1011"/>
      <c r="MBD152" s="1011"/>
      <c r="MBE152" s="1011"/>
      <c r="MBF152" s="1011"/>
      <c r="MBG152" s="1011"/>
      <c r="MBH152" s="1011"/>
      <c r="MBI152" s="1011"/>
      <c r="MBJ152" s="1011"/>
      <c r="MBK152" s="1011"/>
      <c r="MBL152" s="1011"/>
      <c r="MBM152" s="1011"/>
      <c r="MBN152" s="1011"/>
      <c r="MBO152" s="1011"/>
      <c r="MBP152" s="1011"/>
      <c r="MBQ152" s="1011"/>
      <c r="MBR152" s="1011"/>
      <c r="MBS152" s="1011"/>
      <c r="MBT152" s="1011"/>
      <c r="MBU152" s="1011"/>
      <c r="MBV152" s="1011"/>
      <c r="MBW152" s="1011"/>
      <c r="MBX152" s="1011"/>
      <c r="MBY152" s="1011"/>
      <c r="MBZ152" s="1011"/>
      <c r="MCA152" s="1011"/>
      <c r="MCB152" s="1011"/>
      <c r="MCC152" s="1011"/>
      <c r="MCD152" s="1011"/>
      <c r="MCE152" s="1011"/>
      <c r="MCF152" s="1011"/>
      <c r="MCG152" s="1011"/>
      <c r="MCH152" s="1011"/>
      <c r="MCI152" s="1011"/>
      <c r="MCJ152" s="1011"/>
      <c r="MCK152" s="1011"/>
      <c r="MCL152" s="1011"/>
      <c r="MCM152" s="1011"/>
      <c r="MCN152" s="1011"/>
      <c r="MCO152" s="1011"/>
      <c r="MCP152" s="1011"/>
      <c r="MCQ152" s="1011"/>
      <c r="MCR152" s="1011"/>
      <c r="MCS152" s="1011"/>
      <c r="MCT152" s="1011"/>
      <c r="MCU152" s="1011"/>
      <c r="MCV152" s="1011"/>
      <c r="MCW152" s="1011"/>
      <c r="MCX152" s="1011"/>
      <c r="MCY152" s="1011"/>
      <c r="MCZ152" s="1011"/>
      <c r="MDA152" s="1011"/>
      <c r="MDB152" s="1011"/>
      <c r="MDC152" s="1011"/>
      <c r="MDD152" s="1011"/>
      <c r="MDE152" s="1011"/>
      <c r="MDF152" s="1011"/>
      <c r="MDG152" s="1011"/>
      <c r="MDH152" s="1011"/>
      <c r="MDI152" s="1011"/>
      <c r="MDJ152" s="1011"/>
      <c r="MDK152" s="1011"/>
      <c r="MDL152" s="1011"/>
      <c r="MDM152" s="1011"/>
      <c r="MDN152" s="1011"/>
      <c r="MDO152" s="1011"/>
      <c r="MDP152" s="1011"/>
      <c r="MDQ152" s="1011"/>
      <c r="MDR152" s="1011"/>
      <c r="MDS152" s="1011"/>
      <c r="MDT152" s="1011"/>
      <c r="MDU152" s="1011"/>
      <c r="MDV152" s="1011"/>
      <c r="MDW152" s="1011"/>
      <c r="MDX152" s="1011"/>
      <c r="MDY152" s="1011"/>
      <c r="MDZ152" s="1011"/>
      <c r="MEA152" s="1011"/>
      <c r="MEB152" s="1011"/>
      <c r="MEC152" s="1011"/>
      <c r="MED152" s="1011"/>
      <c r="MEE152" s="1011"/>
      <c r="MEF152" s="1011"/>
      <c r="MEG152" s="1011"/>
      <c r="MEH152" s="1011"/>
      <c r="MEI152" s="1011"/>
      <c r="MEJ152" s="1011"/>
      <c r="MEK152" s="1011"/>
      <c r="MEL152" s="1011"/>
      <c r="MEM152" s="1011"/>
      <c r="MEN152" s="1011"/>
      <c r="MEO152" s="1011"/>
      <c r="MEP152" s="1011"/>
      <c r="MEQ152" s="1011"/>
      <c r="MER152" s="1011"/>
      <c r="MES152" s="1011"/>
      <c r="MET152" s="1011"/>
      <c r="MEU152" s="1011"/>
      <c r="MEV152" s="1011"/>
      <c r="MEW152" s="1011"/>
      <c r="MEX152" s="1011"/>
      <c r="MEY152" s="1011"/>
      <c r="MEZ152" s="1011"/>
      <c r="MFA152" s="1011"/>
      <c r="MFB152" s="1011"/>
      <c r="MFC152" s="1011"/>
      <c r="MFD152" s="1011"/>
      <c r="MFE152" s="1011"/>
      <c r="MFF152" s="1011"/>
      <c r="MFG152" s="1011"/>
      <c r="MFH152" s="1011"/>
      <c r="MFI152" s="1011"/>
      <c r="MFJ152" s="1011"/>
      <c r="MFK152" s="1011"/>
      <c r="MFL152" s="1011"/>
      <c r="MFM152" s="1011"/>
      <c r="MFN152" s="1011"/>
      <c r="MFO152" s="1011"/>
      <c r="MFP152" s="1011"/>
      <c r="MFQ152" s="1011"/>
      <c r="MFR152" s="1011"/>
      <c r="MFS152" s="1011"/>
      <c r="MFT152" s="1011"/>
      <c r="MFU152" s="1011"/>
      <c r="MFV152" s="1011"/>
      <c r="MFW152" s="1011"/>
      <c r="MFX152" s="1011"/>
      <c r="MFY152" s="1011"/>
      <c r="MFZ152" s="1011"/>
      <c r="MGA152" s="1011"/>
      <c r="MGB152" s="1011"/>
      <c r="MGC152" s="1011"/>
      <c r="MGD152" s="1011"/>
      <c r="MGE152" s="1011"/>
      <c r="MGF152" s="1011"/>
      <c r="MGG152" s="1011"/>
      <c r="MGH152" s="1011"/>
      <c r="MGI152" s="1011"/>
      <c r="MGJ152" s="1011"/>
      <c r="MGK152" s="1011"/>
      <c r="MGL152" s="1011"/>
      <c r="MGM152" s="1011"/>
      <c r="MGN152" s="1011"/>
      <c r="MGO152" s="1011"/>
      <c r="MGP152" s="1011"/>
      <c r="MGQ152" s="1011"/>
      <c r="MGR152" s="1011"/>
      <c r="MGS152" s="1011"/>
      <c r="MGT152" s="1011"/>
      <c r="MGU152" s="1011"/>
      <c r="MGV152" s="1011"/>
      <c r="MGW152" s="1011"/>
      <c r="MGX152" s="1011"/>
      <c r="MGY152" s="1011"/>
      <c r="MGZ152" s="1011"/>
      <c r="MHA152" s="1011"/>
      <c r="MHB152" s="1011"/>
      <c r="MHC152" s="1011"/>
      <c r="MHD152" s="1011"/>
      <c r="MHE152" s="1011"/>
      <c r="MHF152" s="1011"/>
      <c r="MHG152" s="1011"/>
      <c r="MHH152" s="1011"/>
      <c r="MHI152" s="1011"/>
      <c r="MHJ152" s="1011"/>
      <c r="MHK152" s="1011"/>
      <c r="MHL152" s="1011"/>
      <c r="MHM152" s="1011"/>
      <c r="MHN152" s="1011"/>
      <c r="MHO152" s="1011"/>
      <c r="MHP152" s="1011"/>
      <c r="MHQ152" s="1011"/>
      <c r="MHR152" s="1011"/>
      <c r="MHS152" s="1011"/>
      <c r="MHT152" s="1011"/>
      <c r="MHU152" s="1011"/>
      <c r="MHV152" s="1011"/>
      <c r="MHW152" s="1011"/>
      <c r="MHX152" s="1011"/>
      <c r="MHY152" s="1011"/>
      <c r="MHZ152" s="1011"/>
      <c r="MIA152" s="1011"/>
      <c r="MIB152" s="1011"/>
      <c r="MIC152" s="1011"/>
      <c r="MID152" s="1011"/>
      <c r="MIE152" s="1011"/>
      <c r="MIF152" s="1011"/>
      <c r="MIG152" s="1011"/>
      <c r="MIH152" s="1011"/>
      <c r="MII152" s="1011"/>
      <c r="MIJ152" s="1011"/>
      <c r="MIK152" s="1011"/>
      <c r="MIL152" s="1011"/>
      <c r="MIM152" s="1011"/>
      <c r="MIN152" s="1011"/>
      <c r="MIO152" s="1011"/>
      <c r="MIP152" s="1011"/>
      <c r="MIQ152" s="1011"/>
      <c r="MIR152" s="1011"/>
      <c r="MIS152" s="1011"/>
      <c r="MIT152" s="1011"/>
      <c r="MIU152" s="1011"/>
      <c r="MIV152" s="1011"/>
      <c r="MIW152" s="1011"/>
      <c r="MIX152" s="1011"/>
      <c r="MIY152" s="1011"/>
      <c r="MIZ152" s="1011"/>
      <c r="MJA152" s="1011"/>
      <c r="MJB152" s="1011"/>
      <c r="MJC152" s="1011"/>
      <c r="MJD152" s="1011"/>
      <c r="MJE152" s="1011"/>
      <c r="MJF152" s="1011"/>
      <c r="MJG152" s="1011"/>
      <c r="MJH152" s="1011"/>
      <c r="MJI152" s="1011"/>
      <c r="MJJ152" s="1011"/>
      <c r="MJK152" s="1011"/>
      <c r="MJL152" s="1011"/>
      <c r="MJM152" s="1011"/>
      <c r="MJN152" s="1011"/>
      <c r="MJO152" s="1011"/>
      <c r="MJP152" s="1011"/>
      <c r="MJQ152" s="1011"/>
      <c r="MJR152" s="1011"/>
      <c r="MJS152" s="1011"/>
      <c r="MJT152" s="1011"/>
      <c r="MJU152" s="1011"/>
      <c r="MJV152" s="1011"/>
      <c r="MJW152" s="1011"/>
      <c r="MJX152" s="1011"/>
      <c r="MJY152" s="1011"/>
      <c r="MJZ152" s="1011"/>
      <c r="MKA152" s="1011"/>
      <c r="MKB152" s="1011"/>
      <c r="MKC152" s="1011"/>
      <c r="MKD152" s="1011"/>
      <c r="MKE152" s="1011"/>
      <c r="MKF152" s="1011"/>
      <c r="MKG152" s="1011"/>
      <c r="MKH152" s="1011"/>
      <c r="MKI152" s="1011"/>
      <c r="MKJ152" s="1011"/>
      <c r="MKK152" s="1011"/>
      <c r="MKL152" s="1011"/>
      <c r="MKM152" s="1011"/>
      <c r="MKN152" s="1011"/>
      <c r="MKO152" s="1011"/>
      <c r="MKP152" s="1011"/>
      <c r="MKQ152" s="1011"/>
      <c r="MKR152" s="1011"/>
      <c r="MKS152" s="1011"/>
      <c r="MKT152" s="1011"/>
      <c r="MKU152" s="1011"/>
      <c r="MKV152" s="1011"/>
      <c r="MKW152" s="1011"/>
      <c r="MKX152" s="1011"/>
      <c r="MKY152" s="1011"/>
      <c r="MKZ152" s="1011"/>
      <c r="MLA152" s="1011"/>
      <c r="MLB152" s="1011"/>
      <c r="MLC152" s="1011"/>
      <c r="MLD152" s="1011"/>
      <c r="MLE152" s="1011"/>
      <c r="MLF152" s="1011"/>
      <c r="MLG152" s="1011"/>
      <c r="MLH152" s="1011"/>
      <c r="MLI152" s="1011"/>
      <c r="MLJ152" s="1011"/>
      <c r="MLK152" s="1011"/>
      <c r="MLL152" s="1011"/>
      <c r="MLM152" s="1011"/>
      <c r="MLN152" s="1011"/>
      <c r="MLO152" s="1011"/>
      <c r="MLP152" s="1011"/>
      <c r="MLQ152" s="1011"/>
      <c r="MLR152" s="1011"/>
      <c r="MLS152" s="1011"/>
      <c r="MLT152" s="1011"/>
      <c r="MLU152" s="1011"/>
      <c r="MLV152" s="1011"/>
      <c r="MLW152" s="1011"/>
      <c r="MLX152" s="1011"/>
      <c r="MLY152" s="1011"/>
      <c r="MLZ152" s="1011"/>
      <c r="MMA152" s="1011"/>
      <c r="MMB152" s="1011"/>
      <c r="MMC152" s="1011"/>
      <c r="MMD152" s="1011"/>
      <c r="MME152" s="1011"/>
      <c r="MMF152" s="1011"/>
      <c r="MMG152" s="1011"/>
      <c r="MMH152" s="1011"/>
      <c r="MMI152" s="1011"/>
      <c r="MMJ152" s="1011"/>
      <c r="MMK152" s="1011"/>
      <c r="MML152" s="1011"/>
      <c r="MMM152" s="1011"/>
      <c r="MMN152" s="1011"/>
      <c r="MMO152" s="1011"/>
      <c r="MMP152" s="1011"/>
      <c r="MMQ152" s="1011"/>
      <c r="MMR152" s="1011"/>
      <c r="MMS152" s="1011"/>
      <c r="MMT152" s="1011"/>
      <c r="MMU152" s="1011"/>
      <c r="MMV152" s="1011"/>
      <c r="MMW152" s="1011"/>
      <c r="MMX152" s="1011"/>
      <c r="MMY152" s="1011"/>
      <c r="MMZ152" s="1011"/>
      <c r="MNA152" s="1011"/>
      <c r="MNB152" s="1011"/>
      <c r="MNC152" s="1011"/>
      <c r="MND152" s="1011"/>
      <c r="MNE152" s="1011"/>
      <c r="MNF152" s="1011"/>
      <c r="MNG152" s="1011"/>
      <c r="MNH152" s="1011"/>
      <c r="MNI152" s="1011"/>
      <c r="MNJ152" s="1011"/>
      <c r="MNK152" s="1011"/>
      <c r="MNL152" s="1011"/>
      <c r="MNM152" s="1011"/>
      <c r="MNN152" s="1011"/>
      <c r="MNO152" s="1011"/>
      <c r="MNP152" s="1011"/>
      <c r="MNQ152" s="1011"/>
      <c r="MNR152" s="1011"/>
      <c r="MNS152" s="1011"/>
      <c r="MNT152" s="1011"/>
      <c r="MNU152" s="1011"/>
      <c r="MNV152" s="1011"/>
      <c r="MNW152" s="1011"/>
      <c r="MNX152" s="1011"/>
      <c r="MNY152" s="1011"/>
      <c r="MNZ152" s="1011"/>
      <c r="MOA152" s="1011"/>
      <c r="MOB152" s="1011"/>
      <c r="MOC152" s="1011"/>
      <c r="MOD152" s="1011"/>
      <c r="MOE152" s="1011"/>
      <c r="MOF152" s="1011"/>
      <c r="MOG152" s="1011"/>
      <c r="MOH152" s="1011"/>
      <c r="MOI152" s="1011"/>
      <c r="MOJ152" s="1011"/>
      <c r="MOK152" s="1011"/>
      <c r="MOL152" s="1011"/>
      <c r="MOM152" s="1011"/>
      <c r="MON152" s="1011"/>
      <c r="MOO152" s="1011"/>
      <c r="MOP152" s="1011"/>
      <c r="MOQ152" s="1011"/>
      <c r="MOR152" s="1011"/>
      <c r="MOS152" s="1011"/>
      <c r="MOT152" s="1011"/>
      <c r="MOU152" s="1011"/>
      <c r="MOV152" s="1011"/>
      <c r="MOW152" s="1011"/>
      <c r="MOX152" s="1011"/>
      <c r="MOY152" s="1011"/>
      <c r="MOZ152" s="1011"/>
      <c r="MPA152" s="1011"/>
      <c r="MPB152" s="1011"/>
      <c r="MPC152" s="1011"/>
      <c r="MPD152" s="1011"/>
      <c r="MPE152" s="1011"/>
      <c r="MPF152" s="1011"/>
      <c r="MPG152" s="1011"/>
      <c r="MPH152" s="1011"/>
      <c r="MPI152" s="1011"/>
      <c r="MPJ152" s="1011"/>
      <c r="MPK152" s="1011"/>
      <c r="MPL152" s="1011"/>
      <c r="MPM152" s="1011"/>
      <c r="MPN152" s="1011"/>
      <c r="MPO152" s="1011"/>
      <c r="MPP152" s="1011"/>
      <c r="MPQ152" s="1011"/>
      <c r="MPR152" s="1011"/>
      <c r="MPS152" s="1011"/>
      <c r="MPT152" s="1011"/>
      <c r="MPU152" s="1011"/>
      <c r="MPV152" s="1011"/>
      <c r="MPW152" s="1011"/>
      <c r="MPX152" s="1011"/>
      <c r="MPY152" s="1011"/>
      <c r="MPZ152" s="1011"/>
      <c r="MQA152" s="1011"/>
      <c r="MQB152" s="1011"/>
      <c r="MQC152" s="1011"/>
      <c r="MQD152" s="1011"/>
      <c r="MQE152" s="1011"/>
      <c r="MQF152" s="1011"/>
      <c r="MQG152" s="1011"/>
      <c r="MQH152" s="1011"/>
      <c r="MQI152" s="1011"/>
      <c r="MQJ152" s="1011"/>
      <c r="MQK152" s="1011"/>
      <c r="MQL152" s="1011"/>
      <c r="MQM152" s="1011"/>
      <c r="MQN152" s="1011"/>
      <c r="MQO152" s="1011"/>
      <c r="MQP152" s="1011"/>
      <c r="MQQ152" s="1011"/>
      <c r="MQR152" s="1011"/>
      <c r="MQS152" s="1011"/>
      <c r="MQT152" s="1011"/>
      <c r="MQU152" s="1011"/>
      <c r="MQV152" s="1011"/>
      <c r="MQW152" s="1011"/>
      <c r="MQX152" s="1011"/>
      <c r="MQY152" s="1011"/>
      <c r="MQZ152" s="1011"/>
      <c r="MRA152" s="1011"/>
      <c r="MRB152" s="1011"/>
      <c r="MRC152" s="1011"/>
      <c r="MRD152" s="1011"/>
      <c r="MRE152" s="1011"/>
      <c r="MRF152" s="1011"/>
      <c r="MRG152" s="1011"/>
      <c r="MRH152" s="1011"/>
      <c r="MRI152" s="1011"/>
      <c r="MRJ152" s="1011"/>
      <c r="MRK152" s="1011"/>
      <c r="MRL152" s="1011"/>
      <c r="MRM152" s="1011"/>
      <c r="MRN152" s="1011"/>
      <c r="MRO152" s="1011"/>
      <c r="MRP152" s="1011"/>
      <c r="MRQ152" s="1011"/>
      <c r="MRR152" s="1011"/>
      <c r="MRS152" s="1011"/>
      <c r="MRT152" s="1011"/>
      <c r="MRU152" s="1011"/>
      <c r="MRV152" s="1011"/>
      <c r="MRW152" s="1011"/>
      <c r="MRX152" s="1011"/>
      <c r="MRY152" s="1011"/>
      <c r="MRZ152" s="1011"/>
      <c r="MSA152" s="1011"/>
      <c r="MSB152" s="1011"/>
      <c r="MSC152" s="1011"/>
      <c r="MSD152" s="1011"/>
      <c r="MSE152" s="1011"/>
      <c r="MSF152" s="1011"/>
      <c r="MSG152" s="1011"/>
      <c r="MSH152" s="1011"/>
      <c r="MSI152" s="1011"/>
      <c r="MSJ152" s="1011"/>
      <c r="MSK152" s="1011"/>
      <c r="MSL152" s="1011"/>
      <c r="MSM152" s="1011"/>
      <c r="MSN152" s="1011"/>
      <c r="MSO152" s="1011"/>
      <c r="MSP152" s="1011"/>
      <c r="MSQ152" s="1011"/>
      <c r="MSR152" s="1011"/>
      <c r="MSS152" s="1011"/>
      <c r="MST152" s="1011"/>
      <c r="MSU152" s="1011"/>
      <c r="MSV152" s="1011"/>
      <c r="MSW152" s="1011"/>
      <c r="MSX152" s="1011"/>
      <c r="MSY152" s="1011"/>
      <c r="MSZ152" s="1011"/>
      <c r="MTA152" s="1011"/>
      <c r="MTB152" s="1011"/>
      <c r="MTC152" s="1011"/>
      <c r="MTD152" s="1011"/>
      <c r="MTE152" s="1011"/>
      <c r="MTF152" s="1011"/>
      <c r="MTG152" s="1011"/>
      <c r="MTH152" s="1011"/>
      <c r="MTI152" s="1011"/>
      <c r="MTJ152" s="1011"/>
      <c r="MTK152" s="1011"/>
      <c r="MTL152" s="1011"/>
      <c r="MTM152" s="1011"/>
      <c r="MTN152" s="1011"/>
      <c r="MTO152" s="1011"/>
      <c r="MTP152" s="1011"/>
      <c r="MTQ152" s="1011"/>
      <c r="MTR152" s="1011"/>
      <c r="MTS152" s="1011"/>
      <c r="MTT152" s="1011"/>
      <c r="MTU152" s="1011"/>
      <c r="MTV152" s="1011"/>
      <c r="MTW152" s="1011"/>
      <c r="MTX152" s="1011"/>
      <c r="MTY152" s="1011"/>
      <c r="MTZ152" s="1011"/>
      <c r="MUA152" s="1011"/>
      <c r="MUB152" s="1011"/>
      <c r="MUC152" s="1011"/>
      <c r="MUD152" s="1011"/>
      <c r="MUE152" s="1011"/>
      <c r="MUF152" s="1011"/>
      <c r="MUG152" s="1011"/>
      <c r="MUH152" s="1011"/>
      <c r="MUI152" s="1011"/>
      <c r="MUJ152" s="1011"/>
      <c r="MUK152" s="1011"/>
      <c r="MUL152" s="1011"/>
      <c r="MUM152" s="1011"/>
      <c r="MUN152" s="1011"/>
      <c r="MUO152" s="1011"/>
      <c r="MUP152" s="1011"/>
      <c r="MUQ152" s="1011"/>
      <c r="MUR152" s="1011"/>
      <c r="MUS152" s="1011"/>
      <c r="MUT152" s="1011"/>
      <c r="MUU152" s="1011"/>
      <c r="MUV152" s="1011"/>
      <c r="MUW152" s="1011"/>
      <c r="MUX152" s="1011"/>
      <c r="MUY152" s="1011"/>
      <c r="MUZ152" s="1011"/>
      <c r="MVA152" s="1011"/>
      <c r="MVB152" s="1011"/>
      <c r="MVC152" s="1011"/>
      <c r="MVD152" s="1011"/>
      <c r="MVE152" s="1011"/>
      <c r="MVF152" s="1011"/>
      <c r="MVG152" s="1011"/>
      <c r="MVH152" s="1011"/>
      <c r="MVI152" s="1011"/>
      <c r="MVJ152" s="1011"/>
      <c r="MVK152" s="1011"/>
      <c r="MVL152" s="1011"/>
      <c r="MVM152" s="1011"/>
      <c r="MVN152" s="1011"/>
      <c r="MVO152" s="1011"/>
      <c r="MVP152" s="1011"/>
      <c r="MVQ152" s="1011"/>
      <c r="MVR152" s="1011"/>
      <c r="MVS152" s="1011"/>
      <c r="MVT152" s="1011"/>
      <c r="MVU152" s="1011"/>
      <c r="MVV152" s="1011"/>
      <c r="MVW152" s="1011"/>
      <c r="MVX152" s="1011"/>
      <c r="MVY152" s="1011"/>
      <c r="MVZ152" s="1011"/>
      <c r="MWA152" s="1011"/>
      <c r="MWB152" s="1011"/>
      <c r="MWC152" s="1011"/>
      <c r="MWD152" s="1011"/>
      <c r="MWE152" s="1011"/>
      <c r="MWF152" s="1011"/>
      <c r="MWG152" s="1011"/>
      <c r="MWH152" s="1011"/>
      <c r="MWI152" s="1011"/>
      <c r="MWJ152" s="1011"/>
      <c r="MWK152" s="1011"/>
      <c r="MWL152" s="1011"/>
      <c r="MWM152" s="1011"/>
      <c r="MWN152" s="1011"/>
      <c r="MWO152" s="1011"/>
      <c r="MWP152" s="1011"/>
      <c r="MWQ152" s="1011"/>
      <c r="MWR152" s="1011"/>
      <c r="MWS152" s="1011"/>
      <c r="MWT152" s="1011"/>
      <c r="MWU152" s="1011"/>
      <c r="MWV152" s="1011"/>
      <c r="MWW152" s="1011"/>
      <c r="MWX152" s="1011"/>
      <c r="MWY152" s="1011"/>
      <c r="MWZ152" s="1011"/>
      <c r="MXA152" s="1011"/>
      <c r="MXB152" s="1011"/>
      <c r="MXC152" s="1011"/>
      <c r="MXD152" s="1011"/>
      <c r="MXE152" s="1011"/>
      <c r="MXF152" s="1011"/>
      <c r="MXG152" s="1011"/>
      <c r="MXH152" s="1011"/>
      <c r="MXI152" s="1011"/>
      <c r="MXJ152" s="1011"/>
      <c r="MXK152" s="1011"/>
      <c r="MXL152" s="1011"/>
      <c r="MXM152" s="1011"/>
      <c r="MXN152" s="1011"/>
      <c r="MXO152" s="1011"/>
      <c r="MXP152" s="1011"/>
      <c r="MXQ152" s="1011"/>
      <c r="MXR152" s="1011"/>
      <c r="MXS152" s="1011"/>
      <c r="MXT152" s="1011"/>
      <c r="MXU152" s="1011"/>
      <c r="MXV152" s="1011"/>
      <c r="MXW152" s="1011"/>
      <c r="MXX152" s="1011"/>
      <c r="MXY152" s="1011"/>
      <c r="MXZ152" s="1011"/>
      <c r="MYA152" s="1011"/>
      <c r="MYB152" s="1011"/>
      <c r="MYC152" s="1011"/>
      <c r="MYD152" s="1011"/>
      <c r="MYE152" s="1011"/>
      <c r="MYF152" s="1011"/>
      <c r="MYG152" s="1011"/>
      <c r="MYH152" s="1011"/>
      <c r="MYI152" s="1011"/>
      <c r="MYJ152" s="1011"/>
      <c r="MYK152" s="1011"/>
      <c r="MYL152" s="1011"/>
      <c r="MYM152" s="1011"/>
      <c r="MYN152" s="1011"/>
      <c r="MYO152" s="1011"/>
      <c r="MYP152" s="1011"/>
      <c r="MYQ152" s="1011"/>
      <c r="MYR152" s="1011"/>
      <c r="MYS152" s="1011"/>
      <c r="MYT152" s="1011"/>
      <c r="MYU152" s="1011"/>
      <c r="MYV152" s="1011"/>
      <c r="MYW152" s="1011"/>
      <c r="MYX152" s="1011"/>
      <c r="MYY152" s="1011"/>
      <c r="MYZ152" s="1011"/>
      <c r="MZA152" s="1011"/>
      <c r="MZB152" s="1011"/>
      <c r="MZC152" s="1011"/>
      <c r="MZD152" s="1011"/>
      <c r="MZE152" s="1011"/>
      <c r="MZF152" s="1011"/>
      <c r="MZG152" s="1011"/>
      <c r="MZH152" s="1011"/>
      <c r="MZI152" s="1011"/>
      <c r="MZJ152" s="1011"/>
      <c r="MZK152" s="1011"/>
      <c r="MZL152" s="1011"/>
      <c r="MZM152" s="1011"/>
      <c r="MZN152" s="1011"/>
      <c r="MZO152" s="1011"/>
      <c r="MZP152" s="1011"/>
      <c r="MZQ152" s="1011"/>
      <c r="MZR152" s="1011"/>
      <c r="MZS152" s="1011"/>
      <c r="MZT152" s="1011"/>
      <c r="MZU152" s="1011"/>
      <c r="MZV152" s="1011"/>
      <c r="MZW152" s="1011"/>
      <c r="MZX152" s="1011"/>
      <c r="MZY152" s="1011"/>
      <c r="MZZ152" s="1011"/>
      <c r="NAA152" s="1011"/>
      <c r="NAB152" s="1011"/>
      <c r="NAC152" s="1011"/>
      <c r="NAD152" s="1011"/>
      <c r="NAE152" s="1011"/>
      <c r="NAF152" s="1011"/>
      <c r="NAG152" s="1011"/>
      <c r="NAH152" s="1011"/>
      <c r="NAI152" s="1011"/>
      <c r="NAJ152" s="1011"/>
      <c r="NAK152" s="1011"/>
      <c r="NAL152" s="1011"/>
      <c r="NAM152" s="1011"/>
      <c r="NAN152" s="1011"/>
      <c r="NAO152" s="1011"/>
      <c r="NAP152" s="1011"/>
      <c r="NAQ152" s="1011"/>
      <c r="NAR152" s="1011"/>
      <c r="NAS152" s="1011"/>
      <c r="NAT152" s="1011"/>
      <c r="NAU152" s="1011"/>
      <c r="NAV152" s="1011"/>
      <c r="NAW152" s="1011"/>
      <c r="NAX152" s="1011"/>
      <c r="NAY152" s="1011"/>
      <c r="NAZ152" s="1011"/>
      <c r="NBA152" s="1011"/>
      <c r="NBB152" s="1011"/>
      <c r="NBC152" s="1011"/>
      <c r="NBD152" s="1011"/>
      <c r="NBE152" s="1011"/>
      <c r="NBF152" s="1011"/>
      <c r="NBG152" s="1011"/>
      <c r="NBH152" s="1011"/>
      <c r="NBI152" s="1011"/>
      <c r="NBJ152" s="1011"/>
      <c r="NBK152" s="1011"/>
      <c r="NBL152" s="1011"/>
      <c r="NBM152" s="1011"/>
      <c r="NBN152" s="1011"/>
      <c r="NBO152" s="1011"/>
      <c r="NBP152" s="1011"/>
      <c r="NBQ152" s="1011"/>
      <c r="NBR152" s="1011"/>
      <c r="NBS152" s="1011"/>
      <c r="NBT152" s="1011"/>
      <c r="NBU152" s="1011"/>
      <c r="NBV152" s="1011"/>
      <c r="NBW152" s="1011"/>
      <c r="NBX152" s="1011"/>
      <c r="NBY152" s="1011"/>
      <c r="NBZ152" s="1011"/>
      <c r="NCA152" s="1011"/>
      <c r="NCB152" s="1011"/>
      <c r="NCC152" s="1011"/>
      <c r="NCD152" s="1011"/>
      <c r="NCE152" s="1011"/>
      <c r="NCF152" s="1011"/>
      <c r="NCG152" s="1011"/>
      <c r="NCH152" s="1011"/>
      <c r="NCI152" s="1011"/>
      <c r="NCJ152" s="1011"/>
      <c r="NCK152" s="1011"/>
      <c r="NCL152" s="1011"/>
      <c r="NCM152" s="1011"/>
      <c r="NCN152" s="1011"/>
      <c r="NCO152" s="1011"/>
      <c r="NCP152" s="1011"/>
      <c r="NCQ152" s="1011"/>
      <c r="NCR152" s="1011"/>
      <c r="NCS152" s="1011"/>
      <c r="NCT152" s="1011"/>
      <c r="NCU152" s="1011"/>
      <c r="NCV152" s="1011"/>
      <c r="NCW152" s="1011"/>
      <c r="NCX152" s="1011"/>
      <c r="NCY152" s="1011"/>
      <c r="NCZ152" s="1011"/>
      <c r="NDA152" s="1011"/>
      <c r="NDB152" s="1011"/>
      <c r="NDC152" s="1011"/>
      <c r="NDD152" s="1011"/>
      <c r="NDE152" s="1011"/>
      <c r="NDF152" s="1011"/>
      <c r="NDG152" s="1011"/>
      <c r="NDH152" s="1011"/>
      <c r="NDI152" s="1011"/>
      <c r="NDJ152" s="1011"/>
      <c r="NDK152" s="1011"/>
      <c r="NDL152" s="1011"/>
      <c r="NDM152" s="1011"/>
      <c r="NDN152" s="1011"/>
      <c r="NDO152" s="1011"/>
      <c r="NDP152" s="1011"/>
      <c r="NDQ152" s="1011"/>
      <c r="NDR152" s="1011"/>
      <c r="NDS152" s="1011"/>
      <c r="NDT152" s="1011"/>
      <c r="NDU152" s="1011"/>
      <c r="NDV152" s="1011"/>
      <c r="NDW152" s="1011"/>
      <c r="NDX152" s="1011"/>
      <c r="NDY152" s="1011"/>
      <c r="NDZ152" s="1011"/>
      <c r="NEA152" s="1011"/>
      <c r="NEB152" s="1011"/>
      <c r="NEC152" s="1011"/>
      <c r="NED152" s="1011"/>
      <c r="NEE152" s="1011"/>
      <c r="NEF152" s="1011"/>
      <c r="NEG152" s="1011"/>
      <c r="NEH152" s="1011"/>
      <c r="NEI152" s="1011"/>
      <c r="NEJ152" s="1011"/>
      <c r="NEK152" s="1011"/>
      <c r="NEL152" s="1011"/>
      <c r="NEM152" s="1011"/>
      <c r="NEN152" s="1011"/>
      <c r="NEO152" s="1011"/>
      <c r="NEP152" s="1011"/>
      <c r="NEQ152" s="1011"/>
      <c r="NER152" s="1011"/>
      <c r="NES152" s="1011"/>
      <c r="NET152" s="1011"/>
      <c r="NEU152" s="1011"/>
      <c r="NEV152" s="1011"/>
      <c r="NEW152" s="1011"/>
      <c r="NEX152" s="1011"/>
      <c r="NEY152" s="1011"/>
      <c r="NEZ152" s="1011"/>
      <c r="NFA152" s="1011"/>
      <c r="NFB152" s="1011"/>
      <c r="NFC152" s="1011"/>
      <c r="NFD152" s="1011"/>
      <c r="NFE152" s="1011"/>
      <c r="NFF152" s="1011"/>
      <c r="NFG152" s="1011"/>
      <c r="NFH152" s="1011"/>
      <c r="NFI152" s="1011"/>
      <c r="NFJ152" s="1011"/>
      <c r="NFK152" s="1011"/>
      <c r="NFL152" s="1011"/>
      <c r="NFM152" s="1011"/>
      <c r="NFN152" s="1011"/>
      <c r="NFO152" s="1011"/>
      <c r="NFP152" s="1011"/>
      <c r="NFQ152" s="1011"/>
      <c r="NFR152" s="1011"/>
      <c r="NFS152" s="1011"/>
      <c r="NFT152" s="1011"/>
      <c r="NFU152" s="1011"/>
      <c r="NFV152" s="1011"/>
      <c r="NFW152" s="1011"/>
      <c r="NFX152" s="1011"/>
      <c r="NFY152" s="1011"/>
      <c r="NFZ152" s="1011"/>
      <c r="NGA152" s="1011"/>
      <c r="NGB152" s="1011"/>
      <c r="NGC152" s="1011"/>
      <c r="NGD152" s="1011"/>
      <c r="NGE152" s="1011"/>
      <c r="NGF152" s="1011"/>
      <c r="NGG152" s="1011"/>
      <c r="NGH152" s="1011"/>
      <c r="NGI152" s="1011"/>
      <c r="NGJ152" s="1011"/>
      <c r="NGK152" s="1011"/>
      <c r="NGL152" s="1011"/>
      <c r="NGM152" s="1011"/>
      <c r="NGN152" s="1011"/>
      <c r="NGO152" s="1011"/>
      <c r="NGP152" s="1011"/>
      <c r="NGQ152" s="1011"/>
      <c r="NGR152" s="1011"/>
      <c r="NGS152" s="1011"/>
      <c r="NGT152" s="1011"/>
      <c r="NGU152" s="1011"/>
      <c r="NGV152" s="1011"/>
      <c r="NGW152" s="1011"/>
      <c r="NGX152" s="1011"/>
      <c r="NGY152" s="1011"/>
      <c r="NGZ152" s="1011"/>
      <c r="NHA152" s="1011"/>
      <c r="NHB152" s="1011"/>
      <c r="NHC152" s="1011"/>
      <c r="NHD152" s="1011"/>
      <c r="NHE152" s="1011"/>
      <c r="NHF152" s="1011"/>
      <c r="NHG152" s="1011"/>
      <c r="NHH152" s="1011"/>
      <c r="NHI152" s="1011"/>
      <c r="NHJ152" s="1011"/>
      <c r="NHK152" s="1011"/>
      <c r="NHL152" s="1011"/>
      <c r="NHM152" s="1011"/>
      <c r="NHN152" s="1011"/>
      <c r="NHO152" s="1011"/>
      <c r="NHP152" s="1011"/>
      <c r="NHQ152" s="1011"/>
      <c r="NHR152" s="1011"/>
      <c r="NHS152" s="1011"/>
      <c r="NHT152" s="1011"/>
      <c r="NHU152" s="1011"/>
      <c r="NHV152" s="1011"/>
      <c r="NHW152" s="1011"/>
      <c r="NHX152" s="1011"/>
      <c r="NHY152" s="1011"/>
      <c r="NHZ152" s="1011"/>
      <c r="NIA152" s="1011"/>
      <c r="NIB152" s="1011"/>
      <c r="NIC152" s="1011"/>
      <c r="NID152" s="1011"/>
      <c r="NIE152" s="1011"/>
      <c r="NIF152" s="1011"/>
      <c r="NIG152" s="1011"/>
      <c r="NIH152" s="1011"/>
      <c r="NII152" s="1011"/>
      <c r="NIJ152" s="1011"/>
      <c r="NIK152" s="1011"/>
      <c r="NIL152" s="1011"/>
      <c r="NIM152" s="1011"/>
      <c r="NIN152" s="1011"/>
      <c r="NIO152" s="1011"/>
      <c r="NIP152" s="1011"/>
      <c r="NIQ152" s="1011"/>
      <c r="NIR152" s="1011"/>
      <c r="NIS152" s="1011"/>
      <c r="NIT152" s="1011"/>
      <c r="NIU152" s="1011"/>
      <c r="NIV152" s="1011"/>
      <c r="NIW152" s="1011"/>
      <c r="NIX152" s="1011"/>
      <c r="NIY152" s="1011"/>
      <c r="NIZ152" s="1011"/>
      <c r="NJA152" s="1011"/>
      <c r="NJB152" s="1011"/>
      <c r="NJC152" s="1011"/>
      <c r="NJD152" s="1011"/>
      <c r="NJE152" s="1011"/>
      <c r="NJF152" s="1011"/>
      <c r="NJG152" s="1011"/>
      <c r="NJH152" s="1011"/>
      <c r="NJI152" s="1011"/>
      <c r="NJJ152" s="1011"/>
      <c r="NJK152" s="1011"/>
      <c r="NJL152" s="1011"/>
      <c r="NJM152" s="1011"/>
      <c r="NJN152" s="1011"/>
      <c r="NJO152" s="1011"/>
      <c r="NJP152" s="1011"/>
      <c r="NJQ152" s="1011"/>
      <c r="NJR152" s="1011"/>
      <c r="NJS152" s="1011"/>
      <c r="NJT152" s="1011"/>
      <c r="NJU152" s="1011"/>
      <c r="NJV152" s="1011"/>
      <c r="NJW152" s="1011"/>
      <c r="NJX152" s="1011"/>
      <c r="NJY152" s="1011"/>
      <c r="NJZ152" s="1011"/>
      <c r="NKA152" s="1011"/>
      <c r="NKB152" s="1011"/>
      <c r="NKC152" s="1011"/>
      <c r="NKD152" s="1011"/>
      <c r="NKE152" s="1011"/>
      <c r="NKF152" s="1011"/>
      <c r="NKG152" s="1011"/>
      <c r="NKH152" s="1011"/>
      <c r="NKI152" s="1011"/>
      <c r="NKJ152" s="1011"/>
      <c r="NKK152" s="1011"/>
      <c r="NKL152" s="1011"/>
      <c r="NKM152" s="1011"/>
      <c r="NKN152" s="1011"/>
      <c r="NKO152" s="1011"/>
      <c r="NKP152" s="1011"/>
      <c r="NKQ152" s="1011"/>
      <c r="NKR152" s="1011"/>
      <c r="NKS152" s="1011"/>
      <c r="NKT152" s="1011"/>
      <c r="NKU152" s="1011"/>
      <c r="NKV152" s="1011"/>
      <c r="NKW152" s="1011"/>
      <c r="NKX152" s="1011"/>
      <c r="NKY152" s="1011"/>
      <c r="NKZ152" s="1011"/>
      <c r="NLA152" s="1011"/>
      <c r="NLB152" s="1011"/>
      <c r="NLC152" s="1011"/>
      <c r="NLD152" s="1011"/>
      <c r="NLE152" s="1011"/>
      <c r="NLF152" s="1011"/>
      <c r="NLG152" s="1011"/>
      <c r="NLH152" s="1011"/>
      <c r="NLI152" s="1011"/>
      <c r="NLJ152" s="1011"/>
      <c r="NLK152" s="1011"/>
      <c r="NLL152" s="1011"/>
      <c r="NLM152" s="1011"/>
      <c r="NLN152" s="1011"/>
      <c r="NLO152" s="1011"/>
      <c r="NLP152" s="1011"/>
      <c r="NLQ152" s="1011"/>
      <c r="NLR152" s="1011"/>
      <c r="NLS152" s="1011"/>
      <c r="NLT152" s="1011"/>
      <c r="NLU152" s="1011"/>
      <c r="NLV152" s="1011"/>
      <c r="NLW152" s="1011"/>
      <c r="NLX152" s="1011"/>
      <c r="NLY152" s="1011"/>
      <c r="NLZ152" s="1011"/>
      <c r="NMA152" s="1011"/>
      <c r="NMB152" s="1011"/>
      <c r="NMC152" s="1011"/>
      <c r="NMD152" s="1011"/>
      <c r="NME152" s="1011"/>
      <c r="NMF152" s="1011"/>
      <c r="NMG152" s="1011"/>
      <c r="NMH152" s="1011"/>
      <c r="NMI152" s="1011"/>
      <c r="NMJ152" s="1011"/>
      <c r="NMK152" s="1011"/>
      <c r="NML152" s="1011"/>
      <c r="NMM152" s="1011"/>
      <c r="NMN152" s="1011"/>
      <c r="NMO152" s="1011"/>
      <c r="NMP152" s="1011"/>
      <c r="NMQ152" s="1011"/>
      <c r="NMR152" s="1011"/>
      <c r="NMS152" s="1011"/>
      <c r="NMT152" s="1011"/>
      <c r="NMU152" s="1011"/>
      <c r="NMV152" s="1011"/>
      <c r="NMW152" s="1011"/>
      <c r="NMX152" s="1011"/>
      <c r="NMY152" s="1011"/>
      <c r="NMZ152" s="1011"/>
      <c r="NNA152" s="1011"/>
      <c r="NNB152" s="1011"/>
      <c r="NNC152" s="1011"/>
      <c r="NND152" s="1011"/>
      <c r="NNE152" s="1011"/>
      <c r="NNF152" s="1011"/>
      <c r="NNG152" s="1011"/>
      <c r="NNH152" s="1011"/>
      <c r="NNI152" s="1011"/>
      <c r="NNJ152" s="1011"/>
      <c r="NNK152" s="1011"/>
      <c r="NNL152" s="1011"/>
      <c r="NNM152" s="1011"/>
      <c r="NNN152" s="1011"/>
      <c r="NNO152" s="1011"/>
      <c r="NNP152" s="1011"/>
      <c r="NNQ152" s="1011"/>
      <c r="NNR152" s="1011"/>
      <c r="NNS152" s="1011"/>
      <c r="NNT152" s="1011"/>
      <c r="NNU152" s="1011"/>
      <c r="NNV152" s="1011"/>
      <c r="NNW152" s="1011"/>
      <c r="NNX152" s="1011"/>
      <c r="NNY152" s="1011"/>
      <c r="NNZ152" s="1011"/>
      <c r="NOA152" s="1011"/>
      <c r="NOB152" s="1011"/>
      <c r="NOC152" s="1011"/>
      <c r="NOD152" s="1011"/>
      <c r="NOE152" s="1011"/>
      <c r="NOF152" s="1011"/>
      <c r="NOG152" s="1011"/>
      <c r="NOH152" s="1011"/>
      <c r="NOI152" s="1011"/>
      <c r="NOJ152" s="1011"/>
      <c r="NOK152" s="1011"/>
      <c r="NOL152" s="1011"/>
      <c r="NOM152" s="1011"/>
      <c r="NON152" s="1011"/>
      <c r="NOO152" s="1011"/>
      <c r="NOP152" s="1011"/>
      <c r="NOQ152" s="1011"/>
      <c r="NOR152" s="1011"/>
      <c r="NOS152" s="1011"/>
      <c r="NOT152" s="1011"/>
      <c r="NOU152" s="1011"/>
      <c r="NOV152" s="1011"/>
      <c r="NOW152" s="1011"/>
      <c r="NOX152" s="1011"/>
      <c r="NOY152" s="1011"/>
      <c r="NOZ152" s="1011"/>
      <c r="NPA152" s="1011"/>
      <c r="NPB152" s="1011"/>
      <c r="NPC152" s="1011"/>
      <c r="NPD152" s="1011"/>
      <c r="NPE152" s="1011"/>
      <c r="NPF152" s="1011"/>
      <c r="NPG152" s="1011"/>
      <c r="NPH152" s="1011"/>
      <c r="NPI152" s="1011"/>
      <c r="NPJ152" s="1011"/>
      <c r="NPK152" s="1011"/>
      <c r="NPL152" s="1011"/>
      <c r="NPM152" s="1011"/>
      <c r="NPN152" s="1011"/>
      <c r="NPO152" s="1011"/>
      <c r="NPP152" s="1011"/>
      <c r="NPQ152" s="1011"/>
      <c r="NPR152" s="1011"/>
      <c r="NPS152" s="1011"/>
      <c r="NPT152" s="1011"/>
      <c r="NPU152" s="1011"/>
      <c r="NPV152" s="1011"/>
      <c r="NPW152" s="1011"/>
      <c r="NPX152" s="1011"/>
      <c r="NPY152" s="1011"/>
      <c r="NPZ152" s="1011"/>
      <c r="NQA152" s="1011"/>
      <c r="NQB152" s="1011"/>
      <c r="NQC152" s="1011"/>
      <c r="NQD152" s="1011"/>
      <c r="NQE152" s="1011"/>
      <c r="NQF152" s="1011"/>
      <c r="NQG152" s="1011"/>
      <c r="NQH152" s="1011"/>
      <c r="NQI152" s="1011"/>
      <c r="NQJ152" s="1011"/>
      <c r="NQK152" s="1011"/>
      <c r="NQL152" s="1011"/>
      <c r="NQM152" s="1011"/>
      <c r="NQN152" s="1011"/>
      <c r="NQO152" s="1011"/>
      <c r="NQP152" s="1011"/>
      <c r="NQQ152" s="1011"/>
      <c r="NQR152" s="1011"/>
      <c r="NQS152" s="1011"/>
      <c r="NQT152" s="1011"/>
      <c r="NQU152" s="1011"/>
      <c r="NQV152" s="1011"/>
      <c r="NQW152" s="1011"/>
      <c r="NQX152" s="1011"/>
      <c r="NQY152" s="1011"/>
      <c r="NQZ152" s="1011"/>
      <c r="NRA152" s="1011"/>
      <c r="NRB152" s="1011"/>
      <c r="NRC152" s="1011"/>
      <c r="NRD152" s="1011"/>
      <c r="NRE152" s="1011"/>
      <c r="NRF152" s="1011"/>
      <c r="NRG152" s="1011"/>
      <c r="NRH152" s="1011"/>
      <c r="NRI152" s="1011"/>
      <c r="NRJ152" s="1011"/>
      <c r="NRK152" s="1011"/>
      <c r="NRL152" s="1011"/>
      <c r="NRM152" s="1011"/>
      <c r="NRN152" s="1011"/>
      <c r="NRO152" s="1011"/>
      <c r="NRP152" s="1011"/>
      <c r="NRQ152" s="1011"/>
      <c r="NRR152" s="1011"/>
      <c r="NRS152" s="1011"/>
      <c r="NRT152" s="1011"/>
      <c r="NRU152" s="1011"/>
      <c r="NRV152" s="1011"/>
      <c r="NRW152" s="1011"/>
      <c r="NRX152" s="1011"/>
      <c r="NRY152" s="1011"/>
      <c r="NRZ152" s="1011"/>
      <c r="NSA152" s="1011"/>
      <c r="NSB152" s="1011"/>
      <c r="NSC152" s="1011"/>
      <c r="NSD152" s="1011"/>
      <c r="NSE152" s="1011"/>
      <c r="NSF152" s="1011"/>
      <c r="NSG152" s="1011"/>
      <c r="NSH152" s="1011"/>
      <c r="NSI152" s="1011"/>
      <c r="NSJ152" s="1011"/>
      <c r="NSK152" s="1011"/>
      <c r="NSL152" s="1011"/>
      <c r="NSM152" s="1011"/>
      <c r="NSN152" s="1011"/>
      <c r="NSO152" s="1011"/>
      <c r="NSP152" s="1011"/>
      <c r="NSQ152" s="1011"/>
      <c r="NSR152" s="1011"/>
      <c r="NSS152" s="1011"/>
      <c r="NST152" s="1011"/>
      <c r="NSU152" s="1011"/>
      <c r="NSV152" s="1011"/>
      <c r="NSW152" s="1011"/>
      <c r="NSX152" s="1011"/>
      <c r="NSY152" s="1011"/>
      <c r="NSZ152" s="1011"/>
      <c r="NTA152" s="1011"/>
      <c r="NTB152" s="1011"/>
      <c r="NTC152" s="1011"/>
      <c r="NTD152" s="1011"/>
      <c r="NTE152" s="1011"/>
      <c r="NTF152" s="1011"/>
      <c r="NTG152" s="1011"/>
      <c r="NTH152" s="1011"/>
      <c r="NTI152" s="1011"/>
      <c r="NTJ152" s="1011"/>
      <c r="NTK152" s="1011"/>
      <c r="NTL152" s="1011"/>
      <c r="NTM152" s="1011"/>
      <c r="NTN152" s="1011"/>
      <c r="NTO152" s="1011"/>
      <c r="NTP152" s="1011"/>
      <c r="NTQ152" s="1011"/>
      <c r="NTR152" s="1011"/>
      <c r="NTS152" s="1011"/>
      <c r="NTT152" s="1011"/>
      <c r="NTU152" s="1011"/>
      <c r="NTV152" s="1011"/>
      <c r="NTW152" s="1011"/>
      <c r="NTX152" s="1011"/>
      <c r="NTY152" s="1011"/>
      <c r="NTZ152" s="1011"/>
      <c r="NUA152" s="1011"/>
      <c r="NUB152" s="1011"/>
      <c r="NUC152" s="1011"/>
      <c r="NUD152" s="1011"/>
      <c r="NUE152" s="1011"/>
      <c r="NUF152" s="1011"/>
      <c r="NUG152" s="1011"/>
      <c r="NUH152" s="1011"/>
      <c r="NUI152" s="1011"/>
      <c r="NUJ152" s="1011"/>
      <c r="NUK152" s="1011"/>
      <c r="NUL152" s="1011"/>
      <c r="NUM152" s="1011"/>
      <c r="NUN152" s="1011"/>
      <c r="NUO152" s="1011"/>
      <c r="NUP152" s="1011"/>
      <c r="NUQ152" s="1011"/>
      <c r="NUR152" s="1011"/>
      <c r="NUS152" s="1011"/>
      <c r="NUT152" s="1011"/>
      <c r="NUU152" s="1011"/>
      <c r="NUV152" s="1011"/>
      <c r="NUW152" s="1011"/>
      <c r="NUX152" s="1011"/>
      <c r="NUY152" s="1011"/>
      <c r="NUZ152" s="1011"/>
      <c r="NVA152" s="1011"/>
      <c r="NVB152" s="1011"/>
      <c r="NVC152" s="1011"/>
      <c r="NVD152" s="1011"/>
      <c r="NVE152" s="1011"/>
      <c r="NVF152" s="1011"/>
      <c r="NVG152" s="1011"/>
      <c r="NVH152" s="1011"/>
      <c r="NVI152" s="1011"/>
      <c r="NVJ152" s="1011"/>
      <c r="NVK152" s="1011"/>
      <c r="NVL152" s="1011"/>
      <c r="NVM152" s="1011"/>
      <c r="NVN152" s="1011"/>
      <c r="NVO152" s="1011"/>
      <c r="NVP152" s="1011"/>
      <c r="NVQ152" s="1011"/>
      <c r="NVR152" s="1011"/>
      <c r="NVS152" s="1011"/>
      <c r="NVT152" s="1011"/>
      <c r="NVU152" s="1011"/>
      <c r="NVV152" s="1011"/>
      <c r="NVW152" s="1011"/>
      <c r="NVX152" s="1011"/>
      <c r="NVY152" s="1011"/>
      <c r="NVZ152" s="1011"/>
      <c r="NWA152" s="1011"/>
      <c r="NWB152" s="1011"/>
      <c r="NWC152" s="1011"/>
      <c r="NWD152" s="1011"/>
      <c r="NWE152" s="1011"/>
      <c r="NWF152" s="1011"/>
      <c r="NWG152" s="1011"/>
      <c r="NWH152" s="1011"/>
      <c r="NWI152" s="1011"/>
      <c r="NWJ152" s="1011"/>
      <c r="NWK152" s="1011"/>
      <c r="NWL152" s="1011"/>
      <c r="NWM152" s="1011"/>
      <c r="NWN152" s="1011"/>
      <c r="NWO152" s="1011"/>
      <c r="NWP152" s="1011"/>
      <c r="NWQ152" s="1011"/>
      <c r="NWR152" s="1011"/>
      <c r="NWS152" s="1011"/>
      <c r="NWT152" s="1011"/>
      <c r="NWU152" s="1011"/>
      <c r="NWV152" s="1011"/>
      <c r="NWW152" s="1011"/>
      <c r="NWX152" s="1011"/>
      <c r="NWY152" s="1011"/>
      <c r="NWZ152" s="1011"/>
      <c r="NXA152" s="1011"/>
      <c r="NXB152" s="1011"/>
      <c r="NXC152" s="1011"/>
      <c r="NXD152" s="1011"/>
      <c r="NXE152" s="1011"/>
      <c r="NXF152" s="1011"/>
      <c r="NXG152" s="1011"/>
      <c r="NXH152" s="1011"/>
      <c r="NXI152" s="1011"/>
      <c r="NXJ152" s="1011"/>
      <c r="NXK152" s="1011"/>
      <c r="NXL152" s="1011"/>
      <c r="NXM152" s="1011"/>
      <c r="NXN152" s="1011"/>
      <c r="NXO152" s="1011"/>
      <c r="NXP152" s="1011"/>
      <c r="NXQ152" s="1011"/>
      <c r="NXR152" s="1011"/>
      <c r="NXS152" s="1011"/>
      <c r="NXT152" s="1011"/>
      <c r="NXU152" s="1011"/>
      <c r="NXV152" s="1011"/>
      <c r="NXW152" s="1011"/>
      <c r="NXX152" s="1011"/>
      <c r="NXY152" s="1011"/>
      <c r="NXZ152" s="1011"/>
      <c r="NYA152" s="1011"/>
      <c r="NYB152" s="1011"/>
      <c r="NYC152" s="1011"/>
      <c r="NYD152" s="1011"/>
      <c r="NYE152" s="1011"/>
      <c r="NYF152" s="1011"/>
      <c r="NYG152" s="1011"/>
      <c r="NYH152" s="1011"/>
      <c r="NYI152" s="1011"/>
      <c r="NYJ152" s="1011"/>
      <c r="NYK152" s="1011"/>
      <c r="NYL152" s="1011"/>
      <c r="NYM152" s="1011"/>
      <c r="NYN152" s="1011"/>
      <c r="NYO152" s="1011"/>
      <c r="NYP152" s="1011"/>
      <c r="NYQ152" s="1011"/>
      <c r="NYR152" s="1011"/>
      <c r="NYS152" s="1011"/>
      <c r="NYT152" s="1011"/>
      <c r="NYU152" s="1011"/>
      <c r="NYV152" s="1011"/>
      <c r="NYW152" s="1011"/>
      <c r="NYX152" s="1011"/>
      <c r="NYY152" s="1011"/>
      <c r="NYZ152" s="1011"/>
      <c r="NZA152" s="1011"/>
      <c r="NZB152" s="1011"/>
      <c r="NZC152" s="1011"/>
      <c r="NZD152" s="1011"/>
      <c r="NZE152" s="1011"/>
      <c r="NZF152" s="1011"/>
      <c r="NZG152" s="1011"/>
      <c r="NZH152" s="1011"/>
      <c r="NZI152" s="1011"/>
      <c r="NZJ152" s="1011"/>
      <c r="NZK152" s="1011"/>
      <c r="NZL152" s="1011"/>
      <c r="NZM152" s="1011"/>
      <c r="NZN152" s="1011"/>
      <c r="NZO152" s="1011"/>
      <c r="NZP152" s="1011"/>
      <c r="NZQ152" s="1011"/>
      <c r="NZR152" s="1011"/>
      <c r="NZS152" s="1011"/>
      <c r="NZT152" s="1011"/>
      <c r="NZU152" s="1011"/>
      <c r="NZV152" s="1011"/>
      <c r="NZW152" s="1011"/>
      <c r="NZX152" s="1011"/>
      <c r="NZY152" s="1011"/>
      <c r="NZZ152" s="1011"/>
      <c r="OAA152" s="1011"/>
      <c r="OAB152" s="1011"/>
      <c r="OAC152" s="1011"/>
      <c r="OAD152" s="1011"/>
      <c r="OAE152" s="1011"/>
      <c r="OAF152" s="1011"/>
      <c r="OAG152" s="1011"/>
      <c r="OAH152" s="1011"/>
      <c r="OAI152" s="1011"/>
      <c r="OAJ152" s="1011"/>
      <c r="OAK152" s="1011"/>
      <c r="OAL152" s="1011"/>
      <c r="OAM152" s="1011"/>
      <c r="OAN152" s="1011"/>
      <c r="OAO152" s="1011"/>
      <c r="OAP152" s="1011"/>
      <c r="OAQ152" s="1011"/>
      <c r="OAR152" s="1011"/>
      <c r="OAS152" s="1011"/>
      <c r="OAT152" s="1011"/>
      <c r="OAU152" s="1011"/>
      <c r="OAV152" s="1011"/>
      <c r="OAW152" s="1011"/>
      <c r="OAX152" s="1011"/>
      <c r="OAY152" s="1011"/>
      <c r="OAZ152" s="1011"/>
      <c r="OBA152" s="1011"/>
      <c r="OBB152" s="1011"/>
      <c r="OBC152" s="1011"/>
      <c r="OBD152" s="1011"/>
      <c r="OBE152" s="1011"/>
      <c r="OBF152" s="1011"/>
      <c r="OBG152" s="1011"/>
      <c r="OBH152" s="1011"/>
      <c r="OBI152" s="1011"/>
      <c r="OBJ152" s="1011"/>
      <c r="OBK152" s="1011"/>
      <c r="OBL152" s="1011"/>
      <c r="OBM152" s="1011"/>
      <c r="OBN152" s="1011"/>
      <c r="OBO152" s="1011"/>
      <c r="OBP152" s="1011"/>
      <c r="OBQ152" s="1011"/>
      <c r="OBR152" s="1011"/>
      <c r="OBS152" s="1011"/>
      <c r="OBT152" s="1011"/>
      <c r="OBU152" s="1011"/>
      <c r="OBV152" s="1011"/>
      <c r="OBW152" s="1011"/>
      <c r="OBX152" s="1011"/>
      <c r="OBY152" s="1011"/>
      <c r="OBZ152" s="1011"/>
      <c r="OCA152" s="1011"/>
      <c r="OCB152" s="1011"/>
      <c r="OCC152" s="1011"/>
      <c r="OCD152" s="1011"/>
      <c r="OCE152" s="1011"/>
      <c r="OCF152" s="1011"/>
      <c r="OCG152" s="1011"/>
      <c r="OCH152" s="1011"/>
      <c r="OCI152" s="1011"/>
      <c r="OCJ152" s="1011"/>
      <c r="OCK152" s="1011"/>
      <c r="OCL152" s="1011"/>
      <c r="OCM152" s="1011"/>
      <c r="OCN152" s="1011"/>
      <c r="OCO152" s="1011"/>
      <c r="OCP152" s="1011"/>
      <c r="OCQ152" s="1011"/>
      <c r="OCR152" s="1011"/>
      <c r="OCS152" s="1011"/>
      <c r="OCT152" s="1011"/>
      <c r="OCU152" s="1011"/>
      <c r="OCV152" s="1011"/>
      <c r="OCW152" s="1011"/>
      <c r="OCX152" s="1011"/>
      <c r="OCY152" s="1011"/>
      <c r="OCZ152" s="1011"/>
      <c r="ODA152" s="1011"/>
      <c r="ODB152" s="1011"/>
      <c r="ODC152" s="1011"/>
      <c r="ODD152" s="1011"/>
      <c r="ODE152" s="1011"/>
      <c r="ODF152" s="1011"/>
      <c r="ODG152" s="1011"/>
      <c r="ODH152" s="1011"/>
      <c r="ODI152" s="1011"/>
      <c r="ODJ152" s="1011"/>
      <c r="ODK152" s="1011"/>
      <c r="ODL152" s="1011"/>
      <c r="ODM152" s="1011"/>
      <c r="ODN152" s="1011"/>
      <c r="ODO152" s="1011"/>
      <c r="ODP152" s="1011"/>
      <c r="ODQ152" s="1011"/>
      <c r="ODR152" s="1011"/>
      <c r="ODS152" s="1011"/>
      <c r="ODT152" s="1011"/>
      <c r="ODU152" s="1011"/>
      <c r="ODV152" s="1011"/>
      <c r="ODW152" s="1011"/>
      <c r="ODX152" s="1011"/>
      <c r="ODY152" s="1011"/>
      <c r="ODZ152" s="1011"/>
      <c r="OEA152" s="1011"/>
      <c r="OEB152" s="1011"/>
      <c r="OEC152" s="1011"/>
      <c r="OED152" s="1011"/>
      <c r="OEE152" s="1011"/>
      <c r="OEF152" s="1011"/>
      <c r="OEG152" s="1011"/>
      <c r="OEH152" s="1011"/>
      <c r="OEI152" s="1011"/>
      <c r="OEJ152" s="1011"/>
      <c r="OEK152" s="1011"/>
      <c r="OEL152" s="1011"/>
      <c r="OEM152" s="1011"/>
      <c r="OEN152" s="1011"/>
      <c r="OEO152" s="1011"/>
      <c r="OEP152" s="1011"/>
      <c r="OEQ152" s="1011"/>
      <c r="OER152" s="1011"/>
      <c r="OES152" s="1011"/>
      <c r="OET152" s="1011"/>
      <c r="OEU152" s="1011"/>
      <c r="OEV152" s="1011"/>
      <c r="OEW152" s="1011"/>
      <c r="OEX152" s="1011"/>
      <c r="OEY152" s="1011"/>
      <c r="OEZ152" s="1011"/>
      <c r="OFA152" s="1011"/>
      <c r="OFB152" s="1011"/>
      <c r="OFC152" s="1011"/>
      <c r="OFD152" s="1011"/>
      <c r="OFE152" s="1011"/>
      <c r="OFF152" s="1011"/>
      <c r="OFG152" s="1011"/>
      <c r="OFH152" s="1011"/>
      <c r="OFI152" s="1011"/>
      <c r="OFJ152" s="1011"/>
      <c r="OFK152" s="1011"/>
      <c r="OFL152" s="1011"/>
      <c r="OFM152" s="1011"/>
      <c r="OFN152" s="1011"/>
      <c r="OFO152" s="1011"/>
      <c r="OFP152" s="1011"/>
      <c r="OFQ152" s="1011"/>
      <c r="OFR152" s="1011"/>
      <c r="OFS152" s="1011"/>
      <c r="OFT152" s="1011"/>
      <c r="OFU152" s="1011"/>
      <c r="OFV152" s="1011"/>
      <c r="OFW152" s="1011"/>
      <c r="OFX152" s="1011"/>
      <c r="OFY152" s="1011"/>
      <c r="OFZ152" s="1011"/>
      <c r="OGA152" s="1011"/>
      <c r="OGB152" s="1011"/>
      <c r="OGC152" s="1011"/>
      <c r="OGD152" s="1011"/>
      <c r="OGE152" s="1011"/>
      <c r="OGF152" s="1011"/>
      <c r="OGG152" s="1011"/>
      <c r="OGH152" s="1011"/>
      <c r="OGI152" s="1011"/>
      <c r="OGJ152" s="1011"/>
      <c r="OGK152" s="1011"/>
      <c r="OGL152" s="1011"/>
      <c r="OGM152" s="1011"/>
      <c r="OGN152" s="1011"/>
      <c r="OGO152" s="1011"/>
      <c r="OGP152" s="1011"/>
      <c r="OGQ152" s="1011"/>
      <c r="OGR152" s="1011"/>
      <c r="OGS152" s="1011"/>
      <c r="OGT152" s="1011"/>
      <c r="OGU152" s="1011"/>
      <c r="OGV152" s="1011"/>
      <c r="OGW152" s="1011"/>
      <c r="OGX152" s="1011"/>
      <c r="OGY152" s="1011"/>
      <c r="OGZ152" s="1011"/>
      <c r="OHA152" s="1011"/>
      <c r="OHB152" s="1011"/>
      <c r="OHC152" s="1011"/>
      <c r="OHD152" s="1011"/>
      <c r="OHE152" s="1011"/>
      <c r="OHF152" s="1011"/>
      <c r="OHG152" s="1011"/>
      <c r="OHH152" s="1011"/>
      <c r="OHI152" s="1011"/>
      <c r="OHJ152" s="1011"/>
      <c r="OHK152" s="1011"/>
      <c r="OHL152" s="1011"/>
      <c r="OHM152" s="1011"/>
      <c r="OHN152" s="1011"/>
      <c r="OHO152" s="1011"/>
      <c r="OHP152" s="1011"/>
      <c r="OHQ152" s="1011"/>
      <c r="OHR152" s="1011"/>
      <c r="OHS152" s="1011"/>
      <c r="OHT152" s="1011"/>
      <c r="OHU152" s="1011"/>
      <c r="OHV152" s="1011"/>
      <c r="OHW152" s="1011"/>
      <c r="OHX152" s="1011"/>
      <c r="OHY152" s="1011"/>
      <c r="OHZ152" s="1011"/>
      <c r="OIA152" s="1011"/>
      <c r="OIB152" s="1011"/>
      <c r="OIC152" s="1011"/>
      <c r="OID152" s="1011"/>
      <c r="OIE152" s="1011"/>
      <c r="OIF152" s="1011"/>
      <c r="OIG152" s="1011"/>
      <c r="OIH152" s="1011"/>
      <c r="OII152" s="1011"/>
      <c r="OIJ152" s="1011"/>
      <c r="OIK152" s="1011"/>
      <c r="OIL152" s="1011"/>
      <c r="OIM152" s="1011"/>
      <c r="OIN152" s="1011"/>
      <c r="OIO152" s="1011"/>
      <c r="OIP152" s="1011"/>
      <c r="OIQ152" s="1011"/>
      <c r="OIR152" s="1011"/>
      <c r="OIS152" s="1011"/>
      <c r="OIT152" s="1011"/>
      <c r="OIU152" s="1011"/>
      <c r="OIV152" s="1011"/>
      <c r="OIW152" s="1011"/>
      <c r="OIX152" s="1011"/>
      <c r="OIY152" s="1011"/>
      <c r="OIZ152" s="1011"/>
      <c r="OJA152" s="1011"/>
      <c r="OJB152" s="1011"/>
      <c r="OJC152" s="1011"/>
      <c r="OJD152" s="1011"/>
      <c r="OJE152" s="1011"/>
      <c r="OJF152" s="1011"/>
      <c r="OJG152" s="1011"/>
      <c r="OJH152" s="1011"/>
      <c r="OJI152" s="1011"/>
      <c r="OJJ152" s="1011"/>
      <c r="OJK152" s="1011"/>
      <c r="OJL152" s="1011"/>
      <c r="OJM152" s="1011"/>
      <c r="OJN152" s="1011"/>
      <c r="OJO152" s="1011"/>
      <c r="OJP152" s="1011"/>
      <c r="OJQ152" s="1011"/>
      <c r="OJR152" s="1011"/>
      <c r="OJS152" s="1011"/>
      <c r="OJT152" s="1011"/>
      <c r="OJU152" s="1011"/>
      <c r="OJV152" s="1011"/>
      <c r="OJW152" s="1011"/>
      <c r="OJX152" s="1011"/>
      <c r="OJY152" s="1011"/>
      <c r="OJZ152" s="1011"/>
      <c r="OKA152" s="1011"/>
      <c r="OKB152" s="1011"/>
      <c r="OKC152" s="1011"/>
      <c r="OKD152" s="1011"/>
      <c r="OKE152" s="1011"/>
      <c r="OKF152" s="1011"/>
      <c r="OKG152" s="1011"/>
      <c r="OKH152" s="1011"/>
      <c r="OKI152" s="1011"/>
      <c r="OKJ152" s="1011"/>
      <c r="OKK152" s="1011"/>
      <c r="OKL152" s="1011"/>
      <c r="OKM152" s="1011"/>
      <c r="OKN152" s="1011"/>
      <c r="OKO152" s="1011"/>
      <c r="OKP152" s="1011"/>
      <c r="OKQ152" s="1011"/>
      <c r="OKR152" s="1011"/>
      <c r="OKS152" s="1011"/>
      <c r="OKT152" s="1011"/>
      <c r="OKU152" s="1011"/>
      <c r="OKV152" s="1011"/>
      <c r="OKW152" s="1011"/>
      <c r="OKX152" s="1011"/>
      <c r="OKY152" s="1011"/>
      <c r="OKZ152" s="1011"/>
      <c r="OLA152" s="1011"/>
      <c r="OLB152" s="1011"/>
      <c r="OLC152" s="1011"/>
      <c r="OLD152" s="1011"/>
      <c r="OLE152" s="1011"/>
      <c r="OLF152" s="1011"/>
      <c r="OLG152" s="1011"/>
      <c r="OLH152" s="1011"/>
      <c r="OLI152" s="1011"/>
      <c r="OLJ152" s="1011"/>
      <c r="OLK152" s="1011"/>
      <c r="OLL152" s="1011"/>
      <c r="OLM152" s="1011"/>
      <c r="OLN152" s="1011"/>
      <c r="OLO152" s="1011"/>
      <c r="OLP152" s="1011"/>
      <c r="OLQ152" s="1011"/>
      <c r="OLR152" s="1011"/>
      <c r="OLS152" s="1011"/>
      <c r="OLT152" s="1011"/>
      <c r="OLU152" s="1011"/>
      <c r="OLV152" s="1011"/>
      <c r="OLW152" s="1011"/>
      <c r="OLX152" s="1011"/>
      <c r="OLY152" s="1011"/>
      <c r="OLZ152" s="1011"/>
      <c r="OMA152" s="1011"/>
      <c r="OMB152" s="1011"/>
      <c r="OMC152" s="1011"/>
      <c r="OMD152" s="1011"/>
      <c r="OME152" s="1011"/>
      <c r="OMF152" s="1011"/>
      <c r="OMG152" s="1011"/>
      <c r="OMH152" s="1011"/>
      <c r="OMI152" s="1011"/>
      <c r="OMJ152" s="1011"/>
      <c r="OMK152" s="1011"/>
      <c r="OML152" s="1011"/>
      <c r="OMM152" s="1011"/>
      <c r="OMN152" s="1011"/>
      <c r="OMO152" s="1011"/>
      <c r="OMP152" s="1011"/>
      <c r="OMQ152" s="1011"/>
      <c r="OMR152" s="1011"/>
      <c r="OMS152" s="1011"/>
      <c r="OMT152" s="1011"/>
      <c r="OMU152" s="1011"/>
      <c r="OMV152" s="1011"/>
      <c r="OMW152" s="1011"/>
      <c r="OMX152" s="1011"/>
      <c r="OMY152" s="1011"/>
      <c r="OMZ152" s="1011"/>
      <c r="ONA152" s="1011"/>
      <c r="ONB152" s="1011"/>
      <c r="ONC152" s="1011"/>
      <c r="OND152" s="1011"/>
      <c r="ONE152" s="1011"/>
      <c r="ONF152" s="1011"/>
      <c r="ONG152" s="1011"/>
      <c r="ONH152" s="1011"/>
      <c r="ONI152" s="1011"/>
      <c r="ONJ152" s="1011"/>
      <c r="ONK152" s="1011"/>
      <c r="ONL152" s="1011"/>
      <c r="ONM152" s="1011"/>
      <c r="ONN152" s="1011"/>
      <c r="ONO152" s="1011"/>
      <c r="ONP152" s="1011"/>
      <c r="ONQ152" s="1011"/>
      <c r="ONR152" s="1011"/>
      <c r="ONS152" s="1011"/>
      <c r="ONT152" s="1011"/>
      <c r="ONU152" s="1011"/>
      <c r="ONV152" s="1011"/>
      <c r="ONW152" s="1011"/>
      <c r="ONX152" s="1011"/>
      <c r="ONY152" s="1011"/>
      <c r="ONZ152" s="1011"/>
      <c r="OOA152" s="1011"/>
      <c r="OOB152" s="1011"/>
      <c r="OOC152" s="1011"/>
      <c r="OOD152" s="1011"/>
      <c r="OOE152" s="1011"/>
      <c r="OOF152" s="1011"/>
      <c r="OOG152" s="1011"/>
      <c r="OOH152" s="1011"/>
      <c r="OOI152" s="1011"/>
      <c r="OOJ152" s="1011"/>
      <c r="OOK152" s="1011"/>
      <c r="OOL152" s="1011"/>
      <c r="OOM152" s="1011"/>
      <c r="OON152" s="1011"/>
      <c r="OOO152" s="1011"/>
      <c r="OOP152" s="1011"/>
      <c r="OOQ152" s="1011"/>
      <c r="OOR152" s="1011"/>
      <c r="OOS152" s="1011"/>
      <c r="OOT152" s="1011"/>
      <c r="OOU152" s="1011"/>
      <c r="OOV152" s="1011"/>
      <c r="OOW152" s="1011"/>
      <c r="OOX152" s="1011"/>
      <c r="OOY152" s="1011"/>
      <c r="OOZ152" s="1011"/>
      <c r="OPA152" s="1011"/>
      <c r="OPB152" s="1011"/>
      <c r="OPC152" s="1011"/>
      <c r="OPD152" s="1011"/>
      <c r="OPE152" s="1011"/>
      <c r="OPF152" s="1011"/>
      <c r="OPG152" s="1011"/>
      <c r="OPH152" s="1011"/>
      <c r="OPI152" s="1011"/>
      <c r="OPJ152" s="1011"/>
      <c r="OPK152" s="1011"/>
      <c r="OPL152" s="1011"/>
      <c r="OPM152" s="1011"/>
      <c r="OPN152" s="1011"/>
      <c r="OPO152" s="1011"/>
      <c r="OPP152" s="1011"/>
      <c r="OPQ152" s="1011"/>
      <c r="OPR152" s="1011"/>
      <c r="OPS152" s="1011"/>
      <c r="OPT152" s="1011"/>
      <c r="OPU152" s="1011"/>
      <c r="OPV152" s="1011"/>
      <c r="OPW152" s="1011"/>
      <c r="OPX152" s="1011"/>
      <c r="OPY152" s="1011"/>
      <c r="OPZ152" s="1011"/>
      <c r="OQA152" s="1011"/>
      <c r="OQB152" s="1011"/>
      <c r="OQC152" s="1011"/>
      <c r="OQD152" s="1011"/>
      <c r="OQE152" s="1011"/>
      <c r="OQF152" s="1011"/>
      <c r="OQG152" s="1011"/>
      <c r="OQH152" s="1011"/>
      <c r="OQI152" s="1011"/>
      <c r="OQJ152" s="1011"/>
      <c r="OQK152" s="1011"/>
      <c r="OQL152" s="1011"/>
      <c r="OQM152" s="1011"/>
      <c r="OQN152" s="1011"/>
      <c r="OQO152" s="1011"/>
      <c r="OQP152" s="1011"/>
      <c r="OQQ152" s="1011"/>
      <c r="OQR152" s="1011"/>
      <c r="OQS152" s="1011"/>
      <c r="OQT152" s="1011"/>
      <c r="OQU152" s="1011"/>
      <c r="OQV152" s="1011"/>
      <c r="OQW152" s="1011"/>
      <c r="OQX152" s="1011"/>
      <c r="OQY152" s="1011"/>
      <c r="OQZ152" s="1011"/>
      <c r="ORA152" s="1011"/>
      <c r="ORB152" s="1011"/>
      <c r="ORC152" s="1011"/>
      <c r="ORD152" s="1011"/>
      <c r="ORE152" s="1011"/>
      <c r="ORF152" s="1011"/>
      <c r="ORG152" s="1011"/>
      <c r="ORH152" s="1011"/>
      <c r="ORI152" s="1011"/>
      <c r="ORJ152" s="1011"/>
      <c r="ORK152" s="1011"/>
      <c r="ORL152" s="1011"/>
      <c r="ORM152" s="1011"/>
      <c r="ORN152" s="1011"/>
      <c r="ORO152" s="1011"/>
      <c r="ORP152" s="1011"/>
      <c r="ORQ152" s="1011"/>
      <c r="ORR152" s="1011"/>
      <c r="ORS152" s="1011"/>
      <c r="ORT152" s="1011"/>
      <c r="ORU152" s="1011"/>
      <c r="ORV152" s="1011"/>
      <c r="ORW152" s="1011"/>
      <c r="ORX152" s="1011"/>
      <c r="ORY152" s="1011"/>
      <c r="ORZ152" s="1011"/>
      <c r="OSA152" s="1011"/>
      <c r="OSB152" s="1011"/>
      <c r="OSC152" s="1011"/>
      <c r="OSD152" s="1011"/>
      <c r="OSE152" s="1011"/>
      <c r="OSF152" s="1011"/>
      <c r="OSG152" s="1011"/>
      <c r="OSH152" s="1011"/>
      <c r="OSI152" s="1011"/>
      <c r="OSJ152" s="1011"/>
      <c r="OSK152" s="1011"/>
      <c r="OSL152" s="1011"/>
      <c r="OSM152" s="1011"/>
      <c r="OSN152" s="1011"/>
      <c r="OSO152" s="1011"/>
      <c r="OSP152" s="1011"/>
      <c r="OSQ152" s="1011"/>
      <c r="OSR152" s="1011"/>
      <c r="OSS152" s="1011"/>
      <c r="OST152" s="1011"/>
      <c r="OSU152" s="1011"/>
      <c r="OSV152" s="1011"/>
      <c r="OSW152" s="1011"/>
      <c r="OSX152" s="1011"/>
      <c r="OSY152" s="1011"/>
      <c r="OSZ152" s="1011"/>
      <c r="OTA152" s="1011"/>
      <c r="OTB152" s="1011"/>
      <c r="OTC152" s="1011"/>
      <c r="OTD152" s="1011"/>
      <c r="OTE152" s="1011"/>
      <c r="OTF152" s="1011"/>
      <c r="OTG152" s="1011"/>
      <c r="OTH152" s="1011"/>
      <c r="OTI152" s="1011"/>
      <c r="OTJ152" s="1011"/>
      <c r="OTK152" s="1011"/>
      <c r="OTL152" s="1011"/>
      <c r="OTM152" s="1011"/>
      <c r="OTN152" s="1011"/>
      <c r="OTO152" s="1011"/>
      <c r="OTP152" s="1011"/>
      <c r="OTQ152" s="1011"/>
      <c r="OTR152" s="1011"/>
      <c r="OTS152" s="1011"/>
      <c r="OTT152" s="1011"/>
      <c r="OTU152" s="1011"/>
      <c r="OTV152" s="1011"/>
      <c r="OTW152" s="1011"/>
      <c r="OTX152" s="1011"/>
      <c r="OTY152" s="1011"/>
      <c r="OTZ152" s="1011"/>
      <c r="OUA152" s="1011"/>
      <c r="OUB152" s="1011"/>
      <c r="OUC152" s="1011"/>
      <c r="OUD152" s="1011"/>
      <c r="OUE152" s="1011"/>
      <c r="OUF152" s="1011"/>
      <c r="OUG152" s="1011"/>
      <c r="OUH152" s="1011"/>
      <c r="OUI152" s="1011"/>
      <c r="OUJ152" s="1011"/>
      <c r="OUK152" s="1011"/>
      <c r="OUL152" s="1011"/>
      <c r="OUM152" s="1011"/>
      <c r="OUN152" s="1011"/>
      <c r="OUO152" s="1011"/>
      <c r="OUP152" s="1011"/>
      <c r="OUQ152" s="1011"/>
      <c r="OUR152" s="1011"/>
      <c r="OUS152" s="1011"/>
      <c r="OUT152" s="1011"/>
      <c r="OUU152" s="1011"/>
      <c r="OUV152" s="1011"/>
      <c r="OUW152" s="1011"/>
      <c r="OUX152" s="1011"/>
      <c r="OUY152" s="1011"/>
      <c r="OUZ152" s="1011"/>
      <c r="OVA152" s="1011"/>
      <c r="OVB152" s="1011"/>
      <c r="OVC152" s="1011"/>
      <c r="OVD152" s="1011"/>
      <c r="OVE152" s="1011"/>
      <c r="OVF152" s="1011"/>
      <c r="OVG152" s="1011"/>
      <c r="OVH152" s="1011"/>
      <c r="OVI152" s="1011"/>
      <c r="OVJ152" s="1011"/>
      <c r="OVK152" s="1011"/>
      <c r="OVL152" s="1011"/>
      <c r="OVM152" s="1011"/>
      <c r="OVN152" s="1011"/>
      <c r="OVO152" s="1011"/>
      <c r="OVP152" s="1011"/>
      <c r="OVQ152" s="1011"/>
      <c r="OVR152" s="1011"/>
      <c r="OVS152" s="1011"/>
      <c r="OVT152" s="1011"/>
      <c r="OVU152" s="1011"/>
      <c r="OVV152" s="1011"/>
      <c r="OVW152" s="1011"/>
      <c r="OVX152" s="1011"/>
      <c r="OVY152" s="1011"/>
      <c r="OVZ152" s="1011"/>
      <c r="OWA152" s="1011"/>
      <c r="OWB152" s="1011"/>
      <c r="OWC152" s="1011"/>
      <c r="OWD152" s="1011"/>
      <c r="OWE152" s="1011"/>
      <c r="OWF152" s="1011"/>
      <c r="OWG152" s="1011"/>
      <c r="OWH152" s="1011"/>
      <c r="OWI152" s="1011"/>
      <c r="OWJ152" s="1011"/>
      <c r="OWK152" s="1011"/>
      <c r="OWL152" s="1011"/>
      <c r="OWM152" s="1011"/>
      <c r="OWN152" s="1011"/>
      <c r="OWO152" s="1011"/>
      <c r="OWP152" s="1011"/>
      <c r="OWQ152" s="1011"/>
      <c r="OWR152" s="1011"/>
      <c r="OWS152" s="1011"/>
      <c r="OWT152" s="1011"/>
      <c r="OWU152" s="1011"/>
      <c r="OWV152" s="1011"/>
      <c r="OWW152" s="1011"/>
      <c r="OWX152" s="1011"/>
      <c r="OWY152" s="1011"/>
      <c r="OWZ152" s="1011"/>
      <c r="OXA152" s="1011"/>
      <c r="OXB152" s="1011"/>
      <c r="OXC152" s="1011"/>
      <c r="OXD152" s="1011"/>
      <c r="OXE152" s="1011"/>
      <c r="OXF152" s="1011"/>
      <c r="OXG152" s="1011"/>
      <c r="OXH152" s="1011"/>
      <c r="OXI152" s="1011"/>
      <c r="OXJ152" s="1011"/>
      <c r="OXK152" s="1011"/>
      <c r="OXL152" s="1011"/>
      <c r="OXM152" s="1011"/>
      <c r="OXN152" s="1011"/>
      <c r="OXO152" s="1011"/>
      <c r="OXP152" s="1011"/>
      <c r="OXQ152" s="1011"/>
      <c r="OXR152" s="1011"/>
      <c r="OXS152" s="1011"/>
      <c r="OXT152" s="1011"/>
      <c r="OXU152" s="1011"/>
      <c r="OXV152" s="1011"/>
      <c r="OXW152" s="1011"/>
      <c r="OXX152" s="1011"/>
      <c r="OXY152" s="1011"/>
      <c r="OXZ152" s="1011"/>
      <c r="OYA152" s="1011"/>
      <c r="OYB152" s="1011"/>
      <c r="OYC152" s="1011"/>
      <c r="OYD152" s="1011"/>
      <c r="OYE152" s="1011"/>
      <c r="OYF152" s="1011"/>
      <c r="OYG152" s="1011"/>
      <c r="OYH152" s="1011"/>
      <c r="OYI152" s="1011"/>
      <c r="OYJ152" s="1011"/>
      <c r="OYK152" s="1011"/>
      <c r="OYL152" s="1011"/>
      <c r="OYM152" s="1011"/>
      <c r="OYN152" s="1011"/>
      <c r="OYO152" s="1011"/>
      <c r="OYP152" s="1011"/>
      <c r="OYQ152" s="1011"/>
      <c r="OYR152" s="1011"/>
      <c r="OYS152" s="1011"/>
      <c r="OYT152" s="1011"/>
      <c r="OYU152" s="1011"/>
      <c r="OYV152" s="1011"/>
      <c r="OYW152" s="1011"/>
      <c r="OYX152" s="1011"/>
      <c r="OYY152" s="1011"/>
      <c r="OYZ152" s="1011"/>
      <c r="OZA152" s="1011"/>
      <c r="OZB152" s="1011"/>
      <c r="OZC152" s="1011"/>
      <c r="OZD152" s="1011"/>
      <c r="OZE152" s="1011"/>
      <c r="OZF152" s="1011"/>
      <c r="OZG152" s="1011"/>
      <c r="OZH152" s="1011"/>
      <c r="OZI152" s="1011"/>
      <c r="OZJ152" s="1011"/>
      <c r="OZK152" s="1011"/>
      <c r="OZL152" s="1011"/>
      <c r="OZM152" s="1011"/>
      <c r="OZN152" s="1011"/>
      <c r="OZO152" s="1011"/>
      <c r="OZP152" s="1011"/>
      <c r="OZQ152" s="1011"/>
      <c r="OZR152" s="1011"/>
      <c r="OZS152" s="1011"/>
      <c r="OZT152" s="1011"/>
      <c r="OZU152" s="1011"/>
      <c r="OZV152" s="1011"/>
      <c r="OZW152" s="1011"/>
      <c r="OZX152" s="1011"/>
      <c r="OZY152" s="1011"/>
      <c r="OZZ152" s="1011"/>
      <c r="PAA152" s="1011"/>
      <c r="PAB152" s="1011"/>
      <c r="PAC152" s="1011"/>
      <c r="PAD152" s="1011"/>
      <c r="PAE152" s="1011"/>
      <c r="PAF152" s="1011"/>
      <c r="PAG152" s="1011"/>
      <c r="PAH152" s="1011"/>
      <c r="PAI152" s="1011"/>
      <c r="PAJ152" s="1011"/>
      <c r="PAK152" s="1011"/>
      <c r="PAL152" s="1011"/>
      <c r="PAM152" s="1011"/>
      <c r="PAN152" s="1011"/>
      <c r="PAO152" s="1011"/>
      <c r="PAP152" s="1011"/>
      <c r="PAQ152" s="1011"/>
      <c r="PAR152" s="1011"/>
      <c r="PAS152" s="1011"/>
      <c r="PAT152" s="1011"/>
      <c r="PAU152" s="1011"/>
      <c r="PAV152" s="1011"/>
      <c r="PAW152" s="1011"/>
      <c r="PAX152" s="1011"/>
      <c r="PAY152" s="1011"/>
      <c r="PAZ152" s="1011"/>
      <c r="PBA152" s="1011"/>
      <c r="PBB152" s="1011"/>
      <c r="PBC152" s="1011"/>
      <c r="PBD152" s="1011"/>
      <c r="PBE152" s="1011"/>
      <c r="PBF152" s="1011"/>
      <c r="PBG152" s="1011"/>
      <c r="PBH152" s="1011"/>
      <c r="PBI152" s="1011"/>
      <c r="PBJ152" s="1011"/>
      <c r="PBK152" s="1011"/>
      <c r="PBL152" s="1011"/>
      <c r="PBM152" s="1011"/>
      <c r="PBN152" s="1011"/>
      <c r="PBO152" s="1011"/>
      <c r="PBP152" s="1011"/>
      <c r="PBQ152" s="1011"/>
      <c r="PBR152" s="1011"/>
      <c r="PBS152" s="1011"/>
      <c r="PBT152" s="1011"/>
      <c r="PBU152" s="1011"/>
      <c r="PBV152" s="1011"/>
      <c r="PBW152" s="1011"/>
      <c r="PBX152" s="1011"/>
      <c r="PBY152" s="1011"/>
      <c r="PBZ152" s="1011"/>
      <c r="PCA152" s="1011"/>
      <c r="PCB152" s="1011"/>
      <c r="PCC152" s="1011"/>
      <c r="PCD152" s="1011"/>
      <c r="PCE152" s="1011"/>
      <c r="PCF152" s="1011"/>
      <c r="PCG152" s="1011"/>
      <c r="PCH152" s="1011"/>
      <c r="PCI152" s="1011"/>
      <c r="PCJ152" s="1011"/>
      <c r="PCK152" s="1011"/>
      <c r="PCL152" s="1011"/>
      <c r="PCM152" s="1011"/>
      <c r="PCN152" s="1011"/>
      <c r="PCO152" s="1011"/>
      <c r="PCP152" s="1011"/>
      <c r="PCQ152" s="1011"/>
      <c r="PCR152" s="1011"/>
      <c r="PCS152" s="1011"/>
      <c r="PCT152" s="1011"/>
      <c r="PCU152" s="1011"/>
      <c r="PCV152" s="1011"/>
      <c r="PCW152" s="1011"/>
      <c r="PCX152" s="1011"/>
      <c r="PCY152" s="1011"/>
      <c r="PCZ152" s="1011"/>
      <c r="PDA152" s="1011"/>
      <c r="PDB152" s="1011"/>
      <c r="PDC152" s="1011"/>
      <c r="PDD152" s="1011"/>
      <c r="PDE152" s="1011"/>
      <c r="PDF152" s="1011"/>
      <c r="PDG152" s="1011"/>
      <c r="PDH152" s="1011"/>
      <c r="PDI152" s="1011"/>
      <c r="PDJ152" s="1011"/>
      <c r="PDK152" s="1011"/>
      <c r="PDL152" s="1011"/>
      <c r="PDM152" s="1011"/>
      <c r="PDN152" s="1011"/>
      <c r="PDO152" s="1011"/>
      <c r="PDP152" s="1011"/>
      <c r="PDQ152" s="1011"/>
      <c r="PDR152" s="1011"/>
      <c r="PDS152" s="1011"/>
      <c r="PDT152" s="1011"/>
      <c r="PDU152" s="1011"/>
      <c r="PDV152" s="1011"/>
      <c r="PDW152" s="1011"/>
      <c r="PDX152" s="1011"/>
      <c r="PDY152" s="1011"/>
      <c r="PDZ152" s="1011"/>
      <c r="PEA152" s="1011"/>
      <c r="PEB152" s="1011"/>
      <c r="PEC152" s="1011"/>
      <c r="PED152" s="1011"/>
      <c r="PEE152" s="1011"/>
      <c r="PEF152" s="1011"/>
      <c r="PEG152" s="1011"/>
      <c r="PEH152" s="1011"/>
      <c r="PEI152" s="1011"/>
      <c r="PEJ152" s="1011"/>
      <c r="PEK152" s="1011"/>
      <c r="PEL152" s="1011"/>
      <c r="PEM152" s="1011"/>
      <c r="PEN152" s="1011"/>
      <c r="PEO152" s="1011"/>
      <c r="PEP152" s="1011"/>
      <c r="PEQ152" s="1011"/>
      <c r="PER152" s="1011"/>
      <c r="PES152" s="1011"/>
      <c r="PET152" s="1011"/>
      <c r="PEU152" s="1011"/>
      <c r="PEV152" s="1011"/>
      <c r="PEW152" s="1011"/>
      <c r="PEX152" s="1011"/>
      <c r="PEY152" s="1011"/>
      <c r="PEZ152" s="1011"/>
      <c r="PFA152" s="1011"/>
      <c r="PFB152" s="1011"/>
      <c r="PFC152" s="1011"/>
      <c r="PFD152" s="1011"/>
      <c r="PFE152" s="1011"/>
      <c r="PFF152" s="1011"/>
      <c r="PFG152" s="1011"/>
      <c r="PFH152" s="1011"/>
      <c r="PFI152" s="1011"/>
      <c r="PFJ152" s="1011"/>
      <c r="PFK152" s="1011"/>
      <c r="PFL152" s="1011"/>
      <c r="PFM152" s="1011"/>
      <c r="PFN152" s="1011"/>
      <c r="PFO152" s="1011"/>
      <c r="PFP152" s="1011"/>
      <c r="PFQ152" s="1011"/>
      <c r="PFR152" s="1011"/>
      <c r="PFS152" s="1011"/>
      <c r="PFT152" s="1011"/>
      <c r="PFU152" s="1011"/>
      <c r="PFV152" s="1011"/>
      <c r="PFW152" s="1011"/>
      <c r="PFX152" s="1011"/>
      <c r="PFY152" s="1011"/>
      <c r="PFZ152" s="1011"/>
      <c r="PGA152" s="1011"/>
      <c r="PGB152" s="1011"/>
      <c r="PGC152" s="1011"/>
      <c r="PGD152" s="1011"/>
      <c r="PGE152" s="1011"/>
      <c r="PGF152" s="1011"/>
      <c r="PGG152" s="1011"/>
      <c r="PGH152" s="1011"/>
      <c r="PGI152" s="1011"/>
      <c r="PGJ152" s="1011"/>
      <c r="PGK152" s="1011"/>
      <c r="PGL152" s="1011"/>
      <c r="PGM152" s="1011"/>
      <c r="PGN152" s="1011"/>
      <c r="PGO152" s="1011"/>
      <c r="PGP152" s="1011"/>
      <c r="PGQ152" s="1011"/>
      <c r="PGR152" s="1011"/>
      <c r="PGS152" s="1011"/>
      <c r="PGT152" s="1011"/>
      <c r="PGU152" s="1011"/>
      <c r="PGV152" s="1011"/>
      <c r="PGW152" s="1011"/>
      <c r="PGX152" s="1011"/>
      <c r="PGY152" s="1011"/>
      <c r="PGZ152" s="1011"/>
      <c r="PHA152" s="1011"/>
      <c r="PHB152" s="1011"/>
      <c r="PHC152" s="1011"/>
      <c r="PHD152" s="1011"/>
      <c r="PHE152" s="1011"/>
      <c r="PHF152" s="1011"/>
      <c r="PHG152" s="1011"/>
      <c r="PHH152" s="1011"/>
      <c r="PHI152" s="1011"/>
      <c r="PHJ152" s="1011"/>
      <c r="PHK152" s="1011"/>
      <c r="PHL152" s="1011"/>
      <c r="PHM152" s="1011"/>
      <c r="PHN152" s="1011"/>
      <c r="PHO152" s="1011"/>
      <c r="PHP152" s="1011"/>
      <c r="PHQ152" s="1011"/>
      <c r="PHR152" s="1011"/>
      <c r="PHS152" s="1011"/>
      <c r="PHT152" s="1011"/>
      <c r="PHU152" s="1011"/>
      <c r="PHV152" s="1011"/>
      <c r="PHW152" s="1011"/>
      <c r="PHX152" s="1011"/>
      <c r="PHY152" s="1011"/>
      <c r="PHZ152" s="1011"/>
      <c r="PIA152" s="1011"/>
      <c r="PIB152" s="1011"/>
      <c r="PIC152" s="1011"/>
      <c r="PID152" s="1011"/>
      <c r="PIE152" s="1011"/>
      <c r="PIF152" s="1011"/>
      <c r="PIG152" s="1011"/>
      <c r="PIH152" s="1011"/>
      <c r="PII152" s="1011"/>
      <c r="PIJ152" s="1011"/>
      <c r="PIK152" s="1011"/>
      <c r="PIL152" s="1011"/>
      <c r="PIM152" s="1011"/>
      <c r="PIN152" s="1011"/>
      <c r="PIO152" s="1011"/>
      <c r="PIP152" s="1011"/>
      <c r="PIQ152" s="1011"/>
      <c r="PIR152" s="1011"/>
      <c r="PIS152" s="1011"/>
      <c r="PIT152" s="1011"/>
      <c r="PIU152" s="1011"/>
      <c r="PIV152" s="1011"/>
      <c r="PIW152" s="1011"/>
      <c r="PIX152" s="1011"/>
      <c r="PIY152" s="1011"/>
      <c r="PIZ152" s="1011"/>
      <c r="PJA152" s="1011"/>
      <c r="PJB152" s="1011"/>
      <c r="PJC152" s="1011"/>
      <c r="PJD152" s="1011"/>
      <c r="PJE152" s="1011"/>
      <c r="PJF152" s="1011"/>
      <c r="PJG152" s="1011"/>
      <c r="PJH152" s="1011"/>
      <c r="PJI152" s="1011"/>
      <c r="PJJ152" s="1011"/>
      <c r="PJK152" s="1011"/>
      <c r="PJL152" s="1011"/>
      <c r="PJM152" s="1011"/>
      <c r="PJN152" s="1011"/>
      <c r="PJO152" s="1011"/>
      <c r="PJP152" s="1011"/>
      <c r="PJQ152" s="1011"/>
      <c r="PJR152" s="1011"/>
      <c r="PJS152" s="1011"/>
      <c r="PJT152" s="1011"/>
      <c r="PJU152" s="1011"/>
      <c r="PJV152" s="1011"/>
      <c r="PJW152" s="1011"/>
      <c r="PJX152" s="1011"/>
      <c r="PJY152" s="1011"/>
      <c r="PJZ152" s="1011"/>
      <c r="PKA152" s="1011"/>
      <c r="PKB152" s="1011"/>
      <c r="PKC152" s="1011"/>
      <c r="PKD152" s="1011"/>
      <c r="PKE152" s="1011"/>
      <c r="PKF152" s="1011"/>
      <c r="PKG152" s="1011"/>
      <c r="PKH152" s="1011"/>
      <c r="PKI152" s="1011"/>
      <c r="PKJ152" s="1011"/>
      <c r="PKK152" s="1011"/>
      <c r="PKL152" s="1011"/>
      <c r="PKM152" s="1011"/>
      <c r="PKN152" s="1011"/>
      <c r="PKO152" s="1011"/>
      <c r="PKP152" s="1011"/>
      <c r="PKQ152" s="1011"/>
      <c r="PKR152" s="1011"/>
      <c r="PKS152" s="1011"/>
      <c r="PKT152" s="1011"/>
      <c r="PKU152" s="1011"/>
      <c r="PKV152" s="1011"/>
      <c r="PKW152" s="1011"/>
      <c r="PKX152" s="1011"/>
      <c r="PKY152" s="1011"/>
      <c r="PKZ152" s="1011"/>
      <c r="PLA152" s="1011"/>
      <c r="PLB152" s="1011"/>
      <c r="PLC152" s="1011"/>
      <c r="PLD152" s="1011"/>
      <c r="PLE152" s="1011"/>
      <c r="PLF152" s="1011"/>
      <c r="PLG152" s="1011"/>
      <c r="PLH152" s="1011"/>
      <c r="PLI152" s="1011"/>
      <c r="PLJ152" s="1011"/>
      <c r="PLK152" s="1011"/>
      <c r="PLL152" s="1011"/>
      <c r="PLM152" s="1011"/>
      <c r="PLN152" s="1011"/>
      <c r="PLO152" s="1011"/>
      <c r="PLP152" s="1011"/>
      <c r="PLQ152" s="1011"/>
      <c r="PLR152" s="1011"/>
      <c r="PLS152" s="1011"/>
      <c r="PLT152" s="1011"/>
      <c r="PLU152" s="1011"/>
      <c r="PLV152" s="1011"/>
      <c r="PLW152" s="1011"/>
      <c r="PLX152" s="1011"/>
      <c r="PLY152" s="1011"/>
      <c r="PLZ152" s="1011"/>
      <c r="PMA152" s="1011"/>
      <c r="PMB152" s="1011"/>
      <c r="PMC152" s="1011"/>
      <c r="PMD152" s="1011"/>
      <c r="PME152" s="1011"/>
      <c r="PMF152" s="1011"/>
      <c r="PMG152" s="1011"/>
      <c r="PMH152" s="1011"/>
      <c r="PMI152" s="1011"/>
      <c r="PMJ152" s="1011"/>
      <c r="PMK152" s="1011"/>
      <c r="PML152" s="1011"/>
      <c r="PMM152" s="1011"/>
      <c r="PMN152" s="1011"/>
      <c r="PMO152" s="1011"/>
      <c r="PMP152" s="1011"/>
      <c r="PMQ152" s="1011"/>
      <c r="PMR152" s="1011"/>
      <c r="PMS152" s="1011"/>
      <c r="PMT152" s="1011"/>
      <c r="PMU152" s="1011"/>
      <c r="PMV152" s="1011"/>
      <c r="PMW152" s="1011"/>
      <c r="PMX152" s="1011"/>
      <c r="PMY152" s="1011"/>
      <c r="PMZ152" s="1011"/>
      <c r="PNA152" s="1011"/>
      <c r="PNB152" s="1011"/>
      <c r="PNC152" s="1011"/>
      <c r="PND152" s="1011"/>
      <c r="PNE152" s="1011"/>
      <c r="PNF152" s="1011"/>
      <c r="PNG152" s="1011"/>
      <c r="PNH152" s="1011"/>
      <c r="PNI152" s="1011"/>
      <c r="PNJ152" s="1011"/>
      <c r="PNK152" s="1011"/>
      <c r="PNL152" s="1011"/>
      <c r="PNM152" s="1011"/>
      <c r="PNN152" s="1011"/>
      <c r="PNO152" s="1011"/>
      <c r="PNP152" s="1011"/>
      <c r="PNQ152" s="1011"/>
      <c r="PNR152" s="1011"/>
      <c r="PNS152" s="1011"/>
      <c r="PNT152" s="1011"/>
      <c r="PNU152" s="1011"/>
      <c r="PNV152" s="1011"/>
      <c r="PNW152" s="1011"/>
      <c r="PNX152" s="1011"/>
      <c r="PNY152" s="1011"/>
      <c r="PNZ152" s="1011"/>
      <c r="POA152" s="1011"/>
      <c r="POB152" s="1011"/>
      <c r="POC152" s="1011"/>
      <c r="POD152" s="1011"/>
      <c r="POE152" s="1011"/>
      <c r="POF152" s="1011"/>
      <c r="POG152" s="1011"/>
      <c r="POH152" s="1011"/>
      <c r="POI152" s="1011"/>
      <c r="POJ152" s="1011"/>
      <c r="POK152" s="1011"/>
      <c r="POL152" s="1011"/>
      <c r="POM152" s="1011"/>
      <c r="PON152" s="1011"/>
      <c r="POO152" s="1011"/>
      <c r="POP152" s="1011"/>
      <c r="POQ152" s="1011"/>
      <c r="POR152" s="1011"/>
      <c r="POS152" s="1011"/>
      <c r="POT152" s="1011"/>
      <c r="POU152" s="1011"/>
      <c r="POV152" s="1011"/>
      <c r="POW152" s="1011"/>
      <c r="POX152" s="1011"/>
      <c r="POY152" s="1011"/>
      <c r="POZ152" s="1011"/>
      <c r="PPA152" s="1011"/>
      <c r="PPB152" s="1011"/>
      <c r="PPC152" s="1011"/>
      <c r="PPD152" s="1011"/>
      <c r="PPE152" s="1011"/>
      <c r="PPF152" s="1011"/>
      <c r="PPG152" s="1011"/>
      <c r="PPH152" s="1011"/>
      <c r="PPI152" s="1011"/>
      <c r="PPJ152" s="1011"/>
      <c r="PPK152" s="1011"/>
      <c r="PPL152" s="1011"/>
      <c r="PPM152" s="1011"/>
      <c r="PPN152" s="1011"/>
      <c r="PPO152" s="1011"/>
      <c r="PPP152" s="1011"/>
      <c r="PPQ152" s="1011"/>
      <c r="PPR152" s="1011"/>
      <c r="PPS152" s="1011"/>
      <c r="PPT152" s="1011"/>
      <c r="PPU152" s="1011"/>
      <c r="PPV152" s="1011"/>
      <c r="PPW152" s="1011"/>
      <c r="PPX152" s="1011"/>
      <c r="PPY152" s="1011"/>
      <c r="PPZ152" s="1011"/>
      <c r="PQA152" s="1011"/>
      <c r="PQB152" s="1011"/>
      <c r="PQC152" s="1011"/>
      <c r="PQD152" s="1011"/>
      <c r="PQE152" s="1011"/>
      <c r="PQF152" s="1011"/>
      <c r="PQG152" s="1011"/>
      <c r="PQH152" s="1011"/>
      <c r="PQI152" s="1011"/>
      <c r="PQJ152" s="1011"/>
      <c r="PQK152" s="1011"/>
      <c r="PQL152" s="1011"/>
      <c r="PQM152" s="1011"/>
      <c r="PQN152" s="1011"/>
      <c r="PQO152" s="1011"/>
      <c r="PQP152" s="1011"/>
      <c r="PQQ152" s="1011"/>
      <c r="PQR152" s="1011"/>
      <c r="PQS152" s="1011"/>
      <c r="PQT152" s="1011"/>
      <c r="PQU152" s="1011"/>
      <c r="PQV152" s="1011"/>
      <c r="PQW152" s="1011"/>
      <c r="PQX152" s="1011"/>
      <c r="PQY152" s="1011"/>
      <c r="PQZ152" s="1011"/>
      <c r="PRA152" s="1011"/>
      <c r="PRB152" s="1011"/>
      <c r="PRC152" s="1011"/>
      <c r="PRD152" s="1011"/>
      <c r="PRE152" s="1011"/>
      <c r="PRF152" s="1011"/>
      <c r="PRG152" s="1011"/>
      <c r="PRH152" s="1011"/>
      <c r="PRI152" s="1011"/>
      <c r="PRJ152" s="1011"/>
      <c r="PRK152" s="1011"/>
      <c r="PRL152" s="1011"/>
      <c r="PRM152" s="1011"/>
      <c r="PRN152" s="1011"/>
      <c r="PRO152" s="1011"/>
      <c r="PRP152" s="1011"/>
      <c r="PRQ152" s="1011"/>
      <c r="PRR152" s="1011"/>
      <c r="PRS152" s="1011"/>
      <c r="PRT152" s="1011"/>
      <c r="PRU152" s="1011"/>
      <c r="PRV152" s="1011"/>
      <c r="PRW152" s="1011"/>
      <c r="PRX152" s="1011"/>
      <c r="PRY152" s="1011"/>
      <c r="PRZ152" s="1011"/>
      <c r="PSA152" s="1011"/>
      <c r="PSB152" s="1011"/>
      <c r="PSC152" s="1011"/>
      <c r="PSD152" s="1011"/>
      <c r="PSE152" s="1011"/>
      <c r="PSF152" s="1011"/>
      <c r="PSG152" s="1011"/>
      <c r="PSH152" s="1011"/>
      <c r="PSI152" s="1011"/>
      <c r="PSJ152" s="1011"/>
      <c r="PSK152" s="1011"/>
      <c r="PSL152" s="1011"/>
      <c r="PSM152" s="1011"/>
      <c r="PSN152" s="1011"/>
      <c r="PSO152" s="1011"/>
      <c r="PSP152" s="1011"/>
      <c r="PSQ152" s="1011"/>
      <c r="PSR152" s="1011"/>
      <c r="PSS152" s="1011"/>
      <c r="PST152" s="1011"/>
      <c r="PSU152" s="1011"/>
      <c r="PSV152" s="1011"/>
      <c r="PSW152" s="1011"/>
      <c r="PSX152" s="1011"/>
      <c r="PSY152" s="1011"/>
      <c r="PSZ152" s="1011"/>
      <c r="PTA152" s="1011"/>
      <c r="PTB152" s="1011"/>
      <c r="PTC152" s="1011"/>
      <c r="PTD152" s="1011"/>
      <c r="PTE152" s="1011"/>
      <c r="PTF152" s="1011"/>
      <c r="PTG152" s="1011"/>
      <c r="PTH152" s="1011"/>
      <c r="PTI152" s="1011"/>
      <c r="PTJ152" s="1011"/>
      <c r="PTK152" s="1011"/>
      <c r="PTL152" s="1011"/>
      <c r="PTM152" s="1011"/>
      <c r="PTN152" s="1011"/>
      <c r="PTO152" s="1011"/>
      <c r="PTP152" s="1011"/>
      <c r="PTQ152" s="1011"/>
      <c r="PTR152" s="1011"/>
      <c r="PTS152" s="1011"/>
      <c r="PTT152" s="1011"/>
      <c r="PTU152" s="1011"/>
      <c r="PTV152" s="1011"/>
      <c r="PTW152" s="1011"/>
      <c r="PTX152" s="1011"/>
      <c r="PTY152" s="1011"/>
      <c r="PTZ152" s="1011"/>
      <c r="PUA152" s="1011"/>
      <c r="PUB152" s="1011"/>
      <c r="PUC152" s="1011"/>
      <c r="PUD152" s="1011"/>
      <c r="PUE152" s="1011"/>
      <c r="PUF152" s="1011"/>
      <c r="PUG152" s="1011"/>
      <c r="PUH152" s="1011"/>
      <c r="PUI152" s="1011"/>
      <c r="PUJ152" s="1011"/>
      <c r="PUK152" s="1011"/>
      <c r="PUL152" s="1011"/>
      <c r="PUM152" s="1011"/>
      <c r="PUN152" s="1011"/>
      <c r="PUO152" s="1011"/>
      <c r="PUP152" s="1011"/>
      <c r="PUQ152" s="1011"/>
      <c r="PUR152" s="1011"/>
      <c r="PUS152" s="1011"/>
      <c r="PUT152" s="1011"/>
      <c r="PUU152" s="1011"/>
      <c r="PUV152" s="1011"/>
      <c r="PUW152" s="1011"/>
      <c r="PUX152" s="1011"/>
      <c r="PUY152" s="1011"/>
      <c r="PUZ152" s="1011"/>
      <c r="PVA152" s="1011"/>
      <c r="PVB152" s="1011"/>
      <c r="PVC152" s="1011"/>
      <c r="PVD152" s="1011"/>
      <c r="PVE152" s="1011"/>
      <c r="PVF152" s="1011"/>
      <c r="PVG152" s="1011"/>
      <c r="PVH152" s="1011"/>
      <c r="PVI152" s="1011"/>
      <c r="PVJ152" s="1011"/>
      <c r="PVK152" s="1011"/>
      <c r="PVL152" s="1011"/>
      <c r="PVM152" s="1011"/>
      <c r="PVN152" s="1011"/>
      <c r="PVO152" s="1011"/>
      <c r="PVP152" s="1011"/>
      <c r="PVQ152" s="1011"/>
      <c r="PVR152" s="1011"/>
      <c r="PVS152" s="1011"/>
      <c r="PVT152" s="1011"/>
      <c r="PVU152" s="1011"/>
      <c r="PVV152" s="1011"/>
      <c r="PVW152" s="1011"/>
      <c r="PVX152" s="1011"/>
      <c r="PVY152" s="1011"/>
      <c r="PVZ152" s="1011"/>
      <c r="PWA152" s="1011"/>
      <c r="PWB152" s="1011"/>
      <c r="PWC152" s="1011"/>
      <c r="PWD152" s="1011"/>
      <c r="PWE152" s="1011"/>
      <c r="PWF152" s="1011"/>
      <c r="PWG152" s="1011"/>
      <c r="PWH152" s="1011"/>
      <c r="PWI152" s="1011"/>
      <c r="PWJ152" s="1011"/>
      <c r="PWK152" s="1011"/>
      <c r="PWL152" s="1011"/>
      <c r="PWM152" s="1011"/>
      <c r="PWN152" s="1011"/>
      <c r="PWO152" s="1011"/>
      <c r="PWP152" s="1011"/>
      <c r="PWQ152" s="1011"/>
      <c r="PWR152" s="1011"/>
      <c r="PWS152" s="1011"/>
      <c r="PWT152" s="1011"/>
      <c r="PWU152" s="1011"/>
      <c r="PWV152" s="1011"/>
      <c r="PWW152" s="1011"/>
      <c r="PWX152" s="1011"/>
      <c r="PWY152" s="1011"/>
      <c r="PWZ152" s="1011"/>
      <c r="PXA152" s="1011"/>
      <c r="PXB152" s="1011"/>
      <c r="PXC152" s="1011"/>
      <c r="PXD152" s="1011"/>
      <c r="PXE152" s="1011"/>
      <c r="PXF152" s="1011"/>
      <c r="PXG152" s="1011"/>
      <c r="PXH152" s="1011"/>
      <c r="PXI152" s="1011"/>
      <c r="PXJ152" s="1011"/>
      <c r="PXK152" s="1011"/>
      <c r="PXL152" s="1011"/>
      <c r="PXM152" s="1011"/>
      <c r="PXN152" s="1011"/>
      <c r="PXO152" s="1011"/>
      <c r="PXP152" s="1011"/>
      <c r="PXQ152" s="1011"/>
      <c r="PXR152" s="1011"/>
      <c r="PXS152" s="1011"/>
      <c r="PXT152" s="1011"/>
      <c r="PXU152" s="1011"/>
      <c r="PXV152" s="1011"/>
      <c r="PXW152" s="1011"/>
      <c r="PXX152" s="1011"/>
      <c r="PXY152" s="1011"/>
      <c r="PXZ152" s="1011"/>
      <c r="PYA152" s="1011"/>
      <c r="PYB152" s="1011"/>
      <c r="PYC152" s="1011"/>
      <c r="PYD152" s="1011"/>
      <c r="PYE152" s="1011"/>
      <c r="PYF152" s="1011"/>
      <c r="PYG152" s="1011"/>
      <c r="PYH152" s="1011"/>
      <c r="PYI152" s="1011"/>
      <c r="PYJ152" s="1011"/>
      <c r="PYK152" s="1011"/>
      <c r="PYL152" s="1011"/>
      <c r="PYM152" s="1011"/>
      <c r="PYN152" s="1011"/>
      <c r="PYO152" s="1011"/>
      <c r="PYP152" s="1011"/>
      <c r="PYQ152" s="1011"/>
      <c r="PYR152" s="1011"/>
      <c r="PYS152" s="1011"/>
      <c r="PYT152" s="1011"/>
      <c r="PYU152" s="1011"/>
      <c r="PYV152" s="1011"/>
      <c r="PYW152" s="1011"/>
      <c r="PYX152" s="1011"/>
      <c r="PYY152" s="1011"/>
      <c r="PYZ152" s="1011"/>
      <c r="PZA152" s="1011"/>
      <c r="PZB152" s="1011"/>
      <c r="PZC152" s="1011"/>
      <c r="PZD152" s="1011"/>
      <c r="PZE152" s="1011"/>
      <c r="PZF152" s="1011"/>
      <c r="PZG152" s="1011"/>
      <c r="PZH152" s="1011"/>
      <c r="PZI152" s="1011"/>
      <c r="PZJ152" s="1011"/>
      <c r="PZK152" s="1011"/>
      <c r="PZL152" s="1011"/>
      <c r="PZM152" s="1011"/>
      <c r="PZN152" s="1011"/>
      <c r="PZO152" s="1011"/>
      <c r="PZP152" s="1011"/>
      <c r="PZQ152" s="1011"/>
      <c r="PZR152" s="1011"/>
      <c r="PZS152" s="1011"/>
      <c r="PZT152" s="1011"/>
      <c r="PZU152" s="1011"/>
      <c r="PZV152" s="1011"/>
      <c r="PZW152" s="1011"/>
      <c r="PZX152" s="1011"/>
      <c r="PZY152" s="1011"/>
      <c r="PZZ152" s="1011"/>
      <c r="QAA152" s="1011"/>
      <c r="QAB152" s="1011"/>
      <c r="QAC152" s="1011"/>
      <c r="QAD152" s="1011"/>
      <c r="QAE152" s="1011"/>
      <c r="QAF152" s="1011"/>
      <c r="QAG152" s="1011"/>
      <c r="QAH152" s="1011"/>
      <c r="QAI152" s="1011"/>
      <c r="QAJ152" s="1011"/>
      <c r="QAK152" s="1011"/>
      <c r="QAL152" s="1011"/>
      <c r="QAM152" s="1011"/>
      <c r="QAN152" s="1011"/>
      <c r="QAO152" s="1011"/>
      <c r="QAP152" s="1011"/>
      <c r="QAQ152" s="1011"/>
      <c r="QAR152" s="1011"/>
      <c r="QAS152" s="1011"/>
      <c r="QAT152" s="1011"/>
      <c r="QAU152" s="1011"/>
      <c r="QAV152" s="1011"/>
      <c r="QAW152" s="1011"/>
      <c r="QAX152" s="1011"/>
      <c r="QAY152" s="1011"/>
      <c r="QAZ152" s="1011"/>
      <c r="QBA152" s="1011"/>
      <c r="QBB152" s="1011"/>
      <c r="QBC152" s="1011"/>
      <c r="QBD152" s="1011"/>
      <c r="QBE152" s="1011"/>
      <c r="QBF152" s="1011"/>
      <c r="QBG152" s="1011"/>
      <c r="QBH152" s="1011"/>
      <c r="QBI152" s="1011"/>
      <c r="QBJ152" s="1011"/>
      <c r="QBK152" s="1011"/>
      <c r="QBL152" s="1011"/>
      <c r="QBM152" s="1011"/>
      <c r="QBN152" s="1011"/>
      <c r="QBO152" s="1011"/>
      <c r="QBP152" s="1011"/>
      <c r="QBQ152" s="1011"/>
      <c r="QBR152" s="1011"/>
      <c r="QBS152" s="1011"/>
      <c r="QBT152" s="1011"/>
      <c r="QBU152" s="1011"/>
      <c r="QBV152" s="1011"/>
      <c r="QBW152" s="1011"/>
      <c r="QBX152" s="1011"/>
      <c r="QBY152" s="1011"/>
      <c r="QBZ152" s="1011"/>
      <c r="QCA152" s="1011"/>
      <c r="QCB152" s="1011"/>
      <c r="QCC152" s="1011"/>
      <c r="QCD152" s="1011"/>
      <c r="QCE152" s="1011"/>
      <c r="QCF152" s="1011"/>
      <c r="QCG152" s="1011"/>
      <c r="QCH152" s="1011"/>
      <c r="QCI152" s="1011"/>
      <c r="QCJ152" s="1011"/>
      <c r="QCK152" s="1011"/>
      <c r="QCL152" s="1011"/>
      <c r="QCM152" s="1011"/>
      <c r="QCN152" s="1011"/>
      <c r="QCO152" s="1011"/>
      <c r="QCP152" s="1011"/>
      <c r="QCQ152" s="1011"/>
      <c r="QCR152" s="1011"/>
      <c r="QCS152" s="1011"/>
      <c r="QCT152" s="1011"/>
      <c r="QCU152" s="1011"/>
      <c r="QCV152" s="1011"/>
      <c r="QCW152" s="1011"/>
      <c r="QCX152" s="1011"/>
      <c r="QCY152" s="1011"/>
      <c r="QCZ152" s="1011"/>
      <c r="QDA152" s="1011"/>
      <c r="QDB152" s="1011"/>
      <c r="QDC152" s="1011"/>
      <c r="QDD152" s="1011"/>
      <c r="QDE152" s="1011"/>
      <c r="QDF152" s="1011"/>
      <c r="QDG152" s="1011"/>
      <c r="QDH152" s="1011"/>
      <c r="QDI152" s="1011"/>
      <c r="QDJ152" s="1011"/>
      <c r="QDK152" s="1011"/>
      <c r="QDL152" s="1011"/>
      <c r="QDM152" s="1011"/>
      <c r="QDN152" s="1011"/>
      <c r="QDO152" s="1011"/>
      <c r="QDP152" s="1011"/>
      <c r="QDQ152" s="1011"/>
      <c r="QDR152" s="1011"/>
      <c r="QDS152" s="1011"/>
      <c r="QDT152" s="1011"/>
      <c r="QDU152" s="1011"/>
      <c r="QDV152" s="1011"/>
      <c r="QDW152" s="1011"/>
      <c r="QDX152" s="1011"/>
      <c r="QDY152" s="1011"/>
      <c r="QDZ152" s="1011"/>
      <c r="QEA152" s="1011"/>
      <c r="QEB152" s="1011"/>
      <c r="QEC152" s="1011"/>
      <c r="QED152" s="1011"/>
      <c r="QEE152" s="1011"/>
      <c r="QEF152" s="1011"/>
      <c r="QEG152" s="1011"/>
      <c r="QEH152" s="1011"/>
      <c r="QEI152" s="1011"/>
      <c r="QEJ152" s="1011"/>
      <c r="QEK152" s="1011"/>
      <c r="QEL152" s="1011"/>
      <c r="QEM152" s="1011"/>
      <c r="QEN152" s="1011"/>
      <c r="QEO152" s="1011"/>
      <c r="QEP152" s="1011"/>
      <c r="QEQ152" s="1011"/>
      <c r="QER152" s="1011"/>
      <c r="QES152" s="1011"/>
      <c r="QET152" s="1011"/>
      <c r="QEU152" s="1011"/>
      <c r="QEV152" s="1011"/>
      <c r="QEW152" s="1011"/>
      <c r="QEX152" s="1011"/>
      <c r="QEY152" s="1011"/>
      <c r="QEZ152" s="1011"/>
      <c r="QFA152" s="1011"/>
      <c r="QFB152" s="1011"/>
      <c r="QFC152" s="1011"/>
      <c r="QFD152" s="1011"/>
      <c r="QFE152" s="1011"/>
      <c r="QFF152" s="1011"/>
      <c r="QFG152" s="1011"/>
      <c r="QFH152" s="1011"/>
      <c r="QFI152" s="1011"/>
      <c r="QFJ152" s="1011"/>
      <c r="QFK152" s="1011"/>
      <c r="QFL152" s="1011"/>
      <c r="QFM152" s="1011"/>
      <c r="QFN152" s="1011"/>
      <c r="QFO152" s="1011"/>
      <c r="QFP152" s="1011"/>
      <c r="QFQ152" s="1011"/>
      <c r="QFR152" s="1011"/>
      <c r="QFS152" s="1011"/>
      <c r="QFT152" s="1011"/>
      <c r="QFU152" s="1011"/>
      <c r="QFV152" s="1011"/>
      <c r="QFW152" s="1011"/>
      <c r="QFX152" s="1011"/>
      <c r="QFY152" s="1011"/>
      <c r="QFZ152" s="1011"/>
      <c r="QGA152" s="1011"/>
      <c r="QGB152" s="1011"/>
      <c r="QGC152" s="1011"/>
      <c r="QGD152" s="1011"/>
      <c r="QGE152" s="1011"/>
      <c r="QGF152" s="1011"/>
      <c r="QGG152" s="1011"/>
      <c r="QGH152" s="1011"/>
      <c r="QGI152" s="1011"/>
      <c r="QGJ152" s="1011"/>
      <c r="QGK152" s="1011"/>
      <c r="QGL152" s="1011"/>
      <c r="QGM152" s="1011"/>
      <c r="QGN152" s="1011"/>
      <c r="QGO152" s="1011"/>
      <c r="QGP152" s="1011"/>
      <c r="QGQ152" s="1011"/>
      <c r="QGR152" s="1011"/>
      <c r="QGS152" s="1011"/>
      <c r="QGT152" s="1011"/>
      <c r="QGU152" s="1011"/>
      <c r="QGV152" s="1011"/>
      <c r="QGW152" s="1011"/>
      <c r="QGX152" s="1011"/>
      <c r="QGY152" s="1011"/>
      <c r="QGZ152" s="1011"/>
      <c r="QHA152" s="1011"/>
      <c r="QHB152" s="1011"/>
      <c r="QHC152" s="1011"/>
      <c r="QHD152" s="1011"/>
      <c r="QHE152" s="1011"/>
      <c r="QHF152" s="1011"/>
      <c r="QHG152" s="1011"/>
      <c r="QHH152" s="1011"/>
      <c r="QHI152" s="1011"/>
      <c r="QHJ152" s="1011"/>
      <c r="QHK152" s="1011"/>
      <c r="QHL152" s="1011"/>
      <c r="QHM152" s="1011"/>
      <c r="QHN152" s="1011"/>
      <c r="QHO152" s="1011"/>
      <c r="QHP152" s="1011"/>
      <c r="QHQ152" s="1011"/>
      <c r="QHR152" s="1011"/>
      <c r="QHS152" s="1011"/>
      <c r="QHT152" s="1011"/>
      <c r="QHU152" s="1011"/>
      <c r="QHV152" s="1011"/>
      <c r="QHW152" s="1011"/>
      <c r="QHX152" s="1011"/>
      <c r="QHY152" s="1011"/>
      <c r="QHZ152" s="1011"/>
      <c r="QIA152" s="1011"/>
      <c r="QIB152" s="1011"/>
      <c r="QIC152" s="1011"/>
      <c r="QID152" s="1011"/>
      <c r="QIE152" s="1011"/>
      <c r="QIF152" s="1011"/>
      <c r="QIG152" s="1011"/>
      <c r="QIH152" s="1011"/>
      <c r="QII152" s="1011"/>
      <c r="QIJ152" s="1011"/>
      <c r="QIK152" s="1011"/>
      <c r="QIL152" s="1011"/>
      <c r="QIM152" s="1011"/>
      <c r="QIN152" s="1011"/>
      <c r="QIO152" s="1011"/>
      <c r="QIP152" s="1011"/>
      <c r="QIQ152" s="1011"/>
      <c r="QIR152" s="1011"/>
      <c r="QIS152" s="1011"/>
      <c r="QIT152" s="1011"/>
      <c r="QIU152" s="1011"/>
      <c r="QIV152" s="1011"/>
      <c r="QIW152" s="1011"/>
      <c r="QIX152" s="1011"/>
      <c r="QIY152" s="1011"/>
      <c r="QIZ152" s="1011"/>
      <c r="QJA152" s="1011"/>
      <c r="QJB152" s="1011"/>
      <c r="QJC152" s="1011"/>
      <c r="QJD152" s="1011"/>
      <c r="QJE152" s="1011"/>
      <c r="QJF152" s="1011"/>
      <c r="QJG152" s="1011"/>
      <c r="QJH152" s="1011"/>
      <c r="QJI152" s="1011"/>
      <c r="QJJ152" s="1011"/>
      <c r="QJK152" s="1011"/>
      <c r="QJL152" s="1011"/>
      <c r="QJM152" s="1011"/>
      <c r="QJN152" s="1011"/>
      <c r="QJO152" s="1011"/>
      <c r="QJP152" s="1011"/>
      <c r="QJQ152" s="1011"/>
      <c r="QJR152" s="1011"/>
      <c r="QJS152" s="1011"/>
      <c r="QJT152" s="1011"/>
      <c r="QJU152" s="1011"/>
      <c r="QJV152" s="1011"/>
      <c r="QJW152" s="1011"/>
      <c r="QJX152" s="1011"/>
      <c r="QJY152" s="1011"/>
      <c r="QJZ152" s="1011"/>
      <c r="QKA152" s="1011"/>
      <c r="QKB152" s="1011"/>
      <c r="QKC152" s="1011"/>
      <c r="QKD152" s="1011"/>
      <c r="QKE152" s="1011"/>
      <c r="QKF152" s="1011"/>
      <c r="QKG152" s="1011"/>
      <c r="QKH152" s="1011"/>
      <c r="QKI152" s="1011"/>
      <c r="QKJ152" s="1011"/>
      <c r="QKK152" s="1011"/>
      <c r="QKL152" s="1011"/>
      <c r="QKM152" s="1011"/>
      <c r="QKN152" s="1011"/>
      <c r="QKO152" s="1011"/>
      <c r="QKP152" s="1011"/>
      <c r="QKQ152" s="1011"/>
      <c r="QKR152" s="1011"/>
      <c r="QKS152" s="1011"/>
      <c r="QKT152" s="1011"/>
      <c r="QKU152" s="1011"/>
      <c r="QKV152" s="1011"/>
      <c r="QKW152" s="1011"/>
      <c r="QKX152" s="1011"/>
      <c r="QKY152" s="1011"/>
      <c r="QKZ152" s="1011"/>
      <c r="QLA152" s="1011"/>
      <c r="QLB152" s="1011"/>
      <c r="QLC152" s="1011"/>
      <c r="QLD152" s="1011"/>
      <c r="QLE152" s="1011"/>
      <c r="QLF152" s="1011"/>
      <c r="QLG152" s="1011"/>
      <c r="QLH152" s="1011"/>
      <c r="QLI152" s="1011"/>
      <c r="QLJ152" s="1011"/>
      <c r="QLK152" s="1011"/>
      <c r="QLL152" s="1011"/>
      <c r="QLM152" s="1011"/>
      <c r="QLN152" s="1011"/>
      <c r="QLO152" s="1011"/>
      <c r="QLP152" s="1011"/>
      <c r="QLQ152" s="1011"/>
      <c r="QLR152" s="1011"/>
      <c r="QLS152" s="1011"/>
      <c r="QLT152" s="1011"/>
      <c r="QLU152" s="1011"/>
      <c r="QLV152" s="1011"/>
      <c r="QLW152" s="1011"/>
      <c r="QLX152" s="1011"/>
      <c r="QLY152" s="1011"/>
      <c r="QLZ152" s="1011"/>
      <c r="QMA152" s="1011"/>
      <c r="QMB152" s="1011"/>
      <c r="QMC152" s="1011"/>
      <c r="QMD152" s="1011"/>
      <c r="QME152" s="1011"/>
      <c r="QMF152" s="1011"/>
      <c r="QMG152" s="1011"/>
      <c r="QMH152" s="1011"/>
      <c r="QMI152" s="1011"/>
      <c r="QMJ152" s="1011"/>
      <c r="QMK152" s="1011"/>
      <c r="QML152" s="1011"/>
      <c r="QMM152" s="1011"/>
      <c r="QMN152" s="1011"/>
      <c r="QMO152" s="1011"/>
      <c r="QMP152" s="1011"/>
      <c r="QMQ152" s="1011"/>
      <c r="QMR152" s="1011"/>
      <c r="QMS152" s="1011"/>
      <c r="QMT152" s="1011"/>
      <c r="QMU152" s="1011"/>
      <c r="QMV152" s="1011"/>
      <c r="QMW152" s="1011"/>
      <c r="QMX152" s="1011"/>
      <c r="QMY152" s="1011"/>
      <c r="QMZ152" s="1011"/>
      <c r="QNA152" s="1011"/>
      <c r="QNB152" s="1011"/>
      <c r="QNC152" s="1011"/>
      <c r="QND152" s="1011"/>
      <c r="QNE152" s="1011"/>
      <c r="QNF152" s="1011"/>
      <c r="QNG152" s="1011"/>
      <c r="QNH152" s="1011"/>
      <c r="QNI152" s="1011"/>
      <c r="QNJ152" s="1011"/>
      <c r="QNK152" s="1011"/>
      <c r="QNL152" s="1011"/>
      <c r="QNM152" s="1011"/>
      <c r="QNN152" s="1011"/>
      <c r="QNO152" s="1011"/>
      <c r="QNP152" s="1011"/>
      <c r="QNQ152" s="1011"/>
      <c r="QNR152" s="1011"/>
      <c r="QNS152" s="1011"/>
      <c r="QNT152" s="1011"/>
      <c r="QNU152" s="1011"/>
      <c r="QNV152" s="1011"/>
      <c r="QNW152" s="1011"/>
      <c r="QNX152" s="1011"/>
      <c r="QNY152" s="1011"/>
      <c r="QNZ152" s="1011"/>
      <c r="QOA152" s="1011"/>
      <c r="QOB152" s="1011"/>
      <c r="QOC152" s="1011"/>
      <c r="QOD152" s="1011"/>
      <c r="QOE152" s="1011"/>
      <c r="QOF152" s="1011"/>
      <c r="QOG152" s="1011"/>
      <c r="QOH152" s="1011"/>
      <c r="QOI152" s="1011"/>
      <c r="QOJ152" s="1011"/>
      <c r="QOK152" s="1011"/>
      <c r="QOL152" s="1011"/>
      <c r="QOM152" s="1011"/>
      <c r="QON152" s="1011"/>
      <c r="QOO152" s="1011"/>
      <c r="QOP152" s="1011"/>
      <c r="QOQ152" s="1011"/>
      <c r="QOR152" s="1011"/>
      <c r="QOS152" s="1011"/>
      <c r="QOT152" s="1011"/>
      <c r="QOU152" s="1011"/>
      <c r="QOV152" s="1011"/>
      <c r="QOW152" s="1011"/>
      <c r="QOX152" s="1011"/>
      <c r="QOY152" s="1011"/>
      <c r="QOZ152" s="1011"/>
      <c r="QPA152" s="1011"/>
      <c r="QPB152" s="1011"/>
      <c r="QPC152" s="1011"/>
      <c r="QPD152" s="1011"/>
      <c r="QPE152" s="1011"/>
      <c r="QPF152" s="1011"/>
      <c r="QPG152" s="1011"/>
      <c r="QPH152" s="1011"/>
      <c r="QPI152" s="1011"/>
      <c r="QPJ152" s="1011"/>
      <c r="QPK152" s="1011"/>
      <c r="QPL152" s="1011"/>
      <c r="QPM152" s="1011"/>
      <c r="QPN152" s="1011"/>
      <c r="QPO152" s="1011"/>
      <c r="QPP152" s="1011"/>
      <c r="QPQ152" s="1011"/>
      <c r="QPR152" s="1011"/>
      <c r="QPS152" s="1011"/>
      <c r="QPT152" s="1011"/>
      <c r="QPU152" s="1011"/>
      <c r="QPV152" s="1011"/>
      <c r="QPW152" s="1011"/>
      <c r="QPX152" s="1011"/>
      <c r="QPY152" s="1011"/>
      <c r="QPZ152" s="1011"/>
      <c r="QQA152" s="1011"/>
      <c r="QQB152" s="1011"/>
      <c r="QQC152" s="1011"/>
      <c r="QQD152" s="1011"/>
      <c r="QQE152" s="1011"/>
      <c r="QQF152" s="1011"/>
      <c r="QQG152" s="1011"/>
      <c r="QQH152" s="1011"/>
      <c r="QQI152" s="1011"/>
      <c r="QQJ152" s="1011"/>
      <c r="QQK152" s="1011"/>
      <c r="QQL152" s="1011"/>
      <c r="QQM152" s="1011"/>
      <c r="QQN152" s="1011"/>
      <c r="QQO152" s="1011"/>
      <c r="QQP152" s="1011"/>
      <c r="QQQ152" s="1011"/>
      <c r="QQR152" s="1011"/>
      <c r="QQS152" s="1011"/>
      <c r="QQT152" s="1011"/>
      <c r="QQU152" s="1011"/>
      <c r="QQV152" s="1011"/>
      <c r="QQW152" s="1011"/>
      <c r="QQX152" s="1011"/>
      <c r="QQY152" s="1011"/>
      <c r="QQZ152" s="1011"/>
      <c r="QRA152" s="1011"/>
      <c r="QRB152" s="1011"/>
      <c r="QRC152" s="1011"/>
      <c r="QRD152" s="1011"/>
      <c r="QRE152" s="1011"/>
      <c r="QRF152" s="1011"/>
      <c r="QRG152" s="1011"/>
      <c r="QRH152" s="1011"/>
      <c r="QRI152" s="1011"/>
      <c r="QRJ152" s="1011"/>
      <c r="QRK152" s="1011"/>
      <c r="QRL152" s="1011"/>
      <c r="QRM152" s="1011"/>
      <c r="QRN152" s="1011"/>
      <c r="QRO152" s="1011"/>
      <c r="QRP152" s="1011"/>
      <c r="QRQ152" s="1011"/>
      <c r="QRR152" s="1011"/>
      <c r="QRS152" s="1011"/>
      <c r="QRT152" s="1011"/>
      <c r="QRU152" s="1011"/>
      <c r="QRV152" s="1011"/>
      <c r="QRW152" s="1011"/>
      <c r="QRX152" s="1011"/>
      <c r="QRY152" s="1011"/>
      <c r="QRZ152" s="1011"/>
      <c r="QSA152" s="1011"/>
      <c r="QSB152" s="1011"/>
      <c r="QSC152" s="1011"/>
      <c r="QSD152" s="1011"/>
      <c r="QSE152" s="1011"/>
      <c r="QSF152" s="1011"/>
      <c r="QSG152" s="1011"/>
      <c r="QSH152" s="1011"/>
      <c r="QSI152" s="1011"/>
      <c r="QSJ152" s="1011"/>
      <c r="QSK152" s="1011"/>
      <c r="QSL152" s="1011"/>
      <c r="QSM152" s="1011"/>
      <c r="QSN152" s="1011"/>
      <c r="QSO152" s="1011"/>
      <c r="QSP152" s="1011"/>
      <c r="QSQ152" s="1011"/>
      <c r="QSR152" s="1011"/>
      <c r="QSS152" s="1011"/>
      <c r="QST152" s="1011"/>
      <c r="QSU152" s="1011"/>
      <c r="QSV152" s="1011"/>
      <c r="QSW152" s="1011"/>
      <c r="QSX152" s="1011"/>
      <c r="QSY152" s="1011"/>
      <c r="QSZ152" s="1011"/>
      <c r="QTA152" s="1011"/>
      <c r="QTB152" s="1011"/>
      <c r="QTC152" s="1011"/>
      <c r="QTD152" s="1011"/>
      <c r="QTE152" s="1011"/>
      <c r="QTF152" s="1011"/>
      <c r="QTG152" s="1011"/>
      <c r="QTH152" s="1011"/>
      <c r="QTI152" s="1011"/>
      <c r="QTJ152" s="1011"/>
      <c r="QTK152" s="1011"/>
      <c r="QTL152" s="1011"/>
      <c r="QTM152" s="1011"/>
      <c r="QTN152" s="1011"/>
      <c r="QTO152" s="1011"/>
      <c r="QTP152" s="1011"/>
      <c r="QTQ152" s="1011"/>
      <c r="QTR152" s="1011"/>
      <c r="QTS152" s="1011"/>
      <c r="QTT152" s="1011"/>
      <c r="QTU152" s="1011"/>
      <c r="QTV152" s="1011"/>
      <c r="QTW152" s="1011"/>
      <c r="QTX152" s="1011"/>
      <c r="QTY152" s="1011"/>
      <c r="QTZ152" s="1011"/>
      <c r="QUA152" s="1011"/>
      <c r="QUB152" s="1011"/>
      <c r="QUC152" s="1011"/>
      <c r="QUD152" s="1011"/>
      <c r="QUE152" s="1011"/>
      <c r="QUF152" s="1011"/>
      <c r="QUG152" s="1011"/>
      <c r="QUH152" s="1011"/>
      <c r="QUI152" s="1011"/>
      <c r="QUJ152" s="1011"/>
      <c r="QUK152" s="1011"/>
      <c r="QUL152" s="1011"/>
      <c r="QUM152" s="1011"/>
      <c r="QUN152" s="1011"/>
      <c r="QUO152" s="1011"/>
      <c r="QUP152" s="1011"/>
      <c r="QUQ152" s="1011"/>
      <c r="QUR152" s="1011"/>
      <c r="QUS152" s="1011"/>
      <c r="QUT152" s="1011"/>
      <c r="QUU152" s="1011"/>
      <c r="QUV152" s="1011"/>
      <c r="QUW152" s="1011"/>
      <c r="QUX152" s="1011"/>
      <c r="QUY152" s="1011"/>
      <c r="QUZ152" s="1011"/>
      <c r="QVA152" s="1011"/>
      <c r="QVB152" s="1011"/>
      <c r="QVC152" s="1011"/>
      <c r="QVD152" s="1011"/>
      <c r="QVE152" s="1011"/>
      <c r="QVF152" s="1011"/>
      <c r="QVG152" s="1011"/>
      <c r="QVH152" s="1011"/>
      <c r="QVI152" s="1011"/>
      <c r="QVJ152" s="1011"/>
      <c r="QVK152" s="1011"/>
      <c r="QVL152" s="1011"/>
      <c r="QVM152" s="1011"/>
      <c r="QVN152" s="1011"/>
      <c r="QVO152" s="1011"/>
      <c r="QVP152" s="1011"/>
      <c r="QVQ152" s="1011"/>
      <c r="QVR152" s="1011"/>
      <c r="QVS152" s="1011"/>
      <c r="QVT152" s="1011"/>
      <c r="QVU152" s="1011"/>
      <c r="QVV152" s="1011"/>
      <c r="QVW152" s="1011"/>
      <c r="QVX152" s="1011"/>
      <c r="QVY152" s="1011"/>
      <c r="QVZ152" s="1011"/>
      <c r="QWA152" s="1011"/>
      <c r="QWB152" s="1011"/>
      <c r="QWC152" s="1011"/>
      <c r="QWD152" s="1011"/>
      <c r="QWE152" s="1011"/>
      <c r="QWF152" s="1011"/>
      <c r="QWG152" s="1011"/>
      <c r="QWH152" s="1011"/>
      <c r="QWI152" s="1011"/>
      <c r="QWJ152" s="1011"/>
      <c r="QWK152" s="1011"/>
      <c r="QWL152" s="1011"/>
      <c r="QWM152" s="1011"/>
      <c r="QWN152" s="1011"/>
      <c r="QWO152" s="1011"/>
      <c r="QWP152" s="1011"/>
      <c r="QWQ152" s="1011"/>
      <c r="QWR152" s="1011"/>
      <c r="QWS152" s="1011"/>
      <c r="QWT152" s="1011"/>
      <c r="QWU152" s="1011"/>
      <c r="QWV152" s="1011"/>
      <c r="QWW152" s="1011"/>
      <c r="QWX152" s="1011"/>
      <c r="QWY152" s="1011"/>
      <c r="QWZ152" s="1011"/>
      <c r="QXA152" s="1011"/>
      <c r="QXB152" s="1011"/>
      <c r="QXC152" s="1011"/>
      <c r="QXD152" s="1011"/>
      <c r="QXE152" s="1011"/>
      <c r="QXF152" s="1011"/>
      <c r="QXG152" s="1011"/>
      <c r="QXH152" s="1011"/>
      <c r="QXI152" s="1011"/>
      <c r="QXJ152" s="1011"/>
      <c r="QXK152" s="1011"/>
      <c r="QXL152" s="1011"/>
      <c r="QXM152" s="1011"/>
      <c r="QXN152" s="1011"/>
      <c r="QXO152" s="1011"/>
      <c r="QXP152" s="1011"/>
      <c r="QXQ152" s="1011"/>
      <c r="QXR152" s="1011"/>
      <c r="QXS152" s="1011"/>
      <c r="QXT152" s="1011"/>
      <c r="QXU152" s="1011"/>
      <c r="QXV152" s="1011"/>
      <c r="QXW152" s="1011"/>
      <c r="QXX152" s="1011"/>
      <c r="QXY152" s="1011"/>
      <c r="QXZ152" s="1011"/>
      <c r="QYA152" s="1011"/>
      <c r="QYB152" s="1011"/>
      <c r="QYC152" s="1011"/>
      <c r="QYD152" s="1011"/>
      <c r="QYE152" s="1011"/>
      <c r="QYF152" s="1011"/>
      <c r="QYG152" s="1011"/>
      <c r="QYH152" s="1011"/>
      <c r="QYI152" s="1011"/>
      <c r="QYJ152" s="1011"/>
      <c r="QYK152" s="1011"/>
      <c r="QYL152" s="1011"/>
      <c r="QYM152" s="1011"/>
      <c r="QYN152" s="1011"/>
      <c r="QYO152" s="1011"/>
      <c r="QYP152" s="1011"/>
      <c r="QYQ152" s="1011"/>
      <c r="QYR152" s="1011"/>
      <c r="QYS152" s="1011"/>
      <c r="QYT152" s="1011"/>
      <c r="QYU152" s="1011"/>
      <c r="QYV152" s="1011"/>
      <c r="QYW152" s="1011"/>
      <c r="QYX152" s="1011"/>
      <c r="QYY152" s="1011"/>
      <c r="QYZ152" s="1011"/>
      <c r="QZA152" s="1011"/>
      <c r="QZB152" s="1011"/>
      <c r="QZC152" s="1011"/>
      <c r="QZD152" s="1011"/>
      <c r="QZE152" s="1011"/>
      <c r="QZF152" s="1011"/>
      <c r="QZG152" s="1011"/>
      <c r="QZH152" s="1011"/>
      <c r="QZI152" s="1011"/>
      <c r="QZJ152" s="1011"/>
      <c r="QZK152" s="1011"/>
      <c r="QZL152" s="1011"/>
      <c r="QZM152" s="1011"/>
      <c r="QZN152" s="1011"/>
      <c r="QZO152" s="1011"/>
      <c r="QZP152" s="1011"/>
      <c r="QZQ152" s="1011"/>
      <c r="QZR152" s="1011"/>
      <c r="QZS152" s="1011"/>
      <c r="QZT152" s="1011"/>
      <c r="QZU152" s="1011"/>
      <c r="QZV152" s="1011"/>
      <c r="QZW152" s="1011"/>
      <c r="QZX152" s="1011"/>
      <c r="QZY152" s="1011"/>
      <c r="QZZ152" s="1011"/>
      <c r="RAA152" s="1011"/>
      <c r="RAB152" s="1011"/>
      <c r="RAC152" s="1011"/>
      <c r="RAD152" s="1011"/>
      <c r="RAE152" s="1011"/>
      <c r="RAF152" s="1011"/>
      <c r="RAG152" s="1011"/>
      <c r="RAH152" s="1011"/>
      <c r="RAI152" s="1011"/>
      <c r="RAJ152" s="1011"/>
      <c r="RAK152" s="1011"/>
      <c r="RAL152" s="1011"/>
      <c r="RAM152" s="1011"/>
      <c r="RAN152" s="1011"/>
      <c r="RAO152" s="1011"/>
      <c r="RAP152" s="1011"/>
      <c r="RAQ152" s="1011"/>
      <c r="RAR152" s="1011"/>
      <c r="RAS152" s="1011"/>
      <c r="RAT152" s="1011"/>
      <c r="RAU152" s="1011"/>
      <c r="RAV152" s="1011"/>
      <c r="RAW152" s="1011"/>
      <c r="RAX152" s="1011"/>
      <c r="RAY152" s="1011"/>
      <c r="RAZ152" s="1011"/>
      <c r="RBA152" s="1011"/>
      <c r="RBB152" s="1011"/>
      <c r="RBC152" s="1011"/>
      <c r="RBD152" s="1011"/>
      <c r="RBE152" s="1011"/>
      <c r="RBF152" s="1011"/>
      <c r="RBG152" s="1011"/>
      <c r="RBH152" s="1011"/>
      <c r="RBI152" s="1011"/>
      <c r="RBJ152" s="1011"/>
      <c r="RBK152" s="1011"/>
      <c r="RBL152" s="1011"/>
      <c r="RBM152" s="1011"/>
      <c r="RBN152" s="1011"/>
      <c r="RBO152" s="1011"/>
      <c r="RBP152" s="1011"/>
      <c r="RBQ152" s="1011"/>
      <c r="RBR152" s="1011"/>
      <c r="RBS152" s="1011"/>
      <c r="RBT152" s="1011"/>
      <c r="RBU152" s="1011"/>
      <c r="RBV152" s="1011"/>
      <c r="RBW152" s="1011"/>
      <c r="RBX152" s="1011"/>
      <c r="RBY152" s="1011"/>
      <c r="RBZ152" s="1011"/>
      <c r="RCA152" s="1011"/>
      <c r="RCB152" s="1011"/>
      <c r="RCC152" s="1011"/>
      <c r="RCD152" s="1011"/>
      <c r="RCE152" s="1011"/>
      <c r="RCF152" s="1011"/>
      <c r="RCG152" s="1011"/>
      <c r="RCH152" s="1011"/>
      <c r="RCI152" s="1011"/>
      <c r="RCJ152" s="1011"/>
      <c r="RCK152" s="1011"/>
      <c r="RCL152" s="1011"/>
      <c r="RCM152" s="1011"/>
      <c r="RCN152" s="1011"/>
      <c r="RCO152" s="1011"/>
      <c r="RCP152" s="1011"/>
      <c r="RCQ152" s="1011"/>
      <c r="RCR152" s="1011"/>
      <c r="RCS152" s="1011"/>
      <c r="RCT152" s="1011"/>
      <c r="RCU152" s="1011"/>
      <c r="RCV152" s="1011"/>
      <c r="RCW152" s="1011"/>
      <c r="RCX152" s="1011"/>
      <c r="RCY152" s="1011"/>
      <c r="RCZ152" s="1011"/>
      <c r="RDA152" s="1011"/>
      <c r="RDB152" s="1011"/>
      <c r="RDC152" s="1011"/>
      <c r="RDD152" s="1011"/>
      <c r="RDE152" s="1011"/>
      <c r="RDF152" s="1011"/>
      <c r="RDG152" s="1011"/>
      <c r="RDH152" s="1011"/>
      <c r="RDI152" s="1011"/>
      <c r="RDJ152" s="1011"/>
      <c r="RDK152" s="1011"/>
      <c r="RDL152" s="1011"/>
      <c r="RDM152" s="1011"/>
      <c r="RDN152" s="1011"/>
      <c r="RDO152" s="1011"/>
      <c r="RDP152" s="1011"/>
      <c r="RDQ152" s="1011"/>
      <c r="RDR152" s="1011"/>
      <c r="RDS152" s="1011"/>
      <c r="RDT152" s="1011"/>
      <c r="RDU152" s="1011"/>
      <c r="RDV152" s="1011"/>
      <c r="RDW152" s="1011"/>
      <c r="RDX152" s="1011"/>
      <c r="RDY152" s="1011"/>
      <c r="RDZ152" s="1011"/>
      <c r="REA152" s="1011"/>
      <c r="REB152" s="1011"/>
      <c r="REC152" s="1011"/>
      <c r="RED152" s="1011"/>
      <c r="REE152" s="1011"/>
      <c r="REF152" s="1011"/>
      <c r="REG152" s="1011"/>
      <c r="REH152" s="1011"/>
      <c r="REI152" s="1011"/>
      <c r="REJ152" s="1011"/>
      <c r="REK152" s="1011"/>
      <c r="REL152" s="1011"/>
      <c r="REM152" s="1011"/>
      <c r="REN152" s="1011"/>
      <c r="REO152" s="1011"/>
      <c r="REP152" s="1011"/>
      <c r="REQ152" s="1011"/>
      <c r="RER152" s="1011"/>
      <c r="RES152" s="1011"/>
      <c r="RET152" s="1011"/>
      <c r="REU152" s="1011"/>
      <c r="REV152" s="1011"/>
      <c r="REW152" s="1011"/>
      <c r="REX152" s="1011"/>
      <c r="REY152" s="1011"/>
      <c r="REZ152" s="1011"/>
      <c r="RFA152" s="1011"/>
      <c r="RFB152" s="1011"/>
      <c r="RFC152" s="1011"/>
      <c r="RFD152" s="1011"/>
      <c r="RFE152" s="1011"/>
      <c r="RFF152" s="1011"/>
      <c r="RFG152" s="1011"/>
      <c r="RFH152" s="1011"/>
      <c r="RFI152" s="1011"/>
      <c r="RFJ152" s="1011"/>
      <c r="RFK152" s="1011"/>
      <c r="RFL152" s="1011"/>
      <c r="RFM152" s="1011"/>
      <c r="RFN152" s="1011"/>
      <c r="RFO152" s="1011"/>
      <c r="RFP152" s="1011"/>
      <c r="RFQ152" s="1011"/>
      <c r="RFR152" s="1011"/>
      <c r="RFS152" s="1011"/>
      <c r="RFT152" s="1011"/>
      <c r="RFU152" s="1011"/>
      <c r="RFV152" s="1011"/>
      <c r="RFW152" s="1011"/>
      <c r="RFX152" s="1011"/>
      <c r="RFY152" s="1011"/>
      <c r="RFZ152" s="1011"/>
      <c r="RGA152" s="1011"/>
      <c r="RGB152" s="1011"/>
      <c r="RGC152" s="1011"/>
      <c r="RGD152" s="1011"/>
      <c r="RGE152" s="1011"/>
      <c r="RGF152" s="1011"/>
      <c r="RGG152" s="1011"/>
      <c r="RGH152" s="1011"/>
      <c r="RGI152" s="1011"/>
      <c r="RGJ152" s="1011"/>
      <c r="RGK152" s="1011"/>
      <c r="RGL152" s="1011"/>
      <c r="RGM152" s="1011"/>
      <c r="RGN152" s="1011"/>
      <c r="RGO152" s="1011"/>
      <c r="RGP152" s="1011"/>
      <c r="RGQ152" s="1011"/>
      <c r="RGR152" s="1011"/>
      <c r="RGS152" s="1011"/>
      <c r="RGT152" s="1011"/>
      <c r="RGU152" s="1011"/>
      <c r="RGV152" s="1011"/>
      <c r="RGW152" s="1011"/>
      <c r="RGX152" s="1011"/>
      <c r="RGY152" s="1011"/>
      <c r="RGZ152" s="1011"/>
      <c r="RHA152" s="1011"/>
      <c r="RHB152" s="1011"/>
      <c r="RHC152" s="1011"/>
      <c r="RHD152" s="1011"/>
      <c r="RHE152" s="1011"/>
      <c r="RHF152" s="1011"/>
      <c r="RHG152" s="1011"/>
      <c r="RHH152" s="1011"/>
      <c r="RHI152" s="1011"/>
      <c r="RHJ152" s="1011"/>
      <c r="RHK152" s="1011"/>
      <c r="RHL152" s="1011"/>
      <c r="RHM152" s="1011"/>
      <c r="RHN152" s="1011"/>
      <c r="RHO152" s="1011"/>
      <c r="RHP152" s="1011"/>
      <c r="RHQ152" s="1011"/>
      <c r="RHR152" s="1011"/>
      <c r="RHS152" s="1011"/>
      <c r="RHT152" s="1011"/>
      <c r="RHU152" s="1011"/>
      <c r="RHV152" s="1011"/>
      <c r="RHW152" s="1011"/>
      <c r="RHX152" s="1011"/>
      <c r="RHY152" s="1011"/>
      <c r="RHZ152" s="1011"/>
      <c r="RIA152" s="1011"/>
      <c r="RIB152" s="1011"/>
      <c r="RIC152" s="1011"/>
      <c r="RID152" s="1011"/>
      <c r="RIE152" s="1011"/>
      <c r="RIF152" s="1011"/>
      <c r="RIG152" s="1011"/>
      <c r="RIH152" s="1011"/>
      <c r="RII152" s="1011"/>
      <c r="RIJ152" s="1011"/>
      <c r="RIK152" s="1011"/>
      <c r="RIL152" s="1011"/>
      <c r="RIM152" s="1011"/>
      <c r="RIN152" s="1011"/>
      <c r="RIO152" s="1011"/>
      <c r="RIP152" s="1011"/>
      <c r="RIQ152" s="1011"/>
      <c r="RIR152" s="1011"/>
      <c r="RIS152" s="1011"/>
      <c r="RIT152" s="1011"/>
      <c r="RIU152" s="1011"/>
      <c r="RIV152" s="1011"/>
      <c r="RIW152" s="1011"/>
      <c r="RIX152" s="1011"/>
      <c r="RIY152" s="1011"/>
      <c r="RIZ152" s="1011"/>
      <c r="RJA152" s="1011"/>
      <c r="RJB152" s="1011"/>
      <c r="RJC152" s="1011"/>
      <c r="RJD152" s="1011"/>
      <c r="RJE152" s="1011"/>
      <c r="RJF152" s="1011"/>
      <c r="RJG152" s="1011"/>
      <c r="RJH152" s="1011"/>
      <c r="RJI152" s="1011"/>
      <c r="RJJ152" s="1011"/>
      <c r="RJK152" s="1011"/>
      <c r="RJL152" s="1011"/>
      <c r="RJM152" s="1011"/>
      <c r="RJN152" s="1011"/>
      <c r="RJO152" s="1011"/>
      <c r="RJP152" s="1011"/>
      <c r="RJQ152" s="1011"/>
      <c r="RJR152" s="1011"/>
      <c r="RJS152" s="1011"/>
      <c r="RJT152" s="1011"/>
      <c r="RJU152" s="1011"/>
      <c r="RJV152" s="1011"/>
      <c r="RJW152" s="1011"/>
      <c r="RJX152" s="1011"/>
      <c r="RJY152" s="1011"/>
      <c r="RJZ152" s="1011"/>
      <c r="RKA152" s="1011"/>
      <c r="RKB152" s="1011"/>
      <c r="RKC152" s="1011"/>
      <c r="RKD152" s="1011"/>
      <c r="RKE152" s="1011"/>
      <c r="RKF152" s="1011"/>
      <c r="RKG152" s="1011"/>
      <c r="RKH152" s="1011"/>
      <c r="RKI152" s="1011"/>
      <c r="RKJ152" s="1011"/>
      <c r="RKK152" s="1011"/>
      <c r="RKL152" s="1011"/>
      <c r="RKM152" s="1011"/>
      <c r="RKN152" s="1011"/>
      <c r="RKO152" s="1011"/>
      <c r="RKP152" s="1011"/>
      <c r="RKQ152" s="1011"/>
      <c r="RKR152" s="1011"/>
      <c r="RKS152" s="1011"/>
      <c r="RKT152" s="1011"/>
      <c r="RKU152" s="1011"/>
      <c r="RKV152" s="1011"/>
      <c r="RKW152" s="1011"/>
      <c r="RKX152" s="1011"/>
      <c r="RKY152" s="1011"/>
      <c r="RKZ152" s="1011"/>
      <c r="RLA152" s="1011"/>
      <c r="RLB152" s="1011"/>
      <c r="RLC152" s="1011"/>
      <c r="RLD152" s="1011"/>
      <c r="RLE152" s="1011"/>
      <c r="RLF152" s="1011"/>
      <c r="RLG152" s="1011"/>
      <c r="RLH152" s="1011"/>
      <c r="RLI152" s="1011"/>
      <c r="RLJ152" s="1011"/>
      <c r="RLK152" s="1011"/>
      <c r="RLL152" s="1011"/>
      <c r="RLM152" s="1011"/>
      <c r="RLN152" s="1011"/>
      <c r="RLO152" s="1011"/>
      <c r="RLP152" s="1011"/>
      <c r="RLQ152" s="1011"/>
      <c r="RLR152" s="1011"/>
      <c r="RLS152" s="1011"/>
      <c r="RLT152" s="1011"/>
      <c r="RLU152" s="1011"/>
      <c r="RLV152" s="1011"/>
      <c r="RLW152" s="1011"/>
      <c r="RLX152" s="1011"/>
      <c r="RLY152" s="1011"/>
      <c r="RLZ152" s="1011"/>
      <c r="RMA152" s="1011"/>
      <c r="RMB152" s="1011"/>
      <c r="RMC152" s="1011"/>
      <c r="RMD152" s="1011"/>
      <c r="RME152" s="1011"/>
      <c r="RMF152" s="1011"/>
      <c r="RMG152" s="1011"/>
      <c r="RMH152" s="1011"/>
      <c r="RMI152" s="1011"/>
      <c r="RMJ152" s="1011"/>
      <c r="RMK152" s="1011"/>
      <c r="RML152" s="1011"/>
      <c r="RMM152" s="1011"/>
      <c r="RMN152" s="1011"/>
      <c r="RMO152" s="1011"/>
      <c r="RMP152" s="1011"/>
      <c r="RMQ152" s="1011"/>
      <c r="RMR152" s="1011"/>
      <c r="RMS152" s="1011"/>
      <c r="RMT152" s="1011"/>
      <c r="RMU152" s="1011"/>
      <c r="RMV152" s="1011"/>
      <c r="RMW152" s="1011"/>
      <c r="RMX152" s="1011"/>
      <c r="RMY152" s="1011"/>
      <c r="RMZ152" s="1011"/>
      <c r="RNA152" s="1011"/>
      <c r="RNB152" s="1011"/>
      <c r="RNC152" s="1011"/>
      <c r="RND152" s="1011"/>
      <c r="RNE152" s="1011"/>
      <c r="RNF152" s="1011"/>
      <c r="RNG152" s="1011"/>
      <c r="RNH152" s="1011"/>
      <c r="RNI152" s="1011"/>
      <c r="RNJ152" s="1011"/>
      <c r="RNK152" s="1011"/>
      <c r="RNL152" s="1011"/>
      <c r="RNM152" s="1011"/>
      <c r="RNN152" s="1011"/>
      <c r="RNO152" s="1011"/>
      <c r="RNP152" s="1011"/>
      <c r="RNQ152" s="1011"/>
      <c r="RNR152" s="1011"/>
      <c r="RNS152" s="1011"/>
      <c r="RNT152" s="1011"/>
      <c r="RNU152" s="1011"/>
      <c r="RNV152" s="1011"/>
      <c r="RNW152" s="1011"/>
      <c r="RNX152" s="1011"/>
      <c r="RNY152" s="1011"/>
      <c r="RNZ152" s="1011"/>
      <c r="ROA152" s="1011"/>
      <c r="ROB152" s="1011"/>
      <c r="ROC152" s="1011"/>
      <c r="ROD152" s="1011"/>
      <c r="ROE152" s="1011"/>
      <c r="ROF152" s="1011"/>
      <c r="ROG152" s="1011"/>
      <c r="ROH152" s="1011"/>
      <c r="ROI152" s="1011"/>
      <c r="ROJ152" s="1011"/>
      <c r="ROK152" s="1011"/>
      <c r="ROL152" s="1011"/>
      <c r="ROM152" s="1011"/>
      <c r="RON152" s="1011"/>
      <c r="ROO152" s="1011"/>
      <c r="ROP152" s="1011"/>
      <c r="ROQ152" s="1011"/>
      <c r="ROR152" s="1011"/>
      <c r="ROS152" s="1011"/>
      <c r="ROT152" s="1011"/>
      <c r="ROU152" s="1011"/>
      <c r="ROV152" s="1011"/>
      <c r="ROW152" s="1011"/>
      <c r="ROX152" s="1011"/>
      <c r="ROY152" s="1011"/>
      <c r="ROZ152" s="1011"/>
      <c r="RPA152" s="1011"/>
      <c r="RPB152" s="1011"/>
      <c r="RPC152" s="1011"/>
      <c r="RPD152" s="1011"/>
      <c r="RPE152" s="1011"/>
      <c r="RPF152" s="1011"/>
      <c r="RPG152" s="1011"/>
      <c r="RPH152" s="1011"/>
      <c r="RPI152" s="1011"/>
      <c r="RPJ152" s="1011"/>
      <c r="RPK152" s="1011"/>
      <c r="RPL152" s="1011"/>
      <c r="RPM152" s="1011"/>
      <c r="RPN152" s="1011"/>
      <c r="RPO152" s="1011"/>
      <c r="RPP152" s="1011"/>
      <c r="RPQ152" s="1011"/>
      <c r="RPR152" s="1011"/>
      <c r="RPS152" s="1011"/>
      <c r="RPT152" s="1011"/>
      <c r="RPU152" s="1011"/>
      <c r="RPV152" s="1011"/>
      <c r="RPW152" s="1011"/>
      <c r="RPX152" s="1011"/>
      <c r="RPY152" s="1011"/>
      <c r="RPZ152" s="1011"/>
      <c r="RQA152" s="1011"/>
      <c r="RQB152" s="1011"/>
      <c r="RQC152" s="1011"/>
      <c r="RQD152" s="1011"/>
      <c r="RQE152" s="1011"/>
      <c r="RQF152" s="1011"/>
      <c r="RQG152" s="1011"/>
      <c r="RQH152" s="1011"/>
      <c r="RQI152" s="1011"/>
      <c r="RQJ152" s="1011"/>
      <c r="RQK152" s="1011"/>
      <c r="RQL152" s="1011"/>
      <c r="RQM152" s="1011"/>
      <c r="RQN152" s="1011"/>
      <c r="RQO152" s="1011"/>
      <c r="RQP152" s="1011"/>
      <c r="RQQ152" s="1011"/>
      <c r="RQR152" s="1011"/>
      <c r="RQS152" s="1011"/>
      <c r="RQT152" s="1011"/>
      <c r="RQU152" s="1011"/>
      <c r="RQV152" s="1011"/>
      <c r="RQW152" s="1011"/>
      <c r="RQX152" s="1011"/>
      <c r="RQY152" s="1011"/>
      <c r="RQZ152" s="1011"/>
      <c r="RRA152" s="1011"/>
      <c r="RRB152" s="1011"/>
      <c r="RRC152" s="1011"/>
      <c r="RRD152" s="1011"/>
      <c r="RRE152" s="1011"/>
      <c r="RRF152" s="1011"/>
      <c r="RRG152" s="1011"/>
      <c r="RRH152" s="1011"/>
      <c r="RRI152" s="1011"/>
      <c r="RRJ152" s="1011"/>
      <c r="RRK152" s="1011"/>
      <c r="RRL152" s="1011"/>
      <c r="RRM152" s="1011"/>
      <c r="RRN152" s="1011"/>
      <c r="RRO152" s="1011"/>
      <c r="RRP152" s="1011"/>
      <c r="RRQ152" s="1011"/>
      <c r="RRR152" s="1011"/>
      <c r="RRS152" s="1011"/>
      <c r="RRT152" s="1011"/>
      <c r="RRU152" s="1011"/>
      <c r="RRV152" s="1011"/>
      <c r="RRW152" s="1011"/>
      <c r="RRX152" s="1011"/>
      <c r="RRY152" s="1011"/>
      <c r="RRZ152" s="1011"/>
      <c r="RSA152" s="1011"/>
      <c r="RSB152" s="1011"/>
      <c r="RSC152" s="1011"/>
      <c r="RSD152" s="1011"/>
      <c r="RSE152" s="1011"/>
      <c r="RSF152" s="1011"/>
      <c r="RSG152" s="1011"/>
      <c r="RSH152" s="1011"/>
      <c r="RSI152" s="1011"/>
      <c r="RSJ152" s="1011"/>
      <c r="RSK152" s="1011"/>
      <c r="RSL152" s="1011"/>
      <c r="RSM152" s="1011"/>
      <c r="RSN152" s="1011"/>
      <c r="RSO152" s="1011"/>
      <c r="RSP152" s="1011"/>
      <c r="RSQ152" s="1011"/>
      <c r="RSR152" s="1011"/>
      <c r="RSS152" s="1011"/>
      <c r="RST152" s="1011"/>
      <c r="RSU152" s="1011"/>
      <c r="RSV152" s="1011"/>
      <c r="RSW152" s="1011"/>
      <c r="RSX152" s="1011"/>
      <c r="RSY152" s="1011"/>
      <c r="RSZ152" s="1011"/>
      <c r="RTA152" s="1011"/>
      <c r="RTB152" s="1011"/>
      <c r="RTC152" s="1011"/>
      <c r="RTD152" s="1011"/>
      <c r="RTE152" s="1011"/>
      <c r="RTF152" s="1011"/>
      <c r="RTG152" s="1011"/>
      <c r="RTH152" s="1011"/>
      <c r="RTI152" s="1011"/>
      <c r="RTJ152" s="1011"/>
      <c r="RTK152" s="1011"/>
      <c r="RTL152" s="1011"/>
      <c r="RTM152" s="1011"/>
      <c r="RTN152" s="1011"/>
      <c r="RTO152" s="1011"/>
      <c r="RTP152" s="1011"/>
      <c r="RTQ152" s="1011"/>
      <c r="RTR152" s="1011"/>
      <c r="RTS152" s="1011"/>
      <c r="RTT152" s="1011"/>
      <c r="RTU152" s="1011"/>
      <c r="RTV152" s="1011"/>
      <c r="RTW152" s="1011"/>
      <c r="RTX152" s="1011"/>
      <c r="RTY152" s="1011"/>
      <c r="RTZ152" s="1011"/>
      <c r="RUA152" s="1011"/>
      <c r="RUB152" s="1011"/>
      <c r="RUC152" s="1011"/>
      <c r="RUD152" s="1011"/>
      <c r="RUE152" s="1011"/>
      <c r="RUF152" s="1011"/>
      <c r="RUG152" s="1011"/>
      <c r="RUH152" s="1011"/>
      <c r="RUI152" s="1011"/>
      <c r="RUJ152" s="1011"/>
      <c r="RUK152" s="1011"/>
      <c r="RUL152" s="1011"/>
      <c r="RUM152" s="1011"/>
      <c r="RUN152" s="1011"/>
      <c r="RUO152" s="1011"/>
      <c r="RUP152" s="1011"/>
      <c r="RUQ152" s="1011"/>
      <c r="RUR152" s="1011"/>
      <c r="RUS152" s="1011"/>
      <c r="RUT152" s="1011"/>
      <c r="RUU152" s="1011"/>
      <c r="RUV152" s="1011"/>
      <c r="RUW152" s="1011"/>
      <c r="RUX152" s="1011"/>
      <c r="RUY152" s="1011"/>
      <c r="RUZ152" s="1011"/>
      <c r="RVA152" s="1011"/>
      <c r="RVB152" s="1011"/>
      <c r="RVC152" s="1011"/>
      <c r="RVD152" s="1011"/>
      <c r="RVE152" s="1011"/>
      <c r="RVF152" s="1011"/>
      <c r="RVG152" s="1011"/>
      <c r="RVH152" s="1011"/>
      <c r="RVI152" s="1011"/>
      <c r="RVJ152" s="1011"/>
      <c r="RVK152" s="1011"/>
      <c r="RVL152" s="1011"/>
      <c r="RVM152" s="1011"/>
      <c r="RVN152" s="1011"/>
      <c r="RVO152" s="1011"/>
      <c r="RVP152" s="1011"/>
      <c r="RVQ152" s="1011"/>
      <c r="RVR152" s="1011"/>
      <c r="RVS152" s="1011"/>
      <c r="RVT152" s="1011"/>
      <c r="RVU152" s="1011"/>
      <c r="RVV152" s="1011"/>
      <c r="RVW152" s="1011"/>
      <c r="RVX152" s="1011"/>
      <c r="RVY152" s="1011"/>
      <c r="RVZ152" s="1011"/>
      <c r="RWA152" s="1011"/>
      <c r="RWB152" s="1011"/>
      <c r="RWC152" s="1011"/>
      <c r="RWD152" s="1011"/>
      <c r="RWE152" s="1011"/>
      <c r="RWF152" s="1011"/>
      <c r="RWG152" s="1011"/>
      <c r="RWH152" s="1011"/>
      <c r="RWI152" s="1011"/>
      <c r="RWJ152" s="1011"/>
      <c r="RWK152" s="1011"/>
      <c r="RWL152" s="1011"/>
      <c r="RWM152" s="1011"/>
      <c r="RWN152" s="1011"/>
      <c r="RWO152" s="1011"/>
      <c r="RWP152" s="1011"/>
      <c r="RWQ152" s="1011"/>
      <c r="RWR152" s="1011"/>
      <c r="RWS152" s="1011"/>
      <c r="RWT152" s="1011"/>
      <c r="RWU152" s="1011"/>
      <c r="RWV152" s="1011"/>
      <c r="RWW152" s="1011"/>
      <c r="RWX152" s="1011"/>
      <c r="RWY152" s="1011"/>
      <c r="RWZ152" s="1011"/>
      <c r="RXA152" s="1011"/>
      <c r="RXB152" s="1011"/>
      <c r="RXC152" s="1011"/>
      <c r="RXD152" s="1011"/>
      <c r="RXE152" s="1011"/>
      <c r="RXF152" s="1011"/>
      <c r="RXG152" s="1011"/>
      <c r="RXH152" s="1011"/>
      <c r="RXI152" s="1011"/>
      <c r="RXJ152" s="1011"/>
      <c r="RXK152" s="1011"/>
      <c r="RXL152" s="1011"/>
      <c r="RXM152" s="1011"/>
      <c r="RXN152" s="1011"/>
      <c r="RXO152" s="1011"/>
      <c r="RXP152" s="1011"/>
      <c r="RXQ152" s="1011"/>
      <c r="RXR152" s="1011"/>
      <c r="RXS152" s="1011"/>
      <c r="RXT152" s="1011"/>
      <c r="RXU152" s="1011"/>
      <c r="RXV152" s="1011"/>
      <c r="RXW152" s="1011"/>
      <c r="RXX152" s="1011"/>
      <c r="RXY152" s="1011"/>
      <c r="RXZ152" s="1011"/>
      <c r="RYA152" s="1011"/>
      <c r="RYB152" s="1011"/>
      <c r="RYC152" s="1011"/>
      <c r="RYD152" s="1011"/>
      <c r="RYE152" s="1011"/>
      <c r="RYF152" s="1011"/>
      <c r="RYG152" s="1011"/>
      <c r="RYH152" s="1011"/>
      <c r="RYI152" s="1011"/>
      <c r="RYJ152" s="1011"/>
      <c r="RYK152" s="1011"/>
      <c r="RYL152" s="1011"/>
      <c r="RYM152" s="1011"/>
      <c r="RYN152" s="1011"/>
      <c r="RYO152" s="1011"/>
      <c r="RYP152" s="1011"/>
      <c r="RYQ152" s="1011"/>
      <c r="RYR152" s="1011"/>
      <c r="RYS152" s="1011"/>
      <c r="RYT152" s="1011"/>
      <c r="RYU152" s="1011"/>
      <c r="RYV152" s="1011"/>
      <c r="RYW152" s="1011"/>
      <c r="RYX152" s="1011"/>
      <c r="RYY152" s="1011"/>
      <c r="RYZ152" s="1011"/>
      <c r="RZA152" s="1011"/>
      <c r="RZB152" s="1011"/>
      <c r="RZC152" s="1011"/>
      <c r="RZD152" s="1011"/>
      <c r="RZE152" s="1011"/>
      <c r="RZF152" s="1011"/>
      <c r="RZG152" s="1011"/>
      <c r="RZH152" s="1011"/>
      <c r="RZI152" s="1011"/>
      <c r="RZJ152" s="1011"/>
      <c r="RZK152" s="1011"/>
      <c r="RZL152" s="1011"/>
      <c r="RZM152" s="1011"/>
      <c r="RZN152" s="1011"/>
      <c r="RZO152" s="1011"/>
      <c r="RZP152" s="1011"/>
      <c r="RZQ152" s="1011"/>
      <c r="RZR152" s="1011"/>
      <c r="RZS152" s="1011"/>
      <c r="RZT152" s="1011"/>
      <c r="RZU152" s="1011"/>
      <c r="RZV152" s="1011"/>
      <c r="RZW152" s="1011"/>
      <c r="RZX152" s="1011"/>
      <c r="RZY152" s="1011"/>
      <c r="RZZ152" s="1011"/>
      <c r="SAA152" s="1011"/>
      <c r="SAB152" s="1011"/>
      <c r="SAC152" s="1011"/>
      <c r="SAD152" s="1011"/>
      <c r="SAE152" s="1011"/>
      <c r="SAF152" s="1011"/>
      <c r="SAG152" s="1011"/>
      <c r="SAH152" s="1011"/>
      <c r="SAI152" s="1011"/>
      <c r="SAJ152" s="1011"/>
      <c r="SAK152" s="1011"/>
      <c r="SAL152" s="1011"/>
      <c r="SAM152" s="1011"/>
      <c r="SAN152" s="1011"/>
      <c r="SAO152" s="1011"/>
      <c r="SAP152" s="1011"/>
      <c r="SAQ152" s="1011"/>
      <c r="SAR152" s="1011"/>
      <c r="SAS152" s="1011"/>
      <c r="SAT152" s="1011"/>
      <c r="SAU152" s="1011"/>
      <c r="SAV152" s="1011"/>
      <c r="SAW152" s="1011"/>
      <c r="SAX152" s="1011"/>
      <c r="SAY152" s="1011"/>
      <c r="SAZ152" s="1011"/>
      <c r="SBA152" s="1011"/>
      <c r="SBB152" s="1011"/>
      <c r="SBC152" s="1011"/>
      <c r="SBD152" s="1011"/>
      <c r="SBE152" s="1011"/>
      <c r="SBF152" s="1011"/>
      <c r="SBG152" s="1011"/>
      <c r="SBH152" s="1011"/>
      <c r="SBI152" s="1011"/>
      <c r="SBJ152" s="1011"/>
      <c r="SBK152" s="1011"/>
      <c r="SBL152" s="1011"/>
      <c r="SBM152" s="1011"/>
      <c r="SBN152" s="1011"/>
      <c r="SBO152" s="1011"/>
      <c r="SBP152" s="1011"/>
      <c r="SBQ152" s="1011"/>
      <c r="SBR152" s="1011"/>
      <c r="SBS152" s="1011"/>
      <c r="SBT152" s="1011"/>
      <c r="SBU152" s="1011"/>
      <c r="SBV152" s="1011"/>
      <c r="SBW152" s="1011"/>
      <c r="SBX152" s="1011"/>
      <c r="SBY152" s="1011"/>
      <c r="SBZ152" s="1011"/>
      <c r="SCA152" s="1011"/>
      <c r="SCB152" s="1011"/>
      <c r="SCC152" s="1011"/>
      <c r="SCD152" s="1011"/>
      <c r="SCE152" s="1011"/>
      <c r="SCF152" s="1011"/>
      <c r="SCG152" s="1011"/>
      <c r="SCH152" s="1011"/>
      <c r="SCI152" s="1011"/>
      <c r="SCJ152" s="1011"/>
      <c r="SCK152" s="1011"/>
      <c r="SCL152" s="1011"/>
      <c r="SCM152" s="1011"/>
      <c r="SCN152" s="1011"/>
      <c r="SCO152" s="1011"/>
      <c r="SCP152" s="1011"/>
      <c r="SCQ152" s="1011"/>
      <c r="SCR152" s="1011"/>
      <c r="SCS152" s="1011"/>
      <c r="SCT152" s="1011"/>
      <c r="SCU152" s="1011"/>
      <c r="SCV152" s="1011"/>
      <c r="SCW152" s="1011"/>
      <c r="SCX152" s="1011"/>
      <c r="SCY152" s="1011"/>
      <c r="SCZ152" s="1011"/>
      <c r="SDA152" s="1011"/>
      <c r="SDB152" s="1011"/>
      <c r="SDC152" s="1011"/>
      <c r="SDD152" s="1011"/>
      <c r="SDE152" s="1011"/>
      <c r="SDF152" s="1011"/>
      <c r="SDG152" s="1011"/>
      <c r="SDH152" s="1011"/>
      <c r="SDI152" s="1011"/>
      <c r="SDJ152" s="1011"/>
      <c r="SDK152" s="1011"/>
      <c r="SDL152" s="1011"/>
      <c r="SDM152" s="1011"/>
      <c r="SDN152" s="1011"/>
      <c r="SDO152" s="1011"/>
      <c r="SDP152" s="1011"/>
      <c r="SDQ152" s="1011"/>
      <c r="SDR152" s="1011"/>
      <c r="SDS152" s="1011"/>
      <c r="SDT152" s="1011"/>
      <c r="SDU152" s="1011"/>
      <c r="SDV152" s="1011"/>
      <c r="SDW152" s="1011"/>
      <c r="SDX152" s="1011"/>
      <c r="SDY152" s="1011"/>
      <c r="SDZ152" s="1011"/>
      <c r="SEA152" s="1011"/>
      <c r="SEB152" s="1011"/>
      <c r="SEC152" s="1011"/>
      <c r="SED152" s="1011"/>
      <c r="SEE152" s="1011"/>
      <c r="SEF152" s="1011"/>
      <c r="SEG152" s="1011"/>
      <c r="SEH152" s="1011"/>
      <c r="SEI152" s="1011"/>
      <c r="SEJ152" s="1011"/>
      <c r="SEK152" s="1011"/>
      <c r="SEL152" s="1011"/>
      <c r="SEM152" s="1011"/>
      <c r="SEN152" s="1011"/>
      <c r="SEO152" s="1011"/>
      <c r="SEP152" s="1011"/>
      <c r="SEQ152" s="1011"/>
      <c r="SER152" s="1011"/>
      <c r="SES152" s="1011"/>
      <c r="SET152" s="1011"/>
      <c r="SEU152" s="1011"/>
      <c r="SEV152" s="1011"/>
      <c r="SEW152" s="1011"/>
      <c r="SEX152" s="1011"/>
      <c r="SEY152" s="1011"/>
      <c r="SEZ152" s="1011"/>
      <c r="SFA152" s="1011"/>
      <c r="SFB152" s="1011"/>
      <c r="SFC152" s="1011"/>
      <c r="SFD152" s="1011"/>
      <c r="SFE152" s="1011"/>
      <c r="SFF152" s="1011"/>
      <c r="SFG152" s="1011"/>
      <c r="SFH152" s="1011"/>
      <c r="SFI152" s="1011"/>
      <c r="SFJ152" s="1011"/>
      <c r="SFK152" s="1011"/>
      <c r="SFL152" s="1011"/>
      <c r="SFM152" s="1011"/>
      <c r="SFN152" s="1011"/>
      <c r="SFO152" s="1011"/>
      <c r="SFP152" s="1011"/>
      <c r="SFQ152" s="1011"/>
      <c r="SFR152" s="1011"/>
      <c r="SFS152" s="1011"/>
      <c r="SFT152" s="1011"/>
      <c r="SFU152" s="1011"/>
      <c r="SFV152" s="1011"/>
      <c r="SFW152" s="1011"/>
      <c r="SFX152" s="1011"/>
      <c r="SFY152" s="1011"/>
      <c r="SFZ152" s="1011"/>
      <c r="SGA152" s="1011"/>
      <c r="SGB152" s="1011"/>
      <c r="SGC152" s="1011"/>
      <c r="SGD152" s="1011"/>
      <c r="SGE152" s="1011"/>
      <c r="SGF152" s="1011"/>
      <c r="SGG152" s="1011"/>
      <c r="SGH152" s="1011"/>
      <c r="SGI152" s="1011"/>
      <c r="SGJ152" s="1011"/>
      <c r="SGK152" s="1011"/>
      <c r="SGL152" s="1011"/>
      <c r="SGM152" s="1011"/>
      <c r="SGN152" s="1011"/>
      <c r="SGO152" s="1011"/>
      <c r="SGP152" s="1011"/>
      <c r="SGQ152" s="1011"/>
      <c r="SGR152" s="1011"/>
      <c r="SGS152" s="1011"/>
      <c r="SGT152" s="1011"/>
      <c r="SGU152" s="1011"/>
      <c r="SGV152" s="1011"/>
      <c r="SGW152" s="1011"/>
      <c r="SGX152" s="1011"/>
      <c r="SGY152" s="1011"/>
      <c r="SGZ152" s="1011"/>
      <c r="SHA152" s="1011"/>
      <c r="SHB152" s="1011"/>
      <c r="SHC152" s="1011"/>
      <c r="SHD152" s="1011"/>
      <c r="SHE152" s="1011"/>
      <c r="SHF152" s="1011"/>
      <c r="SHG152" s="1011"/>
      <c r="SHH152" s="1011"/>
      <c r="SHI152" s="1011"/>
      <c r="SHJ152" s="1011"/>
      <c r="SHK152" s="1011"/>
      <c r="SHL152" s="1011"/>
      <c r="SHM152" s="1011"/>
      <c r="SHN152" s="1011"/>
      <c r="SHO152" s="1011"/>
      <c r="SHP152" s="1011"/>
      <c r="SHQ152" s="1011"/>
      <c r="SHR152" s="1011"/>
      <c r="SHS152" s="1011"/>
      <c r="SHT152" s="1011"/>
      <c r="SHU152" s="1011"/>
      <c r="SHV152" s="1011"/>
      <c r="SHW152" s="1011"/>
      <c r="SHX152" s="1011"/>
      <c r="SHY152" s="1011"/>
      <c r="SHZ152" s="1011"/>
      <c r="SIA152" s="1011"/>
      <c r="SIB152" s="1011"/>
      <c r="SIC152" s="1011"/>
      <c r="SID152" s="1011"/>
      <c r="SIE152" s="1011"/>
      <c r="SIF152" s="1011"/>
      <c r="SIG152" s="1011"/>
      <c r="SIH152" s="1011"/>
      <c r="SII152" s="1011"/>
      <c r="SIJ152" s="1011"/>
      <c r="SIK152" s="1011"/>
      <c r="SIL152" s="1011"/>
      <c r="SIM152" s="1011"/>
      <c r="SIN152" s="1011"/>
      <c r="SIO152" s="1011"/>
      <c r="SIP152" s="1011"/>
      <c r="SIQ152" s="1011"/>
      <c r="SIR152" s="1011"/>
      <c r="SIS152" s="1011"/>
      <c r="SIT152" s="1011"/>
      <c r="SIU152" s="1011"/>
      <c r="SIV152" s="1011"/>
      <c r="SIW152" s="1011"/>
      <c r="SIX152" s="1011"/>
      <c r="SIY152" s="1011"/>
      <c r="SIZ152" s="1011"/>
      <c r="SJA152" s="1011"/>
      <c r="SJB152" s="1011"/>
      <c r="SJC152" s="1011"/>
      <c r="SJD152" s="1011"/>
      <c r="SJE152" s="1011"/>
      <c r="SJF152" s="1011"/>
      <c r="SJG152" s="1011"/>
      <c r="SJH152" s="1011"/>
      <c r="SJI152" s="1011"/>
      <c r="SJJ152" s="1011"/>
      <c r="SJK152" s="1011"/>
      <c r="SJL152" s="1011"/>
      <c r="SJM152" s="1011"/>
      <c r="SJN152" s="1011"/>
      <c r="SJO152" s="1011"/>
      <c r="SJP152" s="1011"/>
      <c r="SJQ152" s="1011"/>
      <c r="SJR152" s="1011"/>
      <c r="SJS152" s="1011"/>
      <c r="SJT152" s="1011"/>
      <c r="SJU152" s="1011"/>
      <c r="SJV152" s="1011"/>
      <c r="SJW152" s="1011"/>
      <c r="SJX152" s="1011"/>
      <c r="SJY152" s="1011"/>
      <c r="SJZ152" s="1011"/>
      <c r="SKA152" s="1011"/>
      <c r="SKB152" s="1011"/>
      <c r="SKC152" s="1011"/>
      <c r="SKD152" s="1011"/>
      <c r="SKE152" s="1011"/>
      <c r="SKF152" s="1011"/>
      <c r="SKG152" s="1011"/>
      <c r="SKH152" s="1011"/>
      <c r="SKI152" s="1011"/>
      <c r="SKJ152" s="1011"/>
      <c r="SKK152" s="1011"/>
      <c r="SKL152" s="1011"/>
      <c r="SKM152" s="1011"/>
      <c r="SKN152" s="1011"/>
      <c r="SKO152" s="1011"/>
      <c r="SKP152" s="1011"/>
      <c r="SKQ152" s="1011"/>
      <c r="SKR152" s="1011"/>
      <c r="SKS152" s="1011"/>
      <c r="SKT152" s="1011"/>
      <c r="SKU152" s="1011"/>
      <c r="SKV152" s="1011"/>
      <c r="SKW152" s="1011"/>
      <c r="SKX152" s="1011"/>
      <c r="SKY152" s="1011"/>
      <c r="SKZ152" s="1011"/>
      <c r="SLA152" s="1011"/>
      <c r="SLB152" s="1011"/>
      <c r="SLC152" s="1011"/>
      <c r="SLD152" s="1011"/>
      <c r="SLE152" s="1011"/>
      <c r="SLF152" s="1011"/>
      <c r="SLG152" s="1011"/>
      <c r="SLH152" s="1011"/>
      <c r="SLI152" s="1011"/>
      <c r="SLJ152" s="1011"/>
      <c r="SLK152" s="1011"/>
      <c r="SLL152" s="1011"/>
      <c r="SLM152" s="1011"/>
      <c r="SLN152" s="1011"/>
      <c r="SLO152" s="1011"/>
      <c r="SLP152" s="1011"/>
      <c r="SLQ152" s="1011"/>
      <c r="SLR152" s="1011"/>
      <c r="SLS152" s="1011"/>
      <c r="SLT152" s="1011"/>
      <c r="SLU152" s="1011"/>
      <c r="SLV152" s="1011"/>
      <c r="SLW152" s="1011"/>
      <c r="SLX152" s="1011"/>
      <c r="SLY152" s="1011"/>
      <c r="SLZ152" s="1011"/>
      <c r="SMA152" s="1011"/>
      <c r="SMB152" s="1011"/>
      <c r="SMC152" s="1011"/>
      <c r="SMD152" s="1011"/>
      <c r="SME152" s="1011"/>
      <c r="SMF152" s="1011"/>
      <c r="SMG152" s="1011"/>
      <c r="SMH152" s="1011"/>
      <c r="SMI152" s="1011"/>
      <c r="SMJ152" s="1011"/>
      <c r="SMK152" s="1011"/>
      <c r="SML152" s="1011"/>
      <c r="SMM152" s="1011"/>
      <c r="SMN152" s="1011"/>
      <c r="SMO152" s="1011"/>
      <c r="SMP152" s="1011"/>
      <c r="SMQ152" s="1011"/>
      <c r="SMR152" s="1011"/>
      <c r="SMS152" s="1011"/>
      <c r="SMT152" s="1011"/>
      <c r="SMU152" s="1011"/>
      <c r="SMV152" s="1011"/>
      <c r="SMW152" s="1011"/>
      <c r="SMX152" s="1011"/>
      <c r="SMY152" s="1011"/>
      <c r="SMZ152" s="1011"/>
      <c r="SNA152" s="1011"/>
      <c r="SNB152" s="1011"/>
      <c r="SNC152" s="1011"/>
      <c r="SND152" s="1011"/>
      <c r="SNE152" s="1011"/>
      <c r="SNF152" s="1011"/>
      <c r="SNG152" s="1011"/>
      <c r="SNH152" s="1011"/>
      <c r="SNI152" s="1011"/>
      <c r="SNJ152" s="1011"/>
      <c r="SNK152" s="1011"/>
      <c r="SNL152" s="1011"/>
      <c r="SNM152" s="1011"/>
      <c r="SNN152" s="1011"/>
      <c r="SNO152" s="1011"/>
      <c r="SNP152" s="1011"/>
      <c r="SNQ152" s="1011"/>
      <c r="SNR152" s="1011"/>
      <c r="SNS152" s="1011"/>
      <c r="SNT152" s="1011"/>
      <c r="SNU152" s="1011"/>
      <c r="SNV152" s="1011"/>
      <c r="SNW152" s="1011"/>
      <c r="SNX152" s="1011"/>
      <c r="SNY152" s="1011"/>
      <c r="SNZ152" s="1011"/>
      <c r="SOA152" s="1011"/>
      <c r="SOB152" s="1011"/>
      <c r="SOC152" s="1011"/>
      <c r="SOD152" s="1011"/>
      <c r="SOE152" s="1011"/>
      <c r="SOF152" s="1011"/>
      <c r="SOG152" s="1011"/>
      <c r="SOH152" s="1011"/>
      <c r="SOI152" s="1011"/>
      <c r="SOJ152" s="1011"/>
      <c r="SOK152" s="1011"/>
      <c r="SOL152" s="1011"/>
      <c r="SOM152" s="1011"/>
      <c r="SON152" s="1011"/>
      <c r="SOO152" s="1011"/>
      <c r="SOP152" s="1011"/>
      <c r="SOQ152" s="1011"/>
      <c r="SOR152" s="1011"/>
      <c r="SOS152" s="1011"/>
      <c r="SOT152" s="1011"/>
      <c r="SOU152" s="1011"/>
      <c r="SOV152" s="1011"/>
      <c r="SOW152" s="1011"/>
      <c r="SOX152" s="1011"/>
      <c r="SOY152" s="1011"/>
      <c r="SOZ152" s="1011"/>
      <c r="SPA152" s="1011"/>
      <c r="SPB152" s="1011"/>
      <c r="SPC152" s="1011"/>
      <c r="SPD152" s="1011"/>
      <c r="SPE152" s="1011"/>
      <c r="SPF152" s="1011"/>
      <c r="SPG152" s="1011"/>
      <c r="SPH152" s="1011"/>
      <c r="SPI152" s="1011"/>
      <c r="SPJ152" s="1011"/>
      <c r="SPK152" s="1011"/>
      <c r="SPL152" s="1011"/>
      <c r="SPM152" s="1011"/>
      <c r="SPN152" s="1011"/>
      <c r="SPO152" s="1011"/>
      <c r="SPP152" s="1011"/>
      <c r="SPQ152" s="1011"/>
      <c r="SPR152" s="1011"/>
      <c r="SPS152" s="1011"/>
      <c r="SPT152" s="1011"/>
      <c r="SPU152" s="1011"/>
      <c r="SPV152" s="1011"/>
      <c r="SPW152" s="1011"/>
      <c r="SPX152" s="1011"/>
      <c r="SPY152" s="1011"/>
      <c r="SPZ152" s="1011"/>
      <c r="SQA152" s="1011"/>
      <c r="SQB152" s="1011"/>
      <c r="SQC152" s="1011"/>
      <c r="SQD152" s="1011"/>
      <c r="SQE152" s="1011"/>
      <c r="SQF152" s="1011"/>
      <c r="SQG152" s="1011"/>
      <c r="SQH152" s="1011"/>
      <c r="SQI152" s="1011"/>
      <c r="SQJ152" s="1011"/>
      <c r="SQK152" s="1011"/>
      <c r="SQL152" s="1011"/>
      <c r="SQM152" s="1011"/>
      <c r="SQN152" s="1011"/>
      <c r="SQO152" s="1011"/>
      <c r="SQP152" s="1011"/>
      <c r="SQQ152" s="1011"/>
      <c r="SQR152" s="1011"/>
      <c r="SQS152" s="1011"/>
      <c r="SQT152" s="1011"/>
      <c r="SQU152" s="1011"/>
      <c r="SQV152" s="1011"/>
      <c r="SQW152" s="1011"/>
      <c r="SQX152" s="1011"/>
      <c r="SQY152" s="1011"/>
      <c r="SQZ152" s="1011"/>
      <c r="SRA152" s="1011"/>
      <c r="SRB152" s="1011"/>
      <c r="SRC152" s="1011"/>
      <c r="SRD152" s="1011"/>
      <c r="SRE152" s="1011"/>
      <c r="SRF152" s="1011"/>
      <c r="SRG152" s="1011"/>
      <c r="SRH152" s="1011"/>
      <c r="SRI152" s="1011"/>
      <c r="SRJ152" s="1011"/>
      <c r="SRK152" s="1011"/>
      <c r="SRL152" s="1011"/>
      <c r="SRM152" s="1011"/>
      <c r="SRN152" s="1011"/>
      <c r="SRO152" s="1011"/>
      <c r="SRP152" s="1011"/>
      <c r="SRQ152" s="1011"/>
      <c r="SRR152" s="1011"/>
      <c r="SRS152" s="1011"/>
      <c r="SRT152" s="1011"/>
      <c r="SRU152" s="1011"/>
      <c r="SRV152" s="1011"/>
      <c r="SRW152" s="1011"/>
      <c r="SRX152" s="1011"/>
      <c r="SRY152" s="1011"/>
      <c r="SRZ152" s="1011"/>
      <c r="SSA152" s="1011"/>
      <c r="SSB152" s="1011"/>
      <c r="SSC152" s="1011"/>
      <c r="SSD152" s="1011"/>
      <c r="SSE152" s="1011"/>
      <c r="SSF152" s="1011"/>
      <c r="SSG152" s="1011"/>
      <c r="SSH152" s="1011"/>
      <c r="SSI152" s="1011"/>
      <c r="SSJ152" s="1011"/>
      <c r="SSK152" s="1011"/>
      <c r="SSL152" s="1011"/>
      <c r="SSM152" s="1011"/>
      <c r="SSN152" s="1011"/>
      <c r="SSO152" s="1011"/>
      <c r="SSP152" s="1011"/>
      <c r="SSQ152" s="1011"/>
      <c r="SSR152" s="1011"/>
      <c r="SSS152" s="1011"/>
      <c r="SST152" s="1011"/>
      <c r="SSU152" s="1011"/>
      <c r="SSV152" s="1011"/>
      <c r="SSW152" s="1011"/>
      <c r="SSX152" s="1011"/>
      <c r="SSY152" s="1011"/>
      <c r="SSZ152" s="1011"/>
      <c r="STA152" s="1011"/>
      <c r="STB152" s="1011"/>
      <c r="STC152" s="1011"/>
      <c r="STD152" s="1011"/>
      <c r="STE152" s="1011"/>
      <c r="STF152" s="1011"/>
      <c r="STG152" s="1011"/>
      <c r="STH152" s="1011"/>
      <c r="STI152" s="1011"/>
      <c r="STJ152" s="1011"/>
      <c r="STK152" s="1011"/>
      <c r="STL152" s="1011"/>
      <c r="STM152" s="1011"/>
      <c r="STN152" s="1011"/>
      <c r="STO152" s="1011"/>
      <c r="STP152" s="1011"/>
      <c r="STQ152" s="1011"/>
      <c r="STR152" s="1011"/>
      <c r="STS152" s="1011"/>
      <c r="STT152" s="1011"/>
      <c r="STU152" s="1011"/>
      <c r="STV152" s="1011"/>
      <c r="STW152" s="1011"/>
      <c r="STX152" s="1011"/>
      <c r="STY152" s="1011"/>
      <c r="STZ152" s="1011"/>
      <c r="SUA152" s="1011"/>
      <c r="SUB152" s="1011"/>
      <c r="SUC152" s="1011"/>
      <c r="SUD152" s="1011"/>
      <c r="SUE152" s="1011"/>
      <c r="SUF152" s="1011"/>
      <c r="SUG152" s="1011"/>
      <c r="SUH152" s="1011"/>
      <c r="SUI152" s="1011"/>
      <c r="SUJ152" s="1011"/>
      <c r="SUK152" s="1011"/>
      <c r="SUL152" s="1011"/>
      <c r="SUM152" s="1011"/>
      <c r="SUN152" s="1011"/>
      <c r="SUO152" s="1011"/>
      <c r="SUP152" s="1011"/>
      <c r="SUQ152" s="1011"/>
      <c r="SUR152" s="1011"/>
      <c r="SUS152" s="1011"/>
      <c r="SUT152" s="1011"/>
      <c r="SUU152" s="1011"/>
      <c r="SUV152" s="1011"/>
      <c r="SUW152" s="1011"/>
      <c r="SUX152" s="1011"/>
      <c r="SUY152" s="1011"/>
      <c r="SUZ152" s="1011"/>
      <c r="SVA152" s="1011"/>
      <c r="SVB152" s="1011"/>
      <c r="SVC152" s="1011"/>
      <c r="SVD152" s="1011"/>
      <c r="SVE152" s="1011"/>
      <c r="SVF152" s="1011"/>
      <c r="SVG152" s="1011"/>
      <c r="SVH152" s="1011"/>
      <c r="SVI152" s="1011"/>
      <c r="SVJ152" s="1011"/>
      <c r="SVK152" s="1011"/>
      <c r="SVL152" s="1011"/>
      <c r="SVM152" s="1011"/>
      <c r="SVN152" s="1011"/>
      <c r="SVO152" s="1011"/>
      <c r="SVP152" s="1011"/>
      <c r="SVQ152" s="1011"/>
      <c r="SVR152" s="1011"/>
      <c r="SVS152" s="1011"/>
      <c r="SVT152" s="1011"/>
      <c r="SVU152" s="1011"/>
      <c r="SVV152" s="1011"/>
      <c r="SVW152" s="1011"/>
      <c r="SVX152" s="1011"/>
      <c r="SVY152" s="1011"/>
      <c r="SVZ152" s="1011"/>
      <c r="SWA152" s="1011"/>
      <c r="SWB152" s="1011"/>
      <c r="SWC152" s="1011"/>
      <c r="SWD152" s="1011"/>
      <c r="SWE152" s="1011"/>
      <c r="SWF152" s="1011"/>
      <c r="SWG152" s="1011"/>
      <c r="SWH152" s="1011"/>
      <c r="SWI152" s="1011"/>
      <c r="SWJ152" s="1011"/>
      <c r="SWK152" s="1011"/>
      <c r="SWL152" s="1011"/>
      <c r="SWM152" s="1011"/>
      <c r="SWN152" s="1011"/>
      <c r="SWO152" s="1011"/>
      <c r="SWP152" s="1011"/>
      <c r="SWQ152" s="1011"/>
      <c r="SWR152" s="1011"/>
      <c r="SWS152" s="1011"/>
      <c r="SWT152" s="1011"/>
      <c r="SWU152" s="1011"/>
      <c r="SWV152" s="1011"/>
      <c r="SWW152" s="1011"/>
      <c r="SWX152" s="1011"/>
      <c r="SWY152" s="1011"/>
      <c r="SWZ152" s="1011"/>
      <c r="SXA152" s="1011"/>
      <c r="SXB152" s="1011"/>
      <c r="SXC152" s="1011"/>
      <c r="SXD152" s="1011"/>
      <c r="SXE152" s="1011"/>
      <c r="SXF152" s="1011"/>
      <c r="SXG152" s="1011"/>
      <c r="SXH152" s="1011"/>
      <c r="SXI152" s="1011"/>
      <c r="SXJ152" s="1011"/>
      <c r="SXK152" s="1011"/>
      <c r="SXL152" s="1011"/>
      <c r="SXM152" s="1011"/>
      <c r="SXN152" s="1011"/>
      <c r="SXO152" s="1011"/>
      <c r="SXP152" s="1011"/>
      <c r="SXQ152" s="1011"/>
      <c r="SXR152" s="1011"/>
      <c r="SXS152" s="1011"/>
      <c r="SXT152" s="1011"/>
      <c r="SXU152" s="1011"/>
      <c r="SXV152" s="1011"/>
      <c r="SXW152" s="1011"/>
      <c r="SXX152" s="1011"/>
      <c r="SXY152" s="1011"/>
      <c r="SXZ152" s="1011"/>
      <c r="SYA152" s="1011"/>
      <c r="SYB152" s="1011"/>
      <c r="SYC152" s="1011"/>
      <c r="SYD152" s="1011"/>
      <c r="SYE152" s="1011"/>
      <c r="SYF152" s="1011"/>
      <c r="SYG152" s="1011"/>
      <c r="SYH152" s="1011"/>
      <c r="SYI152" s="1011"/>
      <c r="SYJ152" s="1011"/>
      <c r="SYK152" s="1011"/>
      <c r="SYL152" s="1011"/>
      <c r="SYM152" s="1011"/>
      <c r="SYN152" s="1011"/>
      <c r="SYO152" s="1011"/>
      <c r="SYP152" s="1011"/>
      <c r="SYQ152" s="1011"/>
      <c r="SYR152" s="1011"/>
      <c r="SYS152" s="1011"/>
      <c r="SYT152" s="1011"/>
      <c r="SYU152" s="1011"/>
      <c r="SYV152" s="1011"/>
      <c r="SYW152" s="1011"/>
      <c r="SYX152" s="1011"/>
      <c r="SYY152" s="1011"/>
      <c r="SYZ152" s="1011"/>
      <c r="SZA152" s="1011"/>
      <c r="SZB152" s="1011"/>
      <c r="SZC152" s="1011"/>
      <c r="SZD152" s="1011"/>
      <c r="SZE152" s="1011"/>
      <c r="SZF152" s="1011"/>
      <c r="SZG152" s="1011"/>
      <c r="SZH152" s="1011"/>
      <c r="SZI152" s="1011"/>
      <c r="SZJ152" s="1011"/>
      <c r="SZK152" s="1011"/>
      <c r="SZL152" s="1011"/>
      <c r="SZM152" s="1011"/>
      <c r="SZN152" s="1011"/>
      <c r="SZO152" s="1011"/>
      <c r="SZP152" s="1011"/>
      <c r="SZQ152" s="1011"/>
      <c r="SZR152" s="1011"/>
      <c r="SZS152" s="1011"/>
      <c r="SZT152" s="1011"/>
      <c r="SZU152" s="1011"/>
      <c r="SZV152" s="1011"/>
      <c r="SZW152" s="1011"/>
      <c r="SZX152" s="1011"/>
      <c r="SZY152" s="1011"/>
      <c r="SZZ152" s="1011"/>
      <c r="TAA152" s="1011"/>
      <c r="TAB152" s="1011"/>
      <c r="TAC152" s="1011"/>
      <c r="TAD152" s="1011"/>
      <c r="TAE152" s="1011"/>
      <c r="TAF152" s="1011"/>
      <c r="TAG152" s="1011"/>
      <c r="TAH152" s="1011"/>
      <c r="TAI152" s="1011"/>
      <c r="TAJ152" s="1011"/>
      <c r="TAK152" s="1011"/>
      <c r="TAL152" s="1011"/>
      <c r="TAM152" s="1011"/>
      <c r="TAN152" s="1011"/>
      <c r="TAO152" s="1011"/>
      <c r="TAP152" s="1011"/>
      <c r="TAQ152" s="1011"/>
      <c r="TAR152" s="1011"/>
      <c r="TAS152" s="1011"/>
      <c r="TAT152" s="1011"/>
      <c r="TAU152" s="1011"/>
      <c r="TAV152" s="1011"/>
      <c r="TAW152" s="1011"/>
      <c r="TAX152" s="1011"/>
      <c r="TAY152" s="1011"/>
      <c r="TAZ152" s="1011"/>
      <c r="TBA152" s="1011"/>
      <c r="TBB152" s="1011"/>
      <c r="TBC152" s="1011"/>
      <c r="TBD152" s="1011"/>
      <c r="TBE152" s="1011"/>
      <c r="TBF152" s="1011"/>
      <c r="TBG152" s="1011"/>
      <c r="TBH152" s="1011"/>
      <c r="TBI152" s="1011"/>
      <c r="TBJ152" s="1011"/>
      <c r="TBK152" s="1011"/>
      <c r="TBL152" s="1011"/>
      <c r="TBM152" s="1011"/>
      <c r="TBN152" s="1011"/>
      <c r="TBO152" s="1011"/>
      <c r="TBP152" s="1011"/>
      <c r="TBQ152" s="1011"/>
      <c r="TBR152" s="1011"/>
      <c r="TBS152" s="1011"/>
      <c r="TBT152" s="1011"/>
      <c r="TBU152" s="1011"/>
      <c r="TBV152" s="1011"/>
      <c r="TBW152" s="1011"/>
      <c r="TBX152" s="1011"/>
      <c r="TBY152" s="1011"/>
      <c r="TBZ152" s="1011"/>
      <c r="TCA152" s="1011"/>
      <c r="TCB152" s="1011"/>
      <c r="TCC152" s="1011"/>
      <c r="TCD152" s="1011"/>
      <c r="TCE152" s="1011"/>
      <c r="TCF152" s="1011"/>
      <c r="TCG152" s="1011"/>
      <c r="TCH152" s="1011"/>
      <c r="TCI152" s="1011"/>
      <c r="TCJ152" s="1011"/>
      <c r="TCK152" s="1011"/>
      <c r="TCL152" s="1011"/>
      <c r="TCM152" s="1011"/>
      <c r="TCN152" s="1011"/>
      <c r="TCO152" s="1011"/>
      <c r="TCP152" s="1011"/>
      <c r="TCQ152" s="1011"/>
      <c r="TCR152" s="1011"/>
      <c r="TCS152" s="1011"/>
      <c r="TCT152" s="1011"/>
      <c r="TCU152" s="1011"/>
      <c r="TCV152" s="1011"/>
      <c r="TCW152" s="1011"/>
      <c r="TCX152" s="1011"/>
      <c r="TCY152" s="1011"/>
      <c r="TCZ152" s="1011"/>
      <c r="TDA152" s="1011"/>
      <c r="TDB152" s="1011"/>
      <c r="TDC152" s="1011"/>
      <c r="TDD152" s="1011"/>
      <c r="TDE152" s="1011"/>
      <c r="TDF152" s="1011"/>
      <c r="TDG152" s="1011"/>
      <c r="TDH152" s="1011"/>
      <c r="TDI152" s="1011"/>
      <c r="TDJ152" s="1011"/>
      <c r="TDK152" s="1011"/>
      <c r="TDL152" s="1011"/>
      <c r="TDM152" s="1011"/>
      <c r="TDN152" s="1011"/>
      <c r="TDO152" s="1011"/>
      <c r="TDP152" s="1011"/>
      <c r="TDQ152" s="1011"/>
      <c r="TDR152" s="1011"/>
      <c r="TDS152" s="1011"/>
      <c r="TDT152" s="1011"/>
      <c r="TDU152" s="1011"/>
      <c r="TDV152" s="1011"/>
      <c r="TDW152" s="1011"/>
      <c r="TDX152" s="1011"/>
      <c r="TDY152" s="1011"/>
      <c r="TDZ152" s="1011"/>
      <c r="TEA152" s="1011"/>
      <c r="TEB152" s="1011"/>
      <c r="TEC152" s="1011"/>
      <c r="TED152" s="1011"/>
      <c r="TEE152" s="1011"/>
      <c r="TEF152" s="1011"/>
      <c r="TEG152" s="1011"/>
      <c r="TEH152" s="1011"/>
      <c r="TEI152" s="1011"/>
      <c r="TEJ152" s="1011"/>
      <c r="TEK152" s="1011"/>
      <c r="TEL152" s="1011"/>
      <c r="TEM152" s="1011"/>
      <c r="TEN152" s="1011"/>
      <c r="TEO152" s="1011"/>
      <c r="TEP152" s="1011"/>
      <c r="TEQ152" s="1011"/>
      <c r="TER152" s="1011"/>
      <c r="TES152" s="1011"/>
      <c r="TET152" s="1011"/>
      <c r="TEU152" s="1011"/>
      <c r="TEV152" s="1011"/>
      <c r="TEW152" s="1011"/>
      <c r="TEX152" s="1011"/>
      <c r="TEY152" s="1011"/>
      <c r="TEZ152" s="1011"/>
      <c r="TFA152" s="1011"/>
      <c r="TFB152" s="1011"/>
      <c r="TFC152" s="1011"/>
      <c r="TFD152" s="1011"/>
      <c r="TFE152" s="1011"/>
      <c r="TFF152" s="1011"/>
      <c r="TFG152" s="1011"/>
      <c r="TFH152" s="1011"/>
      <c r="TFI152" s="1011"/>
      <c r="TFJ152" s="1011"/>
      <c r="TFK152" s="1011"/>
      <c r="TFL152" s="1011"/>
      <c r="TFM152" s="1011"/>
      <c r="TFN152" s="1011"/>
      <c r="TFO152" s="1011"/>
      <c r="TFP152" s="1011"/>
      <c r="TFQ152" s="1011"/>
      <c r="TFR152" s="1011"/>
      <c r="TFS152" s="1011"/>
      <c r="TFT152" s="1011"/>
      <c r="TFU152" s="1011"/>
      <c r="TFV152" s="1011"/>
      <c r="TFW152" s="1011"/>
      <c r="TFX152" s="1011"/>
      <c r="TFY152" s="1011"/>
      <c r="TFZ152" s="1011"/>
      <c r="TGA152" s="1011"/>
      <c r="TGB152" s="1011"/>
      <c r="TGC152" s="1011"/>
      <c r="TGD152" s="1011"/>
      <c r="TGE152" s="1011"/>
      <c r="TGF152" s="1011"/>
      <c r="TGG152" s="1011"/>
      <c r="TGH152" s="1011"/>
      <c r="TGI152" s="1011"/>
      <c r="TGJ152" s="1011"/>
      <c r="TGK152" s="1011"/>
      <c r="TGL152" s="1011"/>
      <c r="TGM152" s="1011"/>
      <c r="TGN152" s="1011"/>
      <c r="TGO152" s="1011"/>
      <c r="TGP152" s="1011"/>
      <c r="TGQ152" s="1011"/>
      <c r="TGR152" s="1011"/>
      <c r="TGS152" s="1011"/>
      <c r="TGT152" s="1011"/>
      <c r="TGU152" s="1011"/>
      <c r="TGV152" s="1011"/>
      <c r="TGW152" s="1011"/>
      <c r="TGX152" s="1011"/>
      <c r="TGY152" s="1011"/>
      <c r="TGZ152" s="1011"/>
      <c r="THA152" s="1011"/>
      <c r="THB152" s="1011"/>
      <c r="THC152" s="1011"/>
      <c r="THD152" s="1011"/>
      <c r="THE152" s="1011"/>
      <c r="THF152" s="1011"/>
      <c r="THG152" s="1011"/>
      <c r="THH152" s="1011"/>
      <c r="THI152" s="1011"/>
      <c r="THJ152" s="1011"/>
      <c r="THK152" s="1011"/>
      <c r="THL152" s="1011"/>
      <c r="THM152" s="1011"/>
      <c r="THN152" s="1011"/>
      <c r="THO152" s="1011"/>
      <c r="THP152" s="1011"/>
      <c r="THQ152" s="1011"/>
      <c r="THR152" s="1011"/>
      <c r="THS152" s="1011"/>
      <c r="THT152" s="1011"/>
      <c r="THU152" s="1011"/>
      <c r="THV152" s="1011"/>
      <c r="THW152" s="1011"/>
      <c r="THX152" s="1011"/>
      <c r="THY152" s="1011"/>
      <c r="THZ152" s="1011"/>
      <c r="TIA152" s="1011"/>
      <c r="TIB152" s="1011"/>
      <c r="TIC152" s="1011"/>
      <c r="TID152" s="1011"/>
      <c r="TIE152" s="1011"/>
      <c r="TIF152" s="1011"/>
      <c r="TIG152" s="1011"/>
      <c r="TIH152" s="1011"/>
      <c r="TII152" s="1011"/>
      <c r="TIJ152" s="1011"/>
      <c r="TIK152" s="1011"/>
      <c r="TIL152" s="1011"/>
      <c r="TIM152" s="1011"/>
      <c r="TIN152" s="1011"/>
      <c r="TIO152" s="1011"/>
      <c r="TIP152" s="1011"/>
      <c r="TIQ152" s="1011"/>
      <c r="TIR152" s="1011"/>
      <c r="TIS152" s="1011"/>
      <c r="TIT152" s="1011"/>
      <c r="TIU152" s="1011"/>
      <c r="TIV152" s="1011"/>
      <c r="TIW152" s="1011"/>
      <c r="TIX152" s="1011"/>
      <c r="TIY152" s="1011"/>
      <c r="TIZ152" s="1011"/>
      <c r="TJA152" s="1011"/>
      <c r="TJB152" s="1011"/>
      <c r="TJC152" s="1011"/>
      <c r="TJD152" s="1011"/>
      <c r="TJE152" s="1011"/>
      <c r="TJF152" s="1011"/>
      <c r="TJG152" s="1011"/>
      <c r="TJH152" s="1011"/>
      <c r="TJI152" s="1011"/>
      <c r="TJJ152" s="1011"/>
      <c r="TJK152" s="1011"/>
      <c r="TJL152" s="1011"/>
      <c r="TJM152" s="1011"/>
      <c r="TJN152" s="1011"/>
      <c r="TJO152" s="1011"/>
      <c r="TJP152" s="1011"/>
      <c r="TJQ152" s="1011"/>
      <c r="TJR152" s="1011"/>
      <c r="TJS152" s="1011"/>
      <c r="TJT152" s="1011"/>
      <c r="TJU152" s="1011"/>
      <c r="TJV152" s="1011"/>
      <c r="TJW152" s="1011"/>
      <c r="TJX152" s="1011"/>
      <c r="TJY152" s="1011"/>
      <c r="TJZ152" s="1011"/>
      <c r="TKA152" s="1011"/>
      <c r="TKB152" s="1011"/>
      <c r="TKC152" s="1011"/>
      <c r="TKD152" s="1011"/>
      <c r="TKE152" s="1011"/>
      <c r="TKF152" s="1011"/>
      <c r="TKG152" s="1011"/>
      <c r="TKH152" s="1011"/>
      <c r="TKI152" s="1011"/>
      <c r="TKJ152" s="1011"/>
      <c r="TKK152" s="1011"/>
      <c r="TKL152" s="1011"/>
      <c r="TKM152" s="1011"/>
      <c r="TKN152" s="1011"/>
      <c r="TKO152" s="1011"/>
      <c r="TKP152" s="1011"/>
      <c r="TKQ152" s="1011"/>
      <c r="TKR152" s="1011"/>
      <c r="TKS152" s="1011"/>
      <c r="TKT152" s="1011"/>
      <c r="TKU152" s="1011"/>
      <c r="TKV152" s="1011"/>
      <c r="TKW152" s="1011"/>
      <c r="TKX152" s="1011"/>
      <c r="TKY152" s="1011"/>
      <c r="TKZ152" s="1011"/>
      <c r="TLA152" s="1011"/>
      <c r="TLB152" s="1011"/>
      <c r="TLC152" s="1011"/>
      <c r="TLD152" s="1011"/>
      <c r="TLE152" s="1011"/>
      <c r="TLF152" s="1011"/>
      <c r="TLG152" s="1011"/>
      <c r="TLH152" s="1011"/>
      <c r="TLI152" s="1011"/>
      <c r="TLJ152" s="1011"/>
      <c r="TLK152" s="1011"/>
      <c r="TLL152" s="1011"/>
      <c r="TLM152" s="1011"/>
      <c r="TLN152" s="1011"/>
      <c r="TLO152" s="1011"/>
      <c r="TLP152" s="1011"/>
      <c r="TLQ152" s="1011"/>
      <c r="TLR152" s="1011"/>
      <c r="TLS152" s="1011"/>
      <c r="TLT152" s="1011"/>
      <c r="TLU152" s="1011"/>
      <c r="TLV152" s="1011"/>
      <c r="TLW152" s="1011"/>
      <c r="TLX152" s="1011"/>
      <c r="TLY152" s="1011"/>
      <c r="TLZ152" s="1011"/>
      <c r="TMA152" s="1011"/>
      <c r="TMB152" s="1011"/>
      <c r="TMC152" s="1011"/>
      <c r="TMD152" s="1011"/>
      <c r="TME152" s="1011"/>
      <c r="TMF152" s="1011"/>
      <c r="TMG152" s="1011"/>
      <c r="TMH152" s="1011"/>
      <c r="TMI152" s="1011"/>
      <c r="TMJ152" s="1011"/>
      <c r="TMK152" s="1011"/>
      <c r="TML152" s="1011"/>
      <c r="TMM152" s="1011"/>
      <c r="TMN152" s="1011"/>
      <c r="TMO152" s="1011"/>
      <c r="TMP152" s="1011"/>
      <c r="TMQ152" s="1011"/>
      <c r="TMR152" s="1011"/>
      <c r="TMS152" s="1011"/>
      <c r="TMT152" s="1011"/>
      <c r="TMU152" s="1011"/>
      <c r="TMV152" s="1011"/>
      <c r="TMW152" s="1011"/>
      <c r="TMX152" s="1011"/>
      <c r="TMY152" s="1011"/>
      <c r="TMZ152" s="1011"/>
      <c r="TNA152" s="1011"/>
      <c r="TNB152" s="1011"/>
      <c r="TNC152" s="1011"/>
      <c r="TND152" s="1011"/>
      <c r="TNE152" s="1011"/>
      <c r="TNF152" s="1011"/>
      <c r="TNG152" s="1011"/>
      <c r="TNH152" s="1011"/>
      <c r="TNI152" s="1011"/>
      <c r="TNJ152" s="1011"/>
      <c r="TNK152" s="1011"/>
      <c r="TNL152" s="1011"/>
      <c r="TNM152" s="1011"/>
      <c r="TNN152" s="1011"/>
      <c r="TNO152" s="1011"/>
      <c r="TNP152" s="1011"/>
      <c r="TNQ152" s="1011"/>
      <c r="TNR152" s="1011"/>
      <c r="TNS152" s="1011"/>
      <c r="TNT152" s="1011"/>
      <c r="TNU152" s="1011"/>
      <c r="TNV152" s="1011"/>
      <c r="TNW152" s="1011"/>
      <c r="TNX152" s="1011"/>
      <c r="TNY152" s="1011"/>
      <c r="TNZ152" s="1011"/>
      <c r="TOA152" s="1011"/>
      <c r="TOB152" s="1011"/>
      <c r="TOC152" s="1011"/>
      <c r="TOD152" s="1011"/>
      <c r="TOE152" s="1011"/>
      <c r="TOF152" s="1011"/>
      <c r="TOG152" s="1011"/>
      <c r="TOH152" s="1011"/>
      <c r="TOI152" s="1011"/>
      <c r="TOJ152" s="1011"/>
      <c r="TOK152" s="1011"/>
      <c r="TOL152" s="1011"/>
      <c r="TOM152" s="1011"/>
      <c r="TON152" s="1011"/>
      <c r="TOO152" s="1011"/>
      <c r="TOP152" s="1011"/>
      <c r="TOQ152" s="1011"/>
      <c r="TOR152" s="1011"/>
      <c r="TOS152" s="1011"/>
      <c r="TOT152" s="1011"/>
      <c r="TOU152" s="1011"/>
      <c r="TOV152" s="1011"/>
      <c r="TOW152" s="1011"/>
      <c r="TOX152" s="1011"/>
      <c r="TOY152" s="1011"/>
      <c r="TOZ152" s="1011"/>
      <c r="TPA152" s="1011"/>
      <c r="TPB152" s="1011"/>
      <c r="TPC152" s="1011"/>
      <c r="TPD152" s="1011"/>
      <c r="TPE152" s="1011"/>
      <c r="TPF152" s="1011"/>
      <c r="TPG152" s="1011"/>
      <c r="TPH152" s="1011"/>
      <c r="TPI152" s="1011"/>
      <c r="TPJ152" s="1011"/>
      <c r="TPK152" s="1011"/>
      <c r="TPL152" s="1011"/>
      <c r="TPM152" s="1011"/>
      <c r="TPN152" s="1011"/>
      <c r="TPO152" s="1011"/>
      <c r="TPP152" s="1011"/>
      <c r="TPQ152" s="1011"/>
      <c r="TPR152" s="1011"/>
      <c r="TPS152" s="1011"/>
      <c r="TPT152" s="1011"/>
      <c r="TPU152" s="1011"/>
      <c r="TPV152" s="1011"/>
      <c r="TPW152" s="1011"/>
      <c r="TPX152" s="1011"/>
      <c r="TPY152" s="1011"/>
      <c r="TPZ152" s="1011"/>
      <c r="TQA152" s="1011"/>
      <c r="TQB152" s="1011"/>
      <c r="TQC152" s="1011"/>
      <c r="TQD152" s="1011"/>
      <c r="TQE152" s="1011"/>
      <c r="TQF152" s="1011"/>
      <c r="TQG152" s="1011"/>
      <c r="TQH152" s="1011"/>
      <c r="TQI152" s="1011"/>
      <c r="TQJ152" s="1011"/>
      <c r="TQK152" s="1011"/>
      <c r="TQL152" s="1011"/>
      <c r="TQM152" s="1011"/>
      <c r="TQN152" s="1011"/>
      <c r="TQO152" s="1011"/>
      <c r="TQP152" s="1011"/>
      <c r="TQQ152" s="1011"/>
      <c r="TQR152" s="1011"/>
      <c r="TQS152" s="1011"/>
      <c r="TQT152" s="1011"/>
      <c r="TQU152" s="1011"/>
      <c r="TQV152" s="1011"/>
      <c r="TQW152" s="1011"/>
      <c r="TQX152" s="1011"/>
      <c r="TQY152" s="1011"/>
      <c r="TQZ152" s="1011"/>
      <c r="TRA152" s="1011"/>
      <c r="TRB152" s="1011"/>
      <c r="TRC152" s="1011"/>
      <c r="TRD152" s="1011"/>
      <c r="TRE152" s="1011"/>
      <c r="TRF152" s="1011"/>
      <c r="TRG152" s="1011"/>
      <c r="TRH152" s="1011"/>
      <c r="TRI152" s="1011"/>
      <c r="TRJ152" s="1011"/>
      <c r="TRK152" s="1011"/>
      <c r="TRL152" s="1011"/>
      <c r="TRM152" s="1011"/>
      <c r="TRN152" s="1011"/>
      <c r="TRO152" s="1011"/>
      <c r="TRP152" s="1011"/>
      <c r="TRQ152" s="1011"/>
      <c r="TRR152" s="1011"/>
      <c r="TRS152" s="1011"/>
      <c r="TRT152" s="1011"/>
      <c r="TRU152" s="1011"/>
      <c r="TRV152" s="1011"/>
      <c r="TRW152" s="1011"/>
      <c r="TRX152" s="1011"/>
      <c r="TRY152" s="1011"/>
      <c r="TRZ152" s="1011"/>
      <c r="TSA152" s="1011"/>
      <c r="TSB152" s="1011"/>
      <c r="TSC152" s="1011"/>
      <c r="TSD152" s="1011"/>
      <c r="TSE152" s="1011"/>
      <c r="TSF152" s="1011"/>
      <c r="TSG152" s="1011"/>
      <c r="TSH152" s="1011"/>
      <c r="TSI152" s="1011"/>
      <c r="TSJ152" s="1011"/>
      <c r="TSK152" s="1011"/>
      <c r="TSL152" s="1011"/>
      <c r="TSM152" s="1011"/>
      <c r="TSN152" s="1011"/>
      <c r="TSO152" s="1011"/>
      <c r="TSP152" s="1011"/>
      <c r="TSQ152" s="1011"/>
      <c r="TSR152" s="1011"/>
      <c r="TSS152" s="1011"/>
      <c r="TST152" s="1011"/>
      <c r="TSU152" s="1011"/>
      <c r="TSV152" s="1011"/>
      <c r="TSW152" s="1011"/>
      <c r="TSX152" s="1011"/>
      <c r="TSY152" s="1011"/>
      <c r="TSZ152" s="1011"/>
      <c r="TTA152" s="1011"/>
      <c r="TTB152" s="1011"/>
      <c r="TTC152" s="1011"/>
      <c r="TTD152" s="1011"/>
      <c r="TTE152" s="1011"/>
      <c r="TTF152" s="1011"/>
      <c r="TTG152" s="1011"/>
      <c r="TTH152" s="1011"/>
      <c r="TTI152" s="1011"/>
      <c r="TTJ152" s="1011"/>
      <c r="TTK152" s="1011"/>
      <c r="TTL152" s="1011"/>
      <c r="TTM152" s="1011"/>
      <c r="TTN152" s="1011"/>
      <c r="TTO152" s="1011"/>
      <c r="TTP152" s="1011"/>
      <c r="TTQ152" s="1011"/>
      <c r="TTR152" s="1011"/>
      <c r="TTS152" s="1011"/>
      <c r="TTT152" s="1011"/>
      <c r="TTU152" s="1011"/>
      <c r="TTV152" s="1011"/>
      <c r="TTW152" s="1011"/>
      <c r="TTX152" s="1011"/>
      <c r="TTY152" s="1011"/>
      <c r="TTZ152" s="1011"/>
      <c r="TUA152" s="1011"/>
      <c r="TUB152" s="1011"/>
      <c r="TUC152" s="1011"/>
      <c r="TUD152" s="1011"/>
      <c r="TUE152" s="1011"/>
      <c r="TUF152" s="1011"/>
      <c r="TUG152" s="1011"/>
      <c r="TUH152" s="1011"/>
      <c r="TUI152" s="1011"/>
      <c r="TUJ152" s="1011"/>
      <c r="TUK152" s="1011"/>
      <c r="TUL152" s="1011"/>
      <c r="TUM152" s="1011"/>
      <c r="TUN152" s="1011"/>
      <c r="TUO152" s="1011"/>
      <c r="TUP152" s="1011"/>
      <c r="TUQ152" s="1011"/>
      <c r="TUR152" s="1011"/>
      <c r="TUS152" s="1011"/>
      <c r="TUT152" s="1011"/>
      <c r="TUU152" s="1011"/>
      <c r="TUV152" s="1011"/>
      <c r="TUW152" s="1011"/>
      <c r="TUX152" s="1011"/>
      <c r="TUY152" s="1011"/>
      <c r="TUZ152" s="1011"/>
      <c r="TVA152" s="1011"/>
      <c r="TVB152" s="1011"/>
      <c r="TVC152" s="1011"/>
      <c r="TVD152" s="1011"/>
      <c r="TVE152" s="1011"/>
      <c r="TVF152" s="1011"/>
      <c r="TVG152" s="1011"/>
      <c r="TVH152" s="1011"/>
      <c r="TVI152" s="1011"/>
      <c r="TVJ152" s="1011"/>
      <c r="TVK152" s="1011"/>
      <c r="TVL152" s="1011"/>
      <c r="TVM152" s="1011"/>
      <c r="TVN152" s="1011"/>
      <c r="TVO152" s="1011"/>
      <c r="TVP152" s="1011"/>
      <c r="TVQ152" s="1011"/>
      <c r="TVR152" s="1011"/>
      <c r="TVS152" s="1011"/>
      <c r="TVT152" s="1011"/>
      <c r="TVU152" s="1011"/>
      <c r="TVV152" s="1011"/>
      <c r="TVW152" s="1011"/>
      <c r="TVX152" s="1011"/>
      <c r="TVY152" s="1011"/>
      <c r="TVZ152" s="1011"/>
      <c r="TWA152" s="1011"/>
      <c r="TWB152" s="1011"/>
      <c r="TWC152" s="1011"/>
      <c r="TWD152" s="1011"/>
      <c r="TWE152" s="1011"/>
      <c r="TWF152" s="1011"/>
      <c r="TWG152" s="1011"/>
      <c r="TWH152" s="1011"/>
      <c r="TWI152" s="1011"/>
      <c r="TWJ152" s="1011"/>
      <c r="TWK152" s="1011"/>
      <c r="TWL152" s="1011"/>
      <c r="TWM152" s="1011"/>
      <c r="TWN152" s="1011"/>
      <c r="TWO152" s="1011"/>
      <c r="TWP152" s="1011"/>
      <c r="TWQ152" s="1011"/>
      <c r="TWR152" s="1011"/>
      <c r="TWS152" s="1011"/>
      <c r="TWT152" s="1011"/>
      <c r="TWU152" s="1011"/>
      <c r="TWV152" s="1011"/>
      <c r="TWW152" s="1011"/>
      <c r="TWX152" s="1011"/>
      <c r="TWY152" s="1011"/>
      <c r="TWZ152" s="1011"/>
      <c r="TXA152" s="1011"/>
      <c r="TXB152" s="1011"/>
      <c r="TXC152" s="1011"/>
      <c r="TXD152" s="1011"/>
      <c r="TXE152" s="1011"/>
      <c r="TXF152" s="1011"/>
      <c r="TXG152" s="1011"/>
      <c r="TXH152" s="1011"/>
      <c r="TXI152" s="1011"/>
      <c r="TXJ152" s="1011"/>
      <c r="TXK152" s="1011"/>
      <c r="TXL152" s="1011"/>
      <c r="TXM152" s="1011"/>
      <c r="TXN152" s="1011"/>
      <c r="TXO152" s="1011"/>
      <c r="TXP152" s="1011"/>
      <c r="TXQ152" s="1011"/>
      <c r="TXR152" s="1011"/>
      <c r="TXS152" s="1011"/>
      <c r="TXT152" s="1011"/>
      <c r="TXU152" s="1011"/>
      <c r="TXV152" s="1011"/>
      <c r="TXW152" s="1011"/>
      <c r="TXX152" s="1011"/>
      <c r="TXY152" s="1011"/>
      <c r="TXZ152" s="1011"/>
      <c r="TYA152" s="1011"/>
      <c r="TYB152" s="1011"/>
      <c r="TYC152" s="1011"/>
      <c r="TYD152" s="1011"/>
      <c r="TYE152" s="1011"/>
      <c r="TYF152" s="1011"/>
      <c r="TYG152" s="1011"/>
      <c r="TYH152" s="1011"/>
      <c r="TYI152" s="1011"/>
      <c r="TYJ152" s="1011"/>
      <c r="TYK152" s="1011"/>
      <c r="TYL152" s="1011"/>
      <c r="TYM152" s="1011"/>
      <c r="TYN152" s="1011"/>
      <c r="TYO152" s="1011"/>
      <c r="TYP152" s="1011"/>
      <c r="TYQ152" s="1011"/>
      <c r="TYR152" s="1011"/>
      <c r="TYS152" s="1011"/>
      <c r="TYT152" s="1011"/>
      <c r="TYU152" s="1011"/>
      <c r="TYV152" s="1011"/>
      <c r="TYW152" s="1011"/>
      <c r="TYX152" s="1011"/>
      <c r="TYY152" s="1011"/>
      <c r="TYZ152" s="1011"/>
      <c r="TZA152" s="1011"/>
      <c r="TZB152" s="1011"/>
      <c r="TZC152" s="1011"/>
      <c r="TZD152" s="1011"/>
      <c r="TZE152" s="1011"/>
      <c r="TZF152" s="1011"/>
      <c r="TZG152" s="1011"/>
      <c r="TZH152" s="1011"/>
      <c r="TZI152" s="1011"/>
      <c r="TZJ152" s="1011"/>
      <c r="TZK152" s="1011"/>
      <c r="TZL152" s="1011"/>
      <c r="TZM152" s="1011"/>
      <c r="TZN152" s="1011"/>
      <c r="TZO152" s="1011"/>
      <c r="TZP152" s="1011"/>
      <c r="TZQ152" s="1011"/>
      <c r="TZR152" s="1011"/>
      <c r="TZS152" s="1011"/>
      <c r="TZT152" s="1011"/>
      <c r="TZU152" s="1011"/>
      <c r="TZV152" s="1011"/>
      <c r="TZW152" s="1011"/>
      <c r="TZX152" s="1011"/>
      <c r="TZY152" s="1011"/>
      <c r="TZZ152" s="1011"/>
      <c r="UAA152" s="1011"/>
      <c r="UAB152" s="1011"/>
      <c r="UAC152" s="1011"/>
      <c r="UAD152" s="1011"/>
      <c r="UAE152" s="1011"/>
      <c r="UAF152" s="1011"/>
      <c r="UAG152" s="1011"/>
      <c r="UAH152" s="1011"/>
      <c r="UAI152" s="1011"/>
      <c r="UAJ152" s="1011"/>
      <c r="UAK152" s="1011"/>
      <c r="UAL152" s="1011"/>
      <c r="UAM152" s="1011"/>
      <c r="UAN152" s="1011"/>
      <c r="UAO152" s="1011"/>
      <c r="UAP152" s="1011"/>
      <c r="UAQ152" s="1011"/>
      <c r="UAR152" s="1011"/>
      <c r="UAS152" s="1011"/>
      <c r="UAT152" s="1011"/>
      <c r="UAU152" s="1011"/>
      <c r="UAV152" s="1011"/>
      <c r="UAW152" s="1011"/>
      <c r="UAX152" s="1011"/>
      <c r="UAY152" s="1011"/>
      <c r="UAZ152" s="1011"/>
      <c r="UBA152" s="1011"/>
      <c r="UBB152" s="1011"/>
      <c r="UBC152" s="1011"/>
      <c r="UBD152" s="1011"/>
      <c r="UBE152" s="1011"/>
      <c r="UBF152" s="1011"/>
      <c r="UBG152" s="1011"/>
      <c r="UBH152" s="1011"/>
      <c r="UBI152" s="1011"/>
      <c r="UBJ152" s="1011"/>
      <c r="UBK152" s="1011"/>
      <c r="UBL152" s="1011"/>
      <c r="UBM152" s="1011"/>
      <c r="UBN152" s="1011"/>
      <c r="UBO152" s="1011"/>
      <c r="UBP152" s="1011"/>
      <c r="UBQ152" s="1011"/>
      <c r="UBR152" s="1011"/>
      <c r="UBS152" s="1011"/>
      <c r="UBT152" s="1011"/>
      <c r="UBU152" s="1011"/>
      <c r="UBV152" s="1011"/>
      <c r="UBW152" s="1011"/>
      <c r="UBX152" s="1011"/>
      <c r="UBY152" s="1011"/>
      <c r="UBZ152" s="1011"/>
      <c r="UCA152" s="1011"/>
      <c r="UCB152" s="1011"/>
      <c r="UCC152" s="1011"/>
      <c r="UCD152" s="1011"/>
      <c r="UCE152" s="1011"/>
      <c r="UCF152" s="1011"/>
      <c r="UCG152" s="1011"/>
      <c r="UCH152" s="1011"/>
      <c r="UCI152" s="1011"/>
      <c r="UCJ152" s="1011"/>
      <c r="UCK152" s="1011"/>
      <c r="UCL152" s="1011"/>
      <c r="UCM152" s="1011"/>
      <c r="UCN152" s="1011"/>
      <c r="UCO152" s="1011"/>
      <c r="UCP152" s="1011"/>
      <c r="UCQ152" s="1011"/>
      <c r="UCR152" s="1011"/>
      <c r="UCS152" s="1011"/>
      <c r="UCT152" s="1011"/>
      <c r="UCU152" s="1011"/>
      <c r="UCV152" s="1011"/>
      <c r="UCW152" s="1011"/>
      <c r="UCX152" s="1011"/>
      <c r="UCY152" s="1011"/>
      <c r="UCZ152" s="1011"/>
      <c r="UDA152" s="1011"/>
      <c r="UDB152" s="1011"/>
      <c r="UDC152" s="1011"/>
      <c r="UDD152" s="1011"/>
      <c r="UDE152" s="1011"/>
      <c r="UDF152" s="1011"/>
      <c r="UDG152" s="1011"/>
      <c r="UDH152" s="1011"/>
      <c r="UDI152" s="1011"/>
      <c r="UDJ152" s="1011"/>
      <c r="UDK152" s="1011"/>
      <c r="UDL152" s="1011"/>
      <c r="UDM152" s="1011"/>
      <c r="UDN152" s="1011"/>
      <c r="UDO152" s="1011"/>
      <c r="UDP152" s="1011"/>
      <c r="UDQ152" s="1011"/>
      <c r="UDR152" s="1011"/>
      <c r="UDS152" s="1011"/>
      <c r="UDT152" s="1011"/>
      <c r="UDU152" s="1011"/>
      <c r="UDV152" s="1011"/>
      <c r="UDW152" s="1011"/>
      <c r="UDX152" s="1011"/>
      <c r="UDY152" s="1011"/>
      <c r="UDZ152" s="1011"/>
      <c r="UEA152" s="1011"/>
      <c r="UEB152" s="1011"/>
      <c r="UEC152" s="1011"/>
      <c r="UED152" s="1011"/>
      <c r="UEE152" s="1011"/>
      <c r="UEF152" s="1011"/>
      <c r="UEG152" s="1011"/>
      <c r="UEH152" s="1011"/>
      <c r="UEI152" s="1011"/>
      <c r="UEJ152" s="1011"/>
      <c r="UEK152" s="1011"/>
      <c r="UEL152" s="1011"/>
      <c r="UEM152" s="1011"/>
      <c r="UEN152" s="1011"/>
      <c r="UEO152" s="1011"/>
      <c r="UEP152" s="1011"/>
      <c r="UEQ152" s="1011"/>
      <c r="UER152" s="1011"/>
      <c r="UES152" s="1011"/>
      <c r="UET152" s="1011"/>
      <c r="UEU152" s="1011"/>
      <c r="UEV152" s="1011"/>
      <c r="UEW152" s="1011"/>
      <c r="UEX152" s="1011"/>
      <c r="UEY152" s="1011"/>
      <c r="UEZ152" s="1011"/>
      <c r="UFA152" s="1011"/>
      <c r="UFB152" s="1011"/>
      <c r="UFC152" s="1011"/>
      <c r="UFD152" s="1011"/>
      <c r="UFE152" s="1011"/>
      <c r="UFF152" s="1011"/>
      <c r="UFG152" s="1011"/>
      <c r="UFH152" s="1011"/>
      <c r="UFI152" s="1011"/>
      <c r="UFJ152" s="1011"/>
      <c r="UFK152" s="1011"/>
      <c r="UFL152" s="1011"/>
      <c r="UFM152" s="1011"/>
      <c r="UFN152" s="1011"/>
      <c r="UFO152" s="1011"/>
      <c r="UFP152" s="1011"/>
      <c r="UFQ152" s="1011"/>
      <c r="UFR152" s="1011"/>
      <c r="UFS152" s="1011"/>
      <c r="UFT152" s="1011"/>
      <c r="UFU152" s="1011"/>
      <c r="UFV152" s="1011"/>
      <c r="UFW152" s="1011"/>
      <c r="UFX152" s="1011"/>
      <c r="UFY152" s="1011"/>
      <c r="UFZ152" s="1011"/>
      <c r="UGA152" s="1011"/>
      <c r="UGB152" s="1011"/>
      <c r="UGC152" s="1011"/>
      <c r="UGD152" s="1011"/>
      <c r="UGE152" s="1011"/>
      <c r="UGF152" s="1011"/>
      <c r="UGG152" s="1011"/>
      <c r="UGH152" s="1011"/>
      <c r="UGI152" s="1011"/>
      <c r="UGJ152" s="1011"/>
      <c r="UGK152" s="1011"/>
      <c r="UGL152" s="1011"/>
      <c r="UGM152" s="1011"/>
      <c r="UGN152" s="1011"/>
      <c r="UGO152" s="1011"/>
      <c r="UGP152" s="1011"/>
      <c r="UGQ152" s="1011"/>
      <c r="UGR152" s="1011"/>
      <c r="UGS152" s="1011"/>
      <c r="UGT152" s="1011"/>
      <c r="UGU152" s="1011"/>
      <c r="UGV152" s="1011"/>
      <c r="UGW152" s="1011"/>
      <c r="UGX152" s="1011"/>
      <c r="UGY152" s="1011"/>
      <c r="UGZ152" s="1011"/>
      <c r="UHA152" s="1011"/>
      <c r="UHB152" s="1011"/>
      <c r="UHC152" s="1011"/>
      <c r="UHD152" s="1011"/>
      <c r="UHE152" s="1011"/>
      <c r="UHF152" s="1011"/>
      <c r="UHG152" s="1011"/>
      <c r="UHH152" s="1011"/>
      <c r="UHI152" s="1011"/>
      <c r="UHJ152" s="1011"/>
      <c r="UHK152" s="1011"/>
      <c r="UHL152" s="1011"/>
      <c r="UHM152" s="1011"/>
      <c r="UHN152" s="1011"/>
      <c r="UHO152" s="1011"/>
      <c r="UHP152" s="1011"/>
      <c r="UHQ152" s="1011"/>
      <c r="UHR152" s="1011"/>
      <c r="UHS152" s="1011"/>
      <c r="UHT152" s="1011"/>
      <c r="UHU152" s="1011"/>
      <c r="UHV152" s="1011"/>
      <c r="UHW152" s="1011"/>
      <c r="UHX152" s="1011"/>
      <c r="UHY152" s="1011"/>
      <c r="UHZ152" s="1011"/>
      <c r="UIA152" s="1011"/>
      <c r="UIB152" s="1011"/>
      <c r="UIC152" s="1011"/>
      <c r="UID152" s="1011"/>
      <c r="UIE152" s="1011"/>
      <c r="UIF152" s="1011"/>
      <c r="UIG152" s="1011"/>
      <c r="UIH152" s="1011"/>
      <c r="UII152" s="1011"/>
      <c r="UIJ152" s="1011"/>
      <c r="UIK152" s="1011"/>
      <c r="UIL152" s="1011"/>
      <c r="UIM152" s="1011"/>
      <c r="UIN152" s="1011"/>
      <c r="UIO152" s="1011"/>
      <c r="UIP152" s="1011"/>
      <c r="UIQ152" s="1011"/>
      <c r="UIR152" s="1011"/>
      <c r="UIS152" s="1011"/>
      <c r="UIT152" s="1011"/>
      <c r="UIU152" s="1011"/>
      <c r="UIV152" s="1011"/>
      <c r="UIW152" s="1011"/>
      <c r="UIX152" s="1011"/>
      <c r="UIY152" s="1011"/>
      <c r="UIZ152" s="1011"/>
      <c r="UJA152" s="1011"/>
      <c r="UJB152" s="1011"/>
      <c r="UJC152" s="1011"/>
      <c r="UJD152" s="1011"/>
      <c r="UJE152" s="1011"/>
      <c r="UJF152" s="1011"/>
      <c r="UJG152" s="1011"/>
      <c r="UJH152" s="1011"/>
      <c r="UJI152" s="1011"/>
      <c r="UJJ152" s="1011"/>
      <c r="UJK152" s="1011"/>
      <c r="UJL152" s="1011"/>
      <c r="UJM152" s="1011"/>
      <c r="UJN152" s="1011"/>
      <c r="UJO152" s="1011"/>
      <c r="UJP152" s="1011"/>
      <c r="UJQ152" s="1011"/>
      <c r="UJR152" s="1011"/>
      <c r="UJS152" s="1011"/>
      <c r="UJT152" s="1011"/>
      <c r="UJU152" s="1011"/>
      <c r="UJV152" s="1011"/>
      <c r="UJW152" s="1011"/>
      <c r="UJX152" s="1011"/>
      <c r="UJY152" s="1011"/>
      <c r="UJZ152" s="1011"/>
      <c r="UKA152" s="1011"/>
      <c r="UKB152" s="1011"/>
      <c r="UKC152" s="1011"/>
      <c r="UKD152" s="1011"/>
      <c r="UKE152" s="1011"/>
      <c r="UKF152" s="1011"/>
      <c r="UKG152" s="1011"/>
      <c r="UKH152" s="1011"/>
      <c r="UKI152" s="1011"/>
      <c r="UKJ152" s="1011"/>
      <c r="UKK152" s="1011"/>
      <c r="UKL152" s="1011"/>
      <c r="UKM152" s="1011"/>
      <c r="UKN152" s="1011"/>
      <c r="UKO152" s="1011"/>
      <c r="UKP152" s="1011"/>
      <c r="UKQ152" s="1011"/>
      <c r="UKR152" s="1011"/>
      <c r="UKS152" s="1011"/>
      <c r="UKT152" s="1011"/>
      <c r="UKU152" s="1011"/>
      <c r="UKV152" s="1011"/>
      <c r="UKW152" s="1011"/>
      <c r="UKX152" s="1011"/>
      <c r="UKY152" s="1011"/>
      <c r="UKZ152" s="1011"/>
      <c r="ULA152" s="1011"/>
      <c r="ULB152" s="1011"/>
      <c r="ULC152" s="1011"/>
      <c r="ULD152" s="1011"/>
      <c r="ULE152" s="1011"/>
      <c r="ULF152" s="1011"/>
      <c r="ULG152" s="1011"/>
      <c r="ULH152" s="1011"/>
      <c r="ULI152" s="1011"/>
      <c r="ULJ152" s="1011"/>
      <c r="ULK152" s="1011"/>
      <c r="ULL152" s="1011"/>
      <c r="ULM152" s="1011"/>
      <c r="ULN152" s="1011"/>
      <c r="ULO152" s="1011"/>
      <c r="ULP152" s="1011"/>
      <c r="ULQ152" s="1011"/>
      <c r="ULR152" s="1011"/>
      <c r="ULS152" s="1011"/>
      <c r="ULT152" s="1011"/>
      <c r="ULU152" s="1011"/>
      <c r="ULV152" s="1011"/>
      <c r="ULW152" s="1011"/>
      <c r="ULX152" s="1011"/>
      <c r="ULY152" s="1011"/>
      <c r="ULZ152" s="1011"/>
      <c r="UMA152" s="1011"/>
      <c r="UMB152" s="1011"/>
      <c r="UMC152" s="1011"/>
      <c r="UMD152" s="1011"/>
      <c r="UME152" s="1011"/>
      <c r="UMF152" s="1011"/>
      <c r="UMG152" s="1011"/>
      <c r="UMH152" s="1011"/>
      <c r="UMI152" s="1011"/>
      <c r="UMJ152" s="1011"/>
      <c r="UMK152" s="1011"/>
      <c r="UML152" s="1011"/>
      <c r="UMM152" s="1011"/>
      <c r="UMN152" s="1011"/>
      <c r="UMO152" s="1011"/>
      <c r="UMP152" s="1011"/>
      <c r="UMQ152" s="1011"/>
      <c r="UMR152" s="1011"/>
      <c r="UMS152" s="1011"/>
      <c r="UMT152" s="1011"/>
      <c r="UMU152" s="1011"/>
      <c r="UMV152" s="1011"/>
      <c r="UMW152" s="1011"/>
      <c r="UMX152" s="1011"/>
      <c r="UMY152" s="1011"/>
      <c r="UMZ152" s="1011"/>
      <c r="UNA152" s="1011"/>
      <c r="UNB152" s="1011"/>
      <c r="UNC152" s="1011"/>
      <c r="UND152" s="1011"/>
      <c r="UNE152" s="1011"/>
      <c r="UNF152" s="1011"/>
      <c r="UNG152" s="1011"/>
      <c r="UNH152" s="1011"/>
      <c r="UNI152" s="1011"/>
      <c r="UNJ152" s="1011"/>
      <c r="UNK152" s="1011"/>
      <c r="UNL152" s="1011"/>
      <c r="UNM152" s="1011"/>
      <c r="UNN152" s="1011"/>
      <c r="UNO152" s="1011"/>
      <c r="UNP152" s="1011"/>
      <c r="UNQ152" s="1011"/>
      <c r="UNR152" s="1011"/>
      <c r="UNS152" s="1011"/>
      <c r="UNT152" s="1011"/>
      <c r="UNU152" s="1011"/>
      <c r="UNV152" s="1011"/>
      <c r="UNW152" s="1011"/>
      <c r="UNX152" s="1011"/>
      <c r="UNY152" s="1011"/>
      <c r="UNZ152" s="1011"/>
      <c r="UOA152" s="1011"/>
      <c r="UOB152" s="1011"/>
      <c r="UOC152" s="1011"/>
      <c r="UOD152" s="1011"/>
      <c r="UOE152" s="1011"/>
      <c r="UOF152" s="1011"/>
      <c r="UOG152" s="1011"/>
      <c r="UOH152" s="1011"/>
      <c r="UOI152" s="1011"/>
      <c r="UOJ152" s="1011"/>
      <c r="UOK152" s="1011"/>
      <c r="UOL152" s="1011"/>
      <c r="UOM152" s="1011"/>
      <c r="UON152" s="1011"/>
      <c r="UOO152" s="1011"/>
      <c r="UOP152" s="1011"/>
      <c r="UOQ152" s="1011"/>
      <c r="UOR152" s="1011"/>
      <c r="UOS152" s="1011"/>
      <c r="UOT152" s="1011"/>
      <c r="UOU152" s="1011"/>
      <c r="UOV152" s="1011"/>
      <c r="UOW152" s="1011"/>
      <c r="UOX152" s="1011"/>
      <c r="UOY152" s="1011"/>
      <c r="UOZ152" s="1011"/>
      <c r="UPA152" s="1011"/>
      <c r="UPB152" s="1011"/>
      <c r="UPC152" s="1011"/>
      <c r="UPD152" s="1011"/>
      <c r="UPE152" s="1011"/>
      <c r="UPF152" s="1011"/>
      <c r="UPG152" s="1011"/>
      <c r="UPH152" s="1011"/>
      <c r="UPI152" s="1011"/>
      <c r="UPJ152" s="1011"/>
      <c r="UPK152" s="1011"/>
      <c r="UPL152" s="1011"/>
      <c r="UPM152" s="1011"/>
      <c r="UPN152" s="1011"/>
      <c r="UPO152" s="1011"/>
      <c r="UPP152" s="1011"/>
      <c r="UPQ152" s="1011"/>
      <c r="UPR152" s="1011"/>
      <c r="UPS152" s="1011"/>
      <c r="UPT152" s="1011"/>
      <c r="UPU152" s="1011"/>
      <c r="UPV152" s="1011"/>
      <c r="UPW152" s="1011"/>
      <c r="UPX152" s="1011"/>
      <c r="UPY152" s="1011"/>
      <c r="UPZ152" s="1011"/>
      <c r="UQA152" s="1011"/>
      <c r="UQB152" s="1011"/>
      <c r="UQC152" s="1011"/>
      <c r="UQD152" s="1011"/>
      <c r="UQE152" s="1011"/>
      <c r="UQF152" s="1011"/>
      <c r="UQG152" s="1011"/>
      <c r="UQH152" s="1011"/>
      <c r="UQI152" s="1011"/>
      <c r="UQJ152" s="1011"/>
      <c r="UQK152" s="1011"/>
      <c r="UQL152" s="1011"/>
      <c r="UQM152" s="1011"/>
      <c r="UQN152" s="1011"/>
      <c r="UQO152" s="1011"/>
      <c r="UQP152" s="1011"/>
      <c r="UQQ152" s="1011"/>
      <c r="UQR152" s="1011"/>
      <c r="UQS152" s="1011"/>
      <c r="UQT152" s="1011"/>
      <c r="UQU152" s="1011"/>
      <c r="UQV152" s="1011"/>
      <c r="UQW152" s="1011"/>
      <c r="UQX152" s="1011"/>
      <c r="UQY152" s="1011"/>
      <c r="UQZ152" s="1011"/>
      <c r="URA152" s="1011"/>
      <c r="URB152" s="1011"/>
      <c r="URC152" s="1011"/>
      <c r="URD152" s="1011"/>
      <c r="URE152" s="1011"/>
      <c r="URF152" s="1011"/>
      <c r="URG152" s="1011"/>
      <c r="URH152" s="1011"/>
      <c r="URI152" s="1011"/>
      <c r="URJ152" s="1011"/>
      <c r="URK152" s="1011"/>
      <c r="URL152" s="1011"/>
      <c r="URM152" s="1011"/>
      <c r="URN152" s="1011"/>
      <c r="URO152" s="1011"/>
      <c r="URP152" s="1011"/>
      <c r="URQ152" s="1011"/>
      <c r="URR152" s="1011"/>
      <c r="URS152" s="1011"/>
      <c r="URT152" s="1011"/>
      <c r="URU152" s="1011"/>
      <c r="URV152" s="1011"/>
      <c r="URW152" s="1011"/>
      <c r="URX152" s="1011"/>
      <c r="URY152" s="1011"/>
      <c r="URZ152" s="1011"/>
      <c r="USA152" s="1011"/>
      <c r="USB152" s="1011"/>
      <c r="USC152" s="1011"/>
      <c r="USD152" s="1011"/>
      <c r="USE152" s="1011"/>
      <c r="USF152" s="1011"/>
      <c r="USG152" s="1011"/>
      <c r="USH152" s="1011"/>
      <c r="USI152" s="1011"/>
      <c r="USJ152" s="1011"/>
      <c r="USK152" s="1011"/>
      <c r="USL152" s="1011"/>
      <c r="USM152" s="1011"/>
      <c r="USN152" s="1011"/>
      <c r="USO152" s="1011"/>
      <c r="USP152" s="1011"/>
      <c r="USQ152" s="1011"/>
      <c r="USR152" s="1011"/>
      <c r="USS152" s="1011"/>
      <c r="UST152" s="1011"/>
      <c r="USU152" s="1011"/>
      <c r="USV152" s="1011"/>
      <c r="USW152" s="1011"/>
      <c r="USX152" s="1011"/>
      <c r="USY152" s="1011"/>
      <c r="USZ152" s="1011"/>
      <c r="UTA152" s="1011"/>
      <c r="UTB152" s="1011"/>
      <c r="UTC152" s="1011"/>
      <c r="UTD152" s="1011"/>
      <c r="UTE152" s="1011"/>
      <c r="UTF152" s="1011"/>
      <c r="UTG152" s="1011"/>
      <c r="UTH152" s="1011"/>
      <c r="UTI152" s="1011"/>
      <c r="UTJ152" s="1011"/>
      <c r="UTK152" s="1011"/>
      <c r="UTL152" s="1011"/>
      <c r="UTM152" s="1011"/>
      <c r="UTN152" s="1011"/>
      <c r="UTO152" s="1011"/>
      <c r="UTP152" s="1011"/>
      <c r="UTQ152" s="1011"/>
      <c r="UTR152" s="1011"/>
      <c r="UTS152" s="1011"/>
      <c r="UTT152" s="1011"/>
      <c r="UTU152" s="1011"/>
      <c r="UTV152" s="1011"/>
      <c r="UTW152" s="1011"/>
      <c r="UTX152" s="1011"/>
      <c r="UTY152" s="1011"/>
      <c r="UTZ152" s="1011"/>
      <c r="UUA152" s="1011"/>
      <c r="UUB152" s="1011"/>
      <c r="UUC152" s="1011"/>
      <c r="UUD152" s="1011"/>
      <c r="UUE152" s="1011"/>
      <c r="UUF152" s="1011"/>
      <c r="UUG152" s="1011"/>
      <c r="UUH152" s="1011"/>
      <c r="UUI152" s="1011"/>
      <c r="UUJ152" s="1011"/>
      <c r="UUK152" s="1011"/>
      <c r="UUL152" s="1011"/>
      <c r="UUM152" s="1011"/>
      <c r="UUN152" s="1011"/>
      <c r="UUO152" s="1011"/>
      <c r="UUP152" s="1011"/>
      <c r="UUQ152" s="1011"/>
      <c r="UUR152" s="1011"/>
      <c r="UUS152" s="1011"/>
      <c r="UUT152" s="1011"/>
      <c r="UUU152" s="1011"/>
      <c r="UUV152" s="1011"/>
      <c r="UUW152" s="1011"/>
      <c r="UUX152" s="1011"/>
      <c r="UUY152" s="1011"/>
      <c r="UUZ152" s="1011"/>
      <c r="UVA152" s="1011"/>
      <c r="UVB152" s="1011"/>
      <c r="UVC152" s="1011"/>
      <c r="UVD152" s="1011"/>
      <c r="UVE152" s="1011"/>
      <c r="UVF152" s="1011"/>
      <c r="UVG152" s="1011"/>
      <c r="UVH152" s="1011"/>
      <c r="UVI152" s="1011"/>
      <c r="UVJ152" s="1011"/>
      <c r="UVK152" s="1011"/>
      <c r="UVL152" s="1011"/>
      <c r="UVM152" s="1011"/>
      <c r="UVN152" s="1011"/>
      <c r="UVO152" s="1011"/>
      <c r="UVP152" s="1011"/>
      <c r="UVQ152" s="1011"/>
      <c r="UVR152" s="1011"/>
      <c r="UVS152" s="1011"/>
      <c r="UVT152" s="1011"/>
      <c r="UVU152" s="1011"/>
      <c r="UVV152" s="1011"/>
      <c r="UVW152" s="1011"/>
      <c r="UVX152" s="1011"/>
      <c r="UVY152" s="1011"/>
      <c r="UVZ152" s="1011"/>
      <c r="UWA152" s="1011"/>
      <c r="UWB152" s="1011"/>
      <c r="UWC152" s="1011"/>
      <c r="UWD152" s="1011"/>
      <c r="UWE152" s="1011"/>
      <c r="UWF152" s="1011"/>
      <c r="UWG152" s="1011"/>
      <c r="UWH152" s="1011"/>
      <c r="UWI152" s="1011"/>
      <c r="UWJ152" s="1011"/>
      <c r="UWK152" s="1011"/>
      <c r="UWL152" s="1011"/>
      <c r="UWM152" s="1011"/>
      <c r="UWN152" s="1011"/>
      <c r="UWO152" s="1011"/>
      <c r="UWP152" s="1011"/>
      <c r="UWQ152" s="1011"/>
      <c r="UWR152" s="1011"/>
      <c r="UWS152" s="1011"/>
      <c r="UWT152" s="1011"/>
      <c r="UWU152" s="1011"/>
      <c r="UWV152" s="1011"/>
      <c r="UWW152" s="1011"/>
      <c r="UWX152" s="1011"/>
      <c r="UWY152" s="1011"/>
      <c r="UWZ152" s="1011"/>
      <c r="UXA152" s="1011"/>
      <c r="UXB152" s="1011"/>
      <c r="UXC152" s="1011"/>
      <c r="UXD152" s="1011"/>
      <c r="UXE152" s="1011"/>
      <c r="UXF152" s="1011"/>
      <c r="UXG152" s="1011"/>
      <c r="UXH152" s="1011"/>
      <c r="UXI152" s="1011"/>
      <c r="UXJ152" s="1011"/>
      <c r="UXK152" s="1011"/>
      <c r="UXL152" s="1011"/>
      <c r="UXM152" s="1011"/>
      <c r="UXN152" s="1011"/>
      <c r="UXO152" s="1011"/>
      <c r="UXP152" s="1011"/>
      <c r="UXQ152" s="1011"/>
      <c r="UXR152" s="1011"/>
      <c r="UXS152" s="1011"/>
      <c r="UXT152" s="1011"/>
      <c r="UXU152" s="1011"/>
      <c r="UXV152" s="1011"/>
      <c r="UXW152" s="1011"/>
      <c r="UXX152" s="1011"/>
      <c r="UXY152" s="1011"/>
      <c r="UXZ152" s="1011"/>
      <c r="UYA152" s="1011"/>
      <c r="UYB152" s="1011"/>
      <c r="UYC152" s="1011"/>
      <c r="UYD152" s="1011"/>
      <c r="UYE152" s="1011"/>
      <c r="UYF152" s="1011"/>
      <c r="UYG152" s="1011"/>
      <c r="UYH152" s="1011"/>
      <c r="UYI152" s="1011"/>
      <c r="UYJ152" s="1011"/>
      <c r="UYK152" s="1011"/>
      <c r="UYL152" s="1011"/>
      <c r="UYM152" s="1011"/>
      <c r="UYN152" s="1011"/>
      <c r="UYO152" s="1011"/>
      <c r="UYP152" s="1011"/>
      <c r="UYQ152" s="1011"/>
      <c r="UYR152" s="1011"/>
      <c r="UYS152" s="1011"/>
      <c r="UYT152" s="1011"/>
      <c r="UYU152" s="1011"/>
      <c r="UYV152" s="1011"/>
      <c r="UYW152" s="1011"/>
      <c r="UYX152" s="1011"/>
      <c r="UYY152" s="1011"/>
      <c r="UYZ152" s="1011"/>
      <c r="UZA152" s="1011"/>
      <c r="UZB152" s="1011"/>
      <c r="UZC152" s="1011"/>
      <c r="UZD152" s="1011"/>
      <c r="UZE152" s="1011"/>
      <c r="UZF152" s="1011"/>
      <c r="UZG152" s="1011"/>
      <c r="UZH152" s="1011"/>
      <c r="UZI152" s="1011"/>
      <c r="UZJ152" s="1011"/>
      <c r="UZK152" s="1011"/>
      <c r="UZL152" s="1011"/>
      <c r="UZM152" s="1011"/>
      <c r="UZN152" s="1011"/>
      <c r="UZO152" s="1011"/>
      <c r="UZP152" s="1011"/>
      <c r="UZQ152" s="1011"/>
      <c r="UZR152" s="1011"/>
      <c r="UZS152" s="1011"/>
      <c r="UZT152" s="1011"/>
      <c r="UZU152" s="1011"/>
      <c r="UZV152" s="1011"/>
      <c r="UZW152" s="1011"/>
      <c r="UZX152" s="1011"/>
      <c r="UZY152" s="1011"/>
      <c r="UZZ152" s="1011"/>
      <c r="VAA152" s="1011"/>
      <c r="VAB152" s="1011"/>
      <c r="VAC152" s="1011"/>
      <c r="VAD152" s="1011"/>
      <c r="VAE152" s="1011"/>
      <c r="VAF152" s="1011"/>
      <c r="VAG152" s="1011"/>
      <c r="VAH152" s="1011"/>
      <c r="VAI152" s="1011"/>
      <c r="VAJ152" s="1011"/>
      <c r="VAK152" s="1011"/>
      <c r="VAL152" s="1011"/>
      <c r="VAM152" s="1011"/>
      <c r="VAN152" s="1011"/>
      <c r="VAO152" s="1011"/>
      <c r="VAP152" s="1011"/>
      <c r="VAQ152" s="1011"/>
      <c r="VAR152" s="1011"/>
      <c r="VAS152" s="1011"/>
      <c r="VAT152" s="1011"/>
      <c r="VAU152" s="1011"/>
      <c r="VAV152" s="1011"/>
      <c r="VAW152" s="1011"/>
      <c r="VAX152" s="1011"/>
      <c r="VAY152" s="1011"/>
      <c r="VAZ152" s="1011"/>
      <c r="VBA152" s="1011"/>
      <c r="VBB152" s="1011"/>
      <c r="VBC152" s="1011"/>
      <c r="VBD152" s="1011"/>
      <c r="VBE152" s="1011"/>
      <c r="VBF152" s="1011"/>
      <c r="VBG152" s="1011"/>
      <c r="VBH152" s="1011"/>
      <c r="VBI152" s="1011"/>
      <c r="VBJ152" s="1011"/>
      <c r="VBK152" s="1011"/>
      <c r="VBL152" s="1011"/>
      <c r="VBM152" s="1011"/>
      <c r="VBN152" s="1011"/>
      <c r="VBO152" s="1011"/>
      <c r="VBP152" s="1011"/>
      <c r="VBQ152" s="1011"/>
      <c r="VBR152" s="1011"/>
      <c r="VBS152" s="1011"/>
      <c r="VBT152" s="1011"/>
      <c r="VBU152" s="1011"/>
      <c r="VBV152" s="1011"/>
      <c r="VBW152" s="1011"/>
      <c r="VBX152" s="1011"/>
      <c r="VBY152" s="1011"/>
      <c r="VBZ152" s="1011"/>
      <c r="VCA152" s="1011"/>
      <c r="VCB152" s="1011"/>
      <c r="VCC152" s="1011"/>
      <c r="VCD152" s="1011"/>
      <c r="VCE152" s="1011"/>
      <c r="VCF152" s="1011"/>
      <c r="VCG152" s="1011"/>
      <c r="VCH152" s="1011"/>
      <c r="VCI152" s="1011"/>
      <c r="VCJ152" s="1011"/>
      <c r="VCK152" s="1011"/>
      <c r="VCL152" s="1011"/>
      <c r="VCM152" s="1011"/>
      <c r="VCN152" s="1011"/>
      <c r="VCO152" s="1011"/>
      <c r="VCP152" s="1011"/>
      <c r="VCQ152" s="1011"/>
      <c r="VCR152" s="1011"/>
      <c r="VCS152" s="1011"/>
      <c r="VCT152" s="1011"/>
      <c r="VCU152" s="1011"/>
      <c r="VCV152" s="1011"/>
      <c r="VCW152" s="1011"/>
      <c r="VCX152" s="1011"/>
      <c r="VCY152" s="1011"/>
      <c r="VCZ152" s="1011"/>
      <c r="VDA152" s="1011"/>
      <c r="VDB152" s="1011"/>
      <c r="VDC152" s="1011"/>
      <c r="VDD152" s="1011"/>
      <c r="VDE152" s="1011"/>
      <c r="VDF152" s="1011"/>
      <c r="VDG152" s="1011"/>
      <c r="VDH152" s="1011"/>
      <c r="VDI152" s="1011"/>
      <c r="VDJ152" s="1011"/>
      <c r="VDK152" s="1011"/>
      <c r="VDL152" s="1011"/>
      <c r="VDM152" s="1011"/>
      <c r="VDN152" s="1011"/>
      <c r="VDO152" s="1011"/>
      <c r="VDP152" s="1011"/>
      <c r="VDQ152" s="1011"/>
      <c r="VDR152" s="1011"/>
      <c r="VDS152" s="1011"/>
      <c r="VDT152" s="1011"/>
      <c r="VDU152" s="1011"/>
      <c r="VDV152" s="1011"/>
      <c r="VDW152" s="1011"/>
      <c r="VDX152" s="1011"/>
      <c r="VDY152" s="1011"/>
      <c r="VDZ152" s="1011"/>
      <c r="VEA152" s="1011"/>
      <c r="VEB152" s="1011"/>
      <c r="VEC152" s="1011"/>
      <c r="VED152" s="1011"/>
      <c r="VEE152" s="1011"/>
      <c r="VEF152" s="1011"/>
      <c r="VEG152" s="1011"/>
      <c r="VEH152" s="1011"/>
      <c r="VEI152" s="1011"/>
      <c r="VEJ152" s="1011"/>
      <c r="VEK152" s="1011"/>
      <c r="VEL152" s="1011"/>
      <c r="VEM152" s="1011"/>
      <c r="VEN152" s="1011"/>
      <c r="VEO152" s="1011"/>
      <c r="VEP152" s="1011"/>
      <c r="VEQ152" s="1011"/>
      <c r="VER152" s="1011"/>
      <c r="VES152" s="1011"/>
      <c r="VET152" s="1011"/>
      <c r="VEU152" s="1011"/>
      <c r="VEV152" s="1011"/>
      <c r="VEW152" s="1011"/>
      <c r="VEX152" s="1011"/>
      <c r="VEY152" s="1011"/>
      <c r="VEZ152" s="1011"/>
      <c r="VFA152" s="1011"/>
      <c r="VFB152" s="1011"/>
      <c r="VFC152" s="1011"/>
      <c r="VFD152" s="1011"/>
      <c r="VFE152" s="1011"/>
      <c r="VFF152" s="1011"/>
      <c r="VFG152" s="1011"/>
      <c r="VFH152" s="1011"/>
      <c r="VFI152" s="1011"/>
      <c r="VFJ152" s="1011"/>
      <c r="VFK152" s="1011"/>
      <c r="VFL152" s="1011"/>
      <c r="VFM152" s="1011"/>
      <c r="VFN152" s="1011"/>
      <c r="VFO152" s="1011"/>
      <c r="VFP152" s="1011"/>
      <c r="VFQ152" s="1011"/>
      <c r="VFR152" s="1011"/>
      <c r="VFS152" s="1011"/>
      <c r="VFT152" s="1011"/>
      <c r="VFU152" s="1011"/>
      <c r="VFV152" s="1011"/>
      <c r="VFW152" s="1011"/>
      <c r="VFX152" s="1011"/>
      <c r="VFY152" s="1011"/>
      <c r="VFZ152" s="1011"/>
      <c r="VGA152" s="1011"/>
      <c r="VGB152" s="1011"/>
      <c r="VGC152" s="1011"/>
      <c r="VGD152" s="1011"/>
      <c r="VGE152" s="1011"/>
      <c r="VGF152" s="1011"/>
      <c r="VGG152" s="1011"/>
      <c r="VGH152" s="1011"/>
      <c r="VGI152" s="1011"/>
      <c r="VGJ152" s="1011"/>
      <c r="VGK152" s="1011"/>
      <c r="VGL152" s="1011"/>
      <c r="VGM152" s="1011"/>
      <c r="VGN152" s="1011"/>
      <c r="VGO152" s="1011"/>
      <c r="VGP152" s="1011"/>
      <c r="VGQ152" s="1011"/>
      <c r="VGR152" s="1011"/>
      <c r="VGS152" s="1011"/>
      <c r="VGT152" s="1011"/>
      <c r="VGU152" s="1011"/>
      <c r="VGV152" s="1011"/>
      <c r="VGW152" s="1011"/>
      <c r="VGX152" s="1011"/>
      <c r="VGY152" s="1011"/>
      <c r="VGZ152" s="1011"/>
      <c r="VHA152" s="1011"/>
      <c r="VHB152" s="1011"/>
      <c r="VHC152" s="1011"/>
      <c r="VHD152" s="1011"/>
      <c r="VHE152" s="1011"/>
      <c r="VHF152" s="1011"/>
      <c r="VHG152" s="1011"/>
      <c r="VHH152" s="1011"/>
      <c r="VHI152" s="1011"/>
      <c r="VHJ152" s="1011"/>
      <c r="VHK152" s="1011"/>
      <c r="VHL152" s="1011"/>
      <c r="VHM152" s="1011"/>
      <c r="VHN152" s="1011"/>
      <c r="VHO152" s="1011"/>
      <c r="VHP152" s="1011"/>
      <c r="VHQ152" s="1011"/>
      <c r="VHR152" s="1011"/>
      <c r="VHS152" s="1011"/>
      <c r="VHT152" s="1011"/>
      <c r="VHU152" s="1011"/>
      <c r="VHV152" s="1011"/>
      <c r="VHW152" s="1011"/>
      <c r="VHX152" s="1011"/>
      <c r="VHY152" s="1011"/>
      <c r="VHZ152" s="1011"/>
      <c r="VIA152" s="1011"/>
      <c r="VIB152" s="1011"/>
      <c r="VIC152" s="1011"/>
      <c r="VID152" s="1011"/>
      <c r="VIE152" s="1011"/>
      <c r="VIF152" s="1011"/>
      <c r="VIG152" s="1011"/>
      <c r="VIH152" s="1011"/>
      <c r="VII152" s="1011"/>
      <c r="VIJ152" s="1011"/>
      <c r="VIK152" s="1011"/>
      <c r="VIL152" s="1011"/>
      <c r="VIM152" s="1011"/>
      <c r="VIN152" s="1011"/>
      <c r="VIO152" s="1011"/>
      <c r="VIP152" s="1011"/>
      <c r="VIQ152" s="1011"/>
      <c r="VIR152" s="1011"/>
      <c r="VIS152" s="1011"/>
      <c r="VIT152" s="1011"/>
      <c r="VIU152" s="1011"/>
      <c r="VIV152" s="1011"/>
      <c r="VIW152" s="1011"/>
      <c r="VIX152" s="1011"/>
      <c r="VIY152" s="1011"/>
      <c r="VIZ152" s="1011"/>
      <c r="VJA152" s="1011"/>
      <c r="VJB152" s="1011"/>
      <c r="VJC152" s="1011"/>
      <c r="VJD152" s="1011"/>
      <c r="VJE152" s="1011"/>
      <c r="VJF152" s="1011"/>
      <c r="VJG152" s="1011"/>
      <c r="VJH152" s="1011"/>
      <c r="VJI152" s="1011"/>
      <c r="VJJ152" s="1011"/>
      <c r="VJK152" s="1011"/>
      <c r="VJL152" s="1011"/>
      <c r="VJM152" s="1011"/>
      <c r="VJN152" s="1011"/>
      <c r="VJO152" s="1011"/>
      <c r="VJP152" s="1011"/>
      <c r="VJQ152" s="1011"/>
      <c r="VJR152" s="1011"/>
      <c r="VJS152" s="1011"/>
      <c r="VJT152" s="1011"/>
      <c r="VJU152" s="1011"/>
      <c r="VJV152" s="1011"/>
      <c r="VJW152" s="1011"/>
      <c r="VJX152" s="1011"/>
      <c r="VJY152" s="1011"/>
      <c r="VJZ152" s="1011"/>
      <c r="VKA152" s="1011"/>
      <c r="VKB152" s="1011"/>
      <c r="VKC152" s="1011"/>
      <c r="VKD152" s="1011"/>
      <c r="VKE152" s="1011"/>
      <c r="VKF152" s="1011"/>
      <c r="VKG152" s="1011"/>
      <c r="VKH152" s="1011"/>
      <c r="VKI152" s="1011"/>
      <c r="VKJ152" s="1011"/>
      <c r="VKK152" s="1011"/>
      <c r="VKL152" s="1011"/>
      <c r="VKM152" s="1011"/>
      <c r="VKN152" s="1011"/>
      <c r="VKO152" s="1011"/>
      <c r="VKP152" s="1011"/>
      <c r="VKQ152" s="1011"/>
      <c r="VKR152" s="1011"/>
      <c r="VKS152" s="1011"/>
      <c r="VKT152" s="1011"/>
      <c r="VKU152" s="1011"/>
      <c r="VKV152" s="1011"/>
      <c r="VKW152" s="1011"/>
      <c r="VKX152" s="1011"/>
      <c r="VKY152" s="1011"/>
      <c r="VKZ152" s="1011"/>
      <c r="VLA152" s="1011"/>
      <c r="VLB152" s="1011"/>
      <c r="VLC152" s="1011"/>
      <c r="VLD152" s="1011"/>
      <c r="VLE152" s="1011"/>
      <c r="VLF152" s="1011"/>
      <c r="VLG152" s="1011"/>
      <c r="VLH152" s="1011"/>
      <c r="VLI152" s="1011"/>
      <c r="VLJ152" s="1011"/>
      <c r="VLK152" s="1011"/>
      <c r="VLL152" s="1011"/>
      <c r="VLM152" s="1011"/>
      <c r="VLN152" s="1011"/>
      <c r="VLO152" s="1011"/>
      <c r="VLP152" s="1011"/>
      <c r="VLQ152" s="1011"/>
      <c r="VLR152" s="1011"/>
      <c r="VLS152" s="1011"/>
      <c r="VLT152" s="1011"/>
      <c r="VLU152" s="1011"/>
      <c r="VLV152" s="1011"/>
      <c r="VLW152" s="1011"/>
      <c r="VLX152" s="1011"/>
      <c r="VLY152" s="1011"/>
      <c r="VLZ152" s="1011"/>
      <c r="VMA152" s="1011"/>
      <c r="VMB152" s="1011"/>
      <c r="VMC152" s="1011"/>
      <c r="VMD152" s="1011"/>
      <c r="VME152" s="1011"/>
      <c r="VMF152" s="1011"/>
      <c r="VMG152" s="1011"/>
      <c r="VMH152" s="1011"/>
      <c r="VMI152" s="1011"/>
      <c r="VMJ152" s="1011"/>
      <c r="VMK152" s="1011"/>
      <c r="VML152" s="1011"/>
      <c r="VMM152" s="1011"/>
      <c r="VMN152" s="1011"/>
      <c r="VMO152" s="1011"/>
      <c r="VMP152" s="1011"/>
      <c r="VMQ152" s="1011"/>
      <c r="VMR152" s="1011"/>
      <c r="VMS152" s="1011"/>
      <c r="VMT152" s="1011"/>
      <c r="VMU152" s="1011"/>
      <c r="VMV152" s="1011"/>
      <c r="VMW152" s="1011"/>
      <c r="VMX152" s="1011"/>
      <c r="VMY152" s="1011"/>
      <c r="VMZ152" s="1011"/>
      <c r="VNA152" s="1011"/>
      <c r="VNB152" s="1011"/>
      <c r="VNC152" s="1011"/>
      <c r="VND152" s="1011"/>
      <c r="VNE152" s="1011"/>
      <c r="VNF152" s="1011"/>
      <c r="VNG152" s="1011"/>
      <c r="VNH152" s="1011"/>
      <c r="VNI152" s="1011"/>
      <c r="VNJ152" s="1011"/>
      <c r="VNK152" s="1011"/>
      <c r="VNL152" s="1011"/>
      <c r="VNM152" s="1011"/>
      <c r="VNN152" s="1011"/>
      <c r="VNO152" s="1011"/>
      <c r="VNP152" s="1011"/>
      <c r="VNQ152" s="1011"/>
      <c r="VNR152" s="1011"/>
      <c r="VNS152" s="1011"/>
      <c r="VNT152" s="1011"/>
      <c r="VNU152" s="1011"/>
      <c r="VNV152" s="1011"/>
      <c r="VNW152" s="1011"/>
      <c r="VNX152" s="1011"/>
      <c r="VNY152" s="1011"/>
      <c r="VNZ152" s="1011"/>
      <c r="VOA152" s="1011"/>
      <c r="VOB152" s="1011"/>
      <c r="VOC152" s="1011"/>
      <c r="VOD152" s="1011"/>
      <c r="VOE152" s="1011"/>
      <c r="VOF152" s="1011"/>
      <c r="VOG152" s="1011"/>
      <c r="VOH152" s="1011"/>
      <c r="VOI152" s="1011"/>
      <c r="VOJ152" s="1011"/>
      <c r="VOK152" s="1011"/>
      <c r="VOL152" s="1011"/>
      <c r="VOM152" s="1011"/>
      <c r="VON152" s="1011"/>
      <c r="VOO152" s="1011"/>
      <c r="VOP152" s="1011"/>
      <c r="VOQ152" s="1011"/>
      <c r="VOR152" s="1011"/>
      <c r="VOS152" s="1011"/>
      <c r="VOT152" s="1011"/>
      <c r="VOU152" s="1011"/>
      <c r="VOV152" s="1011"/>
      <c r="VOW152" s="1011"/>
      <c r="VOX152" s="1011"/>
      <c r="VOY152" s="1011"/>
      <c r="VOZ152" s="1011"/>
      <c r="VPA152" s="1011"/>
      <c r="VPB152" s="1011"/>
      <c r="VPC152" s="1011"/>
      <c r="VPD152" s="1011"/>
      <c r="VPE152" s="1011"/>
      <c r="VPF152" s="1011"/>
      <c r="VPG152" s="1011"/>
      <c r="VPH152" s="1011"/>
      <c r="VPI152" s="1011"/>
      <c r="VPJ152" s="1011"/>
      <c r="VPK152" s="1011"/>
      <c r="VPL152" s="1011"/>
      <c r="VPM152" s="1011"/>
      <c r="VPN152" s="1011"/>
      <c r="VPO152" s="1011"/>
      <c r="VPP152" s="1011"/>
      <c r="VPQ152" s="1011"/>
      <c r="VPR152" s="1011"/>
      <c r="VPS152" s="1011"/>
      <c r="VPT152" s="1011"/>
      <c r="VPU152" s="1011"/>
      <c r="VPV152" s="1011"/>
      <c r="VPW152" s="1011"/>
      <c r="VPX152" s="1011"/>
      <c r="VPY152" s="1011"/>
      <c r="VPZ152" s="1011"/>
      <c r="VQA152" s="1011"/>
      <c r="VQB152" s="1011"/>
      <c r="VQC152" s="1011"/>
      <c r="VQD152" s="1011"/>
      <c r="VQE152" s="1011"/>
      <c r="VQF152" s="1011"/>
      <c r="VQG152" s="1011"/>
      <c r="VQH152" s="1011"/>
      <c r="VQI152" s="1011"/>
      <c r="VQJ152" s="1011"/>
      <c r="VQK152" s="1011"/>
      <c r="VQL152" s="1011"/>
      <c r="VQM152" s="1011"/>
      <c r="VQN152" s="1011"/>
      <c r="VQO152" s="1011"/>
      <c r="VQP152" s="1011"/>
      <c r="VQQ152" s="1011"/>
      <c r="VQR152" s="1011"/>
      <c r="VQS152" s="1011"/>
      <c r="VQT152" s="1011"/>
      <c r="VQU152" s="1011"/>
      <c r="VQV152" s="1011"/>
      <c r="VQW152" s="1011"/>
      <c r="VQX152" s="1011"/>
      <c r="VQY152" s="1011"/>
      <c r="VQZ152" s="1011"/>
      <c r="VRA152" s="1011"/>
      <c r="VRB152" s="1011"/>
      <c r="VRC152" s="1011"/>
      <c r="VRD152" s="1011"/>
      <c r="VRE152" s="1011"/>
      <c r="VRF152" s="1011"/>
      <c r="VRG152" s="1011"/>
      <c r="VRH152" s="1011"/>
      <c r="VRI152" s="1011"/>
      <c r="VRJ152" s="1011"/>
      <c r="VRK152" s="1011"/>
      <c r="VRL152" s="1011"/>
      <c r="VRM152" s="1011"/>
      <c r="VRN152" s="1011"/>
      <c r="VRO152" s="1011"/>
      <c r="VRP152" s="1011"/>
      <c r="VRQ152" s="1011"/>
      <c r="VRR152" s="1011"/>
      <c r="VRS152" s="1011"/>
      <c r="VRT152" s="1011"/>
      <c r="VRU152" s="1011"/>
      <c r="VRV152" s="1011"/>
      <c r="VRW152" s="1011"/>
      <c r="VRX152" s="1011"/>
      <c r="VRY152" s="1011"/>
      <c r="VRZ152" s="1011"/>
      <c r="VSA152" s="1011"/>
      <c r="VSB152" s="1011"/>
      <c r="VSC152" s="1011"/>
      <c r="VSD152" s="1011"/>
      <c r="VSE152" s="1011"/>
      <c r="VSF152" s="1011"/>
      <c r="VSG152" s="1011"/>
      <c r="VSH152" s="1011"/>
      <c r="VSI152" s="1011"/>
      <c r="VSJ152" s="1011"/>
      <c r="VSK152" s="1011"/>
      <c r="VSL152" s="1011"/>
      <c r="VSM152" s="1011"/>
      <c r="VSN152" s="1011"/>
      <c r="VSO152" s="1011"/>
      <c r="VSP152" s="1011"/>
      <c r="VSQ152" s="1011"/>
      <c r="VSR152" s="1011"/>
      <c r="VSS152" s="1011"/>
      <c r="VST152" s="1011"/>
      <c r="VSU152" s="1011"/>
      <c r="VSV152" s="1011"/>
      <c r="VSW152" s="1011"/>
      <c r="VSX152" s="1011"/>
      <c r="VSY152" s="1011"/>
      <c r="VSZ152" s="1011"/>
      <c r="VTA152" s="1011"/>
      <c r="VTB152" s="1011"/>
      <c r="VTC152" s="1011"/>
      <c r="VTD152" s="1011"/>
      <c r="VTE152" s="1011"/>
      <c r="VTF152" s="1011"/>
      <c r="VTG152" s="1011"/>
      <c r="VTH152" s="1011"/>
      <c r="VTI152" s="1011"/>
      <c r="VTJ152" s="1011"/>
      <c r="VTK152" s="1011"/>
      <c r="VTL152" s="1011"/>
      <c r="VTM152" s="1011"/>
      <c r="VTN152" s="1011"/>
      <c r="VTO152" s="1011"/>
      <c r="VTP152" s="1011"/>
      <c r="VTQ152" s="1011"/>
      <c r="VTR152" s="1011"/>
      <c r="VTS152" s="1011"/>
      <c r="VTT152" s="1011"/>
      <c r="VTU152" s="1011"/>
      <c r="VTV152" s="1011"/>
      <c r="VTW152" s="1011"/>
      <c r="VTX152" s="1011"/>
      <c r="VTY152" s="1011"/>
      <c r="VTZ152" s="1011"/>
      <c r="VUA152" s="1011"/>
      <c r="VUB152" s="1011"/>
      <c r="VUC152" s="1011"/>
      <c r="VUD152" s="1011"/>
      <c r="VUE152" s="1011"/>
      <c r="VUF152" s="1011"/>
      <c r="VUG152" s="1011"/>
      <c r="VUH152" s="1011"/>
      <c r="VUI152" s="1011"/>
      <c r="VUJ152" s="1011"/>
      <c r="VUK152" s="1011"/>
      <c r="VUL152" s="1011"/>
      <c r="VUM152" s="1011"/>
      <c r="VUN152" s="1011"/>
      <c r="VUO152" s="1011"/>
      <c r="VUP152" s="1011"/>
      <c r="VUQ152" s="1011"/>
      <c r="VUR152" s="1011"/>
      <c r="VUS152" s="1011"/>
      <c r="VUT152" s="1011"/>
      <c r="VUU152" s="1011"/>
      <c r="VUV152" s="1011"/>
      <c r="VUW152" s="1011"/>
      <c r="VUX152" s="1011"/>
      <c r="VUY152" s="1011"/>
      <c r="VUZ152" s="1011"/>
      <c r="VVA152" s="1011"/>
      <c r="VVB152" s="1011"/>
      <c r="VVC152" s="1011"/>
      <c r="VVD152" s="1011"/>
      <c r="VVE152" s="1011"/>
      <c r="VVF152" s="1011"/>
      <c r="VVG152" s="1011"/>
      <c r="VVH152" s="1011"/>
      <c r="VVI152" s="1011"/>
      <c r="VVJ152" s="1011"/>
      <c r="VVK152" s="1011"/>
      <c r="VVL152" s="1011"/>
      <c r="VVM152" s="1011"/>
      <c r="VVN152" s="1011"/>
      <c r="VVO152" s="1011"/>
      <c r="VVP152" s="1011"/>
      <c r="VVQ152" s="1011"/>
      <c r="VVR152" s="1011"/>
      <c r="VVS152" s="1011"/>
      <c r="VVT152" s="1011"/>
      <c r="VVU152" s="1011"/>
      <c r="VVV152" s="1011"/>
      <c r="VVW152" s="1011"/>
      <c r="VVX152" s="1011"/>
      <c r="VVY152" s="1011"/>
      <c r="VVZ152" s="1011"/>
      <c r="VWA152" s="1011"/>
      <c r="VWB152" s="1011"/>
      <c r="VWC152" s="1011"/>
      <c r="VWD152" s="1011"/>
      <c r="VWE152" s="1011"/>
      <c r="VWF152" s="1011"/>
      <c r="VWG152" s="1011"/>
      <c r="VWH152" s="1011"/>
      <c r="VWI152" s="1011"/>
      <c r="VWJ152" s="1011"/>
      <c r="VWK152" s="1011"/>
      <c r="VWL152" s="1011"/>
      <c r="VWM152" s="1011"/>
      <c r="VWN152" s="1011"/>
      <c r="VWO152" s="1011"/>
      <c r="VWP152" s="1011"/>
      <c r="VWQ152" s="1011"/>
      <c r="VWR152" s="1011"/>
      <c r="VWS152" s="1011"/>
      <c r="VWT152" s="1011"/>
      <c r="VWU152" s="1011"/>
      <c r="VWV152" s="1011"/>
      <c r="VWW152" s="1011"/>
      <c r="VWX152" s="1011"/>
      <c r="VWY152" s="1011"/>
      <c r="VWZ152" s="1011"/>
      <c r="VXA152" s="1011"/>
      <c r="VXB152" s="1011"/>
      <c r="VXC152" s="1011"/>
      <c r="VXD152" s="1011"/>
      <c r="VXE152" s="1011"/>
      <c r="VXF152" s="1011"/>
      <c r="VXG152" s="1011"/>
      <c r="VXH152" s="1011"/>
      <c r="VXI152" s="1011"/>
      <c r="VXJ152" s="1011"/>
      <c r="VXK152" s="1011"/>
      <c r="VXL152" s="1011"/>
      <c r="VXM152" s="1011"/>
      <c r="VXN152" s="1011"/>
      <c r="VXO152" s="1011"/>
      <c r="VXP152" s="1011"/>
      <c r="VXQ152" s="1011"/>
      <c r="VXR152" s="1011"/>
      <c r="VXS152" s="1011"/>
      <c r="VXT152" s="1011"/>
      <c r="VXU152" s="1011"/>
      <c r="VXV152" s="1011"/>
      <c r="VXW152" s="1011"/>
      <c r="VXX152" s="1011"/>
      <c r="VXY152" s="1011"/>
      <c r="VXZ152" s="1011"/>
      <c r="VYA152" s="1011"/>
      <c r="VYB152" s="1011"/>
      <c r="VYC152" s="1011"/>
      <c r="VYD152" s="1011"/>
      <c r="VYE152" s="1011"/>
      <c r="VYF152" s="1011"/>
      <c r="VYG152" s="1011"/>
      <c r="VYH152" s="1011"/>
      <c r="VYI152" s="1011"/>
      <c r="VYJ152" s="1011"/>
      <c r="VYK152" s="1011"/>
      <c r="VYL152" s="1011"/>
      <c r="VYM152" s="1011"/>
      <c r="VYN152" s="1011"/>
      <c r="VYO152" s="1011"/>
      <c r="VYP152" s="1011"/>
      <c r="VYQ152" s="1011"/>
      <c r="VYR152" s="1011"/>
      <c r="VYS152" s="1011"/>
      <c r="VYT152" s="1011"/>
      <c r="VYU152" s="1011"/>
      <c r="VYV152" s="1011"/>
      <c r="VYW152" s="1011"/>
      <c r="VYX152" s="1011"/>
      <c r="VYY152" s="1011"/>
      <c r="VYZ152" s="1011"/>
      <c r="VZA152" s="1011"/>
      <c r="VZB152" s="1011"/>
      <c r="VZC152" s="1011"/>
      <c r="VZD152" s="1011"/>
      <c r="VZE152" s="1011"/>
      <c r="VZF152" s="1011"/>
      <c r="VZG152" s="1011"/>
      <c r="VZH152" s="1011"/>
      <c r="VZI152" s="1011"/>
      <c r="VZJ152" s="1011"/>
      <c r="VZK152" s="1011"/>
      <c r="VZL152" s="1011"/>
      <c r="VZM152" s="1011"/>
      <c r="VZN152" s="1011"/>
      <c r="VZO152" s="1011"/>
      <c r="VZP152" s="1011"/>
      <c r="VZQ152" s="1011"/>
      <c r="VZR152" s="1011"/>
      <c r="VZS152" s="1011"/>
      <c r="VZT152" s="1011"/>
      <c r="VZU152" s="1011"/>
      <c r="VZV152" s="1011"/>
      <c r="VZW152" s="1011"/>
      <c r="VZX152" s="1011"/>
      <c r="VZY152" s="1011"/>
      <c r="VZZ152" s="1011"/>
      <c r="WAA152" s="1011"/>
      <c r="WAB152" s="1011"/>
      <c r="WAC152" s="1011"/>
      <c r="WAD152" s="1011"/>
      <c r="WAE152" s="1011"/>
      <c r="WAF152" s="1011"/>
      <c r="WAG152" s="1011"/>
      <c r="WAH152" s="1011"/>
      <c r="WAI152" s="1011"/>
      <c r="WAJ152" s="1011"/>
      <c r="WAK152" s="1011"/>
      <c r="WAL152" s="1011"/>
      <c r="WAM152" s="1011"/>
      <c r="WAN152" s="1011"/>
      <c r="WAO152" s="1011"/>
      <c r="WAP152" s="1011"/>
      <c r="WAQ152" s="1011"/>
      <c r="WAR152" s="1011"/>
      <c r="WAS152" s="1011"/>
      <c r="WAT152" s="1011"/>
      <c r="WAU152" s="1011"/>
      <c r="WAV152" s="1011"/>
      <c r="WAW152" s="1011"/>
      <c r="WAX152" s="1011"/>
      <c r="WAY152" s="1011"/>
      <c r="WAZ152" s="1011"/>
      <c r="WBA152" s="1011"/>
      <c r="WBB152" s="1011"/>
      <c r="WBC152" s="1011"/>
      <c r="WBD152" s="1011"/>
      <c r="WBE152" s="1011"/>
      <c r="WBF152" s="1011"/>
      <c r="WBG152" s="1011"/>
      <c r="WBH152" s="1011"/>
      <c r="WBI152" s="1011"/>
      <c r="WBJ152" s="1011"/>
      <c r="WBK152" s="1011"/>
      <c r="WBL152" s="1011"/>
      <c r="WBM152" s="1011"/>
      <c r="WBN152" s="1011"/>
      <c r="WBO152" s="1011"/>
      <c r="WBP152" s="1011"/>
      <c r="WBQ152" s="1011"/>
      <c r="WBR152" s="1011"/>
      <c r="WBS152" s="1011"/>
      <c r="WBT152" s="1011"/>
      <c r="WBU152" s="1011"/>
      <c r="WBV152" s="1011"/>
      <c r="WBW152" s="1011"/>
      <c r="WBX152" s="1011"/>
      <c r="WBY152" s="1011"/>
      <c r="WBZ152" s="1011"/>
      <c r="WCA152" s="1011"/>
      <c r="WCB152" s="1011"/>
      <c r="WCC152" s="1011"/>
      <c r="WCD152" s="1011"/>
      <c r="WCE152" s="1011"/>
      <c r="WCF152" s="1011"/>
      <c r="WCG152" s="1011"/>
      <c r="WCH152" s="1011"/>
      <c r="WCI152" s="1011"/>
      <c r="WCJ152" s="1011"/>
      <c r="WCK152" s="1011"/>
      <c r="WCL152" s="1011"/>
      <c r="WCM152" s="1011"/>
      <c r="WCN152" s="1011"/>
      <c r="WCO152" s="1011"/>
      <c r="WCP152" s="1011"/>
      <c r="WCQ152" s="1011"/>
      <c r="WCR152" s="1011"/>
      <c r="WCS152" s="1011"/>
      <c r="WCT152" s="1011"/>
      <c r="WCU152" s="1011"/>
      <c r="WCV152" s="1011"/>
      <c r="WCW152" s="1011"/>
      <c r="WCX152" s="1011"/>
      <c r="WCY152" s="1011"/>
      <c r="WCZ152" s="1011"/>
      <c r="WDA152" s="1011"/>
      <c r="WDB152" s="1011"/>
      <c r="WDC152" s="1011"/>
      <c r="WDD152" s="1011"/>
      <c r="WDE152" s="1011"/>
      <c r="WDF152" s="1011"/>
      <c r="WDG152" s="1011"/>
      <c r="WDH152" s="1011"/>
      <c r="WDI152" s="1011"/>
      <c r="WDJ152" s="1011"/>
      <c r="WDK152" s="1011"/>
      <c r="WDL152" s="1011"/>
      <c r="WDM152" s="1011"/>
      <c r="WDN152" s="1011"/>
      <c r="WDO152" s="1011"/>
      <c r="WDP152" s="1011"/>
      <c r="WDQ152" s="1011"/>
      <c r="WDR152" s="1011"/>
      <c r="WDS152" s="1011"/>
      <c r="WDT152" s="1011"/>
      <c r="WDU152" s="1011"/>
      <c r="WDV152" s="1011"/>
      <c r="WDW152" s="1011"/>
      <c r="WDX152" s="1011"/>
      <c r="WDY152" s="1011"/>
      <c r="WDZ152" s="1011"/>
      <c r="WEA152" s="1011"/>
      <c r="WEB152" s="1011"/>
      <c r="WEC152" s="1011"/>
      <c r="WED152" s="1011"/>
      <c r="WEE152" s="1011"/>
      <c r="WEF152" s="1011"/>
      <c r="WEG152" s="1011"/>
      <c r="WEH152" s="1011"/>
      <c r="WEI152" s="1011"/>
      <c r="WEJ152" s="1011"/>
      <c r="WEK152" s="1011"/>
      <c r="WEL152" s="1011"/>
      <c r="WEM152" s="1011"/>
      <c r="WEN152" s="1011"/>
      <c r="WEO152" s="1011"/>
      <c r="WEP152" s="1011"/>
      <c r="WEQ152" s="1011"/>
      <c r="WER152" s="1011"/>
      <c r="WES152" s="1011"/>
      <c r="WET152" s="1011"/>
      <c r="WEU152" s="1011"/>
      <c r="WEV152" s="1011"/>
      <c r="WEW152" s="1011"/>
      <c r="WEX152" s="1011"/>
      <c r="WEY152" s="1011"/>
      <c r="WEZ152" s="1011"/>
      <c r="WFA152" s="1011"/>
      <c r="WFB152" s="1011"/>
      <c r="WFC152" s="1011"/>
      <c r="WFD152" s="1011"/>
      <c r="WFE152" s="1011"/>
      <c r="WFF152" s="1011"/>
      <c r="WFG152" s="1011"/>
      <c r="WFH152" s="1011"/>
      <c r="WFI152" s="1011"/>
      <c r="WFJ152" s="1011"/>
      <c r="WFK152" s="1011"/>
      <c r="WFL152" s="1011"/>
      <c r="WFM152" s="1011"/>
      <c r="WFN152" s="1011"/>
      <c r="WFO152" s="1011"/>
      <c r="WFP152" s="1011"/>
      <c r="WFQ152" s="1011"/>
      <c r="WFR152" s="1011"/>
      <c r="WFS152" s="1011"/>
      <c r="WFT152" s="1011"/>
      <c r="WFU152" s="1011"/>
      <c r="WFV152" s="1011"/>
      <c r="WFW152" s="1011"/>
      <c r="WFX152" s="1011"/>
      <c r="WFY152" s="1011"/>
      <c r="WFZ152" s="1011"/>
      <c r="WGA152" s="1011"/>
      <c r="WGB152" s="1011"/>
      <c r="WGC152" s="1011"/>
      <c r="WGD152" s="1011"/>
      <c r="WGE152" s="1011"/>
      <c r="WGF152" s="1011"/>
      <c r="WGG152" s="1011"/>
      <c r="WGH152" s="1011"/>
      <c r="WGI152" s="1011"/>
      <c r="WGJ152" s="1011"/>
      <c r="WGK152" s="1011"/>
      <c r="WGL152" s="1011"/>
      <c r="WGM152" s="1011"/>
      <c r="WGN152" s="1011"/>
      <c r="WGO152" s="1011"/>
      <c r="WGP152" s="1011"/>
      <c r="WGQ152" s="1011"/>
      <c r="WGR152" s="1011"/>
      <c r="WGS152" s="1011"/>
      <c r="WGT152" s="1011"/>
      <c r="WGU152" s="1011"/>
      <c r="WGV152" s="1011"/>
      <c r="WGW152" s="1011"/>
      <c r="WGX152" s="1011"/>
      <c r="WGY152" s="1011"/>
      <c r="WGZ152" s="1011"/>
      <c r="WHA152" s="1011"/>
      <c r="WHB152" s="1011"/>
      <c r="WHC152" s="1011"/>
      <c r="WHD152" s="1011"/>
      <c r="WHE152" s="1011"/>
      <c r="WHF152" s="1011"/>
      <c r="WHG152" s="1011"/>
      <c r="WHH152" s="1011"/>
      <c r="WHI152" s="1011"/>
      <c r="WHJ152" s="1011"/>
      <c r="WHK152" s="1011"/>
      <c r="WHL152" s="1011"/>
      <c r="WHM152" s="1011"/>
      <c r="WHN152" s="1011"/>
      <c r="WHO152" s="1011"/>
      <c r="WHP152" s="1011"/>
      <c r="WHQ152" s="1011"/>
      <c r="WHR152" s="1011"/>
      <c r="WHS152" s="1011"/>
      <c r="WHT152" s="1011"/>
      <c r="WHU152" s="1011"/>
      <c r="WHV152" s="1011"/>
      <c r="WHW152" s="1011"/>
      <c r="WHX152" s="1011"/>
      <c r="WHY152" s="1011"/>
      <c r="WHZ152" s="1011"/>
      <c r="WIA152" s="1011"/>
      <c r="WIB152" s="1011"/>
      <c r="WIC152" s="1011"/>
      <c r="WID152" s="1011"/>
      <c r="WIE152" s="1011"/>
      <c r="WIF152" s="1011"/>
      <c r="WIG152" s="1011"/>
      <c r="WIH152" s="1011"/>
      <c r="WII152" s="1011"/>
      <c r="WIJ152" s="1011"/>
      <c r="WIK152" s="1011"/>
      <c r="WIL152" s="1011"/>
      <c r="WIM152" s="1011"/>
      <c r="WIN152" s="1011"/>
      <c r="WIO152" s="1011"/>
      <c r="WIP152" s="1011"/>
      <c r="WIQ152" s="1011"/>
      <c r="WIR152" s="1011"/>
      <c r="WIS152" s="1011"/>
      <c r="WIT152" s="1011"/>
      <c r="WIU152" s="1011"/>
      <c r="WIV152" s="1011"/>
      <c r="WIW152" s="1011"/>
      <c r="WIX152" s="1011"/>
      <c r="WIY152" s="1011"/>
      <c r="WIZ152" s="1011"/>
      <c r="WJA152" s="1011"/>
      <c r="WJB152" s="1011"/>
      <c r="WJC152" s="1011"/>
      <c r="WJD152" s="1011"/>
      <c r="WJE152" s="1011"/>
      <c r="WJF152" s="1011"/>
      <c r="WJG152" s="1011"/>
      <c r="WJH152" s="1011"/>
      <c r="WJI152" s="1011"/>
      <c r="WJJ152" s="1011"/>
      <c r="WJK152" s="1011"/>
      <c r="WJL152" s="1011"/>
      <c r="WJM152" s="1011"/>
      <c r="WJN152" s="1011"/>
      <c r="WJO152" s="1011"/>
      <c r="WJP152" s="1011"/>
      <c r="WJQ152" s="1011"/>
      <c r="WJR152" s="1011"/>
      <c r="WJS152" s="1011"/>
      <c r="WJT152" s="1011"/>
      <c r="WJU152" s="1011"/>
      <c r="WJV152" s="1011"/>
      <c r="WJW152" s="1011"/>
      <c r="WJX152" s="1011"/>
      <c r="WJY152" s="1011"/>
      <c r="WJZ152" s="1011"/>
      <c r="WKA152" s="1011"/>
      <c r="WKB152" s="1011"/>
      <c r="WKC152" s="1011"/>
      <c r="WKD152" s="1011"/>
      <c r="WKE152" s="1011"/>
      <c r="WKF152" s="1011"/>
      <c r="WKG152" s="1011"/>
      <c r="WKH152" s="1011"/>
      <c r="WKI152" s="1011"/>
      <c r="WKJ152" s="1011"/>
      <c r="WKK152" s="1011"/>
      <c r="WKL152" s="1011"/>
      <c r="WKM152" s="1011"/>
      <c r="WKN152" s="1011"/>
      <c r="WKO152" s="1011"/>
      <c r="WKP152" s="1011"/>
      <c r="WKQ152" s="1011"/>
      <c r="WKR152" s="1011"/>
      <c r="WKS152" s="1011"/>
      <c r="WKT152" s="1011"/>
      <c r="WKU152" s="1011"/>
      <c r="WKV152" s="1011"/>
      <c r="WKW152" s="1011"/>
      <c r="WKX152" s="1011"/>
      <c r="WKY152" s="1011"/>
      <c r="WKZ152" s="1011"/>
      <c r="WLA152" s="1011"/>
      <c r="WLB152" s="1011"/>
      <c r="WLC152" s="1011"/>
      <c r="WLD152" s="1011"/>
      <c r="WLE152" s="1011"/>
      <c r="WLF152" s="1011"/>
      <c r="WLG152" s="1011"/>
      <c r="WLH152" s="1011"/>
      <c r="WLI152" s="1011"/>
      <c r="WLJ152" s="1011"/>
      <c r="WLK152" s="1011"/>
      <c r="WLL152" s="1011"/>
      <c r="WLM152" s="1011"/>
      <c r="WLN152" s="1011"/>
      <c r="WLO152" s="1011"/>
      <c r="WLP152" s="1011"/>
      <c r="WLQ152" s="1011"/>
      <c r="WLR152" s="1011"/>
      <c r="WLS152" s="1011"/>
      <c r="WLT152" s="1011"/>
      <c r="WLU152" s="1011"/>
      <c r="WLV152" s="1011"/>
      <c r="WLW152" s="1011"/>
      <c r="WLX152" s="1011"/>
      <c r="WLY152" s="1011"/>
      <c r="WLZ152" s="1011"/>
      <c r="WMA152" s="1011"/>
      <c r="WMB152" s="1011"/>
      <c r="WMC152" s="1011"/>
      <c r="WMD152" s="1011"/>
      <c r="WME152" s="1011"/>
      <c r="WMF152" s="1011"/>
      <c r="WMG152" s="1011"/>
      <c r="WMH152" s="1011"/>
      <c r="WMI152" s="1011"/>
      <c r="WMJ152" s="1011"/>
      <c r="WMK152" s="1011"/>
      <c r="WML152" s="1011"/>
      <c r="WMM152" s="1011"/>
      <c r="WMN152" s="1011"/>
      <c r="WMO152" s="1011"/>
      <c r="WMP152" s="1011"/>
      <c r="WMQ152" s="1011"/>
      <c r="WMR152" s="1011"/>
      <c r="WMS152" s="1011"/>
      <c r="WMT152" s="1011"/>
      <c r="WMU152" s="1011"/>
      <c r="WMV152" s="1011"/>
      <c r="WMW152" s="1011"/>
      <c r="WMX152" s="1011"/>
      <c r="WMY152" s="1011"/>
      <c r="WMZ152" s="1011"/>
      <c r="WNA152" s="1011"/>
      <c r="WNB152" s="1011"/>
      <c r="WNC152" s="1011"/>
      <c r="WND152" s="1011"/>
      <c r="WNE152" s="1011"/>
      <c r="WNF152" s="1011"/>
      <c r="WNG152" s="1011"/>
      <c r="WNH152" s="1011"/>
      <c r="WNI152" s="1011"/>
      <c r="WNJ152" s="1011"/>
      <c r="WNK152" s="1011"/>
      <c r="WNL152" s="1011"/>
      <c r="WNM152" s="1011"/>
      <c r="WNN152" s="1011"/>
      <c r="WNO152" s="1011"/>
      <c r="WNP152" s="1011"/>
      <c r="WNQ152" s="1011"/>
      <c r="WNR152" s="1011"/>
      <c r="WNS152" s="1011"/>
      <c r="WNT152" s="1011"/>
      <c r="WNU152" s="1011"/>
      <c r="WNV152" s="1011"/>
      <c r="WNW152" s="1011"/>
      <c r="WNX152" s="1011"/>
      <c r="WNY152" s="1011"/>
      <c r="WNZ152" s="1011"/>
      <c r="WOA152" s="1011"/>
      <c r="WOB152" s="1011"/>
      <c r="WOC152" s="1011"/>
      <c r="WOD152" s="1011"/>
      <c r="WOE152" s="1011"/>
      <c r="WOF152" s="1011"/>
      <c r="WOG152" s="1011"/>
      <c r="WOH152" s="1011"/>
      <c r="WOI152" s="1011"/>
      <c r="WOJ152" s="1011"/>
      <c r="WOK152" s="1011"/>
      <c r="WOL152" s="1011"/>
      <c r="WOM152" s="1011"/>
      <c r="WON152" s="1011"/>
      <c r="WOO152" s="1011"/>
      <c r="WOP152" s="1011"/>
      <c r="WOQ152" s="1011"/>
      <c r="WOR152" s="1011"/>
      <c r="WOS152" s="1011"/>
      <c r="WOT152" s="1011"/>
      <c r="WOU152" s="1011"/>
      <c r="WOV152" s="1011"/>
      <c r="WOW152" s="1011"/>
      <c r="WOX152" s="1011"/>
      <c r="WOY152" s="1011"/>
      <c r="WOZ152" s="1011"/>
      <c r="WPA152" s="1011"/>
      <c r="WPB152" s="1011"/>
      <c r="WPC152" s="1011"/>
      <c r="WPD152" s="1011"/>
      <c r="WPE152" s="1011"/>
      <c r="WPF152" s="1011"/>
      <c r="WPG152" s="1011"/>
      <c r="WPH152" s="1011"/>
      <c r="WPI152" s="1011"/>
      <c r="WPJ152" s="1011"/>
      <c r="WPK152" s="1011"/>
      <c r="WPL152" s="1011"/>
      <c r="WPM152" s="1011"/>
      <c r="WPN152" s="1011"/>
      <c r="WPO152" s="1011"/>
      <c r="WPP152" s="1011"/>
      <c r="WPQ152" s="1011"/>
      <c r="WPR152" s="1011"/>
      <c r="WPS152" s="1011"/>
      <c r="WPT152" s="1011"/>
      <c r="WPU152" s="1011"/>
      <c r="WPV152" s="1011"/>
      <c r="WPW152" s="1011"/>
      <c r="WPX152" s="1011"/>
      <c r="WPY152" s="1011"/>
      <c r="WPZ152" s="1011"/>
      <c r="WQA152" s="1011"/>
      <c r="WQB152" s="1011"/>
      <c r="WQC152" s="1011"/>
      <c r="WQD152" s="1011"/>
      <c r="WQE152" s="1011"/>
      <c r="WQF152" s="1011"/>
      <c r="WQG152" s="1011"/>
      <c r="WQH152" s="1011"/>
      <c r="WQI152" s="1011"/>
      <c r="WQJ152" s="1011"/>
      <c r="WQK152" s="1011"/>
      <c r="WQL152" s="1011"/>
      <c r="WQM152" s="1011"/>
      <c r="WQN152" s="1011"/>
      <c r="WQO152" s="1011"/>
      <c r="WQP152" s="1011"/>
      <c r="WQQ152" s="1011"/>
      <c r="WQR152" s="1011"/>
      <c r="WQS152" s="1011"/>
      <c r="WQT152" s="1011"/>
      <c r="WQU152" s="1011"/>
      <c r="WQV152" s="1011"/>
      <c r="WQW152" s="1011"/>
      <c r="WQX152" s="1011"/>
      <c r="WQY152" s="1011"/>
      <c r="WQZ152" s="1011"/>
      <c r="WRA152" s="1011"/>
      <c r="WRB152" s="1011"/>
      <c r="WRC152" s="1011"/>
      <c r="WRD152" s="1011"/>
      <c r="WRE152" s="1011"/>
      <c r="WRF152" s="1011"/>
      <c r="WRG152" s="1011"/>
      <c r="WRH152" s="1011"/>
      <c r="WRI152" s="1011"/>
      <c r="WRJ152" s="1011"/>
      <c r="WRK152" s="1011"/>
      <c r="WRL152" s="1011"/>
      <c r="WRM152" s="1011"/>
      <c r="WRN152" s="1011"/>
      <c r="WRO152" s="1011"/>
      <c r="WRP152" s="1011"/>
      <c r="WRQ152" s="1011"/>
      <c r="WRR152" s="1011"/>
      <c r="WRS152" s="1011"/>
      <c r="WRT152" s="1011"/>
      <c r="WRU152" s="1011"/>
      <c r="WRV152" s="1011"/>
      <c r="WRW152" s="1011"/>
      <c r="WRX152" s="1011"/>
      <c r="WRY152" s="1011"/>
      <c r="WRZ152" s="1011"/>
      <c r="WSA152" s="1011"/>
      <c r="WSB152" s="1011"/>
      <c r="WSC152" s="1011"/>
      <c r="WSD152" s="1011"/>
      <c r="WSE152" s="1011"/>
      <c r="WSF152" s="1011"/>
      <c r="WSG152" s="1011"/>
      <c r="WSH152" s="1011"/>
      <c r="WSI152" s="1011"/>
      <c r="WSJ152" s="1011"/>
      <c r="WSK152" s="1011"/>
      <c r="WSL152" s="1011"/>
      <c r="WSM152" s="1011"/>
      <c r="WSN152" s="1011"/>
      <c r="WSO152" s="1011"/>
      <c r="WSP152" s="1011"/>
      <c r="WSQ152" s="1011"/>
      <c r="WSR152" s="1011"/>
      <c r="WSS152" s="1011"/>
      <c r="WST152" s="1011"/>
      <c r="WSU152" s="1011"/>
      <c r="WSV152" s="1011"/>
      <c r="WSW152" s="1011"/>
      <c r="WSX152" s="1011"/>
      <c r="WSY152" s="1011"/>
      <c r="WSZ152" s="1011"/>
      <c r="WTA152" s="1011"/>
      <c r="WTB152" s="1011"/>
      <c r="WTC152" s="1011"/>
      <c r="WTD152" s="1011"/>
      <c r="WTE152" s="1011"/>
      <c r="WTF152" s="1011"/>
      <c r="WTG152" s="1011"/>
      <c r="WTH152" s="1011"/>
      <c r="WTI152" s="1011"/>
      <c r="WTJ152" s="1011"/>
      <c r="WTK152" s="1011"/>
      <c r="WTL152" s="1011"/>
      <c r="WTM152" s="1011"/>
      <c r="WTN152" s="1011"/>
      <c r="WTO152" s="1011"/>
      <c r="WTP152" s="1011"/>
      <c r="WTQ152" s="1011"/>
      <c r="WTR152" s="1011"/>
      <c r="WTS152" s="1011"/>
      <c r="WTT152" s="1011"/>
      <c r="WTU152" s="1011"/>
      <c r="WTV152" s="1011"/>
      <c r="WTW152" s="1011"/>
      <c r="WTX152" s="1011"/>
      <c r="WTY152" s="1011"/>
      <c r="WTZ152" s="1011"/>
      <c r="WUA152" s="1011"/>
      <c r="WUB152" s="1011"/>
      <c r="WUC152" s="1011"/>
      <c r="WUD152" s="1011"/>
      <c r="WUE152" s="1011"/>
      <c r="WUF152" s="1011"/>
      <c r="WUG152" s="1011"/>
      <c r="WUH152" s="1011"/>
      <c r="WUI152" s="1011"/>
      <c r="WUJ152" s="1011"/>
      <c r="WUK152" s="1011"/>
      <c r="WUL152" s="1011"/>
      <c r="WUM152" s="1011"/>
      <c r="WUN152" s="1011"/>
      <c r="WUO152" s="1011"/>
      <c r="WUP152" s="1011"/>
      <c r="WUQ152" s="1011"/>
      <c r="WUR152" s="1011"/>
      <c r="WUS152" s="1011"/>
      <c r="WUT152" s="1011"/>
      <c r="WUU152" s="1011"/>
      <c r="WUV152" s="1011"/>
      <c r="WUW152" s="1011"/>
      <c r="WUX152" s="1011"/>
      <c r="WUY152" s="1011"/>
      <c r="WUZ152" s="1011"/>
      <c r="WVA152" s="1011"/>
      <c r="WVB152" s="1011"/>
      <c r="WVC152" s="1011"/>
      <c r="WVD152" s="1011"/>
      <c r="WVE152" s="1011"/>
      <c r="WVF152" s="1011"/>
      <c r="WVG152" s="1011"/>
      <c r="WVH152" s="1011"/>
      <c r="WVI152" s="1011"/>
      <c r="WVJ152" s="1011"/>
      <c r="WVK152" s="1011"/>
      <c r="WVL152" s="1011"/>
      <c r="WVM152" s="1011"/>
      <c r="WVN152" s="1011"/>
      <c r="WVO152" s="1011"/>
      <c r="WVP152" s="1011"/>
      <c r="WVQ152" s="1011"/>
      <c r="WVR152" s="1011"/>
      <c r="WVS152" s="1011"/>
      <c r="WVT152" s="1011"/>
      <c r="WVU152" s="1011"/>
      <c r="WVV152" s="1011"/>
      <c r="WVW152" s="1011"/>
      <c r="WVX152" s="1011"/>
      <c r="WVY152" s="1011"/>
      <c r="WVZ152" s="1011"/>
      <c r="WWA152" s="1011"/>
      <c r="WWB152" s="1011"/>
      <c r="WWC152" s="1011"/>
      <c r="WWD152" s="1011"/>
      <c r="WWE152" s="1011"/>
      <c r="WWF152" s="1011"/>
      <c r="WWG152" s="1011"/>
      <c r="WWH152" s="1011"/>
      <c r="WWI152" s="1011"/>
      <c r="WWJ152" s="1011"/>
      <c r="WWK152" s="1011"/>
      <c r="WWL152" s="1011"/>
      <c r="WWM152" s="1011"/>
      <c r="WWN152" s="1011"/>
      <c r="WWO152" s="1011"/>
      <c r="WWP152" s="1011"/>
      <c r="WWQ152" s="1011"/>
      <c r="WWR152" s="1011"/>
      <c r="WWS152" s="1011"/>
      <c r="WWT152" s="1011"/>
      <c r="WWU152" s="1011"/>
      <c r="WWV152" s="1011"/>
      <c r="WWW152" s="1011"/>
      <c r="WWX152" s="1011"/>
      <c r="WWY152" s="1011"/>
      <c r="WWZ152" s="1011"/>
      <c r="WXA152" s="1011"/>
      <c r="WXB152" s="1011"/>
      <c r="WXC152" s="1011"/>
      <c r="WXD152" s="1011"/>
      <c r="WXE152" s="1011"/>
      <c r="WXF152" s="1011"/>
      <c r="WXG152" s="1011"/>
      <c r="WXH152" s="1011"/>
      <c r="WXI152" s="1011"/>
      <c r="WXJ152" s="1011"/>
      <c r="WXK152" s="1011"/>
      <c r="WXL152" s="1011"/>
      <c r="WXM152" s="1011"/>
      <c r="WXN152" s="1011"/>
      <c r="WXO152" s="1011"/>
      <c r="WXP152" s="1011"/>
      <c r="WXQ152" s="1011"/>
      <c r="WXR152" s="1011"/>
      <c r="WXS152" s="1011"/>
      <c r="WXT152" s="1011"/>
      <c r="WXU152" s="1011"/>
      <c r="WXV152" s="1011"/>
      <c r="WXW152" s="1011"/>
      <c r="WXX152" s="1011"/>
      <c r="WXY152" s="1011"/>
      <c r="WXZ152" s="1011"/>
      <c r="WYA152" s="1011"/>
      <c r="WYB152" s="1011"/>
      <c r="WYC152" s="1011"/>
      <c r="WYD152" s="1011"/>
      <c r="WYE152" s="1011"/>
      <c r="WYF152" s="1011"/>
      <c r="WYG152" s="1011"/>
      <c r="WYH152" s="1011"/>
      <c r="WYI152" s="1011"/>
      <c r="WYJ152" s="1011"/>
      <c r="WYK152" s="1011"/>
      <c r="WYL152" s="1011"/>
      <c r="WYM152" s="1011"/>
      <c r="WYN152" s="1011"/>
      <c r="WYO152" s="1011"/>
      <c r="WYP152" s="1011"/>
      <c r="WYQ152" s="1011"/>
      <c r="WYR152" s="1011"/>
      <c r="WYS152" s="1011"/>
      <c r="WYT152" s="1011"/>
      <c r="WYU152" s="1011"/>
      <c r="WYV152" s="1011"/>
      <c r="WYW152" s="1011"/>
      <c r="WYX152" s="1011"/>
      <c r="WYY152" s="1011"/>
      <c r="WYZ152" s="1011"/>
      <c r="WZA152" s="1011"/>
      <c r="WZB152" s="1011"/>
      <c r="WZC152" s="1011"/>
      <c r="WZD152" s="1011"/>
      <c r="WZE152" s="1011"/>
      <c r="WZF152" s="1011"/>
      <c r="WZG152" s="1011"/>
      <c r="WZH152" s="1011"/>
      <c r="WZI152" s="1011"/>
      <c r="WZJ152" s="1011"/>
      <c r="WZK152" s="1011"/>
      <c r="WZL152" s="1011"/>
      <c r="WZM152" s="1011"/>
      <c r="WZN152" s="1011"/>
      <c r="WZO152" s="1011"/>
      <c r="WZP152" s="1011"/>
      <c r="WZQ152" s="1011"/>
      <c r="WZR152" s="1011"/>
      <c r="WZS152" s="1011"/>
      <c r="WZT152" s="1011"/>
      <c r="WZU152" s="1011"/>
      <c r="WZV152" s="1011"/>
      <c r="WZW152" s="1011"/>
      <c r="WZX152" s="1011"/>
      <c r="WZY152" s="1011"/>
      <c r="WZZ152" s="1011"/>
      <c r="XAA152" s="1011"/>
      <c r="XAB152" s="1011"/>
      <c r="XAC152" s="1011"/>
      <c r="XAD152" s="1011"/>
      <c r="XAE152" s="1011"/>
      <c r="XAF152" s="1011"/>
      <c r="XAG152" s="1011"/>
      <c r="XAH152" s="1011"/>
      <c r="XAI152" s="1011"/>
      <c r="XAJ152" s="1011"/>
      <c r="XAK152" s="1011"/>
      <c r="XAL152" s="1011"/>
      <c r="XAM152" s="1011"/>
      <c r="XAN152" s="1011"/>
      <c r="XAO152" s="1011"/>
      <c r="XAP152" s="1011"/>
      <c r="XAQ152" s="1011"/>
      <c r="XAR152" s="1011"/>
      <c r="XAS152" s="1011"/>
      <c r="XAT152" s="1011"/>
      <c r="XAU152" s="1011"/>
      <c r="XAV152" s="1011"/>
      <c r="XAW152" s="1011"/>
      <c r="XAX152" s="1011"/>
      <c r="XAY152" s="1011"/>
      <c r="XAZ152" s="1011"/>
      <c r="XBA152" s="1011"/>
      <c r="XBB152" s="1011"/>
      <c r="XBC152" s="1011"/>
      <c r="XBD152" s="1011"/>
      <c r="XBE152" s="1011"/>
      <c r="XBF152" s="1011"/>
      <c r="XBG152" s="1011"/>
      <c r="XBH152" s="1011"/>
      <c r="XBI152" s="1011"/>
      <c r="XBJ152" s="1011"/>
      <c r="XBK152" s="1011"/>
      <c r="XBL152" s="1011"/>
      <c r="XBM152" s="1011"/>
      <c r="XBN152" s="1011"/>
      <c r="XBO152" s="1011"/>
      <c r="XBP152" s="1011"/>
      <c r="XBQ152" s="1011"/>
      <c r="XBR152" s="1011"/>
      <c r="XBS152" s="1011"/>
      <c r="XBT152" s="1011"/>
      <c r="XBU152" s="1011"/>
      <c r="XBV152" s="1011"/>
      <c r="XBW152" s="1011"/>
      <c r="XBX152" s="1011"/>
      <c r="XBY152" s="1011"/>
      <c r="XBZ152" s="1011"/>
      <c r="XCA152" s="1011"/>
      <c r="XCB152" s="1011"/>
      <c r="XCC152" s="1011"/>
      <c r="XCD152" s="1011"/>
      <c r="XCE152" s="1011"/>
      <c r="XCF152" s="1011"/>
      <c r="XCG152" s="1011"/>
      <c r="XCH152" s="1011"/>
      <c r="XCI152" s="1011"/>
      <c r="XCJ152" s="1011"/>
      <c r="XCK152" s="1011"/>
      <c r="XCL152" s="1011"/>
      <c r="XCM152" s="1011"/>
      <c r="XCN152" s="1011"/>
      <c r="XCO152" s="1011"/>
      <c r="XCP152" s="1011"/>
      <c r="XCQ152" s="1011"/>
      <c r="XCR152" s="1011"/>
      <c r="XCS152" s="1011"/>
      <c r="XCT152" s="1011"/>
      <c r="XCU152" s="1011"/>
      <c r="XCV152" s="1011"/>
      <c r="XCW152" s="1011"/>
      <c r="XCX152" s="1011"/>
      <c r="XCY152" s="1011"/>
      <c r="XCZ152" s="1011"/>
      <c r="XDA152" s="1011"/>
      <c r="XDB152" s="1011"/>
      <c r="XDC152" s="1011"/>
      <c r="XDD152" s="1011"/>
      <c r="XDE152" s="1011"/>
      <c r="XDF152" s="1011"/>
      <c r="XDG152" s="1011"/>
      <c r="XDH152" s="1011"/>
      <c r="XDI152" s="1011"/>
      <c r="XDJ152" s="1011"/>
      <c r="XDK152" s="1011"/>
      <c r="XDL152" s="1011"/>
      <c r="XDM152" s="1011"/>
      <c r="XDN152" s="1011"/>
      <c r="XDO152" s="1011"/>
      <c r="XDP152" s="1011"/>
      <c r="XDQ152" s="1011"/>
      <c r="XDR152" s="1011"/>
      <c r="XDS152" s="1011"/>
      <c r="XDT152" s="1011"/>
      <c r="XDU152" s="1011"/>
      <c r="XDV152" s="1011"/>
      <c r="XDW152" s="1011"/>
      <c r="XDX152" s="1011"/>
      <c r="XDY152" s="1011"/>
      <c r="XDZ152" s="1011"/>
      <c r="XEA152" s="1011"/>
      <c r="XEB152" s="1011"/>
      <c r="XEC152" s="1011"/>
      <c r="XED152" s="1011"/>
      <c r="XEE152" s="1011"/>
      <c r="XEF152" s="1011"/>
      <c r="XEG152" s="1011"/>
      <c r="XEH152" s="1011"/>
      <c r="XEI152" s="1011"/>
      <c r="XEJ152" s="1011"/>
      <c r="XEK152" s="1011"/>
      <c r="XEL152" s="1011"/>
      <c r="XEM152" s="1011"/>
      <c r="XEN152" s="1011"/>
      <c r="XEO152" s="1011"/>
      <c r="XEP152" s="1011"/>
      <c r="XEQ152" s="1011"/>
      <c r="XER152" s="1011"/>
      <c r="XES152" s="1011"/>
      <c r="XET152" s="1011"/>
      <c r="XEU152" s="1011"/>
      <c r="XEV152" s="1011"/>
      <c r="XEW152" s="1011"/>
      <c r="XEX152" s="1011"/>
      <c r="XEY152" s="1011"/>
      <c r="XEZ152" s="1011"/>
      <c r="XFA152" s="1011"/>
      <c r="XFB152" s="1011"/>
      <c r="XFC152" s="1011"/>
    </row>
    <row r="153" spans="1:16383" x14ac:dyDescent="0.25">
      <c r="A153" s="1195" t="s">
        <v>97</v>
      </c>
      <c r="B153" s="1195">
        <v>40700045</v>
      </c>
      <c r="C153" s="1195" t="s">
        <v>928</v>
      </c>
      <c r="D153" s="1195" t="s">
        <v>397</v>
      </c>
      <c r="E153" s="1195" t="s">
        <v>59</v>
      </c>
      <c r="F153" s="1196" t="s">
        <v>1288</v>
      </c>
      <c r="G153" s="550">
        <v>1</v>
      </c>
      <c r="H153" s="550">
        <v>0</v>
      </c>
      <c r="I153" s="1201">
        <f t="shared" si="9"/>
        <v>1</v>
      </c>
      <c r="J153" s="1197">
        <v>0</v>
      </c>
      <c r="K153" s="550">
        <v>0</v>
      </c>
      <c r="L153" s="550">
        <v>0</v>
      </c>
      <c r="M153" s="550"/>
      <c r="N153" s="1012"/>
      <c r="O153" s="1013"/>
      <c r="P153" s="1011"/>
      <c r="Q153" s="1011"/>
      <c r="R153" s="1011"/>
      <c r="S153" s="1011"/>
      <c r="T153" s="551"/>
      <c r="U153" s="1013"/>
      <c r="V153" s="1013"/>
      <c r="W153" s="1011"/>
      <c r="X153" s="1011"/>
      <c r="Y153" s="1011"/>
      <c r="Z153" s="1011"/>
      <c r="AA153" s="1011"/>
      <c r="AB153" s="1011"/>
      <c r="AC153" s="1011"/>
      <c r="AD153" s="1011"/>
      <c r="AE153" s="1011"/>
      <c r="AF153" s="1011"/>
      <c r="AG153" s="1011"/>
      <c r="AH153" s="1011"/>
      <c r="AI153" s="1011"/>
      <c r="AJ153" s="1011"/>
      <c r="AK153" s="1011"/>
      <c r="AL153" s="1011"/>
      <c r="AM153" s="1011"/>
      <c r="AN153" s="1011"/>
      <c r="AO153" s="1011"/>
      <c r="AP153" s="1011"/>
      <c r="AQ153" s="1011"/>
      <c r="AR153" s="1011"/>
      <c r="AS153" s="1011"/>
      <c r="AT153" s="1011"/>
      <c r="AU153" s="1011"/>
      <c r="AV153" s="1011"/>
      <c r="AW153" s="1011"/>
      <c r="AX153" s="1011"/>
      <c r="AY153" s="1011"/>
      <c r="AZ153" s="1011"/>
      <c r="BA153" s="1011"/>
      <c r="BB153" s="1011"/>
      <c r="BC153" s="1011"/>
      <c r="BD153" s="1011"/>
      <c r="BE153" s="1011"/>
      <c r="BF153" s="1011"/>
      <c r="BG153" s="1011"/>
      <c r="BH153" s="1011"/>
      <c r="BI153" s="1011"/>
      <c r="BJ153" s="1011"/>
      <c r="BK153" s="1011"/>
      <c r="BL153" s="1011"/>
      <c r="BM153" s="1011"/>
      <c r="BN153" s="1011"/>
      <c r="BO153" s="1011"/>
      <c r="BP153" s="1011"/>
      <c r="BQ153" s="1011"/>
      <c r="BR153" s="1011"/>
      <c r="BS153" s="1011"/>
      <c r="BT153" s="1011"/>
      <c r="BU153" s="1011"/>
      <c r="BV153" s="1011"/>
      <c r="BW153" s="1011"/>
      <c r="BX153" s="1011"/>
      <c r="BY153" s="1011"/>
      <c r="BZ153" s="1011"/>
      <c r="CA153" s="1011"/>
      <c r="CB153" s="1011"/>
      <c r="CC153" s="1011"/>
      <c r="CD153" s="1011"/>
      <c r="CE153" s="1011"/>
      <c r="CF153" s="1011"/>
      <c r="CG153" s="1011"/>
      <c r="CH153" s="1011"/>
      <c r="CI153" s="1011"/>
      <c r="CJ153" s="1011"/>
      <c r="CK153" s="1011"/>
      <c r="CL153" s="1011"/>
      <c r="CM153" s="1011"/>
      <c r="CN153" s="1011"/>
      <c r="CO153" s="1011"/>
      <c r="CP153" s="1011"/>
      <c r="CQ153" s="1011"/>
      <c r="CR153" s="1011"/>
      <c r="CS153" s="1011"/>
      <c r="CT153" s="1011"/>
      <c r="CU153" s="1011"/>
      <c r="CV153" s="1011"/>
      <c r="CW153" s="1011"/>
      <c r="CX153" s="1011"/>
      <c r="CY153" s="1011"/>
      <c r="CZ153" s="1011"/>
      <c r="DA153" s="1011"/>
      <c r="DB153" s="1011"/>
      <c r="DC153" s="1011"/>
      <c r="DD153" s="1011"/>
      <c r="DE153" s="1011"/>
      <c r="DF153" s="1011"/>
      <c r="DG153" s="1011"/>
      <c r="DH153" s="1011"/>
      <c r="DI153" s="1011"/>
      <c r="DJ153" s="1011"/>
      <c r="DK153" s="1011"/>
      <c r="DL153" s="1011"/>
      <c r="DM153" s="1011"/>
      <c r="DN153" s="1011"/>
      <c r="DO153" s="1011"/>
      <c r="DP153" s="1011"/>
      <c r="DQ153" s="1011"/>
      <c r="DR153" s="1011"/>
      <c r="DS153" s="1011"/>
      <c r="DT153" s="1011"/>
      <c r="DU153" s="1011"/>
      <c r="DV153" s="1011"/>
      <c r="DW153" s="1011"/>
      <c r="DX153" s="1011"/>
      <c r="DY153" s="1011"/>
      <c r="DZ153" s="1011"/>
      <c r="EA153" s="1011"/>
      <c r="EB153" s="1011"/>
      <c r="EC153" s="1011"/>
      <c r="ED153" s="1011"/>
      <c r="EE153" s="1011"/>
      <c r="EF153" s="1011"/>
      <c r="EG153" s="1011"/>
      <c r="EH153" s="1011"/>
      <c r="EI153" s="1011"/>
      <c r="EJ153" s="1011"/>
      <c r="EK153" s="1011"/>
      <c r="EL153" s="1011"/>
      <c r="EM153" s="1011"/>
      <c r="EN153" s="1011"/>
      <c r="EO153" s="1011"/>
      <c r="EP153" s="1011"/>
      <c r="EQ153" s="1011"/>
      <c r="ER153" s="1011"/>
      <c r="ES153" s="1011"/>
      <c r="ET153" s="1011"/>
      <c r="EU153" s="1011"/>
      <c r="EV153" s="1011"/>
      <c r="EW153" s="1011"/>
      <c r="EX153" s="1011"/>
      <c r="EY153" s="1011"/>
      <c r="EZ153" s="1011"/>
      <c r="FA153" s="1011"/>
      <c r="FB153" s="1011"/>
      <c r="FC153" s="1011"/>
      <c r="FD153" s="1011"/>
      <c r="FE153" s="1011"/>
      <c r="FF153" s="1011"/>
      <c r="FG153" s="1011"/>
      <c r="FH153" s="1011"/>
      <c r="FI153" s="1011"/>
      <c r="FJ153" s="1011"/>
      <c r="FK153" s="1011"/>
      <c r="FL153" s="1011"/>
      <c r="FM153" s="1011"/>
      <c r="FN153" s="1011"/>
      <c r="FO153" s="1011"/>
      <c r="FP153" s="1011"/>
      <c r="FQ153" s="1011"/>
      <c r="FR153" s="1011"/>
      <c r="FS153" s="1011"/>
      <c r="FT153" s="1011"/>
      <c r="FU153" s="1011"/>
      <c r="FV153" s="1011"/>
      <c r="FW153" s="1011"/>
      <c r="FX153" s="1011"/>
      <c r="FY153" s="1011"/>
      <c r="FZ153" s="1011"/>
      <c r="GA153" s="1011"/>
      <c r="GB153" s="1011"/>
      <c r="GC153" s="1011"/>
      <c r="GD153" s="1011"/>
      <c r="GE153" s="1011"/>
      <c r="GF153" s="1011"/>
      <c r="GG153" s="1011"/>
      <c r="GH153" s="1011"/>
      <c r="GI153" s="1011"/>
      <c r="GJ153" s="1011"/>
      <c r="GK153" s="1011"/>
      <c r="GL153" s="1011"/>
      <c r="GM153" s="1011"/>
      <c r="GN153" s="1011"/>
      <c r="GO153" s="1011"/>
      <c r="GP153" s="1011"/>
      <c r="GQ153" s="1011"/>
      <c r="GR153" s="1011"/>
      <c r="GS153" s="1011"/>
      <c r="GT153" s="1011"/>
      <c r="GU153" s="1011"/>
      <c r="GV153" s="1011"/>
      <c r="GW153" s="1011"/>
      <c r="GX153" s="1011"/>
      <c r="GY153" s="1011"/>
      <c r="GZ153" s="1011"/>
      <c r="HA153" s="1011"/>
      <c r="HB153" s="1011"/>
      <c r="HC153" s="1011"/>
      <c r="HD153" s="1011"/>
      <c r="HE153" s="1011"/>
      <c r="HF153" s="1011"/>
      <c r="HG153" s="1011"/>
      <c r="HH153" s="1011"/>
      <c r="HI153" s="1011"/>
      <c r="HJ153" s="1011"/>
      <c r="HK153" s="1011"/>
      <c r="HL153" s="1011"/>
      <c r="HM153" s="1011"/>
      <c r="HN153" s="1011"/>
      <c r="HO153" s="1011"/>
      <c r="HP153" s="1011"/>
      <c r="HQ153" s="1011"/>
      <c r="HR153" s="1011"/>
      <c r="HS153" s="1011"/>
      <c r="HT153" s="1011"/>
      <c r="HU153" s="1011"/>
      <c r="HV153" s="1011"/>
      <c r="HW153" s="1011"/>
      <c r="HX153" s="1011"/>
      <c r="HY153" s="1011"/>
      <c r="HZ153" s="1011"/>
      <c r="IA153" s="1011"/>
      <c r="IB153" s="1011"/>
      <c r="IC153" s="1011"/>
      <c r="ID153" s="1011"/>
      <c r="IE153" s="1011"/>
      <c r="IF153" s="1011"/>
      <c r="IG153" s="1011"/>
      <c r="IH153" s="1011"/>
      <c r="II153" s="1011"/>
      <c r="IJ153" s="1011"/>
      <c r="IK153" s="1011"/>
      <c r="IL153" s="1011"/>
      <c r="IM153" s="1011"/>
      <c r="IN153" s="1011"/>
      <c r="IO153" s="1011"/>
      <c r="IP153" s="1011"/>
      <c r="IQ153" s="1011"/>
      <c r="IR153" s="1011"/>
      <c r="IS153" s="1011"/>
      <c r="IT153" s="1011"/>
      <c r="IU153" s="1011"/>
      <c r="IV153" s="1011"/>
      <c r="IW153" s="1011"/>
      <c r="IX153" s="1011"/>
      <c r="IY153" s="1011"/>
      <c r="IZ153" s="1011"/>
      <c r="JA153" s="1011"/>
      <c r="JB153" s="1011"/>
      <c r="JC153" s="1011"/>
      <c r="JD153" s="1011"/>
      <c r="JE153" s="1011"/>
      <c r="JF153" s="1011"/>
      <c r="JG153" s="1011"/>
      <c r="JH153" s="1011"/>
      <c r="JI153" s="1011"/>
      <c r="JJ153" s="1011"/>
      <c r="JK153" s="1011"/>
      <c r="JL153" s="1011"/>
      <c r="JM153" s="1011"/>
      <c r="JN153" s="1011"/>
      <c r="JO153" s="1011"/>
      <c r="JP153" s="1011"/>
      <c r="JQ153" s="1011"/>
      <c r="JR153" s="1011"/>
      <c r="JS153" s="1011"/>
      <c r="JT153" s="1011"/>
      <c r="JU153" s="1011"/>
      <c r="JV153" s="1011"/>
      <c r="JW153" s="1011"/>
      <c r="JX153" s="1011"/>
      <c r="JY153" s="1011"/>
      <c r="JZ153" s="1011"/>
      <c r="KA153" s="1011"/>
      <c r="KB153" s="1011"/>
      <c r="KC153" s="1011"/>
      <c r="KD153" s="1011"/>
      <c r="KE153" s="1011"/>
      <c r="KF153" s="1011"/>
      <c r="KG153" s="1011"/>
      <c r="KH153" s="1011"/>
      <c r="KI153" s="1011"/>
      <c r="KJ153" s="1011"/>
      <c r="KK153" s="1011"/>
      <c r="KL153" s="1011"/>
      <c r="KM153" s="1011"/>
      <c r="KN153" s="1011"/>
      <c r="KO153" s="1011"/>
      <c r="KP153" s="1011"/>
      <c r="KQ153" s="1011"/>
      <c r="KR153" s="1011"/>
      <c r="KS153" s="1011"/>
      <c r="KT153" s="1011"/>
      <c r="KU153" s="1011"/>
      <c r="KV153" s="1011"/>
      <c r="KW153" s="1011"/>
      <c r="KX153" s="1011"/>
      <c r="KY153" s="1011"/>
      <c r="KZ153" s="1011"/>
      <c r="LA153" s="1011"/>
      <c r="LB153" s="1011"/>
      <c r="LC153" s="1011"/>
      <c r="LD153" s="1011"/>
      <c r="LE153" s="1011"/>
      <c r="LF153" s="1011"/>
      <c r="LG153" s="1011"/>
      <c r="LH153" s="1011"/>
      <c r="LI153" s="1011"/>
      <c r="LJ153" s="1011"/>
      <c r="LK153" s="1011"/>
      <c r="LL153" s="1011"/>
      <c r="LM153" s="1011"/>
      <c r="LN153" s="1011"/>
      <c r="LO153" s="1011"/>
      <c r="LP153" s="1011"/>
      <c r="LQ153" s="1011"/>
      <c r="LR153" s="1011"/>
      <c r="LS153" s="1011"/>
      <c r="LT153" s="1011"/>
      <c r="LU153" s="1011"/>
      <c r="LV153" s="1011"/>
      <c r="LW153" s="1011"/>
      <c r="LX153" s="1011"/>
      <c r="LY153" s="1011"/>
      <c r="LZ153" s="1011"/>
      <c r="MA153" s="1011"/>
      <c r="MB153" s="1011"/>
      <c r="MC153" s="1011"/>
      <c r="MD153" s="1011"/>
      <c r="ME153" s="1011"/>
      <c r="MF153" s="1011"/>
      <c r="MG153" s="1011"/>
      <c r="MH153" s="1011"/>
      <c r="MI153" s="1011"/>
      <c r="MJ153" s="1011"/>
      <c r="MK153" s="1011"/>
      <c r="ML153" s="1011"/>
      <c r="MM153" s="1011"/>
      <c r="MN153" s="1011"/>
      <c r="MO153" s="1011"/>
      <c r="MP153" s="1011"/>
      <c r="MQ153" s="1011"/>
      <c r="MR153" s="1011"/>
      <c r="MS153" s="1011"/>
      <c r="MT153" s="1011"/>
      <c r="MU153" s="1011"/>
      <c r="MV153" s="1011"/>
      <c r="MW153" s="1011"/>
      <c r="MX153" s="1011"/>
      <c r="MY153" s="1011"/>
      <c r="MZ153" s="1011"/>
      <c r="NA153" s="1011"/>
      <c r="NB153" s="1011"/>
      <c r="NC153" s="1011"/>
      <c r="ND153" s="1011"/>
      <c r="NE153" s="1011"/>
      <c r="NF153" s="1011"/>
      <c r="NG153" s="1011"/>
      <c r="NH153" s="1011"/>
      <c r="NI153" s="1011"/>
      <c r="NJ153" s="1011"/>
      <c r="NK153" s="1011"/>
      <c r="NL153" s="1011"/>
      <c r="NM153" s="1011"/>
      <c r="NN153" s="1011"/>
      <c r="NO153" s="1011"/>
      <c r="NP153" s="1011"/>
      <c r="NQ153" s="1011"/>
      <c r="NR153" s="1011"/>
      <c r="NS153" s="1011"/>
      <c r="NT153" s="1011"/>
      <c r="NU153" s="1011"/>
      <c r="NV153" s="1011"/>
      <c r="NW153" s="1011"/>
      <c r="NX153" s="1011"/>
      <c r="NY153" s="1011"/>
      <c r="NZ153" s="1011"/>
      <c r="OA153" s="1011"/>
      <c r="OB153" s="1011"/>
      <c r="OC153" s="1011"/>
      <c r="OD153" s="1011"/>
      <c r="OE153" s="1011"/>
      <c r="OF153" s="1011"/>
      <c r="OG153" s="1011"/>
      <c r="OH153" s="1011"/>
      <c r="OI153" s="1011"/>
      <c r="OJ153" s="1011"/>
      <c r="OK153" s="1011"/>
      <c r="OL153" s="1011"/>
      <c r="OM153" s="1011"/>
      <c r="ON153" s="1011"/>
      <c r="OO153" s="1011"/>
      <c r="OP153" s="1011"/>
      <c r="OQ153" s="1011"/>
      <c r="OR153" s="1011"/>
      <c r="OS153" s="1011"/>
      <c r="OT153" s="1011"/>
      <c r="OU153" s="1011"/>
      <c r="OV153" s="1011"/>
      <c r="OW153" s="1011"/>
      <c r="OX153" s="1011"/>
      <c r="OY153" s="1011"/>
      <c r="OZ153" s="1011"/>
      <c r="PA153" s="1011"/>
      <c r="PB153" s="1011"/>
      <c r="PC153" s="1011"/>
      <c r="PD153" s="1011"/>
      <c r="PE153" s="1011"/>
      <c r="PF153" s="1011"/>
      <c r="PG153" s="1011"/>
      <c r="PH153" s="1011"/>
      <c r="PI153" s="1011"/>
      <c r="PJ153" s="1011"/>
      <c r="PK153" s="1011"/>
      <c r="PL153" s="1011"/>
      <c r="PM153" s="1011"/>
      <c r="PN153" s="1011"/>
      <c r="PO153" s="1011"/>
      <c r="PP153" s="1011"/>
      <c r="PQ153" s="1011"/>
      <c r="PR153" s="1011"/>
      <c r="PS153" s="1011"/>
      <c r="PT153" s="1011"/>
      <c r="PU153" s="1011"/>
      <c r="PV153" s="1011"/>
      <c r="PW153" s="1011"/>
      <c r="PX153" s="1011"/>
      <c r="PY153" s="1011"/>
      <c r="PZ153" s="1011"/>
      <c r="QA153" s="1011"/>
      <c r="QB153" s="1011"/>
      <c r="QC153" s="1011"/>
      <c r="QD153" s="1011"/>
      <c r="QE153" s="1011"/>
      <c r="QF153" s="1011"/>
      <c r="QG153" s="1011"/>
      <c r="QH153" s="1011"/>
      <c r="QI153" s="1011"/>
      <c r="QJ153" s="1011"/>
      <c r="QK153" s="1011"/>
      <c r="QL153" s="1011"/>
      <c r="QM153" s="1011"/>
      <c r="QN153" s="1011"/>
      <c r="QO153" s="1011"/>
      <c r="QP153" s="1011"/>
      <c r="QQ153" s="1011"/>
      <c r="QR153" s="1011"/>
      <c r="QS153" s="1011"/>
      <c r="QT153" s="1011"/>
      <c r="QU153" s="1011"/>
      <c r="QV153" s="1011"/>
      <c r="QW153" s="1011"/>
      <c r="QX153" s="1011"/>
      <c r="QY153" s="1011"/>
      <c r="QZ153" s="1011"/>
      <c r="RA153" s="1011"/>
      <c r="RB153" s="1011"/>
      <c r="RC153" s="1011"/>
      <c r="RD153" s="1011"/>
      <c r="RE153" s="1011"/>
      <c r="RF153" s="1011"/>
      <c r="RG153" s="1011"/>
      <c r="RH153" s="1011"/>
      <c r="RI153" s="1011"/>
      <c r="RJ153" s="1011"/>
      <c r="RK153" s="1011"/>
      <c r="RL153" s="1011"/>
      <c r="RM153" s="1011"/>
      <c r="RN153" s="1011"/>
      <c r="RO153" s="1011"/>
      <c r="RP153" s="1011"/>
      <c r="RQ153" s="1011"/>
      <c r="RR153" s="1011"/>
      <c r="RS153" s="1011"/>
      <c r="RT153" s="1011"/>
      <c r="RU153" s="1011"/>
      <c r="RV153" s="1011"/>
      <c r="RW153" s="1011"/>
      <c r="RX153" s="1011"/>
      <c r="RY153" s="1011"/>
      <c r="RZ153" s="1011"/>
      <c r="SA153" s="1011"/>
      <c r="SB153" s="1011"/>
      <c r="SC153" s="1011"/>
      <c r="SD153" s="1011"/>
      <c r="SE153" s="1011"/>
      <c r="SF153" s="1011"/>
      <c r="SG153" s="1011"/>
      <c r="SH153" s="1011"/>
      <c r="SI153" s="1011"/>
      <c r="SJ153" s="1011"/>
      <c r="SK153" s="1011"/>
      <c r="SL153" s="1011"/>
      <c r="SM153" s="1011"/>
      <c r="SN153" s="1011"/>
      <c r="SO153" s="1011"/>
      <c r="SP153" s="1011"/>
      <c r="SQ153" s="1011"/>
      <c r="SR153" s="1011"/>
      <c r="SS153" s="1011"/>
      <c r="ST153" s="1011"/>
      <c r="SU153" s="1011"/>
      <c r="SV153" s="1011"/>
      <c r="SW153" s="1011"/>
      <c r="SX153" s="1011"/>
      <c r="SY153" s="1011"/>
      <c r="SZ153" s="1011"/>
      <c r="TA153" s="1011"/>
      <c r="TB153" s="1011"/>
      <c r="TC153" s="1011"/>
      <c r="TD153" s="1011"/>
      <c r="TE153" s="1011"/>
      <c r="TF153" s="1011"/>
      <c r="TG153" s="1011"/>
      <c r="TH153" s="1011"/>
      <c r="TI153" s="1011"/>
      <c r="TJ153" s="1011"/>
      <c r="TK153" s="1011"/>
      <c r="TL153" s="1011"/>
      <c r="TM153" s="1011"/>
      <c r="TN153" s="1011"/>
      <c r="TO153" s="1011"/>
      <c r="TP153" s="1011"/>
      <c r="TQ153" s="1011"/>
      <c r="TR153" s="1011"/>
      <c r="TS153" s="1011"/>
      <c r="TT153" s="1011"/>
      <c r="TU153" s="1011"/>
      <c r="TV153" s="1011"/>
      <c r="TW153" s="1011"/>
      <c r="TX153" s="1011"/>
      <c r="TY153" s="1011"/>
      <c r="TZ153" s="1011"/>
      <c r="UA153" s="1011"/>
      <c r="UB153" s="1011"/>
      <c r="UC153" s="1011"/>
      <c r="UD153" s="1011"/>
      <c r="UE153" s="1011"/>
      <c r="UF153" s="1011"/>
      <c r="UG153" s="1011"/>
      <c r="UH153" s="1011"/>
      <c r="UI153" s="1011"/>
      <c r="UJ153" s="1011"/>
      <c r="UK153" s="1011"/>
      <c r="UL153" s="1011"/>
      <c r="UM153" s="1011"/>
      <c r="UN153" s="1011"/>
      <c r="UO153" s="1011"/>
      <c r="UP153" s="1011"/>
      <c r="UQ153" s="1011"/>
      <c r="UR153" s="1011"/>
      <c r="US153" s="1011"/>
      <c r="UT153" s="1011"/>
      <c r="UU153" s="1011"/>
      <c r="UV153" s="1011"/>
      <c r="UW153" s="1011"/>
      <c r="UX153" s="1011"/>
      <c r="UY153" s="1011"/>
      <c r="UZ153" s="1011"/>
      <c r="VA153" s="1011"/>
      <c r="VB153" s="1011"/>
      <c r="VC153" s="1011"/>
      <c r="VD153" s="1011"/>
      <c r="VE153" s="1011"/>
      <c r="VF153" s="1011"/>
      <c r="VG153" s="1011"/>
      <c r="VH153" s="1011"/>
      <c r="VI153" s="1011"/>
      <c r="VJ153" s="1011"/>
      <c r="VK153" s="1011"/>
      <c r="VL153" s="1011"/>
      <c r="VM153" s="1011"/>
      <c r="VN153" s="1011"/>
      <c r="VO153" s="1011"/>
      <c r="VP153" s="1011"/>
      <c r="VQ153" s="1011"/>
      <c r="VR153" s="1011"/>
      <c r="VS153" s="1011"/>
      <c r="VT153" s="1011"/>
      <c r="VU153" s="1011"/>
      <c r="VV153" s="1011"/>
      <c r="VW153" s="1011"/>
      <c r="VX153" s="1011"/>
      <c r="VY153" s="1011"/>
      <c r="VZ153" s="1011"/>
      <c r="WA153" s="1011"/>
      <c r="WB153" s="1011"/>
      <c r="WC153" s="1011"/>
      <c r="WD153" s="1011"/>
      <c r="WE153" s="1011"/>
      <c r="WF153" s="1011"/>
      <c r="WG153" s="1011"/>
      <c r="WH153" s="1011"/>
      <c r="WI153" s="1011"/>
      <c r="WJ153" s="1011"/>
      <c r="WK153" s="1011"/>
      <c r="WL153" s="1011"/>
      <c r="WM153" s="1011"/>
      <c r="WN153" s="1011"/>
      <c r="WO153" s="1011"/>
      <c r="WP153" s="1011"/>
      <c r="WQ153" s="1011"/>
      <c r="WR153" s="1011"/>
      <c r="WS153" s="1011"/>
      <c r="WT153" s="1011"/>
      <c r="WU153" s="1011"/>
      <c r="WV153" s="1011"/>
      <c r="WW153" s="1011"/>
      <c r="WX153" s="1011"/>
      <c r="WY153" s="1011"/>
      <c r="WZ153" s="1011"/>
      <c r="XA153" s="1011"/>
      <c r="XB153" s="1011"/>
      <c r="XC153" s="1011"/>
      <c r="XD153" s="1011"/>
      <c r="XE153" s="1011"/>
      <c r="XF153" s="1011"/>
      <c r="XG153" s="1011"/>
      <c r="XH153" s="1011"/>
      <c r="XI153" s="1011"/>
      <c r="XJ153" s="1011"/>
      <c r="XK153" s="1011"/>
      <c r="XL153" s="1011"/>
      <c r="XM153" s="1011"/>
      <c r="XN153" s="1011"/>
      <c r="XO153" s="1011"/>
      <c r="XP153" s="1011"/>
      <c r="XQ153" s="1011"/>
      <c r="XR153" s="1011"/>
      <c r="XS153" s="1011"/>
      <c r="XT153" s="1011"/>
      <c r="XU153" s="1011"/>
      <c r="XV153" s="1011"/>
      <c r="XW153" s="1011"/>
      <c r="XX153" s="1011"/>
      <c r="XY153" s="1011"/>
      <c r="XZ153" s="1011"/>
      <c r="YA153" s="1011"/>
      <c r="YB153" s="1011"/>
      <c r="YC153" s="1011"/>
      <c r="YD153" s="1011"/>
      <c r="YE153" s="1011"/>
      <c r="YF153" s="1011"/>
      <c r="YG153" s="1011"/>
      <c r="YH153" s="1011"/>
      <c r="YI153" s="1011"/>
      <c r="YJ153" s="1011"/>
      <c r="YK153" s="1011"/>
      <c r="YL153" s="1011"/>
      <c r="YM153" s="1011"/>
      <c r="YN153" s="1011"/>
      <c r="YO153" s="1011"/>
      <c r="YP153" s="1011"/>
      <c r="YQ153" s="1011"/>
      <c r="YR153" s="1011"/>
      <c r="YS153" s="1011"/>
      <c r="YT153" s="1011"/>
      <c r="YU153" s="1011"/>
      <c r="YV153" s="1011"/>
      <c r="YW153" s="1011"/>
      <c r="YX153" s="1011"/>
      <c r="YY153" s="1011"/>
      <c r="YZ153" s="1011"/>
      <c r="ZA153" s="1011"/>
      <c r="ZB153" s="1011"/>
      <c r="ZC153" s="1011"/>
      <c r="ZD153" s="1011"/>
      <c r="ZE153" s="1011"/>
      <c r="ZF153" s="1011"/>
      <c r="ZG153" s="1011"/>
      <c r="ZH153" s="1011"/>
      <c r="ZI153" s="1011"/>
      <c r="ZJ153" s="1011"/>
      <c r="ZK153" s="1011"/>
      <c r="ZL153" s="1011"/>
      <c r="ZM153" s="1011"/>
      <c r="ZN153" s="1011"/>
      <c r="ZO153" s="1011"/>
      <c r="ZP153" s="1011"/>
      <c r="ZQ153" s="1011"/>
      <c r="ZR153" s="1011"/>
      <c r="ZS153" s="1011"/>
      <c r="ZT153" s="1011"/>
      <c r="ZU153" s="1011"/>
      <c r="ZV153" s="1011"/>
      <c r="ZW153" s="1011"/>
      <c r="ZX153" s="1011"/>
      <c r="ZY153" s="1011"/>
      <c r="ZZ153" s="1011"/>
      <c r="AAA153" s="1011"/>
      <c r="AAB153" s="1011"/>
      <c r="AAC153" s="1011"/>
      <c r="AAD153" s="1011"/>
      <c r="AAE153" s="1011"/>
      <c r="AAF153" s="1011"/>
      <c r="AAG153" s="1011"/>
      <c r="AAH153" s="1011"/>
      <c r="AAI153" s="1011"/>
      <c r="AAJ153" s="1011"/>
      <c r="AAK153" s="1011"/>
      <c r="AAL153" s="1011"/>
      <c r="AAM153" s="1011"/>
      <c r="AAN153" s="1011"/>
      <c r="AAO153" s="1011"/>
      <c r="AAP153" s="1011"/>
      <c r="AAQ153" s="1011"/>
      <c r="AAR153" s="1011"/>
      <c r="AAS153" s="1011"/>
      <c r="AAT153" s="1011"/>
      <c r="AAU153" s="1011"/>
      <c r="AAV153" s="1011"/>
      <c r="AAW153" s="1011"/>
      <c r="AAX153" s="1011"/>
      <c r="AAY153" s="1011"/>
      <c r="AAZ153" s="1011"/>
      <c r="ABA153" s="1011"/>
      <c r="ABB153" s="1011"/>
      <c r="ABC153" s="1011"/>
      <c r="ABD153" s="1011"/>
      <c r="ABE153" s="1011"/>
      <c r="ABF153" s="1011"/>
      <c r="ABG153" s="1011"/>
      <c r="ABH153" s="1011"/>
      <c r="ABI153" s="1011"/>
      <c r="ABJ153" s="1011"/>
      <c r="ABK153" s="1011"/>
      <c r="ABL153" s="1011"/>
      <c r="ABM153" s="1011"/>
      <c r="ABN153" s="1011"/>
      <c r="ABO153" s="1011"/>
      <c r="ABP153" s="1011"/>
      <c r="ABQ153" s="1011"/>
      <c r="ABR153" s="1011"/>
      <c r="ABS153" s="1011"/>
      <c r="ABT153" s="1011"/>
      <c r="ABU153" s="1011"/>
      <c r="ABV153" s="1011"/>
      <c r="ABW153" s="1011"/>
      <c r="ABX153" s="1011"/>
      <c r="ABY153" s="1011"/>
      <c r="ABZ153" s="1011"/>
      <c r="ACA153" s="1011"/>
      <c r="ACB153" s="1011"/>
      <c r="ACC153" s="1011"/>
      <c r="ACD153" s="1011"/>
      <c r="ACE153" s="1011"/>
      <c r="ACF153" s="1011"/>
      <c r="ACG153" s="1011"/>
      <c r="ACH153" s="1011"/>
      <c r="ACI153" s="1011"/>
      <c r="ACJ153" s="1011"/>
      <c r="ACK153" s="1011"/>
      <c r="ACL153" s="1011"/>
      <c r="ACM153" s="1011"/>
      <c r="ACN153" s="1011"/>
      <c r="ACO153" s="1011"/>
      <c r="ACP153" s="1011"/>
      <c r="ACQ153" s="1011"/>
      <c r="ACR153" s="1011"/>
      <c r="ACS153" s="1011"/>
      <c r="ACT153" s="1011"/>
      <c r="ACU153" s="1011"/>
      <c r="ACV153" s="1011"/>
      <c r="ACW153" s="1011"/>
      <c r="ACX153" s="1011"/>
      <c r="ACY153" s="1011"/>
      <c r="ACZ153" s="1011"/>
      <c r="ADA153" s="1011"/>
      <c r="ADB153" s="1011"/>
      <c r="ADC153" s="1011"/>
      <c r="ADD153" s="1011"/>
      <c r="ADE153" s="1011"/>
      <c r="ADF153" s="1011"/>
      <c r="ADG153" s="1011"/>
      <c r="ADH153" s="1011"/>
      <c r="ADI153" s="1011"/>
      <c r="ADJ153" s="1011"/>
      <c r="ADK153" s="1011"/>
      <c r="ADL153" s="1011"/>
      <c r="ADM153" s="1011"/>
      <c r="ADN153" s="1011"/>
      <c r="ADO153" s="1011"/>
      <c r="ADP153" s="1011"/>
      <c r="ADQ153" s="1011"/>
      <c r="ADR153" s="1011"/>
      <c r="ADS153" s="1011"/>
      <c r="ADT153" s="1011"/>
      <c r="ADU153" s="1011"/>
      <c r="ADV153" s="1011"/>
      <c r="ADW153" s="1011"/>
      <c r="ADX153" s="1011"/>
      <c r="ADY153" s="1011"/>
      <c r="ADZ153" s="1011"/>
      <c r="AEA153" s="1011"/>
      <c r="AEB153" s="1011"/>
      <c r="AEC153" s="1011"/>
      <c r="AED153" s="1011"/>
      <c r="AEE153" s="1011"/>
      <c r="AEF153" s="1011"/>
      <c r="AEG153" s="1011"/>
      <c r="AEH153" s="1011"/>
      <c r="AEI153" s="1011"/>
      <c r="AEJ153" s="1011"/>
      <c r="AEK153" s="1011"/>
      <c r="AEL153" s="1011"/>
      <c r="AEM153" s="1011"/>
      <c r="AEN153" s="1011"/>
      <c r="AEO153" s="1011"/>
      <c r="AEP153" s="1011"/>
      <c r="AEQ153" s="1011"/>
      <c r="AER153" s="1011"/>
      <c r="AES153" s="1011"/>
      <c r="AET153" s="1011"/>
      <c r="AEU153" s="1011"/>
      <c r="AEV153" s="1011"/>
      <c r="AEW153" s="1011"/>
      <c r="AEX153" s="1011"/>
      <c r="AEY153" s="1011"/>
      <c r="AEZ153" s="1011"/>
      <c r="AFA153" s="1011"/>
      <c r="AFB153" s="1011"/>
      <c r="AFC153" s="1011"/>
      <c r="AFD153" s="1011"/>
      <c r="AFE153" s="1011"/>
      <c r="AFF153" s="1011"/>
      <c r="AFG153" s="1011"/>
      <c r="AFH153" s="1011"/>
      <c r="AFI153" s="1011"/>
      <c r="AFJ153" s="1011"/>
      <c r="AFK153" s="1011"/>
      <c r="AFL153" s="1011"/>
      <c r="AFM153" s="1011"/>
      <c r="AFN153" s="1011"/>
      <c r="AFO153" s="1011"/>
      <c r="AFP153" s="1011"/>
      <c r="AFQ153" s="1011"/>
      <c r="AFR153" s="1011"/>
      <c r="AFS153" s="1011"/>
      <c r="AFT153" s="1011"/>
      <c r="AFU153" s="1011"/>
      <c r="AFV153" s="1011"/>
      <c r="AFW153" s="1011"/>
      <c r="AFX153" s="1011"/>
      <c r="AFY153" s="1011"/>
      <c r="AFZ153" s="1011"/>
      <c r="AGA153" s="1011"/>
      <c r="AGB153" s="1011"/>
      <c r="AGC153" s="1011"/>
      <c r="AGD153" s="1011"/>
      <c r="AGE153" s="1011"/>
      <c r="AGF153" s="1011"/>
      <c r="AGG153" s="1011"/>
      <c r="AGH153" s="1011"/>
      <c r="AGI153" s="1011"/>
      <c r="AGJ153" s="1011"/>
      <c r="AGK153" s="1011"/>
      <c r="AGL153" s="1011"/>
      <c r="AGM153" s="1011"/>
      <c r="AGN153" s="1011"/>
      <c r="AGO153" s="1011"/>
      <c r="AGP153" s="1011"/>
      <c r="AGQ153" s="1011"/>
      <c r="AGR153" s="1011"/>
      <c r="AGS153" s="1011"/>
      <c r="AGT153" s="1011"/>
      <c r="AGU153" s="1011"/>
      <c r="AGV153" s="1011"/>
      <c r="AGW153" s="1011"/>
      <c r="AGX153" s="1011"/>
      <c r="AGY153" s="1011"/>
      <c r="AGZ153" s="1011"/>
      <c r="AHA153" s="1011"/>
      <c r="AHB153" s="1011"/>
      <c r="AHC153" s="1011"/>
      <c r="AHD153" s="1011"/>
      <c r="AHE153" s="1011"/>
      <c r="AHF153" s="1011"/>
      <c r="AHG153" s="1011"/>
      <c r="AHH153" s="1011"/>
      <c r="AHI153" s="1011"/>
      <c r="AHJ153" s="1011"/>
      <c r="AHK153" s="1011"/>
      <c r="AHL153" s="1011"/>
      <c r="AHM153" s="1011"/>
      <c r="AHN153" s="1011"/>
      <c r="AHO153" s="1011"/>
      <c r="AHP153" s="1011"/>
      <c r="AHQ153" s="1011"/>
      <c r="AHR153" s="1011"/>
      <c r="AHS153" s="1011"/>
      <c r="AHT153" s="1011"/>
      <c r="AHU153" s="1011"/>
      <c r="AHV153" s="1011"/>
      <c r="AHW153" s="1011"/>
      <c r="AHX153" s="1011"/>
      <c r="AHY153" s="1011"/>
      <c r="AHZ153" s="1011"/>
      <c r="AIA153" s="1011"/>
      <c r="AIB153" s="1011"/>
      <c r="AIC153" s="1011"/>
      <c r="AID153" s="1011"/>
      <c r="AIE153" s="1011"/>
      <c r="AIF153" s="1011"/>
      <c r="AIG153" s="1011"/>
      <c r="AIH153" s="1011"/>
      <c r="AII153" s="1011"/>
      <c r="AIJ153" s="1011"/>
      <c r="AIK153" s="1011"/>
      <c r="AIL153" s="1011"/>
      <c r="AIM153" s="1011"/>
      <c r="AIN153" s="1011"/>
      <c r="AIO153" s="1011"/>
      <c r="AIP153" s="1011"/>
      <c r="AIQ153" s="1011"/>
      <c r="AIR153" s="1011"/>
      <c r="AIS153" s="1011"/>
      <c r="AIT153" s="1011"/>
      <c r="AIU153" s="1011"/>
      <c r="AIV153" s="1011"/>
      <c r="AIW153" s="1011"/>
      <c r="AIX153" s="1011"/>
      <c r="AIY153" s="1011"/>
      <c r="AIZ153" s="1011"/>
      <c r="AJA153" s="1011"/>
      <c r="AJB153" s="1011"/>
      <c r="AJC153" s="1011"/>
      <c r="AJD153" s="1011"/>
      <c r="AJE153" s="1011"/>
      <c r="AJF153" s="1011"/>
      <c r="AJG153" s="1011"/>
      <c r="AJH153" s="1011"/>
      <c r="AJI153" s="1011"/>
      <c r="AJJ153" s="1011"/>
      <c r="AJK153" s="1011"/>
      <c r="AJL153" s="1011"/>
      <c r="AJM153" s="1011"/>
      <c r="AJN153" s="1011"/>
      <c r="AJO153" s="1011"/>
      <c r="AJP153" s="1011"/>
      <c r="AJQ153" s="1011"/>
      <c r="AJR153" s="1011"/>
      <c r="AJS153" s="1011"/>
      <c r="AJT153" s="1011"/>
      <c r="AJU153" s="1011"/>
      <c r="AJV153" s="1011"/>
      <c r="AJW153" s="1011"/>
      <c r="AJX153" s="1011"/>
      <c r="AJY153" s="1011"/>
      <c r="AJZ153" s="1011"/>
      <c r="AKA153" s="1011"/>
      <c r="AKB153" s="1011"/>
      <c r="AKC153" s="1011"/>
      <c r="AKD153" s="1011"/>
      <c r="AKE153" s="1011"/>
      <c r="AKF153" s="1011"/>
      <c r="AKG153" s="1011"/>
      <c r="AKH153" s="1011"/>
      <c r="AKI153" s="1011"/>
      <c r="AKJ153" s="1011"/>
      <c r="AKK153" s="1011"/>
      <c r="AKL153" s="1011"/>
      <c r="AKM153" s="1011"/>
      <c r="AKN153" s="1011"/>
      <c r="AKO153" s="1011"/>
      <c r="AKP153" s="1011"/>
      <c r="AKQ153" s="1011"/>
      <c r="AKR153" s="1011"/>
      <c r="AKS153" s="1011"/>
      <c r="AKT153" s="1011"/>
      <c r="AKU153" s="1011"/>
      <c r="AKV153" s="1011"/>
      <c r="AKW153" s="1011"/>
      <c r="AKX153" s="1011"/>
      <c r="AKY153" s="1011"/>
      <c r="AKZ153" s="1011"/>
      <c r="ALA153" s="1011"/>
      <c r="ALB153" s="1011"/>
      <c r="ALC153" s="1011"/>
      <c r="ALD153" s="1011"/>
      <c r="ALE153" s="1011"/>
      <c r="ALF153" s="1011"/>
      <c r="ALG153" s="1011"/>
      <c r="ALH153" s="1011"/>
      <c r="ALI153" s="1011"/>
      <c r="ALJ153" s="1011"/>
      <c r="ALK153" s="1011"/>
      <c r="ALL153" s="1011"/>
      <c r="ALM153" s="1011"/>
      <c r="ALN153" s="1011"/>
      <c r="ALO153" s="1011"/>
      <c r="ALP153" s="1011"/>
      <c r="ALQ153" s="1011"/>
      <c r="ALR153" s="1011"/>
      <c r="ALS153" s="1011"/>
      <c r="ALT153" s="1011"/>
      <c r="ALU153" s="1011"/>
      <c r="ALV153" s="1011"/>
      <c r="ALW153" s="1011"/>
      <c r="ALX153" s="1011"/>
      <c r="ALY153" s="1011"/>
      <c r="ALZ153" s="1011"/>
      <c r="AMA153" s="1011"/>
      <c r="AMB153" s="1011"/>
      <c r="AMC153" s="1011"/>
      <c r="AMD153" s="1011"/>
      <c r="AME153" s="1011"/>
      <c r="AMF153" s="1011"/>
      <c r="AMG153" s="1011"/>
      <c r="AMH153" s="1011"/>
      <c r="AMI153" s="1011"/>
      <c r="AMJ153" s="1011"/>
      <c r="AMK153" s="1011"/>
      <c r="AML153" s="1011"/>
      <c r="AMM153" s="1011"/>
      <c r="AMN153" s="1011"/>
      <c r="AMO153" s="1011"/>
      <c r="AMP153" s="1011"/>
      <c r="AMQ153" s="1011"/>
      <c r="AMR153" s="1011"/>
      <c r="AMS153" s="1011"/>
      <c r="AMT153" s="1011"/>
      <c r="AMU153" s="1011"/>
      <c r="AMV153" s="1011"/>
      <c r="AMW153" s="1011"/>
      <c r="AMX153" s="1011"/>
      <c r="AMY153" s="1011"/>
      <c r="AMZ153" s="1011"/>
      <c r="ANA153" s="1011"/>
      <c r="ANB153" s="1011"/>
      <c r="ANC153" s="1011"/>
      <c r="AND153" s="1011"/>
      <c r="ANE153" s="1011"/>
      <c r="ANF153" s="1011"/>
      <c r="ANG153" s="1011"/>
      <c r="ANH153" s="1011"/>
      <c r="ANI153" s="1011"/>
      <c r="ANJ153" s="1011"/>
      <c r="ANK153" s="1011"/>
      <c r="ANL153" s="1011"/>
      <c r="ANM153" s="1011"/>
      <c r="ANN153" s="1011"/>
      <c r="ANO153" s="1011"/>
      <c r="ANP153" s="1011"/>
      <c r="ANQ153" s="1011"/>
      <c r="ANR153" s="1011"/>
      <c r="ANS153" s="1011"/>
      <c r="ANT153" s="1011"/>
      <c r="ANU153" s="1011"/>
      <c r="ANV153" s="1011"/>
      <c r="ANW153" s="1011"/>
      <c r="ANX153" s="1011"/>
      <c r="ANY153" s="1011"/>
      <c r="ANZ153" s="1011"/>
      <c r="AOA153" s="1011"/>
      <c r="AOB153" s="1011"/>
      <c r="AOC153" s="1011"/>
      <c r="AOD153" s="1011"/>
      <c r="AOE153" s="1011"/>
      <c r="AOF153" s="1011"/>
      <c r="AOG153" s="1011"/>
      <c r="AOH153" s="1011"/>
      <c r="AOI153" s="1011"/>
      <c r="AOJ153" s="1011"/>
      <c r="AOK153" s="1011"/>
      <c r="AOL153" s="1011"/>
      <c r="AOM153" s="1011"/>
      <c r="AON153" s="1011"/>
      <c r="AOO153" s="1011"/>
      <c r="AOP153" s="1011"/>
      <c r="AOQ153" s="1011"/>
      <c r="AOR153" s="1011"/>
      <c r="AOS153" s="1011"/>
      <c r="AOT153" s="1011"/>
      <c r="AOU153" s="1011"/>
      <c r="AOV153" s="1011"/>
      <c r="AOW153" s="1011"/>
      <c r="AOX153" s="1011"/>
      <c r="AOY153" s="1011"/>
      <c r="AOZ153" s="1011"/>
      <c r="APA153" s="1011"/>
      <c r="APB153" s="1011"/>
      <c r="APC153" s="1011"/>
      <c r="APD153" s="1011"/>
      <c r="APE153" s="1011"/>
      <c r="APF153" s="1011"/>
      <c r="APG153" s="1011"/>
      <c r="APH153" s="1011"/>
      <c r="API153" s="1011"/>
      <c r="APJ153" s="1011"/>
      <c r="APK153" s="1011"/>
      <c r="APL153" s="1011"/>
      <c r="APM153" s="1011"/>
      <c r="APN153" s="1011"/>
      <c r="APO153" s="1011"/>
      <c r="APP153" s="1011"/>
      <c r="APQ153" s="1011"/>
      <c r="APR153" s="1011"/>
      <c r="APS153" s="1011"/>
      <c r="APT153" s="1011"/>
      <c r="APU153" s="1011"/>
      <c r="APV153" s="1011"/>
      <c r="APW153" s="1011"/>
      <c r="APX153" s="1011"/>
      <c r="APY153" s="1011"/>
      <c r="APZ153" s="1011"/>
      <c r="AQA153" s="1011"/>
      <c r="AQB153" s="1011"/>
      <c r="AQC153" s="1011"/>
      <c r="AQD153" s="1011"/>
      <c r="AQE153" s="1011"/>
      <c r="AQF153" s="1011"/>
      <c r="AQG153" s="1011"/>
      <c r="AQH153" s="1011"/>
      <c r="AQI153" s="1011"/>
      <c r="AQJ153" s="1011"/>
      <c r="AQK153" s="1011"/>
      <c r="AQL153" s="1011"/>
      <c r="AQM153" s="1011"/>
      <c r="AQN153" s="1011"/>
      <c r="AQO153" s="1011"/>
      <c r="AQP153" s="1011"/>
      <c r="AQQ153" s="1011"/>
      <c r="AQR153" s="1011"/>
      <c r="AQS153" s="1011"/>
      <c r="AQT153" s="1011"/>
      <c r="AQU153" s="1011"/>
      <c r="AQV153" s="1011"/>
      <c r="AQW153" s="1011"/>
      <c r="AQX153" s="1011"/>
      <c r="AQY153" s="1011"/>
      <c r="AQZ153" s="1011"/>
      <c r="ARA153" s="1011"/>
      <c r="ARB153" s="1011"/>
      <c r="ARC153" s="1011"/>
      <c r="ARD153" s="1011"/>
      <c r="ARE153" s="1011"/>
      <c r="ARF153" s="1011"/>
      <c r="ARG153" s="1011"/>
      <c r="ARH153" s="1011"/>
      <c r="ARI153" s="1011"/>
      <c r="ARJ153" s="1011"/>
      <c r="ARK153" s="1011"/>
      <c r="ARL153" s="1011"/>
      <c r="ARM153" s="1011"/>
      <c r="ARN153" s="1011"/>
      <c r="ARO153" s="1011"/>
      <c r="ARP153" s="1011"/>
      <c r="ARQ153" s="1011"/>
      <c r="ARR153" s="1011"/>
      <c r="ARS153" s="1011"/>
      <c r="ART153" s="1011"/>
      <c r="ARU153" s="1011"/>
      <c r="ARV153" s="1011"/>
      <c r="ARW153" s="1011"/>
      <c r="ARX153" s="1011"/>
      <c r="ARY153" s="1011"/>
      <c r="ARZ153" s="1011"/>
      <c r="ASA153" s="1011"/>
      <c r="ASB153" s="1011"/>
      <c r="ASC153" s="1011"/>
      <c r="ASD153" s="1011"/>
      <c r="ASE153" s="1011"/>
      <c r="ASF153" s="1011"/>
      <c r="ASG153" s="1011"/>
      <c r="ASH153" s="1011"/>
      <c r="ASI153" s="1011"/>
      <c r="ASJ153" s="1011"/>
      <c r="ASK153" s="1011"/>
      <c r="ASL153" s="1011"/>
      <c r="ASM153" s="1011"/>
      <c r="ASN153" s="1011"/>
      <c r="ASO153" s="1011"/>
      <c r="ASP153" s="1011"/>
      <c r="ASQ153" s="1011"/>
      <c r="ASR153" s="1011"/>
      <c r="ASS153" s="1011"/>
      <c r="AST153" s="1011"/>
      <c r="ASU153" s="1011"/>
      <c r="ASV153" s="1011"/>
      <c r="ASW153" s="1011"/>
      <c r="ASX153" s="1011"/>
      <c r="ASY153" s="1011"/>
      <c r="ASZ153" s="1011"/>
      <c r="ATA153" s="1011"/>
      <c r="ATB153" s="1011"/>
      <c r="ATC153" s="1011"/>
      <c r="ATD153" s="1011"/>
      <c r="ATE153" s="1011"/>
      <c r="ATF153" s="1011"/>
      <c r="ATG153" s="1011"/>
      <c r="ATH153" s="1011"/>
      <c r="ATI153" s="1011"/>
      <c r="ATJ153" s="1011"/>
      <c r="ATK153" s="1011"/>
      <c r="ATL153" s="1011"/>
      <c r="ATM153" s="1011"/>
      <c r="ATN153" s="1011"/>
      <c r="ATO153" s="1011"/>
      <c r="ATP153" s="1011"/>
      <c r="ATQ153" s="1011"/>
      <c r="ATR153" s="1011"/>
      <c r="ATS153" s="1011"/>
      <c r="ATT153" s="1011"/>
      <c r="ATU153" s="1011"/>
      <c r="ATV153" s="1011"/>
      <c r="ATW153" s="1011"/>
      <c r="ATX153" s="1011"/>
      <c r="ATY153" s="1011"/>
      <c r="ATZ153" s="1011"/>
      <c r="AUA153" s="1011"/>
      <c r="AUB153" s="1011"/>
      <c r="AUC153" s="1011"/>
      <c r="AUD153" s="1011"/>
      <c r="AUE153" s="1011"/>
      <c r="AUF153" s="1011"/>
      <c r="AUG153" s="1011"/>
      <c r="AUH153" s="1011"/>
      <c r="AUI153" s="1011"/>
      <c r="AUJ153" s="1011"/>
      <c r="AUK153" s="1011"/>
      <c r="AUL153" s="1011"/>
      <c r="AUM153" s="1011"/>
      <c r="AUN153" s="1011"/>
      <c r="AUO153" s="1011"/>
      <c r="AUP153" s="1011"/>
      <c r="AUQ153" s="1011"/>
      <c r="AUR153" s="1011"/>
      <c r="AUS153" s="1011"/>
      <c r="AUT153" s="1011"/>
      <c r="AUU153" s="1011"/>
      <c r="AUV153" s="1011"/>
      <c r="AUW153" s="1011"/>
      <c r="AUX153" s="1011"/>
      <c r="AUY153" s="1011"/>
      <c r="AUZ153" s="1011"/>
      <c r="AVA153" s="1011"/>
      <c r="AVB153" s="1011"/>
      <c r="AVC153" s="1011"/>
      <c r="AVD153" s="1011"/>
      <c r="AVE153" s="1011"/>
      <c r="AVF153" s="1011"/>
      <c r="AVG153" s="1011"/>
      <c r="AVH153" s="1011"/>
      <c r="AVI153" s="1011"/>
      <c r="AVJ153" s="1011"/>
      <c r="AVK153" s="1011"/>
      <c r="AVL153" s="1011"/>
      <c r="AVM153" s="1011"/>
      <c r="AVN153" s="1011"/>
      <c r="AVO153" s="1011"/>
      <c r="AVP153" s="1011"/>
      <c r="AVQ153" s="1011"/>
      <c r="AVR153" s="1011"/>
      <c r="AVS153" s="1011"/>
      <c r="AVT153" s="1011"/>
      <c r="AVU153" s="1011"/>
      <c r="AVV153" s="1011"/>
      <c r="AVW153" s="1011"/>
      <c r="AVX153" s="1011"/>
      <c r="AVY153" s="1011"/>
      <c r="AVZ153" s="1011"/>
      <c r="AWA153" s="1011"/>
      <c r="AWB153" s="1011"/>
      <c r="AWC153" s="1011"/>
      <c r="AWD153" s="1011"/>
      <c r="AWE153" s="1011"/>
      <c r="AWF153" s="1011"/>
      <c r="AWG153" s="1011"/>
      <c r="AWH153" s="1011"/>
      <c r="AWI153" s="1011"/>
      <c r="AWJ153" s="1011"/>
      <c r="AWK153" s="1011"/>
      <c r="AWL153" s="1011"/>
      <c r="AWM153" s="1011"/>
      <c r="AWN153" s="1011"/>
      <c r="AWO153" s="1011"/>
      <c r="AWP153" s="1011"/>
      <c r="AWQ153" s="1011"/>
      <c r="AWR153" s="1011"/>
      <c r="AWS153" s="1011"/>
      <c r="AWT153" s="1011"/>
      <c r="AWU153" s="1011"/>
      <c r="AWV153" s="1011"/>
      <c r="AWW153" s="1011"/>
      <c r="AWX153" s="1011"/>
      <c r="AWY153" s="1011"/>
      <c r="AWZ153" s="1011"/>
      <c r="AXA153" s="1011"/>
      <c r="AXB153" s="1011"/>
      <c r="AXC153" s="1011"/>
      <c r="AXD153" s="1011"/>
      <c r="AXE153" s="1011"/>
      <c r="AXF153" s="1011"/>
      <c r="AXG153" s="1011"/>
      <c r="AXH153" s="1011"/>
      <c r="AXI153" s="1011"/>
      <c r="AXJ153" s="1011"/>
      <c r="AXK153" s="1011"/>
      <c r="AXL153" s="1011"/>
      <c r="AXM153" s="1011"/>
      <c r="AXN153" s="1011"/>
      <c r="AXO153" s="1011"/>
      <c r="AXP153" s="1011"/>
      <c r="AXQ153" s="1011"/>
      <c r="AXR153" s="1011"/>
      <c r="AXS153" s="1011"/>
      <c r="AXT153" s="1011"/>
      <c r="AXU153" s="1011"/>
      <c r="AXV153" s="1011"/>
      <c r="AXW153" s="1011"/>
      <c r="AXX153" s="1011"/>
      <c r="AXY153" s="1011"/>
      <c r="AXZ153" s="1011"/>
      <c r="AYA153" s="1011"/>
      <c r="AYB153" s="1011"/>
      <c r="AYC153" s="1011"/>
      <c r="AYD153" s="1011"/>
      <c r="AYE153" s="1011"/>
      <c r="AYF153" s="1011"/>
      <c r="AYG153" s="1011"/>
      <c r="AYH153" s="1011"/>
      <c r="AYI153" s="1011"/>
      <c r="AYJ153" s="1011"/>
      <c r="AYK153" s="1011"/>
      <c r="AYL153" s="1011"/>
      <c r="AYM153" s="1011"/>
      <c r="AYN153" s="1011"/>
      <c r="AYO153" s="1011"/>
      <c r="AYP153" s="1011"/>
      <c r="AYQ153" s="1011"/>
      <c r="AYR153" s="1011"/>
      <c r="AYS153" s="1011"/>
      <c r="AYT153" s="1011"/>
      <c r="AYU153" s="1011"/>
      <c r="AYV153" s="1011"/>
      <c r="AYW153" s="1011"/>
      <c r="AYX153" s="1011"/>
      <c r="AYY153" s="1011"/>
      <c r="AYZ153" s="1011"/>
      <c r="AZA153" s="1011"/>
      <c r="AZB153" s="1011"/>
      <c r="AZC153" s="1011"/>
      <c r="AZD153" s="1011"/>
      <c r="AZE153" s="1011"/>
      <c r="AZF153" s="1011"/>
      <c r="AZG153" s="1011"/>
      <c r="AZH153" s="1011"/>
      <c r="AZI153" s="1011"/>
      <c r="AZJ153" s="1011"/>
      <c r="AZK153" s="1011"/>
      <c r="AZL153" s="1011"/>
      <c r="AZM153" s="1011"/>
      <c r="AZN153" s="1011"/>
      <c r="AZO153" s="1011"/>
      <c r="AZP153" s="1011"/>
      <c r="AZQ153" s="1011"/>
      <c r="AZR153" s="1011"/>
      <c r="AZS153" s="1011"/>
      <c r="AZT153" s="1011"/>
      <c r="AZU153" s="1011"/>
      <c r="AZV153" s="1011"/>
      <c r="AZW153" s="1011"/>
      <c r="AZX153" s="1011"/>
      <c r="AZY153" s="1011"/>
      <c r="AZZ153" s="1011"/>
      <c r="BAA153" s="1011"/>
      <c r="BAB153" s="1011"/>
      <c r="BAC153" s="1011"/>
      <c r="BAD153" s="1011"/>
      <c r="BAE153" s="1011"/>
      <c r="BAF153" s="1011"/>
      <c r="BAG153" s="1011"/>
      <c r="BAH153" s="1011"/>
      <c r="BAI153" s="1011"/>
      <c r="BAJ153" s="1011"/>
      <c r="BAK153" s="1011"/>
      <c r="BAL153" s="1011"/>
      <c r="BAM153" s="1011"/>
      <c r="BAN153" s="1011"/>
      <c r="BAO153" s="1011"/>
      <c r="BAP153" s="1011"/>
      <c r="BAQ153" s="1011"/>
      <c r="BAR153" s="1011"/>
      <c r="BAS153" s="1011"/>
      <c r="BAT153" s="1011"/>
      <c r="BAU153" s="1011"/>
      <c r="BAV153" s="1011"/>
      <c r="BAW153" s="1011"/>
      <c r="BAX153" s="1011"/>
      <c r="BAY153" s="1011"/>
      <c r="BAZ153" s="1011"/>
      <c r="BBA153" s="1011"/>
      <c r="BBB153" s="1011"/>
      <c r="BBC153" s="1011"/>
      <c r="BBD153" s="1011"/>
      <c r="BBE153" s="1011"/>
      <c r="BBF153" s="1011"/>
      <c r="BBG153" s="1011"/>
      <c r="BBH153" s="1011"/>
      <c r="BBI153" s="1011"/>
      <c r="BBJ153" s="1011"/>
      <c r="BBK153" s="1011"/>
      <c r="BBL153" s="1011"/>
      <c r="BBM153" s="1011"/>
      <c r="BBN153" s="1011"/>
      <c r="BBO153" s="1011"/>
      <c r="BBP153" s="1011"/>
      <c r="BBQ153" s="1011"/>
      <c r="BBR153" s="1011"/>
      <c r="BBS153" s="1011"/>
      <c r="BBT153" s="1011"/>
      <c r="BBU153" s="1011"/>
      <c r="BBV153" s="1011"/>
      <c r="BBW153" s="1011"/>
      <c r="BBX153" s="1011"/>
      <c r="BBY153" s="1011"/>
      <c r="BBZ153" s="1011"/>
      <c r="BCA153" s="1011"/>
      <c r="BCB153" s="1011"/>
      <c r="BCC153" s="1011"/>
      <c r="BCD153" s="1011"/>
      <c r="BCE153" s="1011"/>
      <c r="BCF153" s="1011"/>
      <c r="BCG153" s="1011"/>
      <c r="BCH153" s="1011"/>
      <c r="BCI153" s="1011"/>
      <c r="BCJ153" s="1011"/>
      <c r="BCK153" s="1011"/>
      <c r="BCL153" s="1011"/>
      <c r="BCM153" s="1011"/>
      <c r="BCN153" s="1011"/>
      <c r="BCO153" s="1011"/>
      <c r="BCP153" s="1011"/>
      <c r="BCQ153" s="1011"/>
      <c r="BCR153" s="1011"/>
      <c r="BCS153" s="1011"/>
      <c r="BCT153" s="1011"/>
      <c r="BCU153" s="1011"/>
      <c r="BCV153" s="1011"/>
      <c r="BCW153" s="1011"/>
      <c r="BCX153" s="1011"/>
      <c r="BCY153" s="1011"/>
      <c r="BCZ153" s="1011"/>
      <c r="BDA153" s="1011"/>
      <c r="BDB153" s="1011"/>
      <c r="BDC153" s="1011"/>
      <c r="BDD153" s="1011"/>
      <c r="BDE153" s="1011"/>
      <c r="BDF153" s="1011"/>
      <c r="BDG153" s="1011"/>
      <c r="BDH153" s="1011"/>
      <c r="BDI153" s="1011"/>
      <c r="BDJ153" s="1011"/>
      <c r="BDK153" s="1011"/>
      <c r="BDL153" s="1011"/>
      <c r="BDM153" s="1011"/>
      <c r="BDN153" s="1011"/>
      <c r="BDO153" s="1011"/>
      <c r="BDP153" s="1011"/>
      <c r="BDQ153" s="1011"/>
      <c r="BDR153" s="1011"/>
      <c r="BDS153" s="1011"/>
      <c r="BDT153" s="1011"/>
      <c r="BDU153" s="1011"/>
      <c r="BDV153" s="1011"/>
      <c r="BDW153" s="1011"/>
      <c r="BDX153" s="1011"/>
      <c r="BDY153" s="1011"/>
      <c r="BDZ153" s="1011"/>
      <c r="BEA153" s="1011"/>
      <c r="BEB153" s="1011"/>
      <c r="BEC153" s="1011"/>
      <c r="BED153" s="1011"/>
      <c r="BEE153" s="1011"/>
      <c r="BEF153" s="1011"/>
      <c r="BEG153" s="1011"/>
      <c r="BEH153" s="1011"/>
      <c r="BEI153" s="1011"/>
      <c r="BEJ153" s="1011"/>
      <c r="BEK153" s="1011"/>
      <c r="BEL153" s="1011"/>
      <c r="BEM153" s="1011"/>
      <c r="BEN153" s="1011"/>
      <c r="BEO153" s="1011"/>
      <c r="BEP153" s="1011"/>
      <c r="BEQ153" s="1011"/>
      <c r="BER153" s="1011"/>
      <c r="BES153" s="1011"/>
      <c r="BET153" s="1011"/>
      <c r="BEU153" s="1011"/>
      <c r="BEV153" s="1011"/>
      <c r="BEW153" s="1011"/>
      <c r="BEX153" s="1011"/>
      <c r="BEY153" s="1011"/>
      <c r="BEZ153" s="1011"/>
      <c r="BFA153" s="1011"/>
      <c r="BFB153" s="1011"/>
      <c r="BFC153" s="1011"/>
      <c r="BFD153" s="1011"/>
      <c r="BFE153" s="1011"/>
      <c r="BFF153" s="1011"/>
      <c r="BFG153" s="1011"/>
      <c r="BFH153" s="1011"/>
      <c r="BFI153" s="1011"/>
      <c r="BFJ153" s="1011"/>
      <c r="BFK153" s="1011"/>
      <c r="BFL153" s="1011"/>
      <c r="BFM153" s="1011"/>
      <c r="BFN153" s="1011"/>
      <c r="BFO153" s="1011"/>
      <c r="BFP153" s="1011"/>
      <c r="BFQ153" s="1011"/>
      <c r="BFR153" s="1011"/>
      <c r="BFS153" s="1011"/>
      <c r="BFT153" s="1011"/>
      <c r="BFU153" s="1011"/>
      <c r="BFV153" s="1011"/>
      <c r="BFW153" s="1011"/>
      <c r="BFX153" s="1011"/>
      <c r="BFY153" s="1011"/>
      <c r="BFZ153" s="1011"/>
      <c r="BGA153" s="1011"/>
      <c r="BGB153" s="1011"/>
      <c r="BGC153" s="1011"/>
      <c r="BGD153" s="1011"/>
      <c r="BGE153" s="1011"/>
      <c r="BGF153" s="1011"/>
      <c r="BGG153" s="1011"/>
      <c r="BGH153" s="1011"/>
      <c r="BGI153" s="1011"/>
      <c r="BGJ153" s="1011"/>
      <c r="BGK153" s="1011"/>
      <c r="BGL153" s="1011"/>
      <c r="BGM153" s="1011"/>
      <c r="BGN153" s="1011"/>
      <c r="BGO153" s="1011"/>
      <c r="BGP153" s="1011"/>
      <c r="BGQ153" s="1011"/>
      <c r="BGR153" s="1011"/>
      <c r="BGS153" s="1011"/>
      <c r="BGT153" s="1011"/>
      <c r="BGU153" s="1011"/>
      <c r="BGV153" s="1011"/>
      <c r="BGW153" s="1011"/>
      <c r="BGX153" s="1011"/>
      <c r="BGY153" s="1011"/>
      <c r="BGZ153" s="1011"/>
      <c r="BHA153" s="1011"/>
      <c r="BHB153" s="1011"/>
      <c r="BHC153" s="1011"/>
      <c r="BHD153" s="1011"/>
      <c r="BHE153" s="1011"/>
      <c r="BHF153" s="1011"/>
      <c r="BHG153" s="1011"/>
      <c r="BHH153" s="1011"/>
      <c r="BHI153" s="1011"/>
      <c r="BHJ153" s="1011"/>
      <c r="BHK153" s="1011"/>
      <c r="BHL153" s="1011"/>
      <c r="BHM153" s="1011"/>
      <c r="BHN153" s="1011"/>
      <c r="BHO153" s="1011"/>
      <c r="BHP153" s="1011"/>
      <c r="BHQ153" s="1011"/>
      <c r="BHR153" s="1011"/>
      <c r="BHS153" s="1011"/>
      <c r="BHT153" s="1011"/>
      <c r="BHU153" s="1011"/>
      <c r="BHV153" s="1011"/>
      <c r="BHW153" s="1011"/>
      <c r="BHX153" s="1011"/>
      <c r="BHY153" s="1011"/>
      <c r="BHZ153" s="1011"/>
      <c r="BIA153" s="1011"/>
      <c r="BIB153" s="1011"/>
      <c r="BIC153" s="1011"/>
      <c r="BID153" s="1011"/>
      <c r="BIE153" s="1011"/>
      <c r="BIF153" s="1011"/>
      <c r="BIG153" s="1011"/>
      <c r="BIH153" s="1011"/>
      <c r="BII153" s="1011"/>
      <c r="BIJ153" s="1011"/>
      <c r="BIK153" s="1011"/>
      <c r="BIL153" s="1011"/>
      <c r="BIM153" s="1011"/>
      <c r="BIN153" s="1011"/>
      <c r="BIO153" s="1011"/>
      <c r="BIP153" s="1011"/>
      <c r="BIQ153" s="1011"/>
      <c r="BIR153" s="1011"/>
      <c r="BIS153" s="1011"/>
      <c r="BIT153" s="1011"/>
      <c r="BIU153" s="1011"/>
      <c r="BIV153" s="1011"/>
      <c r="BIW153" s="1011"/>
      <c r="BIX153" s="1011"/>
      <c r="BIY153" s="1011"/>
      <c r="BIZ153" s="1011"/>
      <c r="BJA153" s="1011"/>
      <c r="BJB153" s="1011"/>
      <c r="BJC153" s="1011"/>
      <c r="BJD153" s="1011"/>
      <c r="BJE153" s="1011"/>
      <c r="BJF153" s="1011"/>
      <c r="BJG153" s="1011"/>
      <c r="BJH153" s="1011"/>
      <c r="BJI153" s="1011"/>
      <c r="BJJ153" s="1011"/>
      <c r="BJK153" s="1011"/>
      <c r="BJL153" s="1011"/>
      <c r="BJM153" s="1011"/>
      <c r="BJN153" s="1011"/>
      <c r="BJO153" s="1011"/>
      <c r="BJP153" s="1011"/>
      <c r="BJQ153" s="1011"/>
      <c r="BJR153" s="1011"/>
      <c r="BJS153" s="1011"/>
      <c r="BJT153" s="1011"/>
      <c r="BJU153" s="1011"/>
      <c r="BJV153" s="1011"/>
      <c r="BJW153" s="1011"/>
      <c r="BJX153" s="1011"/>
      <c r="BJY153" s="1011"/>
      <c r="BJZ153" s="1011"/>
      <c r="BKA153" s="1011"/>
      <c r="BKB153" s="1011"/>
      <c r="BKC153" s="1011"/>
      <c r="BKD153" s="1011"/>
      <c r="BKE153" s="1011"/>
      <c r="BKF153" s="1011"/>
      <c r="BKG153" s="1011"/>
      <c r="BKH153" s="1011"/>
      <c r="BKI153" s="1011"/>
      <c r="BKJ153" s="1011"/>
      <c r="BKK153" s="1011"/>
      <c r="BKL153" s="1011"/>
      <c r="BKM153" s="1011"/>
      <c r="BKN153" s="1011"/>
      <c r="BKO153" s="1011"/>
      <c r="BKP153" s="1011"/>
      <c r="BKQ153" s="1011"/>
      <c r="BKR153" s="1011"/>
      <c r="BKS153" s="1011"/>
      <c r="BKT153" s="1011"/>
      <c r="BKU153" s="1011"/>
      <c r="BKV153" s="1011"/>
      <c r="BKW153" s="1011"/>
      <c r="BKX153" s="1011"/>
      <c r="BKY153" s="1011"/>
      <c r="BKZ153" s="1011"/>
      <c r="BLA153" s="1011"/>
      <c r="BLB153" s="1011"/>
      <c r="BLC153" s="1011"/>
      <c r="BLD153" s="1011"/>
      <c r="BLE153" s="1011"/>
      <c r="BLF153" s="1011"/>
      <c r="BLG153" s="1011"/>
      <c r="BLH153" s="1011"/>
      <c r="BLI153" s="1011"/>
      <c r="BLJ153" s="1011"/>
      <c r="BLK153" s="1011"/>
      <c r="BLL153" s="1011"/>
      <c r="BLM153" s="1011"/>
      <c r="BLN153" s="1011"/>
      <c r="BLO153" s="1011"/>
      <c r="BLP153" s="1011"/>
      <c r="BLQ153" s="1011"/>
      <c r="BLR153" s="1011"/>
      <c r="BLS153" s="1011"/>
      <c r="BLT153" s="1011"/>
      <c r="BLU153" s="1011"/>
      <c r="BLV153" s="1011"/>
      <c r="BLW153" s="1011"/>
      <c r="BLX153" s="1011"/>
      <c r="BLY153" s="1011"/>
      <c r="BLZ153" s="1011"/>
      <c r="BMA153" s="1011"/>
      <c r="BMB153" s="1011"/>
      <c r="BMC153" s="1011"/>
      <c r="BMD153" s="1011"/>
      <c r="BME153" s="1011"/>
      <c r="BMF153" s="1011"/>
      <c r="BMG153" s="1011"/>
      <c r="BMH153" s="1011"/>
      <c r="BMI153" s="1011"/>
      <c r="BMJ153" s="1011"/>
      <c r="BMK153" s="1011"/>
      <c r="BML153" s="1011"/>
      <c r="BMM153" s="1011"/>
      <c r="BMN153" s="1011"/>
      <c r="BMO153" s="1011"/>
      <c r="BMP153" s="1011"/>
      <c r="BMQ153" s="1011"/>
      <c r="BMR153" s="1011"/>
      <c r="BMS153" s="1011"/>
      <c r="BMT153" s="1011"/>
      <c r="BMU153" s="1011"/>
      <c r="BMV153" s="1011"/>
      <c r="BMW153" s="1011"/>
      <c r="BMX153" s="1011"/>
      <c r="BMY153" s="1011"/>
      <c r="BMZ153" s="1011"/>
      <c r="BNA153" s="1011"/>
      <c r="BNB153" s="1011"/>
      <c r="BNC153" s="1011"/>
      <c r="BND153" s="1011"/>
      <c r="BNE153" s="1011"/>
      <c r="BNF153" s="1011"/>
      <c r="BNG153" s="1011"/>
      <c r="BNH153" s="1011"/>
      <c r="BNI153" s="1011"/>
      <c r="BNJ153" s="1011"/>
      <c r="BNK153" s="1011"/>
      <c r="BNL153" s="1011"/>
      <c r="BNM153" s="1011"/>
      <c r="BNN153" s="1011"/>
      <c r="BNO153" s="1011"/>
      <c r="BNP153" s="1011"/>
      <c r="BNQ153" s="1011"/>
      <c r="BNR153" s="1011"/>
      <c r="BNS153" s="1011"/>
      <c r="BNT153" s="1011"/>
      <c r="BNU153" s="1011"/>
      <c r="BNV153" s="1011"/>
      <c r="BNW153" s="1011"/>
      <c r="BNX153" s="1011"/>
      <c r="BNY153" s="1011"/>
      <c r="BNZ153" s="1011"/>
      <c r="BOA153" s="1011"/>
      <c r="BOB153" s="1011"/>
      <c r="BOC153" s="1011"/>
      <c r="BOD153" s="1011"/>
      <c r="BOE153" s="1011"/>
      <c r="BOF153" s="1011"/>
      <c r="BOG153" s="1011"/>
      <c r="BOH153" s="1011"/>
      <c r="BOI153" s="1011"/>
      <c r="BOJ153" s="1011"/>
      <c r="BOK153" s="1011"/>
      <c r="BOL153" s="1011"/>
      <c r="BOM153" s="1011"/>
      <c r="BON153" s="1011"/>
      <c r="BOO153" s="1011"/>
      <c r="BOP153" s="1011"/>
      <c r="BOQ153" s="1011"/>
      <c r="BOR153" s="1011"/>
      <c r="BOS153" s="1011"/>
      <c r="BOT153" s="1011"/>
      <c r="BOU153" s="1011"/>
      <c r="BOV153" s="1011"/>
      <c r="BOW153" s="1011"/>
      <c r="BOX153" s="1011"/>
      <c r="BOY153" s="1011"/>
      <c r="BOZ153" s="1011"/>
      <c r="BPA153" s="1011"/>
      <c r="BPB153" s="1011"/>
      <c r="BPC153" s="1011"/>
      <c r="BPD153" s="1011"/>
      <c r="BPE153" s="1011"/>
      <c r="BPF153" s="1011"/>
      <c r="BPG153" s="1011"/>
      <c r="BPH153" s="1011"/>
      <c r="BPI153" s="1011"/>
      <c r="BPJ153" s="1011"/>
      <c r="BPK153" s="1011"/>
      <c r="BPL153" s="1011"/>
      <c r="BPM153" s="1011"/>
      <c r="BPN153" s="1011"/>
      <c r="BPO153" s="1011"/>
      <c r="BPP153" s="1011"/>
      <c r="BPQ153" s="1011"/>
      <c r="BPR153" s="1011"/>
      <c r="BPS153" s="1011"/>
      <c r="BPT153" s="1011"/>
      <c r="BPU153" s="1011"/>
      <c r="BPV153" s="1011"/>
      <c r="BPW153" s="1011"/>
      <c r="BPX153" s="1011"/>
      <c r="BPY153" s="1011"/>
      <c r="BPZ153" s="1011"/>
      <c r="BQA153" s="1011"/>
      <c r="BQB153" s="1011"/>
      <c r="BQC153" s="1011"/>
      <c r="BQD153" s="1011"/>
      <c r="BQE153" s="1011"/>
      <c r="BQF153" s="1011"/>
      <c r="BQG153" s="1011"/>
      <c r="BQH153" s="1011"/>
      <c r="BQI153" s="1011"/>
      <c r="BQJ153" s="1011"/>
      <c r="BQK153" s="1011"/>
      <c r="BQL153" s="1011"/>
      <c r="BQM153" s="1011"/>
      <c r="BQN153" s="1011"/>
      <c r="BQO153" s="1011"/>
      <c r="BQP153" s="1011"/>
      <c r="BQQ153" s="1011"/>
      <c r="BQR153" s="1011"/>
      <c r="BQS153" s="1011"/>
      <c r="BQT153" s="1011"/>
      <c r="BQU153" s="1011"/>
      <c r="BQV153" s="1011"/>
      <c r="BQW153" s="1011"/>
      <c r="BQX153" s="1011"/>
      <c r="BQY153" s="1011"/>
      <c r="BQZ153" s="1011"/>
      <c r="BRA153" s="1011"/>
      <c r="BRB153" s="1011"/>
      <c r="BRC153" s="1011"/>
      <c r="BRD153" s="1011"/>
      <c r="BRE153" s="1011"/>
      <c r="BRF153" s="1011"/>
      <c r="BRG153" s="1011"/>
      <c r="BRH153" s="1011"/>
      <c r="BRI153" s="1011"/>
      <c r="BRJ153" s="1011"/>
      <c r="BRK153" s="1011"/>
      <c r="BRL153" s="1011"/>
      <c r="BRM153" s="1011"/>
      <c r="BRN153" s="1011"/>
      <c r="BRO153" s="1011"/>
      <c r="BRP153" s="1011"/>
      <c r="BRQ153" s="1011"/>
      <c r="BRR153" s="1011"/>
      <c r="BRS153" s="1011"/>
      <c r="BRT153" s="1011"/>
      <c r="BRU153" s="1011"/>
      <c r="BRV153" s="1011"/>
      <c r="BRW153" s="1011"/>
      <c r="BRX153" s="1011"/>
      <c r="BRY153" s="1011"/>
      <c r="BRZ153" s="1011"/>
      <c r="BSA153" s="1011"/>
      <c r="BSB153" s="1011"/>
      <c r="BSC153" s="1011"/>
      <c r="BSD153" s="1011"/>
      <c r="BSE153" s="1011"/>
      <c r="BSF153" s="1011"/>
      <c r="BSG153" s="1011"/>
      <c r="BSH153" s="1011"/>
      <c r="BSI153" s="1011"/>
      <c r="BSJ153" s="1011"/>
      <c r="BSK153" s="1011"/>
      <c r="BSL153" s="1011"/>
      <c r="BSM153" s="1011"/>
      <c r="BSN153" s="1011"/>
      <c r="BSO153" s="1011"/>
      <c r="BSP153" s="1011"/>
      <c r="BSQ153" s="1011"/>
      <c r="BSR153" s="1011"/>
      <c r="BSS153" s="1011"/>
      <c r="BST153" s="1011"/>
      <c r="BSU153" s="1011"/>
      <c r="BSV153" s="1011"/>
      <c r="BSW153" s="1011"/>
      <c r="BSX153" s="1011"/>
      <c r="BSY153" s="1011"/>
      <c r="BSZ153" s="1011"/>
      <c r="BTA153" s="1011"/>
      <c r="BTB153" s="1011"/>
      <c r="BTC153" s="1011"/>
      <c r="BTD153" s="1011"/>
      <c r="BTE153" s="1011"/>
      <c r="BTF153" s="1011"/>
      <c r="BTG153" s="1011"/>
      <c r="BTH153" s="1011"/>
      <c r="BTI153" s="1011"/>
      <c r="BTJ153" s="1011"/>
      <c r="BTK153" s="1011"/>
      <c r="BTL153" s="1011"/>
      <c r="BTM153" s="1011"/>
      <c r="BTN153" s="1011"/>
      <c r="BTO153" s="1011"/>
      <c r="BTP153" s="1011"/>
      <c r="BTQ153" s="1011"/>
      <c r="BTR153" s="1011"/>
      <c r="BTS153" s="1011"/>
      <c r="BTT153" s="1011"/>
      <c r="BTU153" s="1011"/>
      <c r="BTV153" s="1011"/>
      <c r="BTW153" s="1011"/>
      <c r="BTX153" s="1011"/>
      <c r="BTY153" s="1011"/>
      <c r="BTZ153" s="1011"/>
      <c r="BUA153" s="1011"/>
      <c r="BUB153" s="1011"/>
      <c r="BUC153" s="1011"/>
      <c r="BUD153" s="1011"/>
      <c r="BUE153" s="1011"/>
      <c r="BUF153" s="1011"/>
      <c r="BUG153" s="1011"/>
      <c r="BUH153" s="1011"/>
      <c r="BUI153" s="1011"/>
      <c r="BUJ153" s="1011"/>
      <c r="BUK153" s="1011"/>
      <c r="BUL153" s="1011"/>
      <c r="BUM153" s="1011"/>
      <c r="BUN153" s="1011"/>
      <c r="BUO153" s="1011"/>
      <c r="BUP153" s="1011"/>
      <c r="BUQ153" s="1011"/>
      <c r="BUR153" s="1011"/>
      <c r="BUS153" s="1011"/>
      <c r="BUT153" s="1011"/>
      <c r="BUU153" s="1011"/>
      <c r="BUV153" s="1011"/>
      <c r="BUW153" s="1011"/>
      <c r="BUX153" s="1011"/>
      <c r="BUY153" s="1011"/>
      <c r="BUZ153" s="1011"/>
      <c r="BVA153" s="1011"/>
      <c r="BVB153" s="1011"/>
      <c r="BVC153" s="1011"/>
      <c r="BVD153" s="1011"/>
      <c r="BVE153" s="1011"/>
      <c r="BVF153" s="1011"/>
      <c r="BVG153" s="1011"/>
      <c r="BVH153" s="1011"/>
      <c r="BVI153" s="1011"/>
      <c r="BVJ153" s="1011"/>
      <c r="BVK153" s="1011"/>
      <c r="BVL153" s="1011"/>
      <c r="BVM153" s="1011"/>
      <c r="BVN153" s="1011"/>
      <c r="BVO153" s="1011"/>
      <c r="BVP153" s="1011"/>
      <c r="BVQ153" s="1011"/>
      <c r="BVR153" s="1011"/>
      <c r="BVS153" s="1011"/>
      <c r="BVT153" s="1011"/>
      <c r="BVU153" s="1011"/>
      <c r="BVV153" s="1011"/>
      <c r="BVW153" s="1011"/>
      <c r="BVX153" s="1011"/>
      <c r="BVY153" s="1011"/>
      <c r="BVZ153" s="1011"/>
      <c r="BWA153" s="1011"/>
      <c r="BWB153" s="1011"/>
      <c r="BWC153" s="1011"/>
      <c r="BWD153" s="1011"/>
      <c r="BWE153" s="1011"/>
      <c r="BWF153" s="1011"/>
      <c r="BWG153" s="1011"/>
      <c r="BWH153" s="1011"/>
      <c r="BWI153" s="1011"/>
      <c r="BWJ153" s="1011"/>
      <c r="BWK153" s="1011"/>
      <c r="BWL153" s="1011"/>
      <c r="BWM153" s="1011"/>
      <c r="BWN153" s="1011"/>
      <c r="BWO153" s="1011"/>
      <c r="BWP153" s="1011"/>
      <c r="BWQ153" s="1011"/>
      <c r="BWR153" s="1011"/>
      <c r="BWS153" s="1011"/>
      <c r="BWT153" s="1011"/>
      <c r="BWU153" s="1011"/>
      <c r="BWV153" s="1011"/>
      <c r="BWW153" s="1011"/>
      <c r="BWX153" s="1011"/>
      <c r="BWY153" s="1011"/>
      <c r="BWZ153" s="1011"/>
      <c r="BXA153" s="1011"/>
      <c r="BXB153" s="1011"/>
      <c r="BXC153" s="1011"/>
      <c r="BXD153" s="1011"/>
      <c r="BXE153" s="1011"/>
      <c r="BXF153" s="1011"/>
      <c r="BXG153" s="1011"/>
      <c r="BXH153" s="1011"/>
      <c r="BXI153" s="1011"/>
      <c r="BXJ153" s="1011"/>
      <c r="BXK153" s="1011"/>
      <c r="BXL153" s="1011"/>
      <c r="BXM153" s="1011"/>
      <c r="BXN153" s="1011"/>
      <c r="BXO153" s="1011"/>
      <c r="BXP153" s="1011"/>
      <c r="BXQ153" s="1011"/>
      <c r="BXR153" s="1011"/>
      <c r="BXS153" s="1011"/>
      <c r="BXT153" s="1011"/>
      <c r="BXU153" s="1011"/>
      <c r="BXV153" s="1011"/>
      <c r="BXW153" s="1011"/>
      <c r="BXX153" s="1011"/>
      <c r="BXY153" s="1011"/>
      <c r="BXZ153" s="1011"/>
      <c r="BYA153" s="1011"/>
      <c r="BYB153" s="1011"/>
      <c r="BYC153" s="1011"/>
      <c r="BYD153" s="1011"/>
      <c r="BYE153" s="1011"/>
      <c r="BYF153" s="1011"/>
      <c r="BYG153" s="1011"/>
      <c r="BYH153" s="1011"/>
      <c r="BYI153" s="1011"/>
      <c r="BYJ153" s="1011"/>
      <c r="BYK153" s="1011"/>
      <c r="BYL153" s="1011"/>
      <c r="BYM153" s="1011"/>
      <c r="BYN153" s="1011"/>
      <c r="BYO153" s="1011"/>
      <c r="BYP153" s="1011"/>
      <c r="BYQ153" s="1011"/>
      <c r="BYR153" s="1011"/>
      <c r="BYS153" s="1011"/>
      <c r="BYT153" s="1011"/>
      <c r="BYU153" s="1011"/>
      <c r="BYV153" s="1011"/>
      <c r="BYW153" s="1011"/>
      <c r="BYX153" s="1011"/>
      <c r="BYY153" s="1011"/>
      <c r="BYZ153" s="1011"/>
      <c r="BZA153" s="1011"/>
      <c r="BZB153" s="1011"/>
      <c r="BZC153" s="1011"/>
      <c r="BZD153" s="1011"/>
      <c r="BZE153" s="1011"/>
      <c r="BZF153" s="1011"/>
      <c r="BZG153" s="1011"/>
      <c r="BZH153" s="1011"/>
      <c r="BZI153" s="1011"/>
      <c r="BZJ153" s="1011"/>
      <c r="BZK153" s="1011"/>
      <c r="BZL153" s="1011"/>
      <c r="BZM153" s="1011"/>
      <c r="BZN153" s="1011"/>
      <c r="BZO153" s="1011"/>
      <c r="BZP153" s="1011"/>
      <c r="BZQ153" s="1011"/>
      <c r="BZR153" s="1011"/>
      <c r="BZS153" s="1011"/>
      <c r="BZT153" s="1011"/>
      <c r="BZU153" s="1011"/>
      <c r="BZV153" s="1011"/>
      <c r="BZW153" s="1011"/>
      <c r="BZX153" s="1011"/>
      <c r="BZY153" s="1011"/>
      <c r="BZZ153" s="1011"/>
      <c r="CAA153" s="1011"/>
      <c r="CAB153" s="1011"/>
      <c r="CAC153" s="1011"/>
      <c r="CAD153" s="1011"/>
      <c r="CAE153" s="1011"/>
      <c r="CAF153" s="1011"/>
      <c r="CAG153" s="1011"/>
      <c r="CAH153" s="1011"/>
      <c r="CAI153" s="1011"/>
      <c r="CAJ153" s="1011"/>
      <c r="CAK153" s="1011"/>
      <c r="CAL153" s="1011"/>
      <c r="CAM153" s="1011"/>
      <c r="CAN153" s="1011"/>
      <c r="CAO153" s="1011"/>
      <c r="CAP153" s="1011"/>
      <c r="CAQ153" s="1011"/>
      <c r="CAR153" s="1011"/>
      <c r="CAS153" s="1011"/>
      <c r="CAT153" s="1011"/>
      <c r="CAU153" s="1011"/>
      <c r="CAV153" s="1011"/>
      <c r="CAW153" s="1011"/>
      <c r="CAX153" s="1011"/>
      <c r="CAY153" s="1011"/>
      <c r="CAZ153" s="1011"/>
      <c r="CBA153" s="1011"/>
      <c r="CBB153" s="1011"/>
      <c r="CBC153" s="1011"/>
      <c r="CBD153" s="1011"/>
      <c r="CBE153" s="1011"/>
      <c r="CBF153" s="1011"/>
      <c r="CBG153" s="1011"/>
      <c r="CBH153" s="1011"/>
      <c r="CBI153" s="1011"/>
      <c r="CBJ153" s="1011"/>
      <c r="CBK153" s="1011"/>
      <c r="CBL153" s="1011"/>
      <c r="CBM153" s="1011"/>
      <c r="CBN153" s="1011"/>
      <c r="CBO153" s="1011"/>
      <c r="CBP153" s="1011"/>
      <c r="CBQ153" s="1011"/>
      <c r="CBR153" s="1011"/>
      <c r="CBS153" s="1011"/>
      <c r="CBT153" s="1011"/>
      <c r="CBU153" s="1011"/>
      <c r="CBV153" s="1011"/>
      <c r="CBW153" s="1011"/>
      <c r="CBX153" s="1011"/>
      <c r="CBY153" s="1011"/>
      <c r="CBZ153" s="1011"/>
      <c r="CCA153" s="1011"/>
      <c r="CCB153" s="1011"/>
      <c r="CCC153" s="1011"/>
      <c r="CCD153" s="1011"/>
      <c r="CCE153" s="1011"/>
      <c r="CCF153" s="1011"/>
      <c r="CCG153" s="1011"/>
      <c r="CCH153" s="1011"/>
      <c r="CCI153" s="1011"/>
      <c r="CCJ153" s="1011"/>
      <c r="CCK153" s="1011"/>
      <c r="CCL153" s="1011"/>
      <c r="CCM153" s="1011"/>
      <c r="CCN153" s="1011"/>
      <c r="CCO153" s="1011"/>
      <c r="CCP153" s="1011"/>
      <c r="CCQ153" s="1011"/>
      <c r="CCR153" s="1011"/>
      <c r="CCS153" s="1011"/>
      <c r="CCT153" s="1011"/>
      <c r="CCU153" s="1011"/>
      <c r="CCV153" s="1011"/>
      <c r="CCW153" s="1011"/>
      <c r="CCX153" s="1011"/>
      <c r="CCY153" s="1011"/>
      <c r="CCZ153" s="1011"/>
      <c r="CDA153" s="1011"/>
      <c r="CDB153" s="1011"/>
      <c r="CDC153" s="1011"/>
      <c r="CDD153" s="1011"/>
      <c r="CDE153" s="1011"/>
      <c r="CDF153" s="1011"/>
      <c r="CDG153" s="1011"/>
      <c r="CDH153" s="1011"/>
      <c r="CDI153" s="1011"/>
      <c r="CDJ153" s="1011"/>
      <c r="CDK153" s="1011"/>
      <c r="CDL153" s="1011"/>
      <c r="CDM153" s="1011"/>
      <c r="CDN153" s="1011"/>
      <c r="CDO153" s="1011"/>
      <c r="CDP153" s="1011"/>
      <c r="CDQ153" s="1011"/>
      <c r="CDR153" s="1011"/>
      <c r="CDS153" s="1011"/>
      <c r="CDT153" s="1011"/>
      <c r="CDU153" s="1011"/>
      <c r="CDV153" s="1011"/>
      <c r="CDW153" s="1011"/>
      <c r="CDX153" s="1011"/>
      <c r="CDY153" s="1011"/>
      <c r="CDZ153" s="1011"/>
      <c r="CEA153" s="1011"/>
      <c r="CEB153" s="1011"/>
      <c r="CEC153" s="1011"/>
      <c r="CED153" s="1011"/>
      <c r="CEE153" s="1011"/>
      <c r="CEF153" s="1011"/>
      <c r="CEG153" s="1011"/>
      <c r="CEH153" s="1011"/>
      <c r="CEI153" s="1011"/>
      <c r="CEJ153" s="1011"/>
      <c r="CEK153" s="1011"/>
      <c r="CEL153" s="1011"/>
      <c r="CEM153" s="1011"/>
      <c r="CEN153" s="1011"/>
      <c r="CEO153" s="1011"/>
      <c r="CEP153" s="1011"/>
      <c r="CEQ153" s="1011"/>
      <c r="CER153" s="1011"/>
      <c r="CES153" s="1011"/>
      <c r="CET153" s="1011"/>
      <c r="CEU153" s="1011"/>
      <c r="CEV153" s="1011"/>
      <c r="CEW153" s="1011"/>
      <c r="CEX153" s="1011"/>
      <c r="CEY153" s="1011"/>
      <c r="CEZ153" s="1011"/>
      <c r="CFA153" s="1011"/>
      <c r="CFB153" s="1011"/>
      <c r="CFC153" s="1011"/>
      <c r="CFD153" s="1011"/>
      <c r="CFE153" s="1011"/>
      <c r="CFF153" s="1011"/>
      <c r="CFG153" s="1011"/>
      <c r="CFH153" s="1011"/>
      <c r="CFI153" s="1011"/>
      <c r="CFJ153" s="1011"/>
      <c r="CFK153" s="1011"/>
      <c r="CFL153" s="1011"/>
      <c r="CFM153" s="1011"/>
      <c r="CFN153" s="1011"/>
      <c r="CFO153" s="1011"/>
      <c r="CFP153" s="1011"/>
      <c r="CFQ153" s="1011"/>
      <c r="CFR153" s="1011"/>
      <c r="CFS153" s="1011"/>
      <c r="CFT153" s="1011"/>
      <c r="CFU153" s="1011"/>
      <c r="CFV153" s="1011"/>
      <c r="CFW153" s="1011"/>
      <c r="CFX153" s="1011"/>
      <c r="CFY153" s="1011"/>
      <c r="CFZ153" s="1011"/>
      <c r="CGA153" s="1011"/>
      <c r="CGB153" s="1011"/>
      <c r="CGC153" s="1011"/>
      <c r="CGD153" s="1011"/>
      <c r="CGE153" s="1011"/>
      <c r="CGF153" s="1011"/>
      <c r="CGG153" s="1011"/>
      <c r="CGH153" s="1011"/>
      <c r="CGI153" s="1011"/>
      <c r="CGJ153" s="1011"/>
      <c r="CGK153" s="1011"/>
      <c r="CGL153" s="1011"/>
      <c r="CGM153" s="1011"/>
      <c r="CGN153" s="1011"/>
      <c r="CGO153" s="1011"/>
      <c r="CGP153" s="1011"/>
      <c r="CGQ153" s="1011"/>
      <c r="CGR153" s="1011"/>
      <c r="CGS153" s="1011"/>
      <c r="CGT153" s="1011"/>
      <c r="CGU153" s="1011"/>
      <c r="CGV153" s="1011"/>
      <c r="CGW153" s="1011"/>
      <c r="CGX153" s="1011"/>
      <c r="CGY153" s="1011"/>
      <c r="CGZ153" s="1011"/>
      <c r="CHA153" s="1011"/>
      <c r="CHB153" s="1011"/>
      <c r="CHC153" s="1011"/>
      <c r="CHD153" s="1011"/>
      <c r="CHE153" s="1011"/>
      <c r="CHF153" s="1011"/>
      <c r="CHG153" s="1011"/>
      <c r="CHH153" s="1011"/>
      <c r="CHI153" s="1011"/>
      <c r="CHJ153" s="1011"/>
      <c r="CHK153" s="1011"/>
      <c r="CHL153" s="1011"/>
      <c r="CHM153" s="1011"/>
      <c r="CHN153" s="1011"/>
      <c r="CHO153" s="1011"/>
      <c r="CHP153" s="1011"/>
      <c r="CHQ153" s="1011"/>
      <c r="CHR153" s="1011"/>
      <c r="CHS153" s="1011"/>
      <c r="CHT153" s="1011"/>
      <c r="CHU153" s="1011"/>
      <c r="CHV153" s="1011"/>
      <c r="CHW153" s="1011"/>
      <c r="CHX153" s="1011"/>
      <c r="CHY153" s="1011"/>
      <c r="CHZ153" s="1011"/>
      <c r="CIA153" s="1011"/>
      <c r="CIB153" s="1011"/>
      <c r="CIC153" s="1011"/>
      <c r="CID153" s="1011"/>
      <c r="CIE153" s="1011"/>
      <c r="CIF153" s="1011"/>
      <c r="CIG153" s="1011"/>
      <c r="CIH153" s="1011"/>
      <c r="CII153" s="1011"/>
      <c r="CIJ153" s="1011"/>
      <c r="CIK153" s="1011"/>
      <c r="CIL153" s="1011"/>
      <c r="CIM153" s="1011"/>
      <c r="CIN153" s="1011"/>
      <c r="CIO153" s="1011"/>
      <c r="CIP153" s="1011"/>
      <c r="CIQ153" s="1011"/>
      <c r="CIR153" s="1011"/>
      <c r="CIS153" s="1011"/>
      <c r="CIT153" s="1011"/>
      <c r="CIU153" s="1011"/>
      <c r="CIV153" s="1011"/>
      <c r="CIW153" s="1011"/>
      <c r="CIX153" s="1011"/>
      <c r="CIY153" s="1011"/>
      <c r="CIZ153" s="1011"/>
      <c r="CJA153" s="1011"/>
      <c r="CJB153" s="1011"/>
      <c r="CJC153" s="1011"/>
      <c r="CJD153" s="1011"/>
      <c r="CJE153" s="1011"/>
      <c r="CJF153" s="1011"/>
      <c r="CJG153" s="1011"/>
      <c r="CJH153" s="1011"/>
      <c r="CJI153" s="1011"/>
      <c r="CJJ153" s="1011"/>
      <c r="CJK153" s="1011"/>
      <c r="CJL153" s="1011"/>
      <c r="CJM153" s="1011"/>
      <c r="CJN153" s="1011"/>
      <c r="CJO153" s="1011"/>
      <c r="CJP153" s="1011"/>
      <c r="CJQ153" s="1011"/>
      <c r="CJR153" s="1011"/>
      <c r="CJS153" s="1011"/>
      <c r="CJT153" s="1011"/>
      <c r="CJU153" s="1011"/>
      <c r="CJV153" s="1011"/>
      <c r="CJW153" s="1011"/>
      <c r="CJX153" s="1011"/>
      <c r="CJY153" s="1011"/>
      <c r="CJZ153" s="1011"/>
      <c r="CKA153" s="1011"/>
      <c r="CKB153" s="1011"/>
      <c r="CKC153" s="1011"/>
      <c r="CKD153" s="1011"/>
      <c r="CKE153" s="1011"/>
      <c r="CKF153" s="1011"/>
      <c r="CKG153" s="1011"/>
      <c r="CKH153" s="1011"/>
      <c r="CKI153" s="1011"/>
      <c r="CKJ153" s="1011"/>
      <c r="CKK153" s="1011"/>
      <c r="CKL153" s="1011"/>
      <c r="CKM153" s="1011"/>
      <c r="CKN153" s="1011"/>
      <c r="CKO153" s="1011"/>
      <c r="CKP153" s="1011"/>
      <c r="CKQ153" s="1011"/>
      <c r="CKR153" s="1011"/>
      <c r="CKS153" s="1011"/>
      <c r="CKT153" s="1011"/>
      <c r="CKU153" s="1011"/>
      <c r="CKV153" s="1011"/>
      <c r="CKW153" s="1011"/>
      <c r="CKX153" s="1011"/>
      <c r="CKY153" s="1011"/>
      <c r="CKZ153" s="1011"/>
      <c r="CLA153" s="1011"/>
      <c r="CLB153" s="1011"/>
      <c r="CLC153" s="1011"/>
      <c r="CLD153" s="1011"/>
      <c r="CLE153" s="1011"/>
      <c r="CLF153" s="1011"/>
      <c r="CLG153" s="1011"/>
      <c r="CLH153" s="1011"/>
      <c r="CLI153" s="1011"/>
      <c r="CLJ153" s="1011"/>
      <c r="CLK153" s="1011"/>
      <c r="CLL153" s="1011"/>
      <c r="CLM153" s="1011"/>
      <c r="CLN153" s="1011"/>
      <c r="CLO153" s="1011"/>
      <c r="CLP153" s="1011"/>
      <c r="CLQ153" s="1011"/>
      <c r="CLR153" s="1011"/>
      <c r="CLS153" s="1011"/>
      <c r="CLT153" s="1011"/>
      <c r="CLU153" s="1011"/>
      <c r="CLV153" s="1011"/>
      <c r="CLW153" s="1011"/>
      <c r="CLX153" s="1011"/>
      <c r="CLY153" s="1011"/>
      <c r="CLZ153" s="1011"/>
      <c r="CMA153" s="1011"/>
      <c r="CMB153" s="1011"/>
      <c r="CMC153" s="1011"/>
      <c r="CMD153" s="1011"/>
      <c r="CME153" s="1011"/>
      <c r="CMF153" s="1011"/>
      <c r="CMG153" s="1011"/>
      <c r="CMH153" s="1011"/>
      <c r="CMI153" s="1011"/>
      <c r="CMJ153" s="1011"/>
      <c r="CMK153" s="1011"/>
      <c r="CML153" s="1011"/>
      <c r="CMM153" s="1011"/>
      <c r="CMN153" s="1011"/>
      <c r="CMO153" s="1011"/>
      <c r="CMP153" s="1011"/>
      <c r="CMQ153" s="1011"/>
      <c r="CMR153" s="1011"/>
      <c r="CMS153" s="1011"/>
      <c r="CMT153" s="1011"/>
      <c r="CMU153" s="1011"/>
      <c r="CMV153" s="1011"/>
      <c r="CMW153" s="1011"/>
      <c r="CMX153" s="1011"/>
      <c r="CMY153" s="1011"/>
      <c r="CMZ153" s="1011"/>
      <c r="CNA153" s="1011"/>
      <c r="CNB153" s="1011"/>
      <c r="CNC153" s="1011"/>
      <c r="CND153" s="1011"/>
      <c r="CNE153" s="1011"/>
      <c r="CNF153" s="1011"/>
      <c r="CNG153" s="1011"/>
      <c r="CNH153" s="1011"/>
      <c r="CNI153" s="1011"/>
      <c r="CNJ153" s="1011"/>
      <c r="CNK153" s="1011"/>
      <c r="CNL153" s="1011"/>
      <c r="CNM153" s="1011"/>
      <c r="CNN153" s="1011"/>
      <c r="CNO153" s="1011"/>
      <c r="CNP153" s="1011"/>
      <c r="CNQ153" s="1011"/>
      <c r="CNR153" s="1011"/>
      <c r="CNS153" s="1011"/>
      <c r="CNT153" s="1011"/>
      <c r="CNU153" s="1011"/>
      <c r="CNV153" s="1011"/>
      <c r="CNW153" s="1011"/>
      <c r="CNX153" s="1011"/>
      <c r="CNY153" s="1011"/>
      <c r="CNZ153" s="1011"/>
      <c r="COA153" s="1011"/>
      <c r="COB153" s="1011"/>
      <c r="COC153" s="1011"/>
      <c r="COD153" s="1011"/>
      <c r="COE153" s="1011"/>
      <c r="COF153" s="1011"/>
      <c r="COG153" s="1011"/>
      <c r="COH153" s="1011"/>
      <c r="COI153" s="1011"/>
      <c r="COJ153" s="1011"/>
      <c r="COK153" s="1011"/>
      <c r="COL153" s="1011"/>
      <c r="COM153" s="1011"/>
      <c r="CON153" s="1011"/>
      <c r="COO153" s="1011"/>
      <c r="COP153" s="1011"/>
      <c r="COQ153" s="1011"/>
      <c r="COR153" s="1011"/>
      <c r="COS153" s="1011"/>
      <c r="COT153" s="1011"/>
      <c r="COU153" s="1011"/>
      <c r="COV153" s="1011"/>
      <c r="COW153" s="1011"/>
      <c r="COX153" s="1011"/>
      <c r="COY153" s="1011"/>
      <c r="COZ153" s="1011"/>
      <c r="CPA153" s="1011"/>
      <c r="CPB153" s="1011"/>
      <c r="CPC153" s="1011"/>
      <c r="CPD153" s="1011"/>
      <c r="CPE153" s="1011"/>
      <c r="CPF153" s="1011"/>
      <c r="CPG153" s="1011"/>
      <c r="CPH153" s="1011"/>
      <c r="CPI153" s="1011"/>
      <c r="CPJ153" s="1011"/>
      <c r="CPK153" s="1011"/>
      <c r="CPL153" s="1011"/>
      <c r="CPM153" s="1011"/>
      <c r="CPN153" s="1011"/>
      <c r="CPO153" s="1011"/>
      <c r="CPP153" s="1011"/>
      <c r="CPQ153" s="1011"/>
      <c r="CPR153" s="1011"/>
      <c r="CPS153" s="1011"/>
      <c r="CPT153" s="1011"/>
      <c r="CPU153" s="1011"/>
      <c r="CPV153" s="1011"/>
      <c r="CPW153" s="1011"/>
      <c r="CPX153" s="1011"/>
      <c r="CPY153" s="1011"/>
      <c r="CPZ153" s="1011"/>
      <c r="CQA153" s="1011"/>
      <c r="CQB153" s="1011"/>
      <c r="CQC153" s="1011"/>
      <c r="CQD153" s="1011"/>
      <c r="CQE153" s="1011"/>
      <c r="CQF153" s="1011"/>
      <c r="CQG153" s="1011"/>
      <c r="CQH153" s="1011"/>
      <c r="CQI153" s="1011"/>
      <c r="CQJ153" s="1011"/>
      <c r="CQK153" s="1011"/>
      <c r="CQL153" s="1011"/>
      <c r="CQM153" s="1011"/>
      <c r="CQN153" s="1011"/>
      <c r="CQO153" s="1011"/>
      <c r="CQP153" s="1011"/>
      <c r="CQQ153" s="1011"/>
      <c r="CQR153" s="1011"/>
      <c r="CQS153" s="1011"/>
      <c r="CQT153" s="1011"/>
      <c r="CQU153" s="1011"/>
      <c r="CQV153" s="1011"/>
      <c r="CQW153" s="1011"/>
      <c r="CQX153" s="1011"/>
      <c r="CQY153" s="1011"/>
      <c r="CQZ153" s="1011"/>
      <c r="CRA153" s="1011"/>
      <c r="CRB153" s="1011"/>
      <c r="CRC153" s="1011"/>
      <c r="CRD153" s="1011"/>
      <c r="CRE153" s="1011"/>
      <c r="CRF153" s="1011"/>
      <c r="CRG153" s="1011"/>
      <c r="CRH153" s="1011"/>
      <c r="CRI153" s="1011"/>
      <c r="CRJ153" s="1011"/>
      <c r="CRK153" s="1011"/>
      <c r="CRL153" s="1011"/>
      <c r="CRM153" s="1011"/>
      <c r="CRN153" s="1011"/>
      <c r="CRO153" s="1011"/>
      <c r="CRP153" s="1011"/>
      <c r="CRQ153" s="1011"/>
      <c r="CRR153" s="1011"/>
      <c r="CRS153" s="1011"/>
      <c r="CRT153" s="1011"/>
      <c r="CRU153" s="1011"/>
      <c r="CRV153" s="1011"/>
      <c r="CRW153" s="1011"/>
      <c r="CRX153" s="1011"/>
      <c r="CRY153" s="1011"/>
      <c r="CRZ153" s="1011"/>
      <c r="CSA153" s="1011"/>
      <c r="CSB153" s="1011"/>
      <c r="CSC153" s="1011"/>
      <c r="CSD153" s="1011"/>
      <c r="CSE153" s="1011"/>
      <c r="CSF153" s="1011"/>
      <c r="CSG153" s="1011"/>
      <c r="CSH153" s="1011"/>
      <c r="CSI153" s="1011"/>
      <c r="CSJ153" s="1011"/>
      <c r="CSK153" s="1011"/>
      <c r="CSL153" s="1011"/>
      <c r="CSM153" s="1011"/>
      <c r="CSN153" s="1011"/>
      <c r="CSO153" s="1011"/>
      <c r="CSP153" s="1011"/>
      <c r="CSQ153" s="1011"/>
      <c r="CSR153" s="1011"/>
      <c r="CSS153" s="1011"/>
      <c r="CST153" s="1011"/>
      <c r="CSU153" s="1011"/>
      <c r="CSV153" s="1011"/>
      <c r="CSW153" s="1011"/>
      <c r="CSX153" s="1011"/>
      <c r="CSY153" s="1011"/>
      <c r="CSZ153" s="1011"/>
      <c r="CTA153" s="1011"/>
      <c r="CTB153" s="1011"/>
      <c r="CTC153" s="1011"/>
      <c r="CTD153" s="1011"/>
      <c r="CTE153" s="1011"/>
      <c r="CTF153" s="1011"/>
      <c r="CTG153" s="1011"/>
      <c r="CTH153" s="1011"/>
      <c r="CTI153" s="1011"/>
      <c r="CTJ153" s="1011"/>
      <c r="CTK153" s="1011"/>
      <c r="CTL153" s="1011"/>
      <c r="CTM153" s="1011"/>
      <c r="CTN153" s="1011"/>
      <c r="CTO153" s="1011"/>
      <c r="CTP153" s="1011"/>
      <c r="CTQ153" s="1011"/>
      <c r="CTR153" s="1011"/>
      <c r="CTS153" s="1011"/>
      <c r="CTT153" s="1011"/>
      <c r="CTU153" s="1011"/>
      <c r="CTV153" s="1011"/>
      <c r="CTW153" s="1011"/>
      <c r="CTX153" s="1011"/>
      <c r="CTY153" s="1011"/>
      <c r="CTZ153" s="1011"/>
      <c r="CUA153" s="1011"/>
      <c r="CUB153" s="1011"/>
      <c r="CUC153" s="1011"/>
      <c r="CUD153" s="1011"/>
      <c r="CUE153" s="1011"/>
      <c r="CUF153" s="1011"/>
      <c r="CUG153" s="1011"/>
      <c r="CUH153" s="1011"/>
      <c r="CUI153" s="1011"/>
      <c r="CUJ153" s="1011"/>
      <c r="CUK153" s="1011"/>
      <c r="CUL153" s="1011"/>
      <c r="CUM153" s="1011"/>
      <c r="CUN153" s="1011"/>
      <c r="CUO153" s="1011"/>
      <c r="CUP153" s="1011"/>
      <c r="CUQ153" s="1011"/>
      <c r="CUR153" s="1011"/>
      <c r="CUS153" s="1011"/>
      <c r="CUT153" s="1011"/>
      <c r="CUU153" s="1011"/>
      <c r="CUV153" s="1011"/>
      <c r="CUW153" s="1011"/>
      <c r="CUX153" s="1011"/>
      <c r="CUY153" s="1011"/>
      <c r="CUZ153" s="1011"/>
      <c r="CVA153" s="1011"/>
      <c r="CVB153" s="1011"/>
      <c r="CVC153" s="1011"/>
      <c r="CVD153" s="1011"/>
      <c r="CVE153" s="1011"/>
      <c r="CVF153" s="1011"/>
      <c r="CVG153" s="1011"/>
      <c r="CVH153" s="1011"/>
      <c r="CVI153" s="1011"/>
      <c r="CVJ153" s="1011"/>
      <c r="CVK153" s="1011"/>
      <c r="CVL153" s="1011"/>
      <c r="CVM153" s="1011"/>
      <c r="CVN153" s="1011"/>
      <c r="CVO153" s="1011"/>
      <c r="CVP153" s="1011"/>
      <c r="CVQ153" s="1011"/>
      <c r="CVR153" s="1011"/>
      <c r="CVS153" s="1011"/>
      <c r="CVT153" s="1011"/>
      <c r="CVU153" s="1011"/>
      <c r="CVV153" s="1011"/>
      <c r="CVW153" s="1011"/>
      <c r="CVX153" s="1011"/>
      <c r="CVY153" s="1011"/>
      <c r="CVZ153" s="1011"/>
      <c r="CWA153" s="1011"/>
      <c r="CWB153" s="1011"/>
      <c r="CWC153" s="1011"/>
      <c r="CWD153" s="1011"/>
      <c r="CWE153" s="1011"/>
      <c r="CWF153" s="1011"/>
      <c r="CWG153" s="1011"/>
      <c r="CWH153" s="1011"/>
      <c r="CWI153" s="1011"/>
      <c r="CWJ153" s="1011"/>
      <c r="CWK153" s="1011"/>
      <c r="CWL153" s="1011"/>
      <c r="CWM153" s="1011"/>
      <c r="CWN153" s="1011"/>
      <c r="CWO153" s="1011"/>
      <c r="CWP153" s="1011"/>
      <c r="CWQ153" s="1011"/>
      <c r="CWR153" s="1011"/>
      <c r="CWS153" s="1011"/>
      <c r="CWT153" s="1011"/>
      <c r="CWU153" s="1011"/>
      <c r="CWV153" s="1011"/>
      <c r="CWW153" s="1011"/>
      <c r="CWX153" s="1011"/>
      <c r="CWY153" s="1011"/>
      <c r="CWZ153" s="1011"/>
      <c r="CXA153" s="1011"/>
      <c r="CXB153" s="1011"/>
      <c r="CXC153" s="1011"/>
      <c r="CXD153" s="1011"/>
      <c r="CXE153" s="1011"/>
      <c r="CXF153" s="1011"/>
      <c r="CXG153" s="1011"/>
      <c r="CXH153" s="1011"/>
      <c r="CXI153" s="1011"/>
      <c r="CXJ153" s="1011"/>
      <c r="CXK153" s="1011"/>
      <c r="CXL153" s="1011"/>
      <c r="CXM153" s="1011"/>
      <c r="CXN153" s="1011"/>
      <c r="CXO153" s="1011"/>
      <c r="CXP153" s="1011"/>
      <c r="CXQ153" s="1011"/>
      <c r="CXR153" s="1011"/>
      <c r="CXS153" s="1011"/>
      <c r="CXT153" s="1011"/>
      <c r="CXU153" s="1011"/>
      <c r="CXV153" s="1011"/>
      <c r="CXW153" s="1011"/>
      <c r="CXX153" s="1011"/>
      <c r="CXY153" s="1011"/>
      <c r="CXZ153" s="1011"/>
      <c r="CYA153" s="1011"/>
      <c r="CYB153" s="1011"/>
      <c r="CYC153" s="1011"/>
      <c r="CYD153" s="1011"/>
      <c r="CYE153" s="1011"/>
      <c r="CYF153" s="1011"/>
      <c r="CYG153" s="1011"/>
      <c r="CYH153" s="1011"/>
      <c r="CYI153" s="1011"/>
      <c r="CYJ153" s="1011"/>
      <c r="CYK153" s="1011"/>
      <c r="CYL153" s="1011"/>
      <c r="CYM153" s="1011"/>
      <c r="CYN153" s="1011"/>
      <c r="CYO153" s="1011"/>
      <c r="CYP153" s="1011"/>
      <c r="CYQ153" s="1011"/>
      <c r="CYR153" s="1011"/>
      <c r="CYS153" s="1011"/>
      <c r="CYT153" s="1011"/>
      <c r="CYU153" s="1011"/>
      <c r="CYV153" s="1011"/>
      <c r="CYW153" s="1011"/>
      <c r="CYX153" s="1011"/>
      <c r="CYY153" s="1011"/>
      <c r="CYZ153" s="1011"/>
      <c r="CZA153" s="1011"/>
      <c r="CZB153" s="1011"/>
      <c r="CZC153" s="1011"/>
      <c r="CZD153" s="1011"/>
      <c r="CZE153" s="1011"/>
      <c r="CZF153" s="1011"/>
      <c r="CZG153" s="1011"/>
      <c r="CZH153" s="1011"/>
      <c r="CZI153" s="1011"/>
      <c r="CZJ153" s="1011"/>
      <c r="CZK153" s="1011"/>
      <c r="CZL153" s="1011"/>
      <c r="CZM153" s="1011"/>
      <c r="CZN153" s="1011"/>
      <c r="CZO153" s="1011"/>
      <c r="CZP153" s="1011"/>
      <c r="CZQ153" s="1011"/>
      <c r="CZR153" s="1011"/>
      <c r="CZS153" s="1011"/>
      <c r="CZT153" s="1011"/>
      <c r="CZU153" s="1011"/>
      <c r="CZV153" s="1011"/>
      <c r="CZW153" s="1011"/>
      <c r="CZX153" s="1011"/>
      <c r="CZY153" s="1011"/>
      <c r="CZZ153" s="1011"/>
      <c r="DAA153" s="1011"/>
      <c r="DAB153" s="1011"/>
      <c r="DAC153" s="1011"/>
      <c r="DAD153" s="1011"/>
      <c r="DAE153" s="1011"/>
      <c r="DAF153" s="1011"/>
      <c r="DAG153" s="1011"/>
      <c r="DAH153" s="1011"/>
      <c r="DAI153" s="1011"/>
      <c r="DAJ153" s="1011"/>
      <c r="DAK153" s="1011"/>
      <c r="DAL153" s="1011"/>
      <c r="DAM153" s="1011"/>
      <c r="DAN153" s="1011"/>
      <c r="DAO153" s="1011"/>
      <c r="DAP153" s="1011"/>
      <c r="DAQ153" s="1011"/>
      <c r="DAR153" s="1011"/>
      <c r="DAS153" s="1011"/>
      <c r="DAT153" s="1011"/>
      <c r="DAU153" s="1011"/>
      <c r="DAV153" s="1011"/>
      <c r="DAW153" s="1011"/>
      <c r="DAX153" s="1011"/>
      <c r="DAY153" s="1011"/>
      <c r="DAZ153" s="1011"/>
      <c r="DBA153" s="1011"/>
      <c r="DBB153" s="1011"/>
      <c r="DBC153" s="1011"/>
      <c r="DBD153" s="1011"/>
      <c r="DBE153" s="1011"/>
      <c r="DBF153" s="1011"/>
      <c r="DBG153" s="1011"/>
      <c r="DBH153" s="1011"/>
      <c r="DBI153" s="1011"/>
      <c r="DBJ153" s="1011"/>
      <c r="DBK153" s="1011"/>
      <c r="DBL153" s="1011"/>
      <c r="DBM153" s="1011"/>
      <c r="DBN153" s="1011"/>
      <c r="DBO153" s="1011"/>
      <c r="DBP153" s="1011"/>
      <c r="DBQ153" s="1011"/>
      <c r="DBR153" s="1011"/>
      <c r="DBS153" s="1011"/>
      <c r="DBT153" s="1011"/>
      <c r="DBU153" s="1011"/>
      <c r="DBV153" s="1011"/>
      <c r="DBW153" s="1011"/>
      <c r="DBX153" s="1011"/>
      <c r="DBY153" s="1011"/>
      <c r="DBZ153" s="1011"/>
      <c r="DCA153" s="1011"/>
      <c r="DCB153" s="1011"/>
      <c r="DCC153" s="1011"/>
      <c r="DCD153" s="1011"/>
      <c r="DCE153" s="1011"/>
      <c r="DCF153" s="1011"/>
      <c r="DCG153" s="1011"/>
      <c r="DCH153" s="1011"/>
      <c r="DCI153" s="1011"/>
      <c r="DCJ153" s="1011"/>
      <c r="DCK153" s="1011"/>
      <c r="DCL153" s="1011"/>
      <c r="DCM153" s="1011"/>
      <c r="DCN153" s="1011"/>
      <c r="DCO153" s="1011"/>
      <c r="DCP153" s="1011"/>
      <c r="DCQ153" s="1011"/>
      <c r="DCR153" s="1011"/>
      <c r="DCS153" s="1011"/>
      <c r="DCT153" s="1011"/>
      <c r="DCU153" s="1011"/>
      <c r="DCV153" s="1011"/>
      <c r="DCW153" s="1011"/>
      <c r="DCX153" s="1011"/>
      <c r="DCY153" s="1011"/>
      <c r="DCZ153" s="1011"/>
      <c r="DDA153" s="1011"/>
      <c r="DDB153" s="1011"/>
      <c r="DDC153" s="1011"/>
      <c r="DDD153" s="1011"/>
      <c r="DDE153" s="1011"/>
      <c r="DDF153" s="1011"/>
      <c r="DDG153" s="1011"/>
      <c r="DDH153" s="1011"/>
      <c r="DDI153" s="1011"/>
      <c r="DDJ153" s="1011"/>
      <c r="DDK153" s="1011"/>
      <c r="DDL153" s="1011"/>
      <c r="DDM153" s="1011"/>
      <c r="DDN153" s="1011"/>
      <c r="DDO153" s="1011"/>
      <c r="DDP153" s="1011"/>
      <c r="DDQ153" s="1011"/>
      <c r="DDR153" s="1011"/>
      <c r="DDS153" s="1011"/>
      <c r="DDT153" s="1011"/>
      <c r="DDU153" s="1011"/>
      <c r="DDV153" s="1011"/>
      <c r="DDW153" s="1011"/>
      <c r="DDX153" s="1011"/>
      <c r="DDY153" s="1011"/>
      <c r="DDZ153" s="1011"/>
      <c r="DEA153" s="1011"/>
      <c r="DEB153" s="1011"/>
      <c r="DEC153" s="1011"/>
      <c r="DED153" s="1011"/>
      <c r="DEE153" s="1011"/>
      <c r="DEF153" s="1011"/>
      <c r="DEG153" s="1011"/>
      <c r="DEH153" s="1011"/>
      <c r="DEI153" s="1011"/>
      <c r="DEJ153" s="1011"/>
      <c r="DEK153" s="1011"/>
      <c r="DEL153" s="1011"/>
      <c r="DEM153" s="1011"/>
      <c r="DEN153" s="1011"/>
      <c r="DEO153" s="1011"/>
      <c r="DEP153" s="1011"/>
      <c r="DEQ153" s="1011"/>
      <c r="DER153" s="1011"/>
      <c r="DES153" s="1011"/>
      <c r="DET153" s="1011"/>
      <c r="DEU153" s="1011"/>
      <c r="DEV153" s="1011"/>
      <c r="DEW153" s="1011"/>
      <c r="DEX153" s="1011"/>
      <c r="DEY153" s="1011"/>
      <c r="DEZ153" s="1011"/>
      <c r="DFA153" s="1011"/>
      <c r="DFB153" s="1011"/>
      <c r="DFC153" s="1011"/>
      <c r="DFD153" s="1011"/>
      <c r="DFE153" s="1011"/>
      <c r="DFF153" s="1011"/>
      <c r="DFG153" s="1011"/>
      <c r="DFH153" s="1011"/>
      <c r="DFI153" s="1011"/>
      <c r="DFJ153" s="1011"/>
      <c r="DFK153" s="1011"/>
      <c r="DFL153" s="1011"/>
      <c r="DFM153" s="1011"/>
      <c r="DFN153" s="1011"/>
      <c r="DFO153" s="1011"/>
      <c r="DFP153" s="1011"/>
      <c r="DFQ153" s="1011"/>
      <c r="DFR153" s="1011"/>
      <c r="DFS153" s="1011"/>
      <c r="DFT153" s="1011"/>
      <c r="DFU153" s="1011"/>
      <c r="DFV153" s="1011"/>
      <c r="DFW153" s="1011"/>
      <c r="DFX153" s="1011"/>
      <c r="DFY153" s="1011"/>
      <c r="DFZ153" s="1011"/>
      <c r="DGA153" s="1011"/>
      <c r="DGB153" s="1011"/>
      <c r="DGC153" s="1011"/>
      <c r="DGD153" s="1011"/>
      <c r="DGE153" s="1011"/>
      <c r="DGF153" s="1011"/>
      <c r="DGG153" s="1011"/>
      <c r="DGH153" s="1011"/>
      <c r="DGI153" s="1011"/>
      <c r="DGJ153" s="1011"/>
      <c r="DGK153" s="1011"/>
      <c r="DGL153" s="1011"/>
      <c r="DGM153" s="1011"/>
      <c r="DGN153" s="1011"/>
      <c r="DGO153" s="1011"/>
      <c r="DGP153" s="1011"/>
      <c r="DGQ153" s="1011"/>
      <c r="DGR153" s="1011"/>
      <c r="DGS153" s="1011"/>
      <c r="DGT153" s="1011"/>
      <c r="DGU153" s="1011"/>
      <c r="DGV153" s="1011"/>
      <c r="DGW153" s="1011"/>
      <c r="DGX153" s="1011"/>
      <c r="DGY153" s="1011"/>
      <c r="DGZ153" s="1011"/>
      <c r="DHA153" s="1011"/>
      <c r="DHB153" s="1011"/>
      <c r="DHC153" s="1011"/>
      <c r="DHD153" s="1011"/>
      <c r="DHE153" s="1011"/>
      <c r="DHF153" s="1011"/>
      <c r="DHG153" s="1011"/>
      <c r="DHH153" s="1011"/>
      <c r="DHI153" s="1011"/>
      <c r="DHJ153" s="1011"/>
      <c r="DHK153" s="1011"/>
      <c r="DHL153" s="1011"/>
      <c r="DHM153" s="1011"/>
      <c r="DHN153" s="1011"/>
      <c r="DHO153" s="1011"/>
      <c r="DHP153" s="1011"/>
      <c r="DHQ153" s="1011"/>
      <c r="DHR153" s="1011"/>
      <c r="DHS153" s="1011"/>
      <c r="DHT153" s="1011"/>
      <c r="DHU153" s="1011"/>
      <c r="DHV153" s="1011"/>
      <c r="DHW153" s="1011"/>
      <c r="DHX153" s="1011"/>
      <c r="DHY153" s="1011"/>
      <c r="DHZ153" s="1011"/>
      <c r="DIA153" s="1011"/>
      <c r="DIB153" s="1011"/>
      <c r="DIC153" s="1011"/>
      <c r="DID153" s="1011"/>
      <c r="DIE153" s="1011"/>
      <c r="DIF153" s="1011"/>
      <c r="DIG153" s="1011"/>
      <c r="DIH153" s="1011"/>
      <c r="DII153" s="1011"/>
      <c r="DIJ153" s="1011"/>
      <c r="DIK153" s="1011"/>
      <c r="DIL153" s="1011"/>
      <c r="DIM153" s="1011"/>
      <c r="DIN153" s="1011"/>
      <c r="DIO153" s="1011"/>
      <c r="DIP153" s="1011"/>
      <c r="DIQ153" s="1011"/>
      <c r="DIR153" s="1011"/>
      <c r="DIS153" s="1011"/>
      <c r="DIT153" s="1011"/>
      <c r="DIU153" s="1011"/>
      <c r="DIV153" s="1011"/>
      <c r="DIW153" s="1011"/>
      <c r="DIX153" s="1011"/>
      <c r="DIY153" s="1011"/>
      <c r="DIZ153" s="1011"/>
      <c r="DJA153" s="1011"/>
      <c r="DJB153" s="1011"/>
      <c r="DJC153" s="1011"/>
      <c r="DJD153" s="1011"/>
      <c r="DJE153" s="1011"/>
      <c r="DJF153" s="1011"/>
      <c r="DJG153" s="1011"/>
      <c r="DJH153" s="1011"/>
      <c r="DJI153" s="1011"/>
      <c r="DJJ153" s="1011"/>
      <c r="DJK153" s="1011"/>
      <c r="DJL153" s="1011"/>
      <c r="DJM153" s="1011"/>
      <c r="DJN153" s="1011"/>
      <c r="DJO153" s="1011"/>
      <c r="DJP153" s="1011"/>
      <c r="DJQ153" s="1011"/>
      <c r="DJR153" s="1011"/>
      <c r="DJS153" s="1011"/>
      <c r="DJT153" s="1011"/>
      <c r="DJU153" s="1011"/>
      <c r="DJV153" s="1011"/>
      <c r="DJW153" s="1011"/>
      <c r="DJX153" s="1011"/>
      <c r="DJY153" s="1011"/>
      <c r="DJZ153" s="1011"/>
      <c r="DKA153" s="1011"/>
      <c r="DKB153" s="1011"/>
      <c r="DKC153" s="1011"/>
      <c r="DKD153" s="1011"/>
      <c r="DKE153" s="1011"/>
      <c r="DKF153" s="1011"/>
      <c r="DKG153" s="1011"/>
      <c r="DKH153" s="1011"/>
      <c r="DKI153" s="1011"/>
      <c r="DKJ153" s="1011"/>
      <c r="DKK153" s="1011"/>
      <c r="DKL153" s="1011"/>
      <c r="DKM153" s="1011"/>
      <c r="DKN153" s="1011"/>
      <c r="DKO153" s="1011"/>
      <c r="DKP153" s="1011"/>
      <c r="DKQ153" s="1011"/>
      <c r="DKR153" s="1011"/>
      <c r="DKS153" s="1011"/>
      <c r="DKT153" s="1011"/>
      <c r="DKU153" s="1011"/>
      <c r="DKV153" s="1011"/>
      <c r="DKW153" s="1011"/>
      <c r="DKX153" s="1011"/>
      <c r="DKY153" s="1011"/>
      <c r="DKZ153" s="1011"/>
      <c r="DLA153" s="1011"/>
      <c r="DLB153" s="1011"/>
      <c r="DLC153" s="1011"/>
      <c r="DLD153" s="1011"/>
      <c r="DLE153" s="1011"/>
      <c r="DLF153" s="1011"/>
      <c r="DLG153" s="1011"/>
      <c r="DLH153" s="1011"/>
      <c r="DLI153" s="1011"/>
      <c r="DLJ153" s="1011"/>
      <c r="DLK153" s="1011"/>
      <c r="DLL153" s="1011"/>
      <c r="DLM153" s="1011"/>
      <c r="DLN153" s="1011"/>
      <c r="DLO153" s="1011"/>
      <c r="DLP153" s="1011"/>
      <c r="DLQ153" s="1011"/>
      <c r="DLR153" s="1011"/>
      <c r="DLS153" s="1011"/>
      <c r="DLT153" s="1011"/>
      <c r="DLU153" s="1011"/>
      <c r="DLV153" s="1011"/>
      <c r="DLW153" s="1011"/>
      <c r="DLX153" s="1011"/>
      <c r="DLY153" s="1011"/>
      <c r="DLZ153" s="1011"/>
      <c r="DMA153" s="1011"/>
      <c r="DMB153" s="1011"/>
      <c r="DMC153" s="1011"/>
      <c r="DMD153" s="1011"/>
      <c r="DME153" s="1011"/>
      <c r="DMF153" s="1011"/>
      <c r="DMG153" s="1011"/>
      <c r="DMH153" s="1011"/>
      <c r="DMI153" s="1011"/>
      <c r="DMJ153" s="1011"/>
      <c r="DMK153" s="1011"/>
      <c r="DML153" s="1011"/>
      <c r="DMM153" s="1011"/>
      <c r="DMN153" s="1011"/>
      <c r="DMO153" s="1011"/>
      <c r="DMP153" s="1011"/>
      <c r="DMQ153" s="1011"/>
      <c r="DMR153" s="1011"/>
      <c r="DMS153" s="1011"/>
      <c r="DMT153" s="1011"/>
      <c r="DMU153" s="1011"/>
      <c r="DMV153" s="1011"/>
      <c r="DMW153" s="1011"/>
      <c r="DMX153" s="1011"/>
      <c r="DMY153" s="1011"/>
      <c r="DMZ153" s="1011"/>
      <c r="DNA153" s="1011"/>
      <c r="DNB153" s="1011"/>
      <c r="DNC153" s="1011"/>
      <c r="DND153" s="1011"/>
      <c r="DNE153" s="1011"/>
      <c r="DNF153" s="1011"/>
      <c r="DNG153" s="1011"/>
      <c r="DNH153" s="1011"/>
      <c r="DNI153" s="1011"/>
      <c r="DNJ153" s="1011"/>
      <c r="DNK153" s="1011"/>
      <c r="DNL153" s="1011"/>
      <c r="DNM153" s="1011"/>
      <c r="DNN153" s="1011"/>
      <c r="DNO153" s="1011"/>
      <c r="DNP153" s="1011"/>
      <c r="DNQ153" s="1011"/>
      <c r="DNR153" s="1011"/>
      <c r="DNS153" s="1011"/>
      <c r="DNT153" s="1011"/>
      <c r="DNU153" s="1011"/>
      <c r="DNV153" s="1011"/>
      <c r="DNW153" s="1011"/>
      <c r="DNX153" s="1011"/>
      <c r="DNY153" s="1011"/>
      <c r="DNZ153" s="1011"/>
      <c r="DOA153" s="1011"/>
      <c r="DOB153" s="1011"/>
      <c r="DOC153" s="1011"/>
      <c r="DOD153" s="1011"/>
      <c r="DOE153" s="1011"/>
      <c r="DOF153" s="1011"/>
      <c r="DOG153" s="1011"/>
      <c r="DOH153" s="1011"/>
      <c r="DOI153" s="1011"/>
      <c r="DOJ153" s="1011"/>
      <c r="DOK153" s="1011"/>
      <c r="DOL153" s="1011"/>
      <c r="DOM153" s="1011"/>
      <c r="DON153" s="1011"/>
      <c r="DOO153" s="1011"/>
      <c r="DOP153" s="1011"/>
      <c r="DOQ153" s="1011"/>
      <c r="DOR153" s="1011"/>
      <c r="DOS153" s="1011"/>
      <c r="DOT153" s="1011"/>
      <c r="DOU153" s="1011"/>
      <c r="DOV153" s="1011"/>
      <c r="DOW153" s="1011"/>
      <c r="DOX153" s="1011"/>
      <c r="DOY153" s="1011"/>
      <c r="DOZ153" s="1011"/>
      <c r="DPA153" s="1011"/>
      <c r="DPB153" s="1011"/>
      <c r="DPC153" s="1011"/>
      <c r="DPD153" s="1011"/>
      <c r="DPE153" s="1011"/>
      <c r="DPF153" s="1011"/>
      <c r="DPG153" s="1011"/>
      <c r="DPH153" s="1011"/>
      <c r="DPI153" s="1011"/>
      <c r="DPJ153" s="1011"/>
      <c r="DPK153" s="1011"/>
      <c r="DPL153" s="1011"/>
      <c r="DPM153" s="1011"/>
      <c r="DPN153" s="1011"/>
      <c r="DPO153" s="1011"/>
      <c r="DPP153" s="1011"/>
      <c r="DPQ153" s="1011"/>
      <c r="DPR153" s="1011"/>
      <c r="DPS153" s="1011"/>
      <c r="DPT153" s="1011"/>
      <c r="DPU153" s="1011"/>
      <c r="DPV153" s="1011"/>
      <c r="DPW153" s="1011"/>
      <c r="DPX153" s="1011"/>
      <c r="DPY153" s="1011"/>
      <c r="DPZ153" s="1011"/>
      <c r="DQA153" s="1011"/>
      <c r="DQB153" s="1011"/>
      <c r="DQC153" s="1011"/>
      <c r="DQD153" s="1011"/>
      <c r="DQE153" s="1011"/>
      <c r="DQF153" s="1011"/>
      <c r="DQG153" s="1011"/>
      <c r="DQH153" s="1011"/>
      <c r="DQI153" s="1011"/>
      <c r="DQJ153" s="1011"/>
      <c r="DQK153" s="1011"/>
      <c r="DQL153" s="1011"/>
      <c r="DQM153" s="1011"/>
      <c r="DQN153" s="1011"/>
      <c r="DQO153" s="1011"/>
      <c r="DQP153" s="1011"/>
      <c r="DQQ153" s="1011"/>
      <c r="DQR153" s="1011"/>
      <c r="DQS153" s="1011"/>
      <c r="DQT153" s="1011"/>
      <c r="DQU153" s="1011"/>
      <c r="DQV153" s="1011"/>
      <c r="DQW153" s="1011"/>
      <c r="DQX153" s="1011"/>
      <c r="DQY153" s="1011"/>
      <c r="DQZ153" s="1011"/>
      <c r="DRA153" s="1011"/>
      <c r="DRB153" s="1011"/>
      <c r="DRC153" s="1011"/>
      <c r="DRD153" s="1011"/>
      <c r="DRE153" s="1011"/>
      <c r="DRF153" s="1011"/>
      <c r="DRG153" s="1011"/>
      <c r="DRH153" s="1011"/>
      <c r="DRI153" s="1011"/>
      <c r="DRJ153" s="1011"/>
      <c r="DRK153" s="1011"/>
      <c r="DRL153" s="1011"/>
      <c r="DRM153" s="1011"/>
      <c r="DRN153" s="1011"/>
      <c r="DRO153" s="1011"/>
      <c r="DRP153" s="1011"/>
      <c r="DRQ153" s="1011"/>
      <c r="DRR153" s="1011"/>
      <c r="DRS153" s="1011"/>
      <c r="DRT153" s="1011"/>
      <c r="DRU153" s="1011"/>
      <c r="DRV153" s="1011"/>
      <c r="DRW153" s="1011"/>
      <c r="DRX153" s="1011"/>
      <c r="DRY153" s="1011"/>
      <c r="DRZ153" s="1011"/>
      <c r="DSA153" s="1011"/>
      <c r="DSB153" s="1011"/>
      <c r="DSC153" s="1011"/>
      <c r="DSD153" s="1011"/>
      <c r="DSE153" s="1011"/>
      <c r="DSF153" s="1011"/>
      <c r="DSG153" s="1011"/>
      <c r="DSH153" s="1011"/>
      <c r="DSI153" s="1011"/>
      <c r="DSJ153" s="1011"/>
      <c r="DSK153" s="1011"/>
      <c r="DSL153" s="1011"/>
      <c r="DSM153" s="1011"/>
      <c r="DSN153" s="1011"/>
      <c r="DSO153" s="1011"/>
      <c r="DSP153" s="1011"/>
      <c r="DSQ153" s="1011"/>
      <c r="DSR153" s="1011"/>
      <c r="DSS153" s="1011"/>
      <c r="DST153" s="1011"/>
      <c r="DSU153" s="1011"/>
      <c r="DSV153" s="1011"/>
      <c r="DSW153" s="1011"/>
      <c r="DSX153" s="1011"/>
      <c r="DSY153" s="1011"/>
      <c r="DSZ153" s="1011"/>
      <c r="DTA153" s="1011"/>
      <c r="DTB153" s="1011"/>
      <c r="DTC153" s="1011"/>
      <c r="DTD153" s="1011"/>
      <c r="DTE153" s="1011"/>
      <c r="DTF153" s="1011"/>
      <c r="DTG153" s="1011"/>
      <c r="DTH153" s="1011"/>
      <c r="DTI153" s="1011"/>
      <c r="DTJ153" s="1011"/>
      <c r="DTK153" s="1011"/>
      <c r="DTL153" s="1011"/>
      <c r="DTM153" s="1011"/>
      <c r="DTN153" s="1011"/>
      <c r="DTO153" s="1011"/>
      <c r="DTP153" s="1011"/>
      <c r="DTQ153" s="1011"/>
      <c r="DTR153" s="1011"/>
      <c r="DTS153" s="1011"/>
      <c r="DTT153" s="1011"/>
      <c r="DTU153" s="1011"/>
      <c r="DTV153" s="1011"/>
      <c r="DTW153" s="1011"/>
      <c r="DTX153" s="1011"/>
      <c r="DTY153" s="1011"/>
      <c r="DTZ153" s="1011"/>
      <c r="DUA153" s="1011"/>
      <c r="DUB153" s="1011"/>
      <c r="DUC153" s="1011"/>
      <c r="DUD153" s="1011"/>
      <c r="DUE153" s="1011"/>
      <c r="DUF153" s="1011"/>
      <c r="DUG153" s="1011"/>
      <c r="DUH153" s="1011"/>
      <c r="DUI153" s="1011"/>
      <c r="DUJ153" s="1011"/>
      <c r="DUK153" s="1011"/>
      <c r="DUL153" s="1011"/>
      <c r="DUM153" s="1011"/>
      <c r="DUN153" s="1011"/>
      <c r="DUO153" s="1011"/>
      <c r="DUP153" s="1011"/>
      <c r="DUQ153" s="1011"/>
      <c r="DUR153" s="1011"/>
      <c r="DUS153" s="1011"/>
      <c r="DUT153" s="1011"/>
      <c r="DUU153" s="1011"/>
      <c r="DUV153" s="1011"/>
      <c r="DUW153" s="1011"/>
      <c r="DUX153" s="1011"/>
      <c r="DUY153" s="1011"/>
      <c r="DUZ153" s="1011"/>
      <c r="DVA153" s="1011"/>
      <c r="DVB153" s="1011"/>
      <c r="DVC153" s="1011"/>
      <c r="DVD153" s="1011"/>
      <c r="DVE153" s="1011"/>
      <c r="DVF153" s="1011"/>
      <c r="DVG153" s="1011"/>
      <c r="DVH153" s="1011"/>
      <c r="DVI153" s="1011"/>
      <c r="DVJ153" s="1011"/>
      <c r="DVK153" s="1011"/>
      <c r="DVL153" s="1011"/>
      <c r="DVM153" s="1011"/>
      <c r="DVN153" s="1011"/>
      <c r="DVO153" s="1011"/>
      <c r="DVP153" s="1011"/>
      <c r="DVQ153" s="1011"/>
      <c r="DVR153" s="1011"/>
      <c r="DVS153" s="1011"/>
      <c r="DVT153" s="1011"/>
      <c r="DVU153" s="1011"/>
      <c r="DVV153" s="1011"/>
      <c r="DVW153" s="1011"/>
      <c r="DVX153" s="1011"/>
      <c r="DVY153" s="1011"/>
      <c r="DVZ153" s="1011"/>
      <c r="DWA153" s="1011"/>
      <c r="DWB153" s="1011"/>
      <c r="DWC153" s="1011"/>
      <c r="DWD153" s="1011"/>
      <c r="DWE153" s="1011"/>
      <c r="DWF153" s="1011"/>
      <c r="DWG153" s="1011"/>
      <c r="DWH153" s="1011"/>
      <c r="DWI153" s="1011"/>
      <c r="DWJ153" s="1011"/>
      <c r="DWK153" s="1011"/>
      <c r="DWL153" s="1011"/>
      <c r="DWM153" s="1011"/>
      <c r="DWN153" s="1011"/>
      <c r="DWO153" s="1011"/>
      <c r="DWP153" s="1011"/>
      <c r="DWQ153" s="1011"/>
      <c r="DWR153" s="1011"/>
      <c r="DWS153" s="1011"/>
      <c r="DWT153" s="1011"/>
      <c r="DWU153" s="1011"/>
      <c r="DWV153" s="1011"/>
      <c r="DWW153" s="1011"/>
      <c r="DWX153" s="1011"/>
      <c r="DWY153" s="1011"/>
      <c r="DWZ153" s="1011"/>
      <c r="DXA153" s="1011"/>
      <c r="DXB153" s="1011"/>
      <c r="DXC153" s="1011"/>
      <c r="DXD153" s="1011"/>
      <c r="DXE153" s="1011"/>
      <c r="DXF153" s="1011"/>
      <c r="DXG153" s="1011"/>
      <c r="DXH153" s="1011"/>
      <c r="DXI153" s="1011"/>
      <c r="DXJ153" s="1011"/>
      <c r="DXK153" s="1011"/>
      <c r="DXL153" s="1011"/>
      <c r="DXM153" s="1011"/>
      <c r="DXN153" s="1011"/>
      <c r="DXO153" s="1011"/>
      <c r="DXP153" s="1011"/>
      <c r="DXQ153" s="1011"/>
      <c r="DXR153" s="1011"/>
      <c r="DXS153" s="1011"/>
      <c r="DXT153" s="1011"/>
      <c r="DXU153" s="1011"/>
      <c r="DXV153" s="1011"/>
      <c r="DXW153" s="1011"/>
      <c r="DXX153" s="1011"/>
      <c r="DXY153" s="1011"/>
      <c r="DXZ153" s="1011"/>
      <c r="DYA153" s="1011"/>
      <c r="DYB153" s="1011"/>
      <c r="DYC153" s="1011"/>
      <c r="DYD153" s="1011"/>
      <c r="DYE153" s="1011"/>
      <c r="DYF153" s="1011"/>
      <c r="DYG153" s="1011"/>
      <c r="DYH153" s="1011"/>
      <c r="DYI153" s="1011"/>
      <c r="DYJ153" s="1011"/>
      <c r="DYK153" s="1011"/>
      <c r="DYL153" s="1011"/>
      <c r="DYM153" s="1011"/>
      <c r="DYN153" s="1011"/>
      <c r="DYO153" s="1011"/>
      <c r="DYP153" s="1011"/>
      <c r="DYQ153" s="1011"/>
      <c r="DYR153" s="1011"/>
      <c r="DYS153" s="1011"/>
      <c r="DYT153" s="1011"/>
      <c r="DYU153" s="1011"/>
      <c r="DYV153" s="1011"/>
      <c r="DYW153" s="1011"/>
      <c r="DYX153" s="1011"/>
      <c r="DYY153" s="1011"/>
      <c r="DYZ153" s="1011"/>
      <c r="DZA153" s="1011"/>
      <c r="DZB153" s="1011"/>
      <c r="DZC153" s="1011"/>
      <c r="DZD153" s="1011"/>
      <c r="DZE153" s="1011"/>
      <c r="DZF153" s="1011"/>
      <c r="DZG153" s="1011"/>
      <c r="DZH153" s="1011"/>
      <c r="DZI153" s="1011"/>
      <c r="DZJ153" s="1011"/>
      <c r="DZK153" s="1011"/>
      <c r="DZL153" s="1011"/>
      <c r="DZM153" s="1011"/>
      <c r="DZN153" s="1011"/>
      <c r="DZO153" s="1011"/>
      <c r="DZP153" s="1011"/>
      <c r="DZQ153" s="1011"/>
      <c r="DZR153" s="1011"/>
      <c r="DZS153" s="1011"/>
      <c r="DZT153" s="1011"/>
      <c r="DZU153" s="1011"/>
      <c r="DZV153" s="1011"/>
      <c r="DZW153" s="1011"/>
      <c r="DZX153" s="1011"/>
      <c r="DZY153" s="1011"/>
      <c r="DZZ153" s="1011"/>
      <c r="EAA153" s="1011"/>
      <c r="EAB153" s="1011"/>
      <c r="EAC153" s="1011"/>
      <c r="EAD153" s="1011"/>
      <c r="EAE153" s="1011"/>
      <c r="EAF153" s="1011"/>
      <c r="EAG153" s="1011"/>
      <c r="EAH153" s="1011"/>
      <c r="EAI153" s="1011"/>
      <c r="EAJ153" s="1011"/>
      <c r="EAK153" s="1011"/>
      <c r="EAL153" s="1011"/>
      <c r="EAM153" s="1011"/>
      <c r="EAN153" s="1011"/>
      <c r="EAO153" s="1011"/>
      <c r="EAP153" s="1011"/>
      <c r="EAQ153" s="1011"/>
      <c r="EAR153" s="1011"/>
      <c r="EAS153" s="1011"/>
      <c r="EAT153" s="1011"/>
      <c r="EAU153" s="1011"/>
      <c r="EAV153" s="1011"/>
      <c r="EAW153" s="1011"/>
      <c r="EAX153" s="1011"/>
      <c r="EAY153" s="1011"/>
      <c r="EAZ153" s="1011"/>
      <c r="EBA153" s="1011"/>
      <c r="EBB153" s="1011"/>
      <c r="EBC153" s="1011"/>
      <c r="EBD153" s="1011"/>
      <c r="EBE153" s="1011"/>
      <c r="EBF153" s="1011"/>
      <c r="EBG153" s="1011"/>
      <c r="EBH153" s="1011"/>
      <c r="EBI153" s="1011"/>
      <c r="EBJ153" s="1011"/>
      <c r="EBK153" s="1011"/>
      <c r="EBL153" s="1011"/>
      <c r="EBM153" s="1011"/>
      <c r="EBN153" s="1011"/>
      <c r="EBO153" s="1011"/>
      <c r="EBP153" s="1011"/>
      <c r="EBQ153" s="1011"/>
      <c r="EBR153" s="1011"/>
      <c r="EBS153" s="1011"/>
      <c r="EBT153" s="1011"/>
      <c r="EBU153" s="1011"/>
      <c r="EBV153" s="1011"/>
      <c r="EBW153" s="1011"/>
      <c r="EBX153" s="1011"/>
      <c r="EBY153" s="1011"/>
      <c r="EBZ153" s="1011"/>
      <c r="ECA153" s="1011"/>
      <c r="ECB153" s="1011"/>
      <c r="ECC153" s="1011"/>
      <c r="ECD153" s="1011"/>
      <c r="ECE153" s="1011"/>
      <c r="ECF153" s="1011"/>
      <c r="ECG153" s="1011"/>
      <c r="ECH153" s="1011"/>
      <c r="ECI153" s="1011"/>
      <c r="ECJ153" s="1011"/>
      <c r="ECK153" s="1011"/>
      <c r="ECL153" s="1011"/>
      <c r="ECM153" s="1011"/>
      <c r="ECN153" s="1011"/>
      <c r="ECO153" s="1011"/>
      <c r="ECP153" s="1011"/>
      <c r="ECQ153" s="1011"/>
      <c r="ECR153" s="1011"/>
      <c r="ECS153" s="1011"/>
      <c r="ECT153" s="1011"/>
      <c r="ECU153" s="1011"/>
      <c r="ECV153" s="1011"/>
      <c r="ECW153" s="1011"/>
      <c r="ECX153" s="1011"/>
      <c r="ECY153" s="1011"/>
      <c r="ECZ153" s="1011"/>
      <c r="EDA153" s="1011"/>
      <c r="EDB153" s="1011"/>
      <c r="EDC153" s="1011"/>
      <c r="EDD153" s="1011"/>
      <c r="EDE153" s="1011"/>
      <c r="EDF153" s="1011"/>
      <c r="EDG153" s="1011"/>
      <c r="EDH153" s="1011"/>
      <c r="EDI153" s="1011"/>
      <c r="EDJ153" s="1011"/>
      <c r="EDK153" s="1011"/>
      <c r="EDL153" s="1011"/>
      <c r="EDM153" s="1011"/>
      <c r="EDN153" s="1011"/>
      <c r="EDO153" s="1011"/>
      <c r="EDP153" s="1011"/>
      <c r="EDQ153" s="1011"/>
      <c r="EDR153" s="1011"/>
      <c r="EDS153" s="1011"/>
      <c r="EDT153" s="1011"/>
      <c r="EDU153" s="1011"/>
      <c r="EDV153" s="1011"/>
      <c r="EDW153" s="1011"/>
      <c r="EDX153" s="1011"/>
      <c r="EDY153" s="1011"/>
      <c r="EDZ153" s="1011"/>
      <c r="EEA153" s="1011"/>
      <c r="EEB153" s="1011"/>
      <c r="EEC153" s="1011"/>
      <c r="EED153" s="1011"/>
      <c r="EEE153" s="1011"/>
      <c r="EEF153" s="1011"/>
      <c r="EEG153" s="1011"/>
      <c r="EEH153" s="1011"/>
      <c r="EEI153" s="1011"/>
      <c r="EEJ153" s="1011"/>
      <c r="EEK153" s="1011"/>
      <c r="EEL153" s="1011"/>
      <c r="EEM153" s="1011"/>
      <c r="EEN153" s="1011"/>
      <c r="EEO153" s="1011"/>
      <c r="EEP153" s="1011"/>
      <c r="EEQ153" s="1011"/>
      <c r="EER153" s="1011"/>
      <c r="EES153" s="1011"/>
      <c r="EET153" s="1011"/>
      <c r="EEU153" s="1011"/>
      <c r="EEV153" s="1011"/>
      <c r="EEW153" s="1011"/>
      <c r="EEX153" s="1011"/>
      <c r="EEY153" s="1011"/>
      <c r="EEZ153" s="1011"/>
      <c r="EFA153" s="1011"/>
      <c r="EFB153" s="1011"/>
      <c r="EFC153" s="1011"/>
      <c r="EFD153" s="1011"/>
      <c r="EFE153" s="1011"/>
      <c r="EFF153" s="1011"/>
      <c r="EFG153" s="1011"/>
      <c r="EFH153" s="1011"/>
      <c r="EFI153" s="1011"/>
      <c r="EFJ153" s="1011"/>
      <c r="EFK153" s="1011"/>
      <c r="EFL153" s="1011"/>
      <c r="EFM153" s="1011"/>
      <c r="EFN153" s="1011"/>
      <c r="EFO153" s="1011"/>
      <c r="EFP153" s="1011"/>
      <c r="EFQ153" s="1011"/>
      <c r="EFR153" s="1011"/>
      <c r="EFS153" s="1011"/>
      <c r="EFT153" s="1011"/>
      <c r="EFU153" s="1011"/>
      <c r="EFV153" s="1011"/>
      <c r="EFW153" s="1011"/>
      <c r="EFX153" s="1011"/>
      <c r="EFY153" s="1011"/>
      <c r="EFZ153" s="1011"/>
      <c r="EGA153" s="1011"/>
      <c r="EGB153" s="1011"/>
      <c r="EGC153" s="1011"/>
      <c r="EGD153" s="1011"/>
      <c r="EGE153" s="1011"/>
      <c r="EGF153" s="1011"/>
      <c r="EGG153" s="1011"/>
      <c r="EGH153" s="1011"/>
      <c r="EGI153" s="1011"/>
      <c r="EGJ153" s="1011"/>
      <c r="EGK153" s="1011"/>
      <c r="EGL153" s="1011"/>
      <c r="EGM153" s="1011"/>
      <c r="EGN153" s="1011"/>
      <c r="EGO153" s="1011"/>
      <c r="EGP153" s="1011"/>
      <c r="EGQ153" s="1011"/>
      <c r="EGR153" s="1011"/>
      <c r="EGS153" s="1011"/>
      <c r="EGT153" s="1011"/>
      <c r="EGU153" s="1011"/>
      <c r="EGV153" s="1011"/>
      <c r="EGW153" s="1011"/>
      <c r="EGX153" s="1011"/>
      <c r="EGY153" s="1011"/>
      <c r="EGZ153" s="1011"/>
      <c r="EHA153" s="1011"/>
      <c r="EHB153" s="1011"/>
      <c r="EHC153" s="1011"/>
      <c r="EHD153" s="1011"/>
      <c r="EHE153" s="1011"/>
      <c r="EHF153" s="1011"/>
      <c r="EHG153" s="1011"/>
      <c r="EHH153" s="1011"/>
      <c r="EHI153" s="1011"/>
      <c r="EHJ153" s="1011"/>
      <c r="EHK153" s="1011"/>
      <c r="EHL153" s="1011"/>
      <c r="EHM153" s="1011"/>
      <c r="EHN153" s="1011"/>
      <c r="EHO153" s="1011"/>
      <c r="EHP153" s="1011"/>
      <c r="EHQ153" s="1011"/>
      <c r="EHR153" s="1011"/>
      <c r="EHS153" s="1011"/>
      <c r="EHT153" s="1011"/>
      <c r="EHU153" s="1011"/>
      <c r="EHV153" s="1011"/>
      <c r="EHW153" s="1011"/>
      <c r="EHX153" s="1011"/>
      <c r="EHY153" s="1011"/>
      <c r="EHZ153" s="1011"/>
      <c r="EIA153" s="1011"/>
      <c r="EIB153" s="1011"/>
      <c r="EIC153" s="1011"/>
      <c r="EID153" s="1011"/>
      <c r="EIE153" s="1011"/>
      <c r="EIF153" s="1011"/>
      <c r="EIG153" s="1011"/>
      <c r="EIH153" s="1011"/>
      <c r="EII153" s="1011"/>
      <c r="EIJ153" s="1011"/>
      <c r="EIK153" s="1011"/>
      <c r="EIL153" s="1011"/>
      <c r="EIM153" s="1011"/>
      <c r="EIN153" s="1011"/>
      <c r="EIO153" s="1011"/>
      <c r="EIP153" s="1011"/>
      <c r="EIQ153" s="1011"/>
      <c r="EIR153" s="1011"/>
      <c r="EIS153" s="1011"/>
      <c r="EIT153" s="1011"/>
      <c r="EIU153" s="1011"/>
      <c r="EIV153" s="1011"/>
      <c r="EIW153" s="1011"/>
      <c r="EIX153" s="1011"/>
      <c r="EIY153" s="1011"/>
      <c r="EIZ153" s="1011"/>
      <c r="EJA153" s="1011"/>
      <c r="EJB153" s="1011"/>
      <c r="EJC153" s="1011"/>
      <c r="EJD153" s="1011"/>
      <c r="EJE153" s="1011"/>
      <c r="EJF153" s="1011"/>
      <c r="EJG153" s="1011"/>
      <c r="EJH153" s="1011"/>
      <c r="EJI153" s="1011"/>
      <c r="EJJ153" s="1011"/>
      <c r="EJK153" s="1011"/>
      <c r="EJL153" s="1011"/>
      <c r="EJM153" s="1011"/>
      <c r="EJN153" s="1011"/>
      <c r="EJO153" s="1011"/>
      <c r="EJP153" s="1011"/>
      <c r="EJQ153" s="1011"/>
      <c r="EJR153" s="1011"/>
      <c r="EJS153" s="1011"/>
      <c r="EJT153" s="1011"/>
      <c r="EJU153" s="1011"/>
      <c r="EJV153" s="1011"/>
      <c r="EJW153" s="1011"/>
      <c r="EJX153" s="1011"/>
      <c r="EJY153" s="1011"/>
      <c r="EJZ153" s="1011"/>
      <c r="EKA153" s="1011"/>
      <c r="EKB153" s="1011"/>
      <c r="EKC153" s="1011"/>
      <c r="EKD153" s="1011"/>
      <c r="EKE153" s="1011"/>
      <c r="EKF153" s="1011"/>
      <c r="EKG153" s="1011"/>
      <c r="EKH153" s="1011"/>
      <c r="EKI153" s="1011"/>
      <c r="EKJ153" s="1011"/>
      <c r="EKK153" s="1011"/>
      <c r="EKL153" s="1011"/>
      <c r="EKM153" s="1011"/>
      <c r="EKN153" s="1011"/>
      <c r="EKO153" s="1011"/>
      <c r="EKP153" s="1011"/>
      <c r="EKQ153" s="1011"/>
      <c r="EKR153" s="1011"/>
      <c r="EKS153" s="1011"/>
      <c r="EKT153" s="1011"/>
      <c r="EKU153" s="1011"/>
      <c r="EKV153" s="1011"/>
      <c r="EKW153" s="1011"/>
      <c r="EKX153" s="1011"/>
      <c r="EKY153" s="1011"/>
      <c r="EKZ153" s="1011"/>
      <c r="ELA153" s="1011"/>
      <c r="ELB153" s="1011"/>
      <c r="ELC153" s="1011"/>
      <c r="ELD153" s="1011"/>
      <c r="ELE153" s="1011"/>
      <c r="ELF153" s="1011"/>
      <c r="ELG153" s="1011"/>
      <c r="ELH153" s="1011"/>
      <c r="ELI153" s="1011"/>
      <c r="ELJ153" s="1011"/>
      <c r="ELK153" s="1011"/>
      <c r="ELL153" s="1011"/>
      <c r="ELM153" s="1011"/>
      <c r="ELN153" s="1011"/>
      <c r="ELO153" s="1011"/>
      <c r="ELP153" s="1011"/>
      <c r="ELQ153" s="1011"/>
      <c r="ELR153" s="1011"/>
      <c r="ELS153" s="1011"/>
      <c r="ELT153" s="1011"/>
      <c r="ELU153" s="1011"/>
      <c r="ELV153" s="1011"/>
      <c r="ELW153" s="1011"/>
      <c r="ELX153" s="1011"/>
      <c r="ELY153" s="1011"/>
      <c r="ELZ153" s="1011"/>
      <c r="EMA153" s="1011"/>
      <c r="EMB153" s="1011"/>
      <c r="EMC153" s="1011"/>
      <c r="EMD153" s="1011"/>
      <c r="EME153" s="1011"/>
      <c r="EMF153" s="1011"/>
      <c r="EMG153" s="1011"/>
      <c r="EMH153" s="1011"/>
      <c r="EMI153" s="1011"/>
      <c r="EMJ153" s="1011"/>
      <c r="EMK153" s="1011"/>
      <c r="EML153" s="1011"/>
      <c r="EMM153" s="1011"/>
      <c r="EMN153" s="1011"/>
      <c r="EMO153" s="1011"/>
      <c r="EMP153" s="1011"/>
      <c r="EMQ153" s="1011"/>
      <c r="EMR153" s="1011"/>
      <c r="EMS153" s="1011"/>
      <c r="EMT153" s="1011"/>
      <c r="EMU153" s="1011"/>
      <c r="EMV153" s="1011"/>
      <c r="EMW153" s="1011"/>
      <c r="EMX153" s="1011"/>
      <c r="EMY153" s="1011"/>
      <c r="EMZ153" s="1011"/>
      <c r="ENA153" s="1011"/>
      <c r="ENB153" s="1011"/>
      <c r="ENC153" s="1011"/>
      <c r="END153" s="1011"/>
      <c r="ENE153" s="1011"/>
      <c r="ENF153" s="1011"/>
      <c r="ENG153" s="1011"/>
      <c r="ENH153" s="1011"/>
      <c r="ENI153" s="1011"/>
      <c r="ENJ153" s="1011"/>
      <c r="ENK153" s="1011"/>
      <c r="ENL153" s="1011"/>
      <c r="ENM153" s="1011"/>
      <c r="ENN153" s="1011"/>
      <c r="ENO153" s="1011"/>
      <c r="ENP153" s="1011"/>
      <c r="ENQ153" s="1011"/>
      <c r="ENR153" s="1011"/>
      <c r="ENS153" s="1011"/>
      <c r="ENT153" s="1011"/>
      <c r="ENU153" s="1011"/>
      <c r="ENV153" s="1011"/>
      <c r="ENW153" s="1011"/>
      <c r="ENX153" s="1011"/>
      <c r="ENY153" s="1011"/>
      <c r="ENZ153" s="1011"/>
      <c r="EOA153" s="1011"/>
      <c r="EOB153" s="1011"/>
      <c r="EOC153" s="1011"/>
      <c r="EOD153" s="1011"/>
      <c r="EOE153" s="1011"/>
      <c r="EOF153" s="1011"/>
      <c r="EOG153" s="1011"/>
      <c r="EOH153" s="1011"/>
      <c r="EOI153" s="1011"/>
      <c r="EOJ153" s="1011"/>
      <c r="EOK153" s="1011"/>
      <c r="EOL153" s="1011"/>
      <c r="EOM153" s="1011"/>
      <c r="EON153" s="1011"/>
      <c r="EOO153" s="1011"/>
      <c r="EOP153" s="1011"/>
      <c r="EOQ153" s="1011"/>
      <c r="EOR153" s="1011"/>
      <c r="EOS153" s="1011"/>
      <c r="EOT153" s="1011"/>
      <c r="EOU153" s="1011"/>
      <c r="EOV153" s="1011"/>
      <c r="EOW153" s="1011"/>
      <c r="EOX153" s="1011"/>
      <c r="EOY153" s="1011"/>
      <c r="EOZ153" s="1011"/>
      <c r="EPA153" s="1011"/>
      <c r="EPB153" s="1011"/>
      <c r="EPC153" s="1011"/>
      <c r="EPD153" s="1011"/>
      <c r="EPE153" s="1011"/>
      <c r="EPF153" s="1011"/>
      <c r="EPG153" s="1011"/>
      <c r="EPH153" s="1011"/>
      <c r="EPI153" s="1011"/>
      <c r="EPJ153" s="1011"/>
      <c r="EPK153" s="1011"/>
      <c r="EPL153" s="1011"/>
      <c r="EPM153" s="1011"/>
      <c r="EPN153" s="1011"/>
      <c r="EPO153" s="1011"/>
      <c r="EPP153" s="1011"/>
      <c r="EPQ153" s="1011"/>
      <c r="EPR153" s="1011"/>
      <c r="EPS153" s="1011"/>
      <c r="EPT153" s="1011"/>
      <c r="EPU153" s="1011"/>
      <c r="EPV153" s="1011"/>
      <c r="EPW153" s="1011"/>
      <c r="EPX153" s="1011"/>
      <c r="EPY153" s="1011"/>
      <c r="EPZ153" s="1011"/>
      <c r="EQA153" s="1011"/>
      <c r="EQB153" s="1011"/>
      <c r="EQC153" s="1011"/>
      <c r="EQD153" s="1011"/>
      <c r="EQE153" s="1011"/>
      <c r="EQF153" s="1011"/>
      <c r="EQG153" s="1011"/>
      <c r="EQH153" s="1011"/>
      <c r="EQI153" s="1011"/>
      <c r="EQJ153" s="1011"/>
      <c r="EQK153" s="1011"/>
      <c r="EQL153" s="1011"/>
      <c r="EQM153" s="1011"/>
      <c r="EQN153" s="1011"/>
      <c r="EQO153" s="1011"/>
      <c r="EQP153" s="1011"/>
      <c r="EQQ153" s="1011"/>
      <c r="EQR153" s="1011"/>
      <c r="EQS153" s="1011"/>
      <c r="EQT153" s="1011"/>
      <c r="EQU153" s="1011"/>
      <c r="EQV153" s="1011"/>
      <c r="EQW153" s="1011"/>
      <c r="EQX153" s="1011"/>
      <c r="EQY153" s="1011"/>
      <c r="EQZ153" s="1011"/>
      <c r="ERA153" s="1011"/>
      <c r="ERB153" s="1011"/>
      <c r="ERC153" s="1011"/>
      <c r="ERD153" s="1011"/>
      <c r="ERE153" s="1011"/>
      <c r="ERF153" s="1011"/>
      <c r="ERG153" s="1011"/>
      <c r="ERH153" s="1011"/>
      <c r="ERI153" s="1011"/>
      <c r="ERJ153" s="1011"/>
      <c r="ERK153" s="1011"/>
      <c r="ERL153" s="1011"/>
      <c r="ERM153" s="1011"/>
      <c r="ERN153" s="1011"/>
      <c r="ERO153" s="1011"/>
      <c r="ERP153" s="1011"/>
      <c r="ERQ153" s="1011"/>
      <c r="ERR153" s="1011"/>
      <c r="ERS153" s="1011"/>
      <c r="ERT153" s="1011"/>
      <c r="ERU153" s="1011"/>
      <c r="ERV153" s="1011"/>
      <c r="ERW153" s="1011"/>
      <c r="ERX153" s="1011"/>
      <c r="ERY153" s="1011"/>
      <c r="ERZ153" s="1011"/>
      <c r="ESA153" s="1011"/>
      <c r="ESB153" s="1011"/>
      <c r="ESC153" s="1011"/>
      <c r="ESD153" s="1011"/>
      <c r="ESE153" s="1011"/>
      <c r="ESF153" s="1011"/>
      <c r="ESG153" s="1011"/>
      <c r="ESH153" s="1011"/>
      <c r="ESI153" s="1011"/>
      <c r="ESJ153" s="1011"/>
      <c r="ESK153" s="1011"/>
      <c r="ESL153" s="1011"/>
      <c r="ESM153" s="1011"/>
      <c r="ESN153" s="1011"/>
      <c r="ESO153" s="1011"/>
      <c r="ESP153" s="1011"/>
      <c r="ESQ153" s="1011"/>
      <c r="ESR153" s="1011"/>
      <c r="ESS153" s="1011"/>
      <c r="EST153" s="1011"/>
      <c r="ESU153" s="1011"/>
      <c r="ESV153" s="1011"/>
      <c r="ESW153" s="1011"/>
      <c r="ESX153" s="1011"/>
      <c r="ESY153" s="1011"/>
      <c r="ESZ153" s="1011"/>
      <c r="ETA153" s="1011"/>
      <c r="ETB153" s="1011"/>
      <c r="ETC153" s="1011"/>
      <c r="ETD153" s="1011"/>
      <c r="ETE153" s="1011"/>
      <c r="ETF153" s="1011"/>
      <c r="ETG153" s="1011"/>
      <c r="ETH153" s="1011"/>
      <c r="ETI153" s="1011"/>
      <c r="ETJ153" s="1011"/>
      <c r="ETK153" s="1011"/>
      <c r="ETL153" s="1011"/>
      <c r="ETM153" s="1011"/>
      <c r="ETN153" s="1011"/>
      <c r="ETO153" s="1011"/>
      <c r="ETP153" s="1011"/>
      <c r="ETQ153" s="1011"/>
      <c r="ETR153" s="1011"/>
      <c r="ETS153" s="1011"/>
      <c r="ETT153" s="1011"/>
      <c r="ETU153" s="1011"/>
      <c r="ETV153" s="1011"/>
      <c r="ETW153" s="1011"/>
      <c r="ETX153" s="1011"/>
      <c r="ETY153" s="1011"/>
      <c r="ETZ153" s="1011"/>
      <c r="EUA153" s="1011"/>
      <c r="EUB153" s="1011"/>
      <c r="EUC153" s="1011"/>
      <c r="EUD153" s="1011"/>
      <c r="EUE153" s="1011"/>
      <c r="EUF153" s="1011"/>
      <c r="EUG153" s="1011"/>
      <c r="EUH153" s="1011"/>
      <c r="EUI153" s="1011"/>
      <c r="EUJ153" s="1011"/>
      <c r="EUK153" s="1011"/>
      <c r="EUL153" s="1011"/>
      <c r="EUM153" s="1011"/>
      <c r="EUN153" s="1011"/>
      <c r="EUO153" s="1011"/>
      <c r="EUP153" s="1011"/>
      <c r="EUQ153" s="1011"/>
      <c r="EUR153" s="1011"/>
      <c r="EUS153" s="1011"/>
      <c r="EUT153" s="1011"/>
      <c r="EUU153" s="1011"/>
      <c r="EUV153" s="1011"/>
      <c r="EUW153" s="1011"/>
      <c r="EUX153" s="1011"/>
      <c r="EUY153" s="1011"/>
      <c r="EUZ153" s="1011"/>
      <c r="EVA153" s="1011"/>
      <c r="EVB153" s="1011"/>
      <c r="EVC153" s="1011"/>
      <c r="EVD153" s="1011"/>
      <c r="EVE153" s="1011"/>
      <c r="EVF153" s="1011"/>
      <c r="EVG153" s="1011"/>
      <c r="EVH153" s="1011"/>
      <c r="EVI153" s="1011"/>
      <c r="EVJ153" s="1011"/>
      <c r="EVK153" s="1011"/>
      <c r="EVL153" s="1011"/>
      <c r="EVM153" s="1011"/>
      <c r="EVN153" s="1011"/>
      <c r="EVO153" s="1011"/>
      <c r="EVP153" s="1011"/>
      <c r="EVQ153" s="1011"/>
      <c r="EVR153" s="1011"/>
      <c r="EVS153" s="1011"/>
      <c r="EVT153" s="1011"/>
      <c r="EVU153" s="1011"/>
      <c r="EVV153" s="1011"/>
      <c r="EVW153" s="1011"/>
      <c r="EVX153" s="1011"/>
      <c r="EVY153" s="1011"/>
      <c r="EVZ153" s="1011"/>
      <c r="EWA153" s="1011"/>
      <c r="EWB153" s="1011"/>
      <c r="EWC153" s="1011"/>
      <c r="EWD153" s="1011"/>
      <c r="EWE153" s="1011"/>
      <c r="EWF153" s="1011"/>
      <c r="EWG153" s="1011"/>
      <c r="EWH153" s="1011"/>
      <c r="EWI153" s="1011"/>
      <c r="EWJ153" s="1011"/>
      <c r="EWK153" s="1011"/>
      <c r="EWL153" s="1011"/>
      <c r="EWM153" s="1011"/>
      <c r="EWN153" s="1011"/>
      <c r="EWO153" s="1011"/>
      <c r="EWP153" s="1011"/>
      <c r="EWQ153" s="1011"/>
      <c r="EWR153" s="1011"/>
      <c r="EWS153" s="1011"/>
      <c r="EWT153" s="1011"/>
      <c r="EWU153" s="1011"/>
      <c r="EWV153" s="1011"/>
      <c r="EWW153" s="1011"/>
      <c r="EWX153" s="1011"/>
      <c r="EWY153" s="1011"/>
      <c r="EWZ153" s="1011"/>
      <c r="EXA153" s="1011"/>
      <c r="EXB153" s="1011"/>
      <c r="EXC153" s="1011"/>
      <c r="EXD153" s="1011"/>
      <c r="EXE153" s="1011"/>
      <c r="EXF153" s="1011"/>
      <c r="EXG153" s="1011"/>
      <c r="EXH153" s="1011"/>
      <c r="EXI153" s="1011"/>
      <c r="EXJ153" s="1011"/>
      <c r="EXK153" s="1011"/>
      <c r="EXL153" s="1011"/>
      <c r="EXM153" s="1011"/>
      <c r="EXN153" s="1011"/>
      <c r="EXO153" s="1011"/>
      <c r="EXP153" s="1011"/>
      <c r="EXQ153" s="1011"/>
      <c r="EXR153" s="1011"/>
      <c r="EXS153" s="1011"/>
      <c r="EXT153" s="1011"/>
      <c r="EXU153" s="1011"/>
      <c r="EXV153" s="1011"/>
      <c r="EXW153" s="1011"/>
      <c r="EXX153" s="1011"/>
      <c r="EXY153" s="1011"/>
      <c r="EXZ153" s="1011"/>
      <c r="EYA153" s="1011"/>
      <c r="EYB153" s="1011"/>
      <c r="EYC153" s="1011"/>
      <c r="EYD153" s="1011"/>
      <c r="EYE153" s="1011"/>
      <c r="EYF153" s="1011"/>
      <c r="EYG153" s="1011"/>
      <c r="EYH153" s="1011"/>
      <c r="EYI153" s="1011"/>
      <c r="EYJ153" s="1011"/>
      <c r="EYK153" s="1011"/>
      <c r="EYL153" s="1011"/>
      <c r="EYM153" s="1011"/>
      <c r="EYN153" s="1011"/>
      <c r="EYO153" s="1011"/>
      <c r="EYP153" s="1011"/>
      <c r="EYQ153" s="1011"/>
      <c r="EYR153" s="1011"/>
      <c r="EYS153" s="1011"/>
      <c r="EYT153" s="1011"/>
      <c r="EYU153" s="1011"/>
      <c r="EYV153" s="1011"/>
      <c r="EYW153" s="1011"/>
      <c r="EYX153" s="1011"/>
      <c r="EYY153" s="1011"/>
      <c r="EYZ153" s="1011"/>
      <c r="EZA153" s="1011"/>
      <c r="EZB153" s="1011"/>
      <c r="EZC153" s="1011"/>
      <c r="EZD153" s="1011"/>
      <c r="EZE153" s="1011"/>
      <c r="EZF153" s="1011"/>
      <c r="EZG153" s="1011"/>
      <c r="EZH153" s="1011"/>
      <c r="EZI153" s="1011"/>
      <c r="EZJ153" s="1011"/>
      <c r="EZK153" s="1011"/>
      <c r="EZL153" s="1011"/>
      <c r="EZM153" s="1011"/>
      <c r="EZN153" s="1011"/>
      <c r="EZO153" s="1011"/>
      <c r="EZP153" s="1011"/>
      <c r="EZQ153" s="1011"/>
      <c r="EZR153" s="1011"/>
      <c r="EZS153" s="1011"/>
      <c r="EZT153" s="1011"/>
      <c r="EZU153" s="1011"/>
      <c r="EZV153" s="1011"/>
      <c r="EZW153" s="1011"/>
      <c r="EZX153" s="1011"/>
      <c r="EZY153" s="1011"/>
      <c r="EZZ153" s="1011"/>
      <c r="FAA153" s="1011"/>
      <c r="FAB153" s="1011"/>
      <c r="FAC153" s="1011"/>
      <c r="FAD153" s="1011"/>
      <c r="FAE153" s="1011"/>
      <c r="FAF153" s="1011"/>
      <c r="FAG153" s="1011"/>
      <c r="FAH153" s="1011"/>
      <c r="FAI153" s="1011"/>
      <c r="FAJ153" s="1011"/>
      <c r="FAK153" s="1011"/>
      <c r="FAL153" s="1011"/>
      <c r="FAM153" s="1011"/>
      <c r="FAN153" s="1011"/>
      <c r="FAO153" s="1011"/>
      <c r="FAP153" s="1011"/>
      <c r="FAQ153" s="1011"/>
      <c r="FAR153" s="1011"/>
      <c r="FAS153" s="1011"/>
      <c r="FAT153" s="1011"/>
      <c r="FAU153" s="1011"/>
      <c r="FAV153" s="1011"/>
      <c r="FAW153" s="1011"/>
      <c r="FAX153" s="1011"/>
      <c r="FAY153" s="1011"/>
      <c r="FAZ153" s="1011"/>
      <c r="FBA153" s="1011"/>
      <c r="FBB153" s="1011"/>
      <c r="FBC153" s="1011"/>
      <c r="FBD153" s="1011"/>
      <c r="FBE153" s="1011"/>
      <c r="FBF153" s="1011"/>
      <c r="FBG153" s="1011"/>
      <c r="FBH153" s="1011"/>
      <c r="FBI153" s="1011"/>
      <c r="FBJ153" s="1011"/>
      <c r="FBK153" s="1011"/>
      <c r="FBL153" s="1011"/>
      <c r="FBM153" s="1011"/>
      <c r="FBN153" s="1011"/>
      <c r="FBO153" s="1011"/>
      <c r="FBP153" s="1011"/>
      <c r="FBQ153" s="1011"/>
      <c r="FBR153" s="1011"/>
      <c r="FBS153" s="1011"/>
      <c r="FBT153" s="1011"/>
      <c r="FBU153" s="1011"/>
      <c r="FBV153" s="1011"/>
      <c r="FBW153" s="1011"/>
      <c r="FBX153" s="1011"/>
      <c r="FBY153" s="1011"/>
      <c r="FBZ153" s="1011"/>
      <c r="FCA153" s="1011"/>
      <c r="FCB153" s="1011"/>
      <c r="FCC153" s="1011"/>
      <c r="FCD153" s="1011"/>
      <c r="FCE153" s="1011"/>
      <c r="FCF153" s="1011"/>
      <c r="FCG153" s="1011"/>
      <c r="FCH153" s="1011"/>
      <c r="FCI153" s="1011"/>
      <c r="FCJ153" s="1011"/>
      <c r="FCK153" s="1011"/>
      <c r="FCL153" s="1011"/>
      <c r="FCM153" s="1011"/>
      <c r="FCN153" s="1011"/>
      <c r="FCO153" s="1011"/>
      <c r="FCP153" s="1011"/>
      <c r="FCQ153" s="1011"/>
      <c r="FCR153" s="1011"/>
      <c r="FCS153" s="1011"/>
      <c r="FCT153" s="1011"/>
      <c r="FCU153" s="1011"/>
      <c r="FCV153" s="1011"/>
      <c r="FCW153" s="1011"/>
      <c r="FCX153" s="1011"/>
      <c r="FCY153" s="1011"/>
      <c r="FCZ153" s="1011"/>
      <c r="FDA153" s="1011"/>
      <c r="FDB153" s="1011"/>
      <c r="FDC153" s="1011"/>
      <c r="FDD153" s="1011"/>
      <c r="FDE153" s="1011"/>
      <c r="FDF153" s="1011"/>
      <c r="FDG153" s="1011"/>
      <c r="FDH153" s="1011"/>
      <c r="FDI153" s="1011"/>
      <c r="FDJ153" s="1011"/>
      <c r="FDK153" s="1011"/>
      <c r="FDL153" s="1011"/>
      <c r="FDM153" s="1011"/>
      <c r="FDN153" s="1011"/>
      <c r="FDO153" s="1011"/>
      <c r="FDP153" s="1011"/>
      <c r="FDQ153" s="1011"/>
      <c r="FDR153" s="1011"/>
      <c r="FDS153" s="1011"/>
      <c r="FDT153" s="1011"/>
      <c r="FDU153" s="1011"/>
      <c r="FDV153" s="1011"/>
      <c r="FDW153" s="1011"/>
      <c r="FDX153" s="1011"/>
      <c r="FDY153" s="1011"/>
      <c r="FDZ153" s="1011"/>
      <c r="FEA153" s="1011"/>
      <c r="FEB153" s="1011"/>
      <c r="FEC153" s="1011"/>
      <c r="FED153" s="1011"/>
      <c r="FEE153" s="1011"/>
      <c r="FEF153" s="1011"/>
      <c r="FEG153" s="1011"/>
      <c r="FEH153" s="1011"/>
      <c r="FEI153" s="1011"/>
      <c r="FEJ153" s="1011"/>
      <c r="FEK153" s="1011"/>
      <c r="FEL153" s="1011"/>
      <c r="FEM153" s="1011"/>
      <c r="FEN153" s="1011"/>
      <c r="FEO153" s="1011"/>
      <c r="FEP153" s="1011"/>
      <c r="FEQ153" s="1011"/>
      <c r="FER153" s="1011"/>
      <c r="FES153" s="1011"/>
      <c r="FET153" s="1011"/>
      <c r="FEU153" s="1011"/>
      <c r="FEV153" s="1011"/>
      <c r="FEW153" s="1011"/>
      <c r="FEX153" s="1011"/>
      <c r="FEY153" s="1011"/>
      <c r="FEZ153" s="1011"/>
      <c r="FFA153" s="1011"/>
      <c r="FFB153" s="1011"/>
      <c r="FFC153" s="1011"/>
      <c r="FFD153" s="1011"/>
      <c r="FFE153" s="1011"/>
      <c r="FFF153" s="1011"/>
      <c r="FFG153" s="1011"/>
      <c r="FFH153" s="1011"/>
      <c r="FFI153" s="1011"/>
      <c r="FFJ153" s="1011"/>
      <c r="FFK153" s="1011"/>
      <c r="FFL153" s="1011"/>
      <c r="FFM153" s="1011"/>
      <c r="FFN153" s="1011"/>
      <c r="FFO153" s="1011"/>
      <c r="FFP153" s="1011"/>
      <c r="FFQ153" s="1011"/>
      <c r="FFR153" s="1011"/>
      <c r="FFS153" s="1011"/>
      <c r="FFT153" s="1011"/>
      <c r="FFU153" s="1011"/>
      <c r="FFV153" s="1011"/>
      <c r="FFW153" s="1011"/>
      <c r="FFX153" s="1011"/>
      <c r="FFY153" s="1011"/>
      <c r="FFZ153" s="1011"/>
      <c r="FGA153" s="1011"/>
      <c r="FGB153" s="1011"/>
      <c r="FGC153" s="1011"/>
      <c r="FGD153" s="1011"/>
      <c r="FGE153" s="1011"/>
      <c r="FGF153" s="1011"/>
      <c r="FGG153" s="1011"/>
      <c r="FGH153" s="1011"/>
      <c r="FGI153" s="1011"/>
      <c r="FGJ153" s="1011"/>
      <c r="FGK153" s="1011"/>
      <c r="FGL153" s="1011"/>
      <c r="FGM153" s="1011"/>
      <c r="FGN153" s="1011"/>
      <c r="FGO153" s="1011"/>
      <c r="FGP153" s="1011"/>
      <c r="FGQ153" s="1011"/>
      <c r="FGR153" s="1011"/>
      <c r="FGS153" s="1011"/>
      <c r="FGT153" s="1011"/>
      <c r="FGU153" s="1011"/>
      <c r="FGV153" s="1011"/>
      <c r="FGW153" s="1011"/>
      <c r="FGX153" s="1011"/>
      <c r="FGY153" s="1011"/>
      <c r="FGZ153" s="1011"/>
      <c r="FHA153" s="1011"/>
      <c r="FHB153" s="1011"/>
      <c r="FHC153" s="1011"/>
      <c r="FHD153" s="1011"/>
      <c r="FHE153" s="1011"/>
      <c r="FHF153" s="1011"/>
      <c r="FHG153" s="1011"/>
      <c r="FHH153" s="1011"/>
      <c r="FHI153" s="1011"/>
      <c r="FHJ153" s="1011"/>
      <c r="FHK153" s="1011"/>
      <c r="FHL153" s="1011"/>
      <c r="FHM153" s="1011"/>
      <c r="FHN153" s="1011"/>
      <c r="FHO153" s="1011"/>
      <c r="FHP153" s="1011"/>
      <c r="FHQ153" s="1011"/>
      <c r="FHR153" s="1011"/>
      <c r="FHS153" s="1011"/>
      <c r="FHT153" s="1011"/>
      <c r="FHU153" s="1011"/>
      <c r="FHV153" s="1011"/>
      <c r="FHW153" s="1011"/>
      <c r="FHX153" s="1011"/>
      <c r="FHY153" s="1011"/>
      <c r="FHZ153" s="1011"/>
      <c r="FIA153" s="1011"/>
      <c r="FIB153" s="1011"/>
      <c r="FIC153" s="1011"/>
      <c r="FID153" s="1011"/>
      <c r="FIE153" s="1011"/>
      <c r="FIF153" s="1011"/>
      <c r="FIG153" s="1011"/>
      <c r="FIH153" s="1011"/>
      <c r="FII153" s="1011"/>
      <c r="FIJ153" s="1011"/>
      <c r="FIK153" s="1011"/>
      <c r="FIL153" s="1011"/>
      <c r="FIM153" s="1011"/>
      <c r="FIN153" s="1011"/>
      <c r="FIO153" s="1011"/>
      <c r="FIP153" s="1011"/>
      <c r="FIQ153" s="1011"/>
      <c r="FIR153" s="1011"/>
      <c r="FIS153" s="1011"/>
      <c r="FIT153" s="1011"/>
      <c r="FIU153" s="1011"/>
      <c r="FIV153" s="1011"/>
      <c r="FIW153" s="1011"/>
      <c r="FIX153" s="1011"/>
      <c r="FIY153" s="1011"/>
      <c r="FIZ153" s="1011"/>
      <c r="FJA153" s="1011"/>
      <c r="FJB153" s="1011"/>
      <c r="FJC153" s="1011"/>
      <c r="FJD153" s="1011"/>
      <c r="FJE153" s="1011"/>
      <c r="FJF153" s="1011"/>
      <c r="FJG153" s="1011"/>
      <c r="FJH153" s="1011"/>
      <c r="FJI153" s="1011"/>
      <c r="FJJ153" s="1011"/>
      <c r="FJK153" s="1011"/>
      <c r="FJL153" s="1011"/>
      <c r="FJM153" s="1011"/>
      <c r="FJN153" s="1011"/>
      <c r="FJO153" s="1011"/>
      <c r="FJP153" s="1011"/>
      <c r="FJQ153" s="1011"/>
      <c r="FJR153" s="1011"/>
      <c r="FJS153" s="1011"/>
      <c r="FJT153" s="1011"/>
      <c r="FJU153" s="1011"/>
      <c r="FJV153" s="1011"/>
      <c r="FJW153" s="1011"/>
      <c r="FJX153" s="1011"/>
      <c r="FJY153" s="1011"/>
      <c r="FJZ153" s="1011"/>
      <c r="FKA153" s="1011"/>
      <c r="FKB153" s="1011"/>
      <c r="FKC153" s="1011"/>
      <c r="FKD153" s="1011"/>
      <c r="FKE153" s="1011"/>
      <c r="FKF153" s="1011"/>
      <c r="FKG153" s="1011"/>
      <c r="FKH153" s="1011"/>
      <c r="FKI153" s="1011"/>
      <c r="FKJ153" s="1011"/>
      <c r="FKK153" s="1011"/>
      <c r="FKL153" s="1011"/>
      <c r="FKM153" s="1011"/>
      <c r="FKN153" s="1011"/>
      <c r="FKO153" s="1011"/>
      <c r="FKP153" s="1011"/>
      <c r="FKQ153" s="1011"/>
      <c r="FKR153" s="1011"/>
      <c r="FKS153" s="1011"/>
      <c r="FKT153" s="1011"/>
      <c r="FKU153" s="1011"/>
      <c r="FKV153" s="1011"/>
      <c r="FKW153" s="1011"/>
      <c r="FKX153" s="1011"/>
      <c r="FKY153" s="1011"/>
      <c r="FKZ153" s="1011"/>
      <c r="FLA153" s="1011"/>
      <c r="FLB153" s="1011"/>
      <c r="FLC153" s="1011"/>
      <c r="FLD153" s="1011"/>
      <c r="FLE153" s="1011"/>
      <c r="FLF153" s="1011"/>
      <c r="FLG153" s="1011"/>
      <c r="FLH153" s="1011"/>
      <c r="FLI153" s="1011"/>
      <c r="FLJ153" s="1011"/>
      <c r="FLK153" s="1011"/>
      <c r="FLL153" s="1011"/>
      <c r="FLM153" s="1011"/>
      <c r="FLN153" s="1011"/>
      <c r="FLO153" s="1011"/>
      <c r="FLP153" s="1011"/>
      <c r="FLQ153" s="1011"/>
      <c r="FLR153" s="1011"/>
      <c r="FLS153" s="1011"/>
      <c r="FLT153" s="1011"/>
      <c r="FLU153" s="1011"/>
      <c r="FLV153" s="1011"/>
      <c r="FLW153" s="1011"/>
      <c r="FLX153" s="1011"/>
      <c r="FLY153" s="1011"/>
      <c r="FLZ153" s="1011"/>
      <c r="FMA153" s="1011"/>
      <c r="FMB153" s="1011"/>
      <c r="FMC153" s="1011"/>
      <c r="FMD153" s="1011"/>
      <c r="FME153" s="1011"/>
      <c r="FMF153" s="1011"/>
      <c r="FMG153" s="1011"/>
      <c r="FMH153" s="1011"/>
      <c r="FMI153" s="1011"/>
      <c r="FMJ153" s="1011"/>
      <c r="FMK153" s="1011"/>
      <c r="FML153" s="1011"/>
      <c r="FMM153" s="1011"/>
      <c r="FMN153" s="1011"/>
      <c r="FMO153" s="1011"/>
      <c r="FMP153" s="1011"/>
      <c r="FMQ153" s="1011"/>
      <c r="FMR153" s="1011"/>
      <c r="FMS153" s="1011"/>
      <c r="FMT153" s="1011"/>
      <c r="FMU153" s="1011"/>
      <c r="FMV153" s="1011"/>
      <c r="FMW153" s="1011"/>
      <c r="FMX153" s="1011"/>
      <c r="FMY153" s="1011"/>
      <c r="FMZ153" s="1011"/>
      <c r="FNA153" s="1011"/>
      <c r="FNB153" s="1011"/>
      <c r="FNC153" s="1011"/>
      <c r="FND153" s="1011"/>
      <c r="FNE153" s="1011"/>
      <c r="FNF153" s="1011"/>
      <c r="FNG153" s="1011"/>
      <c r="FNH153" s="1011"/>
      <c r="FNI153" s="1011"/>
      <c r="FNJ153" s="1011"/>
      <c r="FNK153" s="1011"/>
      <c r="FNL153" s="1011"/>
      <c r="FNM153" s="1011"/>
      <c r="FNN153" s="1011"/>
      <c r="FNO153" s="1011"/>
      <c r="FNP153" s="1011"/>
      <c r="FNQ153" s="1011"/>
      <c r="FNR153" s="1011"/>
      <c r="FNS153" s="1011"/>
      <c r="FNT153" s="1011"/>
      <c r="FNU153" s="1011"/>
      <c r="FNV153" s="1011"/>
      <c r="FNW153" s="1011"/>
      <c r="FNX153" s="1011"/>
      <c r="FNY153" s="1011"/>
      <c r="FNZ153" s="1011"/>
      <c r="FOA153" s="1011"/>
      <c r="FOB153" s="1011"/>
      <c r="FOC153" s="1011"/>
      <c r="FOD153" s="1011"/>
      <c r="FOE153" s="1011"/>
      <c r="FOF153" s="1011"/>
      <c r="FOG153" s="1011"/>
      <c r="FOH153" s="1011"/>
      <c r="FOI153" s="1011"/>
      <c r="FOJ153" s="1011"/>
      <c r="FOK153" s="1011"/>
      <c r="FOL153" s="1011"/>
      <c r="FOM153" s="1011"/>
      <c r="FON153" s="1011"/>
      <c r="FOO153" s="1011"/>
      <c r="FOP153" s="1011"/>
      <c r="FOQ153" s="1011"/>
      <c r="FOR153" s="1011"/>
      <c r="FOS153" s="1011"/>
      <c r="FOT153" s="1011"/>
      <c r="FOU153" s="1011"/>
      <c r="FOV153" s="1011"/>
      <c r="FOW153" s="1011"/>
      <c r="FOX153" s="1011"/>
      <c r="FOY153" s="1011"/>
      <c r="FOZ153" s="1011"/>
      <c r="FPA153" s="1011"/>
      <c r="FPB153" s="1011"/>
      <c r="FPC153" s="1011"/>
      <c r="FPD153" s="1011"/>
      <c r="FPE153" s="1011"/>
      <c r="FPF153" s="1011"/>
      <c r="FPG153" s="1011"/>
      <c r="FPH153" s="1011"/>
      <c r="FPI153" s="1011"/>
      <c r="FPJ153" s="1011"/>
      <c r="FPK153" s="1011"/>
      <c r="FPL153" s="1011"/>
      <c r="FPM153" s="1011"/>
      <c r="FPN153" s="1011"/>
      <c r="FPO153" s="1011"/>
      <c r="FPP153" s="1011"/>
      <c r="FPQ153" s="1011"/>
      <c r="FPR153" s="1011"/>
      <c r="FPS153" s="1011"/>
      <c r="FPT153" s="1011"/>
      <c r="FPU153" s="1011"/>
      <c r="FPV153" s="1011"/>
      <c r="FPW153" s="1011"/>
      <c r="FPX153" s="1011"/>
      <c r="FPY153" s="1011"/>
      <c r="FPZ153" s="1011"/>
      <c r="FQA153" s="1011"/>
      <c r="FQB153" s="1011"/>
      <c r="FQC153" s="1011"/>
      <c r="FQD153" s="1011"/>
      <c r="FQE153" s="1011"/>
      <c r="FQF153" s="1011"/>
      <c r="FQG153" s="1011"/>
      <c r="FQH153" s="1011"/>
      <c r="FQI153" s="1011"/>
      <c r="FQJ153" s="1011"/>
      <c r="FQK153" s="1011"/>
      <c r="FQL153" s="1011"/>
      <c r="FQM153" s="1011"/>
      <c r="FQN153" s="1011"/>
      <c r="FQO153" s="1011"/>
      <c r="FQP153" s="1011"/>
      <c r="FQQ153" s="1011"/>
      <c r="FQR153" s="1011"/>
      <c r="FQS153" s="1011"/>
      <c r="FQT153" s="1011"/>
      <c r="FQU153" s="1011"/>
      <c r="FQV153" s="1011"/>
      <c r="FQW153" s="1011"/>
      <c r="FQX153" s="1011"/>
      <c r="FQY153" s="1011"/>
      <c r="FQZ153" s="1011"/>
      <c r="FRA153" s="1011"/>
      <c r="FRB153" s="1011"/>
      <c r="FRC153" s="1011"/>
      <c r="FRD153" s="1011"/>
      <c r="FRE153" s="1011"/>
      <c r="FRF153" s="1011"/>
      <c r="FRG153" s="1011"/>
      <c r="FRH153" s="1011"/>
      <c r="FRI153" s="1011"/>
      <c r="FRJ153" s="1011"/>
      <c r="FRK153" s="1011"/>
      <c r="FRL153" s="1011"/>
      <c r="FRM153" s="1011"/>
      <c r="FRN153" s="1011"/>
      <c r="FRO153" s="1011"/>
      <c r="FRP153" s="1011"/>
      <c r="FRQ153" s="1011"/>
      <c r="FRR153" s="1011"/>
      <c r="FRS153" s="1011"/>
      <c r="FRT153" s="1011"/>
      <c r="FRU153" s="1011"/>
      <c r="FRV153" s="1011"/>
      <c r="FRW153" s="1011"/>
      <c r="FRX153" s="1011"/>
      <c r="FRY153" s="1011"/>
      <c r="FRZ153" s="1011"/>
      <c r="FSA153" s="1011"/>
      <c r="FSB153" s="1011"/>
      <c r="FSC153" s="1011"/>
      <c r="FSD153" s="1011"/>
      <c r="FSE153" s="1011"/>
      <c r="FSF153" s="1011"/>
      <c r="FSG153" s="1011"/>
      <c r="FSH153" s="1011"/>
      <c r="FSI153" s="1011"/>
      <c r="FSJ153" s="1011"/>
      <c r="FSK153" s="1011"/>
      <c r="FSL153" s="1011"/>
      <c r="FSM153" s="1011"/>
      <c r="FSN153" s="1011"/>
      <c r="FSO153" s="1011"/>
      <c r="FSP153" s="1011"/>
      <c r="FSQ153" s="1011"/>
      <c r="FSR153" s="1011"/>
      <c r="FSS153" s="1011"/>
      <c r="FST153" s="1011"/>
      <c r="FSU153" s="1011"/>
      <c r="FSV153" s="1011"/>
      <c r="FSW153" s="1011"/>
      <c r="FSX153" s="1011"/>
      <c r="FSY153" s="1011"/>
      <c r="FSZ153" s="1011"/>
      <c r="FTA153" s="1011"/>
      <c r="FTB153" s="1011"/>
      <c r="FTC153" s="1011"/>
      <c r="FTD153" s="1011"/>
      <c r="FTE153" s="1011"/>
      <c r="FTF153" s="1011"/>
      <c r="FTG153" s="1011"/>
      <c r="FTH153" s="1011"/>
      <c r="FTI153" s="1011"/>
      <c r="FTJ153" s="1011"/>
      <c r="FTK153" s="1011"/>
      <c r="FTL153" s="1011"/>
      <c r="FTM153" s="1011"/>
      <c r="FTN153" s="1011"/>
      <c r="FTO153" s="1011"/>
      <c r="FTP153" s="1011"/>
      <c r="FTQ153" s="1011"/>
      <c r="FTR153" s="1011"/>
      <c r="FTS153" s="1011"/>
      <c r="FTT153" s="1011"/>
      <c r="FTU153" s="1011"/>
      <c r="FTV153" s="1011"/>
      <c r="FTW153" s="1011"/>
      <c r="FTX153" s="1011"/>
      <c r="FTY153" s="1011"/>
      <c r="FTZ153" s="1011"/>
      <c r="FUA153" s="1011"/>
      <c r="FUB153" s="1011"/>
      <c r="FUC153" s="1011"/>
      <c r="FUD153" s="1011"/>
      <c r="FUE153" s="1011"/>
      <c r="FUF153" s="1011"/>
      <c r="FUG153" s="1011"/>
      <c r="FUH153" s="1011"/>
      <c r="FUI153" s="1011"/>
      <c r="FUJ153" s="1011"/>
      <c r="FUK153" s="1011"/>
      <c r="FUL153" s="1011"/>
      <c r="FUM153" s="1011"/>
      <c r="FUN153" s="1011"/>
      <c r="FUO153" s="1011"/>
      <c r="FUP153" s="1011"/>
      <c r="FUQ153" s="1011"/>
      <c r="FUR153" s="1011"/>
      <c r="FUS153" s="1011"/>
      <c r="FUT153" s="1011"/>
      <c r="FUU153" s="1011"/>
      <c r="FUV153" s="1011"/>
      <c r="FUW153" s="1011"/>
      <c r="FUX153" s="1011"/>
      <c r="FUY153" s="1011"/>
      <c r="FUZ153" s="1011"/>
      <c r="FVA153" s="1011"/>
      <c r="FVB153" s="1011"/>
      <c r="FVC153" s="1011"/>
      <c r="FVD153" s="1011"/>
      <c r="FVE153" s="1011"/>
      <c r="FVF153" s="1011"/>
      <c r="FVG153" s="1011"/>
      <c r="FVH153" s="1011"/>
      <c r="FVI153" s="1011"/>
      <c r="FVJ153" s="1011"/>
      <c r="FVK153" s="1011"/>
      <c r="FVL153" s="1011"/>
      <c r="FVM153" s="1011"/>
      <c r="FVN153" s="1011"/>
      <c r="FVO153" s="1011"/>
      <c r="FVP153" s="1011"/>
      <c r="FVQ153" s="1011"/>
      <c r="FVR153" s="1011"/>
      <c r="FVS153" s="1011"/>
      <c r="FVT153" s="1011"/>
      <c r="FVU153" s="1011"/>
      <c r="FVV153" s="1011"/>
      <c r="FVW153" s="1011"/>
      <c r="FVX153" s="1011"/>
      <c r="FVY153" s="1011"/>
      <c r="FVZ153" s="1011"/>
      <c r="FWA153" s="1011"/>
      <c r="FWB153" s="1011"/>
      <c r="FWC153" s="1011"/>
      <c r="FWD153" s="1011"/>
      <c r="FWE153" s="1011"/>
      <c r="FWF153" s="1011"/>
      <c r="FWG153" s="1011"/>
      <c r="FWH153" s="1011"/>
      <c r="FWI153" s="1011"/>
      <c r="FWJ153" s="1011"/>
      <c r="FWK153" s="1011"/>
      <c r="FWL153" s="1011"/>
      <c r="FWM153" s="1011"/>
      <c r="FWN153" s="1011"/>
      <c r="FWO153" s="1011"/>
      <c r="FWP153" s="1011"/>
      <c r="FWQ153" s="1011"/>
      <c r="FWR153" s="1011"/>
      <c r="FWS153" s="1011"/>
      <c r="FWT153" s="1011"/>
      <c r="FWU153" s="1011"/>
      <c r="FWV153" s="1011"/>
      <c r="FWW153" s="1011"/>
      <c r="FWX153" s="1011"/>
      <c r="FWY153" s="1011"/>
      <c r="FWZ153" s="1011"/>
      <c r="FXA153" s="1011"/>
      <c r="FXB153" s="1011"/>
      <c r="FXC153" s="1011"/>
      <c r="FXD153" s="1011"/>
      <c r="FXE153" s="1011"/>
      <c r="FXF153" s="1011"/>
      <c r="FXG153" s="1011"/>
      <c r="FXH153" s="1011"/>
      <c r="FXI153" s="1011"/>
      <c r="FXJ153" s="1011"/>
      <c r="FXK153" s="1011"/>
      <c r="FXL153" s="1011"/>
      <c r="FXM153" s="1011"/>
      <c r="FXN153" s="1011"/>
      <c r="FXO153" s="1011"/>
      <c r="FXP153" s="1011"/>
      <c r="FXQ153" s="1011"/>
      <c r="FXR153" s="1011"/>
      <c r="FXS153" s="1011"/>
      <c r="FXT153" s="1011"/>
      <c r="FXU153" s="1011"/>
      <c r="FXV153" s="1011"/>
      <c r="FXW153" s="1011"/>
      <c r="FXX153" s="1011"/>
      <c r="FXY153" s="1011"/>
      <c r="FXZ153" s="1011"/>
      <c r="FYA153" s="1011"/>
      <c r="FYB153" s="1011"/>
      <c r="FYC153" s="1011"/>
      <c r="FYD153" s="1011"/>
      <c r="FYE153" s="1011"/>
      <c r="FYF153" s="1011"/>
      <c r="FYG153" s="1011"/>
      <c r="FYH153" s="1011"/>
      <c r="FYI153" s="1011"/>
      <c r="FYJ153" s="1011"/>
      <c r="FYK153" s="1011"/>
      <c r="FYL153" s="1011"/>
      <c r="FYM153" s="1011"/>
      <c r="FYN153" s="1011"/>
      <c r="FYO153" s="1011"/>
      <c r="FYP153" s="1011"/>
      <c r="FYQ153" s="1011"/>
      <c r="FYR153" s="1011"/>
      <c r="FYS153" s="1011"/>
      <c r="FYT153" s="1011"/>
      <c r="FYU153" s="1011"/>
      <c r="FYV153" s="1011"/>
      <c r="FYW153" s="1011"/>
      <c r="FYX153" s="1011"/>
      <c r="FYY153" s="1011"/>
      <c r="FYZ153" s="1011"/>
      <c r="FZA153" s="1011"/>
      <c r="FZB153" s="1011"/>
      <c r="FZC153" s="1011"/>
      <c r="FZD153" s="1011"/>
      <c r="FZE153" s="1011"/>
      <c r="FZF153" s="1011"/>
      <c r="FZG153" s="1011"/>
      <c r="FZH153" s="1011"/>
      <c r="FZI153" s="1011"/>
      <c r="FZJ153" s="1011"/>
      <c r="FZK153" s="1011"/>
      <c r="FZL153" s="1011"/>
      <c r="FZM153" s="1011"/>
      <c r="FZN153" s="1011"/>
      <c r="FZO153" s="1011"/>
      <c r="FZP153" s="1011"/>
      <c r="FZQ153" s="1011"/>
      <c r="FZR153" s="1011"/>
      <c r="FZS153" s="1011"/>
      <c r="FZT153" s="1011"/>
      <c r="FZU153" s="1011"/>
      <c r="FZV153" s="1011"/>
      <c r="FZW153" s="1011"/>
      <c r="FZX153" s="1011"/>
      <c r="FZY153" s="1011"/>
      <c r="FZZ153" s="1011"/>
      <c r="GAA153" s="1011"/>
      <c r="GAB153" s="1011"/>
      <c r="GAC153" s="1011"/>
      <c r="GAD153" s="1011"/>
      <c r="GAE153" s="1011"/>
      <c r="GAF153" s="1011"/>
      <c r="GAG153" s="1011"/>
      <c r="GAH153" s="1011"/>
      <c r="GAI153" s="1011"/>
      <c r="GAJ153" s="1011"/>
      <c r="GAK153" s="1011"/>
      <c r="GAL153" s="1011"/>
      <c r="GAM153" s="1011"/>
      <c r="GAN153" s="1011"/>
      <c r="GAO153" s="1011"/>
      <c r="GAP153" s="1011"/>
      <c r="GAQ153" s="1011"/>
      <c r="GAR153" s="1011"/>
      <c r="GAS153" s="1011"/>
      <c r="GAT153" s="1011"/>
      <c r="GAU153" s="1011"/>
      <c r="GAV153" s="1011"/>
      <c r="GAW153" s="1011"/>
      <c r="GAX153" s="1011"/>
      <c r="GAY153" s="1011"/>
      <c r="GAZ153" s="1011"/>
      <c r="GBA153" s="1011"/>
      <c r="GBB153" s="1011"/>
      <c r="GBC153" s="1011"/>
      <c r="GBD153" s="1011"/>
      <c r="GBE153" s="1011"/>
      <c r="GBF153" s="1011"/>
      <c r="GBG153" s="1011"/>
      <c r="GBH153" s="1011"/>
      <c r="GBI153" s="1011"/>
      <c r="GBJ153" s="1011"/>
      <c r="GBK153" s="1011"/>
      <c r="GBL153" s="1011"/>
      <c r="GBM153" s="1011"/>
      <c r="GBN153" s="1011"/>
      <c r="GBO153" s="1011"/>
      <c r="GBP153" s="1011"/>
      <c r="GBQ153" s="1011"/>
      <c r="GBR153" s="1011"/>
      <c r="GBS153" s="1011"/>
      <c r="GBT153" s="1011"/>
      <c r="GBU153" s="1011"/>
      <c r="GBV153" s="1011"/>
      <c r="GBW153" s="1011"/>
      <c r="GBX153" s="1011"/>
      <c r="GBY153" s="1011"/>
      <c r="GBZ153" s="1011"/>
      <c r="GCA153" s="1011"/>
      <c r="GCB153" s="1011"/>
      <c r="GCC153" s="1011"/>
      <c r="GCD153" s="1011"/>
      <c r="GCE153" s="1011"/>
      <c r="GCF153" s="1011"/>
      <c r="GCG153" s="1011"/>
      <c r="GCH153" s="1011"/>
      <c r="GCI153" s="1011"/>
      <c r="GCJ153" s="1011"/>
      <c r="GCK153" s="1011"/>
      <c r="GCL153" s="1011"/>
      <c r="GCM153" s="1011"/>
      <c r="GCN153" s="1011"/>
      <c r="GCO153" s="1011"/>
      <c r="GCP153" s="1011"/>
      <c r="GCQ153" s="1011"/>
      <c r="GCR153" s="1011"/>
      <c r="GCS153" s="1011"/>
      <c r="GCT153" s="1011"/>
      <c r="GCU153" s="1011"/>
      <c r="GCV153" s="1011"/>
      <c r="GCW153" s="1011"/>
      <c r="GCX153" s="1011"/>
      <c r="GCY153" s="1011"/>
      <c r="GCZ153" s="1011"/>
      <c r="GDA153" s="1011"/>
      <c r="GDB153" s="1011"/>
      <c r="GDC153" s="1011"/>
      <c r="GDD153" s="1011"/>
      <c r="GDE153" s="1011"/>
      <c r="GDF153" s="1011"/>
      <c r="GDG153" s="1011"/>
      <c r="GDH153" s="1011"/>
      <c r="GDI153" s="1011"/>
      <c r="GDJ153" s="1011"/>
      <c r="GDK153" s="1011"/>
      <c r="GDL153" s="1011"/>
      <c r="GDM153" s="1011"/>
      <c r="GDN153" s="1011"/>
      <c r="GDO153" s="1011"/>
      <c r="GDP153" s="1011"/>
      <c r="GDQ153" s="1011"/>
      <c r="GDR153" s="1011"/>
      <c r="GDS153" s="1011"/>
      <c r="GDT153" s="1011"/>
      <c r="GDU153" s="1011"/>
      <c r="GDV153" s="1011"/>
      <c r="GDW153" s="1011"/>
      <c r="GDX153" s="1011"/>
      <c r="GDY153" s="1011"/>
      <c r="GDZ153" s="1011"/>
      <c r="GEA153" s="1011"/>
      <c r="GEB153" s="1011"/>
      <c r="GEC153" s="1011"/>
      <c r="GED153" s="1011"/>
      <c r="GEE153" s="1011"/>
      <c r="GEF153" s="1011"/>
      <c r="GEG153" s="1011"/>
      <c r="GEH153" s="1011"/>
      <c r="GEI153" s="1011"/>
      <c r="GEJ153" s="1011"/>
      <c r="GEK153" s="1011"/>
      <c r="GEL153" s="1011"/>
      <c r="GEM153" s="1011"/>
      <c r="GEN153" s="1011"/>
      <c r="GEO153" s="1011"/>
      <c r="GEP153" s="1011"/>
      <c r="GEQ153" s="1011"/>
      <c r="GER153" s="1011"/>
      <c r="GES153" s="1011"/>
      <c r="GET153" s="1011"/>
      <c r="GEU153" s="1011"/>
      <c r="GEV153" s="1011"/>
      <c r="GEW153" s="1011"/>
      <c r="GEX153" s="1011"/>
      <c r="GEY153" s="1011"/>
      <c r="GEZ153" s="1011"/>
      <c r="GFA153" s="1011"/>
      <c r="GFB153" s="1011"/>
      <c r="GFC153" s="1011"/>
      <c r="GFD153" s="1011"/>
      <c r="GFE153" s="1011"/>
      <c r="GFF153" s="1011"/>
      <c r="GFG153" s="1011"/>
      <c r="GFH153" s="1011"/>
      <c r="GFI153" s="1011"/>
      <c r="GFJ153" s="1011"/>
      <c r="GFK153" s="1011"/>
      <c r="GFL153" s="1011"/>
      <c r="GFM153" s="1011"/>
      <c r="GFN153" s="1011"/>
      <c r="GFO153" s="1011"/>
      <c r="GFP153" s="1011"/>
      <c r="GFQ153" s="1011"/>
      <c r="GFR153" s="1011"/>
      <c r="GFS153" s="1011"/>
      <c r="GFT153" s="1011"/>
      <c r="GFU153" s="1011"/>
      <c r="GFV153" s="1011"/>
      <c r="GFW153" s="1011"/>
      <c r="GFX153" s="1011"/>
      <c r="GFY153" s="1011"/>
      <c r="GFZ153" s="1011"/>
      <c r="GGA153" s="1011"/>
      <c r="GGB153" s="1011"/>
      <c r="GGC153" s="1011"/>
      <c r="GGD153" s="1011"/>
      <c r="GGE153" s="1011"/>
      <c r="GGF153" s="1011"/>
      <c r="GGG153" s="1011"/>
      <c r="GGH153" s="1011"/>
      <c r="GGI153" s="1011"/>
      <c r="GGJ153" s="1011"/>
      <c r="GGK153" s="1011"/>
      <c r="GGL153" s="1011"/>
      <c r="GGM153" s="1011"/>
      <c r="GGN153" s="1011"/>
      <c r="GGO153" s="1011"/>
      <c r="GGP153" s="1011"/>
      <c r="GGQ153" s="1011"/>
      <c r="GGR153" s="1011"/>
      <c r="GGS153" s="1011"/>
      <c r="GGT153" s="1011"/>
      <c r="GGU153" s="1011"/>
      <c r="GGV153" s="1011"/>
      <c r="GGW153" s="1011"/>
      <c r="GGX153" s="1011"/>
      <c r="GGY153" s="1011"/>
      <c r="GGZ153" s="1011"/>
      <c r="GHA153" s="1011"/>
      <c r="GHB153" s="1011"/>
      <c r="GHC153" s="1011"/>
      <c r="GHD153" s="1011"/>
      <c r="GHE153" s="1011"/>
      <c r="GHF153" s="1011"/>
      <c r="GHG153" s="1011"/>
      <c r="GHH153" s="1011"/>
      <c r="GHI153" s="1011"/>
      <c r="GHJ153" s="1011"/>
      <c r="GHK153" s="1011"/>
      <c r="GHL153" s="1011"/>
      <c r="GHM153" s="1011"/>
      <c r="GHN153" s="1011"/>
      <c r="GHO153" s="1011"/>
      <c r="GHP153" s="1011"/>
      <c r="GHQ153" s="1011"/>
      <c r="GHR153" s="1011"/>
      <c r="GHS153" s="1011"/>
      <c r="GHT153" s="1011"/>
      <c r="GHU153" s="1011"/>
      <c r="GHV153" s="1011"/>
      <c r="GHW153" s="1011"/>
      <c r="GHX153" s="1011"/>
      <c r="GHY153" s="1011"/>
      <c r="GHZ153" s="1011"/>
      <c r="GIA153" s="1011"/>
      <c r="GIB153" s="1011"/>
      <c r="GIC153" s="1011"/>
      <c r="GID153" s="1011"/>
      <c r="GIE153" s="1011"/>
      <c r="GIF153" s="1011"/>
      <c r="GIG153" s="1011"/>
      <c r="GIH153" s="1011"/>
      <c r="GII153" s="1011"/>
      <c r="GIJ153" s="1011"/>
      <c r="GIK153" s="1011"/>
      <c r="GIL153" s="1011"/>
      <c r="GIM153" s="1011"/>
      <c r="GIN153" s="1011"/>
      <c r="GIO153" s="1011"/>
      <c r="GIP153" s="1011"/>
      <c r="GIQ153" s="1011"/>
      <c r="GIR153" s="1011"/>
      <c r="GIS153" s="1011"/>
      <c r="GIT153" s="1011"/>
      <c r="GIU153" s="1011"/>
      <c r="GIV153" s="1011"/>
      <c r="GIW153" s="1011"/>
      <c r="GIX153" s="1011"/>
      <c r="GIY153" s="1011"/>
      <c r="GIZ153" s="1011"/>
      <c r="GJA153" s="1011"/>
      <c r="GJB153" s="1011"/>
      <c r="GJC153" s="1011"/>
      <c r="GJD153" s="1011"/>
      <c r="GJE153" s="1011"/>
      <c r="GJF153" s="1011"/>
      <c r="GJG153" s="1011"/>
      <c r="GJH153" s="1011"/>
      <c r="GJI153" s="1011"/>
      <c r="GJJ153" s="1011"/>
      <c r="GJK153" s="1011"/>
      <c r="GJL153" s="1011"/>
      <c r="GJM153" s="1011"/>
      <c r="GJN153" s="1011"/>
      <c r="GJO153" s="1011"/>
      <c r="GJP153" s="1011"/>
      <c r="GJQ153" s="1011"/>
      <c r="GJR153" s="1011"/>
      <c r="GJS153" s="1011"/>
      <c r="GJT153" s="1011"/>
      <c r="GJU153" s="1011"/>
      <c r="GJV153" s="1011"/>
      <c r="GJW153" s="1011"/>
      <c r="GJX153" s="1011"/>
      <c r="GJY153" s="1011"/>
      <c r="GJZ153" s="1011"/>
      <c r="GKA153" s="1011"/>
      <c r="GKB153" s="1011"/>
      <c r="GKC153" s="1011"/>
      <c r="GKD153" s="1011"/>
      <c r="GKE153" s="1011"/>
      <c r="GKF153" s="1011"/>
      <c r="GKG153" s="1011"/>
      <c r="GKH153" s="1011"/>
      <c r="GKI153" s="1011"/>
      <c r="GKJ153" s="1011"/>
      <c r="GKK153" s="1011"/>
      <c r="GKL153" s="1011"/>
      <c r="GKM153" s="1011"/>
      <c r="GKN153" s="1011"/>
      <c r="GKO153" s="1011"/>
      <c r="GKP153" s="1011"/>
      <c r="GKQ153" s="1011"/>
      <c r="GKR153" s="1011"/>
      <c r="GKS153" s="1011"/>
      <c r="GKT153" s="1011"/>
      <c r="GKU153" s="1011"/>
      <c r="GKV153" s="1011"/>
      <c r="GKW153" s="1011"/>
      <c r="GKX153" s="1011"/>
      <c r="GKY153" s="1011"/>
      <c r="GKZ153" s="1011"/>
      <c r="GLA153" s="1011"/>
      <c r="GLB153" s="1011"/>
      <c r="GLC153" s="1011"/>
      <c r="GLD153" s="1011"/>
      <c r="GLE153" s="1011"/>
      <c r="GLF153" s="1011"/>
      <c r="GLG153" s="1011"/>
      <c r="GLH153" s="1011"/>
      <c r="GLI153" s="1011"/>
      <c r="GLJ153" s="1011"/>
      <c r="GLK153" s="1011"/>
      <c r="GLL153" s="1011"/>
      <c r="GLM153" s="1011"/>
      <c r="GLN153" s="1011"/>
      <c r="GLO153" s="1011"/>
      <c r="GLP153" s="1011"/>
      <c r="GLQ153" s="1011"/>
      <c r="GLR153" s="1011"/>
      <c r="GLS153" s="1011"/>
      <c r="GLT153" s="1011"/>
      <c r="GLU153" s="1011"/>
      <c r="GLV153" s="1011"/>
      <c r="GLW153" s="1011"/>
      <c r="GLX153" s="1011"/>
      <c r="GLY153" s="1011"/>
      <c r="GLZ153" s="1011"/>
      <c r="GMA153" s="1011"/>
      <c r="GMB153" s="1011"/>
      <c r="GMC153" s="1011"/>
      <c r="GMD153" s="1011"/>
      <c r="GME153" s="1011"/>
      <c r="GMF153" s="1011"/>
      <c r="GMG153" s="1011"/>
      <c r="GMH153" s="1011"/>
      <c r="GMI153" s="1011"/>
      <c r="GMJ153" s="1011"/>
      <c r="GMK153" s="1011"/>
      <c r="GML153" s="1011"/>
      <c r="GMM153" s="1011"/>
      <c r="GMN153" s="1011"/>
      <c r="GMO153" s="1011"/>
      <c r="GMP153" s="1011"/>
      <c r="GMQ153" s="1011"/>
      <c r="GMR153" s="1011"/>
      <c r="GMS153" s="1011"/>
      <c r="GMT153" s="1011"/>
      <c r="GMU153" s="1011"/>
      <c r="GMV153" s="1011"/>
      <c r="GMW153" s="1011"/>
      <c r="GMX153" s="1011"/>
      <c r="GMY153" s="1011"/>
      <c r="GMZ153" s="1011"/>
      <c r="GNA153" s="1011"/>
      <c r="GNB153" s="1011"/>
      <c r="GNC153" s="1011"/>
      <c r="GND153" s="1011"/>
      <c r="GNE153" s="1011"/>
      <c r="GNF153" s="1011"/>
      <c r="GNG153" s="1011"/>
      <c r="GNH153" s="1011"/>
      <c r="GNI153" s="1011"/>
      <c r="GNJ153" s="1011"/>
      <c r="GNK153" s="1011"/>
      <c r="GNL153" s="1011"/>
      <c r="GNM153" s="1011"/>
      <c r="GNN153" s="1011"/>
      <c r="GNO153" s="1011"/>
      <c r="GNP153" s="1011"/>
      <c r="GNQ153" s="1011"/>
      <c r="GNR153" s="1011"/>
      <c r="GNS153" s="1011"/>
      <c r="GNT153" s="1011"/>
      <c r="GNU153" s="1011"/>
      <c r="GNV153" s="1011"/>
      <c r="GNW153" s="1011"/>
      <c r="GNX153" s="1011"/>
      <c r="GNY153" s="1011"/>
      <c r="GNZ153" s="1011"/>
      <c r="GOA153" s="1011"/>
      <c r="GOB153" s="1011"/>
      <c r="GOC153" s="1011"/>
      <c r="GOD153" s="1011"/>
      <c r="GOE153" s="1011"/>
      <c r="GOF153" s="1011"/>
      <c r="GOG153" s="1011"/>
      <c r="GOH153" s="1011"/>
      <c r="GOI153" s="1011"/>
      <c r="GOJ153" s="1011"/>
      <c r="GOK153" s="1011"/>
      <c r="GOL153" s="1011"/>
      <c r="GOM153" s="1011"/>
      <c r="GON153" s="1011"/>
      <c r="GOO153" s="1011"/>
      <c r="GOP153" s="1011"/>
      <c r="GOQ153" s="1011"/>
      <c r="GOR153" s="1011"/>
      <c r="GOS153" s="1011"/>
      <c r="GOT153" s="1011"/>
      <c r="GOU153" s="1011"/>
      <c r="GOV153" s="1011"/>
      <c r="GOW153" s="1011"/>
      <c r="GOX153" s="1011"/>
      <c r="GOY153" s="1011"/>
      <c r="GOZ153" s="1011"/>
      <c r="GPA153" s="1011"/>
      <c r="GPB153" s="1011"/>
      <c r="GPC153" s="1011"/>
      <c r="GPD153" s="1011"/>
      <c r="GPE153" s="1011"/>
      <c r="GPF153" s="1011"/>
      <c r="GPG153" s="1011"/>
      <c r="GPH153" s="1011"/>
      <c r="GPI153" s="1011"/>
      <c r="GPJ153" s="1011"/>
      <c r="GPK153" s="1011"/>
      <c r="GPL153" s="1011"/>
      <c r="GPM153" s="1011"/>
      <c r="GPN153" s="1011"/>
      <c r="GPO153" s="1011"/>
      <c r="GPP153" s="1011"/>
      <c r="GPQ153" s="1011"/>
      <c r="GPR153" s="1011"/>
      <c r="GPS153" s="1011"/>
      <c r="GPT153" s="1011"/>
      <c r="GPU153" s="1011"/>
      <c r="GPV153" s="1011"/>
      <c r="GPW153" s="1011"/>
      <c r="GPX153" s="1011"/>
      <c r="GPY153" s="1011"/>
      <c r="GPZ153" s="1011"/>
      <c r="GQA153" s="1011"/>
      <c r="GQB153" s="1011"/>
      <c r="GQC153" s="1011"/>
      <c r="GQD153" s="1011"/>
      <c r="GQE153" s="1011"/>
      <c r="GQF153" s="1011"/>
      <c r="GQG153" s="1011"/>
      <c r="GQH153" s="1011"/>
      <c r="GQI153" s="1011"/>
      <c r="GQJ153" s="1011"/>
      <c r="GQK153" s="1011"/>
      <c r="GQL153" s="1011"/>
      <c r="GQM153" s="1011"/>
      <c r="GQN153" s="1011"/>
      <c r="GQO153" s="1011"/>
      <c r="GQP153" s="1011"/>
      <c r="GQQ153" s="1011"/>
      <c r="GQR153" s="1011"/>
      <c r="GQS153" s="1011"/>
      <c r="GQT153" s="1011"/>
      <c r="GQU153" s="1011"/>
      <c r="GQV153" s="1011"/>
      <c r="GQW153" s="1011"/>
      <c r="GQX153" s="1011"/>
      <c r="GQY153" s="1011"/>
      <c r="GQZ153" s="1011"/>
      <c r="GRA153" s="1011"/>
      <c r="GRB153" s="1011"/>
      <c r="GRC153" s="1011"/>
      <c r="GRD153" s="1011"/>
      <c r="GRE153" s="1011"/>
      <c r="GRF153" s="1011"/>
      <c r="GRG153" s="1011"/>
      <c r="GRH153" s="1011"/>
      <c r="GRI153" s="1011"/>
      <c r="GRJ153" s="1011"/>
      <c r="GRK153" s="1011"/>
      <c r="GRL153" s="1011"/>
      <c r="GRM153" s="1011"/>
      <c r="GRN153" s="1011"/>
      <c r="GRO153" s="1011"/>
      <c r="GRP153" s="1011"/>
      <c r="GRQ153" s="1011"/>
      <c r="GRR153" s="1011"/>
      <c r="GRS153" s="1011"/>
      <c r="GRT153" s="1011"/>
      <c r="GRU153" s="1011"/>
      <c r="GRV153" s="1011"/>
      <c r="GRW153" s="1011"/>
      <c r="GRX153" s="1011"/>
      <c r="GRY153" s="1011"/>
      <c r="GRZ153" s="1011"/>
      <c r="GSA153" s="1011"/>
      <c r="GSB153" s="1011"/>
      <c r="GSC153" s="1011"/>
      <c r="GSD153" s="1011"/>
      <c r="GSE153" s="1011"/>
      <c r="GSF153" s="1011"/>
      <c r="GSG153" s="1011"/>
      <c r="GSH153" s="1011"/>
      <c r="GSI153" s="1011"/>
      <c r="GSJ153" s="1011"/>
      <c r="GSK153" s="1011"/>
      <c r="GSL153" s="1011"/>
      <c r="GSM153" s="1011"/>
      <c r="GSN153" s="1011"/>
      <c r="GSO153" s="1011"/>
      <c r="GSP153" s="1011"/>
      <c r="GSQ153" s="1011"/>
      <c r="GSR153" s="1011"/>
      <c r="GSS153" s="1011"/>
      <c r="GST153" s="1011"/>
      <c r="GSU153" s="1011"/>
      <c r="GSV153" s="1011"/>
      <c r="GSW153" s="1011"/>
      <c r="GSX153" s="1011"/>
      <c r="GSY153" s="1011"/>
      <c r="GSZ153" s="1011"/>
      <c r="GTA153" s="1011"/>
      <c r="GTB153" s="1011"/>
      <c r="GTC153" s="1011"/>
      <c r="GTD153" s="1011"/>
      <c r="GTE153" s="1011"/>
      <c r="GTF153" s="1011"/>
      <c r="GTG153" s="1011"/>
      <c r="GTH153" s="1011"/>
      <c r="GTI153" s="1011"/>
      <c r="GTJ153" s="1011"/>
      <c r="GTK153" s="1011"/>
      <c r="GTL153" s="1011"/>
      <c r="GTM153" s="1011"/>
      <c r="GTN153" s="1011"/>
      <c r="GTO153" s="1011"/>
      <c r="GTP153" s="1011"/>
      <c r="GTQ153" s="1011"/>
      <c r="GTR153" s="1011"/>
      <c r="GTS153" s="1011"/>
      <c r="GTT153" s="1011"/>
      <c r="GTU153" s="1011"/>
      <c r="GTV153" s="1011"/>
      <c r="GTW153" s="1011"/>
      <c r="GTX153" s="1011"/>
      <c r="GTY153" s="1011"/>
      <c r="GTZ153" s="1011"/>
      <c r="GUA153" s="1011"/>
      <c r="GUB153" s="1011"/>
      <c r="GUC153" s="1011"/>
      <c r="GUD153" s="1011"/>
      <c r="GUE153" s="1011"/>
      <c r="GUF153" s="1011"/>
      <c r="GUG153" s="1011"/>
      <c r="GUH153" s="1011"/>
      <c r="GUI153" s="1011"/>
      <c r="GUJ153" s="1011"/>
      <c r="GUK153" s="1011"/>
      <c r="GUL153" s="1011"/>
      <c r="GUM153" s="1011"/>
      <c r="GUN153" s="1011"/>
      <c r="GUO153" s="1011"/>
      <c r="GUP153" s="1011"/>
      <c r="GUQ153" s="1011"/>
      <c r="GUR153" s="1011"/>
      <c r="GUS153" s="1011"/>
      <c r="GUT153" s="1011"/>
      <c r="GUU153" s="1011"/>
      <c r="GUV153" s="1011"/>
      <c r="GUW153" s="1011"/>
      <c r="GUX153" s="1011"/>
      <c r="GUY153" s="1011"/>
      <c r="GUZ153" s="1011"/>
      <c r="GVA153" s="1011"/>
      <c r="GVB153" s="1011"/>
      <c r="GVC153" s="1011"/>
      <c r="GVD153" s="1011"/>
      <c r="GVE153" s="1011"/>
      <c r="GVF153" s="1011"/>
      <c r="GVG153" s="1011"/>
      <c r="GVH153" s="1011"/>
      <c r="GVI153" s="1011"/>
      <c r="GVJ153" s="1011"/>
      <c r="GVK153" s="1011"/>
      <c r="GVL153" s="1011"/>
      <c r="GVM153" s="1011"/>
      <c r="GVN153" s="1011"/>
      <c r="GVO153" s="1011"/>
      <c r="GVP153" s="1011"/>
      <c r="GVQ153" s="1011"/>
      <c r="GVR153" s="1011"/>
      <c r="GVS153" s="1011"/>
      <c r="GVT153" s="1011"/>
      <c r="GVU153" s="1011"/>
      <c r="GVV153" s="1011"/>
      <c r="GVW153" s="1011"/>
      <c r="GVX153" s="1011"/>
      <c r="GVY153" s="1011"/>
      <c r="GVZ153" s="1011"/>
      <c r="GWA153" s="1011"/>
      <c r="GWB153" s="1011"/>
      <c r="GWC153" s="1011"/>
      <c r="GWD153" s="1011"/>
      <c r="GWE153" s="1011"/>
      <c r="GWF153" s="1011"/>
      <c r="GWG153" s="1011"/>
      <c r="GWH153" s="1011"/>
      <c r="GWI153" s="1011"/>
      <c r="GWJ153" s="1011"/>
      <c r="GWK153" s="1011"/>
      <c r="GWL153" s="1011"/>
      <c r="GWM153" s="1011"/>
      <c r="GWN153" s="1011"/>
      <c r="GWO153" s="1011"/>
      <c r="GWP153" s="1011"/>
      <c r="GWQ153" s="1011"/>
      <c r="GWR153" s="1011"/>
      <c r="GWS153" s="1011"/>
      <c r="GWT153" s="1011"/>
      <c r="GWU153" s="1011"/>
      <c r="GWV153" s="1011"/>
      <c r="GWW153" s="1011"/>
      <c r="GWX153" s="1011"/>
      <c r="GWY153" s="1011"/>
      <c r="GWZ153" s="1011"/>
      <c r="GXA153" s="1011"/>
      <c r="GXB153" s="1011"/>
      <c r="GXC153" s="1011"/>
      <c r="GXD153" s="1011"/>
      <c r="GXE153" s="1011"/>
      <c r="GXF153" s="1011"/>
      <c r="GXG153" s="1011"/>
      <c r="GXH153" s="1011"/>
      <c r="GXI153" s="1011"/>
      <c r="GXJ153" s="1011"/>
      <c r="GXK153" s="1011"/>
      <c r="GXL153" s="1011"/>
      <c r="GXM153" s="1011"/>
      <c r="GXN153" s="1011"/>
      <c r="GXO153" s="1011"/>
      <c r="GXP153" s="1011"/>
      <c r="GXQ153" s="1011"/>
      <c r="GXR153" s="1011"/>
      <c r="GXS153" s="1011"/>
      <c r="GXT153" s="1011"/>
      <c r="GXU153" s="1011"/>
      <c r="GXV153" s="1011"/>
      <c r="GXW153" s="1011"/>
      <c r="GXX153" s="1011"/>
      <c r="GXY153" s="1011"/>
      <c r="GXZ153" s="1011"/>
      <c r="GYA153" s="1011"/>
      <c r="GYB153" s="1011"/>
      <c r="GYC153" s="1011"/>
      <c r="GYD153" s="1011"/>
      <c r="GYE153" s="1011"/>
      <c r="GYF153" s="1011"/>
      <c r="GYG153" s="1011"/>
      <c r="GYH153" s="1011"/>
      <c r="GYI153" s="1011"/>
      <c r="GYJ153" s="1011"/>
      <c r="GYK153" s="1011"/>
      <c r="GYL153" s="1011"/>
      <c r="GYM153" s="1011"/>
      <c r="GYN153" s="1011"/>
      <c r="GYO153" s="1011"/>
      <c r="GYP153" s="1011"/>
      <c r="GYQ153" s="1011"/>
      <c r="GYR153" s="1011"/>
      <c r="GYS153" s="1011"/>
      <c r="GYT153" s="1011"/>
      <c r="GYU153" s="1011"/>
      <c r="GYV153" s="1011"/>
      <c r="GYW153" s="1011"/>
      <c r="GYX153" s="1011"/>
      <c r="GYY153" s="1011"/>
      <c r="GYZ153" s="1011"/>
      <c r="GZA153" s="1011"/>
      <c r="GZB153" s="1011"/>
      <c r="GZC153" s="1011"/>
      <c r="GZD153" s="1011"/>
      <c r="GZE153" s="1011"/>
      <c r="GZF153" s="1011"/>
      <c r="GZG153" s="1011"/>
      <c r="GZH153" s="1011"/>
      <c r="GZI153" s="1011"/>
      <c r="GZJ153" s="1011"/>
      <c r="GZK153" s="1011"/>
      <c r="GZL153" s="1011"/>
      <c r="GZM153" s="1011"/>
      <c r="GZN153" s="1011"/>
      <c r="GZO153" s="1011"/>
      <c r="GZP153" s="1011"/>
      <c r="GZQ153" s="1011"/>
      <c r="GZR153" s="1011"/>
      <c r="GZS153" s="1011"/>
      <c r="GZT153" s="1011"/>
      <c r="GZU153" s="1011"/>
      <c r="GZV153" s="1011"/>
      <c r="GZW153" s="1011"/>
      <c r="GZX153" s="1011"/>
      <c r="GZY153" s="1011"/>
      <c r="GZZ153" s="1011"/>
      <c r="HAA153" s="1011"/>
      <c r="HAB153" s="1011"/>
      <c r="HAC153" s="1011"/>
      <c r="HAD153" s="1011"/>
      <c r="HAE153" s="1011"/>
      <c r="HAF153" s="1011"/>
      <c r="HAG153" s="1011"/>
      <c r="HAH153" s="1011"/>
      <c r="HAI153" s="1011"/>
      <c r="HAJ153" s="1011"/>
      <c r="HAK153" s="1011"/>
      <c r="HAL153" s="1011"/>
      <c r="HAM153" s="1011"/>
      <c r="HAN153" s="1011"/>
      <c r="HAO153" s="1011"/>
      <c r="HAP153" s="1011"/>
      <c r="HAQ153" s="1011"/>
      <c r="HAR153" s="1011"/>
      <c r="HAS153" s="1011"/>
      <c r="HAT153" s="1011"/>
      <c r="HAU153" s="1011"/>
      <c r="HAV153" s="1011"/>
      <c r="HAW153" s="1011"/>
      <c r="HAX153" s="1011"/>
      <c r="HAY153" s="1011"/>
      <c r="HAZ153" s="1011"/>
      <c r="HBA153" s="1011"/>
      <c r="HBB153" s="1011"/>
      <c r="HBC153" s="1011"/>
      <c r="HBD153" s="1011"/>
      <c r="HBE153" s="1011"/>
      <c r="HBF153" s="1011"/>
      <c r="HBG153" s="1011"/>
      <c r="HBH153" s="1011"/>
      <c r="HBI153" s="1011"/>
      <c r="HBJ153" s="1011"/>
      <c r="HBK153" s="1011"/>
      <c r="HBL153" s="1011"/>
      <c r="HBM153" s="1011"/>
      <c r="HBN153" s="1011"/>
      <c r="HBO153" s="1011"/>
      <c r="HBP153" s="1011"/>
      <c r="HBQ153" s="1011"/>
      <c r="HBR153" s="1011"/>
      <c r="HBS153" s="1011"/>
      <c r="HBT153" s="1011"/>
      <c r="HBU153" s="1011"/>
      <c r="HBV153" s="1011"/>
      <c r="HBW153" s="1011"/>
      <c r="HBX153" s="1011"/>
      <c r="HBY153" s="1011"/>
      <c r="HBZ153" s="1011"/>
      <c r="HCA153" s="1011"/>
      <c r="HCB153" s="1011"/>
      <c r="HCC153" s="1011"/>
      <c r="HCD153" s="1011"/>
      <c r="HCE153" s="1011"/>
      <c r="HCF153" s="1011"/>
      <c r="HCG153" s="1011"/>
      <c r="HCH153" s="1011"/>
      <c r="HCI153" s="1011"/>
      <c r="HCJ153" s="1011"/>
      <c r="HCK153" s="1011"/>
      <c r="HCL153" s="1011"/>
      <c r="HCM153" s="1011"/>
      <c r="HCN153" s="1011"/>
      <c r="HCO153" s="1011"/>
      <c r="HCP153" s="1011"/>
      <c r="HCQ153" s="1011"/>
      <c r="HCR153" s="1011"/>
      <c r="HCS153" s="1011"/>
      <c r="HCT153" s="1011"/>
      <c r="HCU153" s="1011"/>
      <c r="HCV153" s="1011"/>
      <c r="HCW153" s="1011"/>
      <c r="HCX153" s="1011"/>
      <c r="HCY153" s="1011"/>
      <c r="HCZ153" s="1011"/>
      <c r="HDA153" s="1011"/>
      <c r="HDB153" s="1011"/>
      <c r="HDC153" s="1011"/>
      <c r="HDD153" s="1011"/>
      <c r="HDE153" s="1011"/>
      <c r="HDF153" s="1011"/>
      <c r="HDG153" s="1011"/>
      <c r="HDH153" s="1011"/>
      <c r="HDI153" s="1011"/>
      <c r="HDJ153" s="1011"/>
      <c r="HDK153" s="1011"/>
      <c r="HDL153" s="1011"/>
      <c r="HDM153" s="1011"/>
      <c r="HDN153" s="1011"/>
      <c r="HDO153" s="1011"/>
      <c r="HDP153" s="1011"/>
      <c r="HDQ153" s="1011"/>
      <c r="HDR153" s="1011"/>
      <c r="HDS153" s="1011"/>
      <c r="HDT153" s="1011"/>
      <c r="HDU153" s="1011"/>
      <c r="HDV153" s="1011"/>
      <c r="HDW153" s="1011"/>
      <c r="HDX153" s="1011"/>
      <c r="HDY153" s="1011"/>
      <c r="HDZ153" s="1011"/>
      <c r="HEA153" s="1011"/>
      <c r="HEB153" s="1011"/>
      <c r="HEC153" s="1011"/>
      <c r="HED153" s="1011"/>
      <c r="HEE153" s="1011"/>
      <c r="HEF153" s="1011"/>
      <c r="HEG153" s="1011"/>
      <c r="HEH153" s="1011"/>
      <c r="HEI153" s="1011"/>
      <c r="HEJ153" s="1011"/>
      <c r="HEK153" s="1011"/>
      <c r="HEL153" s="1011"/>
      <c r="HEM153" s="1011"/>
      <c r="HEN153" s="1011"/>
      <c r="HEO153" s="1011"/>
      <c r="HEP153" s="1011"/>
      <c r="HEQ153" s="1011"/>
      <c r="HER153" s="1011"/>
      <c r="HES153" s="1011"/>
      <c r="HET153" s="1011"/>
      <c r="HEU153" s="1011"/>
      <c r="HEV153" s="1011"/>
      <c r="HEW153" s="1011"/>
      <c r="HEX153" s="1011"/>
      <c r="HEY153" s="1011"/>
      <c r="HEZ153" s="1011"/>
      <c r="HFA153" s="1011"/>
      <c r="HFB153" s="1011"/>
      <c r="HFC153" s="1011"/>
      <c r="HFD153" s="1011"/>
      <c r="HFE153" s="1011"/>
      <c r="HFF153" s="1011"/>
      <c r="HFG153" s="1011"/>
      <c r="HFH153" s="1011"/>
      <c r="HFI153" s="1011"/>
      <c r="HFJ153" s="1011"/>
      <c r="HFK153" s="1011"/>
      <c r="HFL153" s="1011"/>
      <c r="HFM153" s="1011"/>
      <c r="HFN153" s="1011"/>
      <c r="HFO153" s="1011"/>
      <c r="HFP153" s="1011"/>
      <c r="HFQ153" s="1011"/>
      <c r="HFR153" s="1011"/>
      <c r="HFS153" s="1011"/>
      <c r="HFT153" s="1011"/>
      <c r="HFU153" s="1011"/>
      <c r="HFV153" s="1011"/>
      <c r="HFW153" s="1011"/>
      <c r="HFX153" s="1011"/>
      <c r="HFY153" s="1011"/>
      <c r="HFZ153" s="1011"/>
      <c r="HGA153" s="1011"/>
      <c r="HGB153" s="1011"/>
      <c r="HGC153" s="1011"/>
      <c r="HGD153" s="1011"/>
      <c r="HGE153" s="1011"/>
      <c r="HGF153" s="1011"/>
      <c r="HGG153" s="1011"/>
      <c r="HGH153" s="1011"/>
      <c r="HGI153" s="1011"/>
      <c r="HGJ153" s="1011"/>
      <c r="HGK153" s="1011"/>
      <c r="HGL153" s="1011"/>
      <c r="HGM153" s="1011"/>
      <c r="HGN153" s="1011"/>
      <c r="HGO153" s="1011"/>
      <c r="HGP153" s="1011"/>
      <c r="HGQ153" s="1011"/>
      <c r="HGR153" s="1011"/>
      <c r="HGS153" s="1011"/>
      <c r="HGT153" s="1011"/>
      <c r="HGU153" s="1011"/>
      <c r="HGV153" s="1011"/>
      <c r="HGW153" s="1011"/>
      <c r="HGX153" s="1011"/>
      <c r="HGY153" s="1011"/>
      <c r="HGZ153" s="1011"/>
      <c r="HHA153" s="1011"/>
      <c r="HHB153" s="1011"/>
      <c r="HHC153" s="1011"/>
      <c r="HHD153" s="1011"/>
      <c r="HHE153" s="1011"/>
      <c r="HHF153" s="1011"/>
      <c r="HHG153" s="1011"/>
      <c r="HHH153" s="1011"/>
      <c r="HHI153" s="1011"/>
      <c r="HHJ153" s="1011"/>
      <c r="HHK153" s="1011"/>
      <c r="HHL153" s="1011"/>
      <c r="HHM153" s="1011"/>
      <c r="HHN153" s="1011"/>
      <c r="HHO153" s="1011"/>
      <c r="HHP153" s="1011"/>
      <c r="HHQ153" s="1011"/>
      <c r="HHR153" s="1011"/>
      <c r="HHS153" s="1011"/>
      <c r="HHT153" s="1011"/>
      <c r="HHU153" s="1011"/>
      <c r="HHV153" s="1011"/>
      <c r="HHW153" s="1011"/>
      <c r="HHX153" s="1011"/>
      <c r="HHY153" s="1011"/>
      <c r="HHZ153" s="1011"/>
      <c r="HIA153" s="1011"/>
      <c r="HIB153" s="1011"/>
      <c r="HIC153" s="1011"/>
      <c r="HID153" s="1011"/>
      <c r="HIE153" s="1011"/>
      <c r="HIF153" s="1011"/>
      <c r="HIG153" s="1011"/>
      <c r="HIH153" s="1011"/>
      <c r="HII153" s="1011"/>
      <c r="HIJ153" s="1011"/>
      <c r="HIK153" s="1011"/>
      <c r="HIL153" s="1011"/>
      <c r="HIM153" s="1011"/>
      <c r="HIN153" s="1011"/>
      <c r="HIO153" s="1011"/>
      <c r="HIP153" s="1011"/>
      <c r="HIQ153" s="1011"/>
      <c r="HIR153" s="1011"/>
      <c r="HIS153" s="1011"/>
      <c r="HIT153" s="1011"/>
      <c r="HIU153" s="1011"/>
      <c r="HIV153" s="1011"/>
      <c r="HIW153" s="1011"/>
      <c r="HIX153" s="1011"/>
      <c r="HIY153" s="1011"/>
      <c r="HIZ153" s="1011"/>
      <c r="HJA153" s="1011"/>
      <c r="HJB153" s="1011"/>
      <c r="HJC153" s="1011"/>
      <c r="HJD153" s="1011"/>
      <c r="HJE153" s="1011"/>
      <c r="HJF153" s="1011"/>
      <c r="HJG153" s="1011"/>
      <c r="HJH153" s="1011"/>
      <c r="HJI153" s="1011"/>
      <c r="HJJ153" s="1011"/>
      <c r="HJK153" s="1011"/>
      <c r="HJL153" s="1011"/>
      <c r="HJM153" s="1011"/>
      <c r="HJN153" s="1011"/>
      <c r="HJO153" s="1011"/>
      <c r="HJP153" s="1011"/>
      <c r="HJQ153" s="1011"/>
      <c r="HJR153" s="1011"/>
      <c r="HJS153" s="1011"/>
      <c r="HJT153" s="1011"/>
      <c r="HJU153" s="1011"/>
      <c r="HJV153" s="1011"/>
      <c r="HJW153" s="1011"/>
      <c r="HJX153" s="1011"/>
      <c r="HJY153" s="1011"/>
      <c r="HJZ153" s="1011"/>
      <c r="HKA153" s="1011"/>
      <c r="HKB153" s="1011"/>
      <c r="HKC153" s="1011"/>
      <c r="HKD153" s="1011"/>
      <c r="HKE153" s="1011"/>
      <c r="HKF153" s="1011"/>
      <c r="HKG153" s="1011"/>
      <c r="HKH153" s="1011"/>
      <c r="HKI153" s="1011"/>
      <c r="HKJ153" s="1011"/>
      <c r="HKK153" s="1011"/>
      <c r="HKL153" s="1011"/>
      <c r="HKM153" s="1011"/>
      <c r="HKN153" s="1011"/>
      <c r="HKO153" s="1011"/>
      <c r="HKP153" s="1011"/>
      <c r="HKQ153" s="1011"/>
      <c r="HKR153" s="1011"/>
      <c r="HKS153" s="1011"/>
      <c r="HKT153" s="1011"/>
      <c r="HKU153" s="1011"/>
      <c r="HKV153" s="1011"/>
      <c r="HKW153" s="1011"/>
      <c r="HKX153" s="1011"/>
      <c r="HKY153" s="1011"/>
      <c r="HKZ153" s="1011"/>
      <c r="HLA153" s="1011"/>
      <c r="HLB153" s="1011"/>
      <c r="HLC153" s="1011"/>
      <c r="HLD153" s="1011"/>
      <c r="HLE153" s="1011"/>
      <c r="HLF153" s="1011"/>
      <c r="HLG153" s="1011"/>
      <c r="HLH153" s="1011"/>
      <c r="HLI153" s="1011"/>
      <c r="HLJ153" s="1011"/>
      <c r="HLK153" s="1011"/>
      <c r="HLL153" s="1011"/>
      <c r="HLM153" s="1011"/>
      <c r="HLN153" s="1011"/>
      <c r="HLO153" s="1011"/>
      <c r="HLP153" s="1011"/>
      <c r="HLQ153" s="1011"/>
      <c r="HLR153" s="1011"/>
      <c r="HLS153" s="1011"/>
      <c r="HLT153" s="1011"/>
      <c r="HLU153" s="1011"/>
      <c r="HLV153" s="1011"/>
      <c r="HLW153" s="1011"/>
      <c r="HLX153" s="1011"/>
      <c r="HLY153" s="1011"/>
      <c r="HLZ153" s="1011"/>
      <c r="HMA153" s="1011"/>
      <c r="HMB153" s="1011"/>
      <c r="HMC153" s="1011"/>
      <c r="HMD153" s="1011"/>
      <c r="HME153" s="1011"/>
      <c r="HMF153" s="1011"/>
      <c r="HMG153" s="1011"/>
      <c r="HMH153" s="1011"/>
      <c r="HMI153" s="1011"/>
      <c r="HMJ153" s="1011"/>
      <c r="HMK153" s="1011"/>
      <c r="HML153" s="1011"/>
      <c r="HMM153" s="1011"/>
      <c r="HMN153" s="1011"/>
      <c r="HMO153" s="1011"/>
      <c r="HMP153" s="1011"/>
      <c r="HMQ153" s="1011"/>
      <c r="HMR153" s="1011"/>
      <c r="HMS153" s="1011"/>
      <c r="HMT153" s="1011"/>
      <c r="HMU153" s="1011"/>
      <c r="HMV153" s="1011"/>
      <c r="HMW153" s="1011"/>
      <c r="HMX153" s="1011"/>
      <c r="HMY153" s="1011"/>
      <c r="HMZ153" s="1011"/>
      <c r="HNA153" s="1011"/>
      <c r="HNB153" s="1011"/>
      <c r="HNC153" s="1011"/>
      <c r="HND153" s="1011"/>
      <c r="HNE153" s="1011"/>
      <c r="HNF153" s="1011"/>
      <c r="HNG153" s="1011"/>
      <c r="HNH153" s="1011"/>
      <c r="HNI153" s="1011"/>
      <c r="HNJ153" s="1011"/>
      <c r="HNK153" s="1011"/>
      <c r="HNL153" s="1011"/>
      <c r="HNM153" s="1011"/>
      <c r="HNN153" s="1011"/>
      <c r="HNO153" s="1011"/>
      <c r="HNP153" s="1011"/>
      <c r="HNQ153" s="1011"/>
      <c r="HNR153" s="1011"/>
      <c r="HNS153" s="1011"/>
      <c r="HNT153" s="1011"/>
      <c r="HNU153" s="1011"/>
      <c r="HNV153" s="1011"/>
      <c r="HNW153" s="1011"/>
      <c r="HNX153" s="1011"/>
      <c r="HNY153" s="1011"/>
      <c r="HNZ153" s="1011"/>
      <c r="HOA153" s="1011"/>
      <c r="HOB153" s="1011"/>
      <c r="HOC153" s="1011"/>
      <c r="HOD153" s="1011"/>
      <c r="HOE153" s="1011"/>
      <c r="HOF153" s="1011"/>
      <c r="HOG153" s="1011"/>
      <c r="HOH153" s="1011"/>
      <c r="HOI153" s="1011"/>
      <c r="HOJ153" s="1011"/>
      <c r="HOK153" s="1011"/>
      <c r="HOL153" s="1011"/>
      <c r="HOM153" s="1011"/>
      <c r="HON153" s="1011"/>
      <c r="HOO153" s="1011"/>
      <c r="HOP153" s="1011"/>
      <c r="HOQ153" s="1011"/>
      <c r="HOR153" s="1011"/>
      <c r="HOS153" s="1011"/>
      <c r="HOT153" s="1011"/>
      <c r="HOU153" s="1011"/>
      <c r="HOV153" s="1011"/>
      <c r="HOW153" s="1011"/>
      <c r="HOX153" s="1011"/>
      <c r="HOY153" s="1011"/>
      <c r="HOZ153" s="1011"/>
      <c r="HPA153" s="1011"/>
      <c r="HPB153" s="1011"/>
      <c r="HPC153" s="1011"/>
      <c r="HPD153" s="1011"/>
      <c r="HPE153" s="1011"/>
      <c r="HPF153" s="1011"/>
      <c r="HPG153" s="1011"/>
      <c r="HPH153" s="1011"/>
      <c r="HPI153" s="1011"/>
      <c r="HPJ153" s="1011"/>
      <c r="HPK153" s="1011"/>
      <c r="HPL153" s="1011"/>
      <c r="HPM153" s="1011"/>
      <c r="HPN153" s="1011"/>
      <c r="HPO153" s="1011"/>
      <c r="HPP153" s="1011"/>
      <c r="HPQ153" s="1011"/>
      <c r="HPR153" s="1011"/>
      <c r="HPS153" s="1011"/>
      <c r="HPT153" s="1011"/>
      <c r="HPU153" s="1011"/>
      <c r="HPV153" s="1011"/>
      <c r="HPW153" s="1011"/>
      <c r="HPX153" s="1011"/>
      <c r="HPY153" s="1011"/>
      <c r="HPZ153" s="1011"/>
      <c r="HQA153" s="1011"/>
      <c r="HQB153" s="1011"/>
      <c r="HQC153" s="1011"/>
      <c r="HQD153" s="1011"/>
      <c r="HQE153" s="1011"/>
      <c r="HQF153" s="1011"/>
      <c r="HQG153" s="1011"/>
      <c r="HQH153" s="1011"/>
      <c r="HQI153" s="1011"/>
      <c r="HQJ153" s="1011"/>
      <c r="HQK153" s="1011"/>
      <c r="HQL153" s="1011"/>
      <c r="HQM153" s="1011"/>
      <c r="HQN153" s="1011"/>
      <c r="HQO153" s="1011"/>
      <c r="HQP153" s="1011"/>
      <c r="HQQ153" s="1011"/>
      <c r="HQR153" s="1011"/>
      <c r="HQS153" s="1011"/>
      <c r="HQT153" s="1011"/>
      <c r="HQU153" s="1011"/>
      <c r="HQV153" s="1011"/>
      <c r="HQW153" s="1011"/>
      <c r="HQX153" s="1011"/>
      <c r="HQY153" s="1011"/>
      <c r="HQZ153" s="1011"/>
      <c r="HRA153" s="1011"/>
      <c r="HRB153" s="1011"/>
      <c r="HRC153" s="1011"/>
      <c r="HRD153" s="1011"/>
      <c r="HRE153" s="1011"/>
      <c r="HRF153" s="1011"/>
      <c r="HRG153" s="1011"/>
      <c r="HRH153" s="1011"/>
      <c r="HRI153" s="1011"/>
      <c r="HRJ153" s="1011"/>
      <c r="HRK153" s="1011"/>
      <c r="HRL153" s="1011"/>
      <c r="HRM153" s="1011"/>
      <c r="HRN153" s="1011"/>
      <c r="HRO153" s="1011"/>
      <c r="HRP153" s="1011"/>
      <c r="HRQ153" s="1011"/>
      <c r="HRR153" s="1011"/>
      <c r="HRS153" s="1011"/>
      <c r="HRT153" s="1011"/>
      <c r="HRU153" s="1011"/>
      <c r="HRV153" s="1011"/>
      <c r="HRW153" s="1011"/>
      <c r="HRX153" s="1011"/>
      <c r="HRY153" s="1011"/>
      <c r="HRZ153" s="1011"/>
      <c r="HSA153" s="1011"/>
      <c r="HSB153" s="1011"/>
      <c r="HSC153" s="1011"/>
      <c r="HSD153" s="1011"/>
      <c r="HSE153" s="1011"/>
      <c r="HSF153" s="1011"/>
      <c r="HSG153" s="1011"/>
      <c r="HSH153" s="1011"/>
      <c r="HSI153" s="1011"/>
      <c r="HSJ153" s="1011"/>
      <c r="HSK153" s="1011"/>
      <c r="HSL153" s="1011"/>
      <c r="HSM153" s="1011"/>
      <c r="HSN153" s="1011"/>
      <c r="HSO153" s="1011"/>
      <c r="HSP153" s="1011"/>
      <c r="HSQ153" s="1011"/>
      <c r="HSR153" s="1011"/>
      <c r="HSS153" s="1011"/>
      <c r="HST153" s="1011"/>
      <c r="HSU153" s="1011"/>
      <c r="HSV153" s="1011"/>
      <c r="HSW153" s="1011"/>
      <c r="HSX153" s="1011"/>
      <c r="HSY153" s="1011"/>
      <c r="HSZ153" s="1011"/>
      <c r="HTA153" s="1011"/>
      <c r="HTB153" s="1011"/>
      <c r="HTC153" s="1011"/>
      <c r="HTD153" s="1011"/>
      <c r="HTE153" s="1011"/>
      <c r="HTF153" s="1011"/>
      <c r="HTG153" s="1011"/>
      <c r="HTH153" s="1011"/>
      <c r="HTI153" s="1011"/>
      <c r="HTJ153" s="1011"/>
      <c r="HTK153" s="1011"/>
      <c r="HTL153" s="1011"/>
      <c r="HTM153" s="1011"/>
      <c r="HTN153" s="1011"/>
      <c r="HTO153" s="1011"/>
      <c r="HTP153" s="1011"/>
      <c r="HTQ153" s="1011"/>
      <c r="HTR153" s="1011"/>
      <c r="HTS153" s="1011"/>
      <c r="HTT153" s="1011"/>
      <c r="HTU153" s="1011"/>
      <c r="HTV153" s="1011"/>
      <c r="HTW153" s="1011"/>
      <c r="HTX153" s="1011"/>
      <c r="HTY153" s="1011"/>
      <c r="HTZ153" s="1011"/>
      <c r="HUA153" s="1011"/>
      <c r="HUB153" s="1011"/>
      <c r="HUC153" s="1011"/>
      <c r="HUD153" s="1011"/>
      <c r="HUE153" s="1011"/>
      <c r="HUF153" s="1011"/>
      <c r="HUG153" s="1011"/>
      <c r="HUH153" s="1011"/>
      <c r="HUI153" s="1011"/>
      <c r="HUJ153" s="1011"/>
      <c r="HUK153" s="1011"/>
      <c r="HUL153" s="1011"/>
      <c r="HUM153" s="1011"/>
      <c r="HUN153" s="1011"/>
      <c r="HUO153" s="1011"/>
      <c r="HUP153" s="1011"/>
      <c r="HUQ153" s="1011"/>
      <c r="HUR153" s="1011"/>
      <c r="HUS153" s="1011"/>
      <c r="HUT153" s="1011"/>
      <c r="HUU153" s="1011"/>
      <c r="HUV153" s="1011"/>
      <c r="HUW153" s="1011"/>
      <c r="HUX153" s="1011"/>
      <c r="HUY153" s="1011"/>
      <c r="HUZ153" s="1011"/>
      <c r="HVA153" s="1011"/>
      <c r="HVB153" s="1011"/>
      <c r="HVC153" s="1011"/>
      <c r="HVD153" s="1011"/>
      <c r="HVE153" s="1011"/>
      <c r="HVF153" s="1011"/>
      <c r="HVG153" s="1011"/>
      <c r="HVH153" s="1011"/>
      <c r="HVI153" s="1011"/>
      <c r="HVJ153" s="1011"/>
      <c r="HVK153" s="1011"/>
      <c r="HVL153" s="1011"/>
      <c r="HVM153" s="1011"/>
      <c r="HVN153" s="1011"/>
      <c r="HVO153" s="1011"/>
      <c r="HVP153" s="1011"/>
      <c r="HVQ153" s="1011"/>
      <c r="HVR153" s="1011"/>
      <c r="HVS153" s="1011"/>
      <c r="HVT153" s="1011"/>
      <c r="HVU153" s="1011"/>
      <c r="HVV153" s="1011"/>
      <c r="HVW153" s="1011"/>
      <c r="HVX153" s="1011"/>
      <c r="HVY153" s="1011"/>
      <c r="HVZ153" s="1011"/>
      <c r="HWA153" s="1011"/>
      <c r="HWB153" s="1011"/>
      <c r="HWC153" s="1011"/>
      <c r="HWD153" s="1011"/>
      <c r="HWE153" s="1011"/>
      <c r="HWF153" s="1011"/>
      <c r="HWG153" s="1011"/>
      <c r="HWH153" s="1011"/>
      <c r="HWI153" s="1011"/>
      <c r="HWJ153" s="1011"/>
      <c r="HWK153" s="1011"/>
      <c r="HWL153" s="1011"/>
      <c r="HWM153" s="1011"/>
      <c r="HWN153" s="1011"/>
      <c r="HWO153" s="1011"/>
      <c r="HWP153" s="1011"/>
      <c r="HWQ153" s="1011"/>
      <c r="HWR153" s="1011"/>
      <c r="HWS153" s="1011"/>
      <c r="HWT153" s="1011"/>
      <c r="HWU153" s="1011"/>
      <c r="HWV153" s="1011"/>
      <c r="HWW153" s="1011"/>
      <c r="HWX153" s="1011"/>
      <c r="HWY153" s="1011"/>
      <c r="HWZ153" s="1011"/>
      <c r="HXA153" s="1011"/>
      <c r="HXB153" s="1011"/>
      <c r="HXC153" s="1011"/>
      <c r="HXD153" s="1011"/>
      <c r="HXE153" s="1011"/>
      <c r="HXF153" s="1011"/>
      <c r="HXG153" s="1011"/>
      <c r="HXH153" s="1011"/>
      <c r="HXI153" s="1011"/>
      <c r="HXJ153" s="1011"/>
      <c r="HXK153" s="1011"/>
      <c r="HXL153" s="1011"/>
      <c r="HXM153" s="1011"/>
      <c r="HXN153" s="1011"/>
      <c r="HXO153" s="1011"/>
      <c r="HXP153" s="1011"/>
      <c r="HXQ153" s="1011"/>
      <c r="HXR153" s="1011"/>
      <c r="HXS153" s="1011"/>
      <c r="HXT153" s="1011"/>
      <c r="HXU153" s="1011"/>
      <c r="HXV153" s="1011"/>
      <c r="HXW153" s="1011"/>
      <c r="HXX153" s="1011"/>
      <c r="HXY153" s="1011"/>
      <c r="HXZ153" s="1011"/>
      <c r="HYA153" s="1011"/>
      <c r="HYB153" s="1011"/>
      <c r="HYC153" s="1011"/>
      <c r="HYD153" s="1011"/>
      <c r="HYE153" s="1011"/>
      <c r="HYF153" s="1011"/>
      <c r="HYG153" s="1011"/>
      <c r="HYH153" s="1011"/>
      <c r="HYI153" s="1011"/>
      <c r="HYJ153" s="1011"/>
      <c r="HYK153" s="1011"/>
      <c r="HYL153" s="1011"/>
      <c r="HYM153" s="1011"/>
      <c r="HYN153" s="1011"/>
      <c r="HYO153" s="1011"/>
      <c r="HYP153" s="1011"/>
      <c r="HYQ153" s="1011"/>
      <c r="HYR153" s="1011"/>
      <c r="HYS153" s="1011"/>
      <c r="HYT153" s="1011"/>
      <c r="HYU153" s="1011"/>
      <c r="HYV153" s="1011"/>
      <c r="HYW153" s="1011"/>
      <c r="HYX153" s="1011"/>
      <c r="HYY153" s="1011"/>
      <c r="HYZ153" s="1011"/>
      <c r="HZA153" s="1011"/>
      <c r="HZB153" s="1011"/>
      <c r="HZC153" s="1011"/>
      <c r="HZD153" s="1011"/>
      <c r="HZE153" s="1011"/>
      <c r="HZF153" s="1011"/>
      <c r="HZG153" s="1011"/>
      <c r="HZH153" s="1011"/>
      <c r="HZI153" s="1011"/>
      <c r="HZJ153" s="1011"/>
      <c r="HZK153" s="1011"/>
      <c r="HZL153" s="1011"/>
      <c r="HZM153" s="1011"/>
      <c r="HZN153" s="1011"/>
      <c r="HZO153" s="1011"/>
      <c r="HZP153" s="1011"/>
      <c r="HZQ153" s="1011"/>
      <c r="HZR153" s="1011"/>
      <c r="HZS153" s="1011"/>
      <c r="HZT153" s="1011"/>
      <c r="HZU153" s="1011"/>
      <c r="HZV153" s="1011"/>
      <c r="HZW153" s="1011"/>
      <c r="HZX153" s="1011"/>
      <c r="HZY153" s="1011"/>
      <c r="HZZ153" s="1011"/>
      <c r="IAA153" s="1011"/>
      <c r="IAB153" s="1011"/>
      <c r="IAC153" s="1011"/>
      <c r="IAD153" s="1011"/>
      <c r="IAE153" s="1011"/>
      <c r="IAF153" s="1011"/>
      <c r="IAG153" s="1011"/>
      <c r="IAH153" s="1011"/>
      <c r="IAI153" s="1011"/>
      <c r="IAJ153" s="1011"/>
      <c r="IAK153" s="1011"/>
      <c r="IAL153" s="1011"/>
      <c r="IAM153" s="1011"/>
      <c r="IAN153" s="1011"/>
      <c r="IAO153" s="1011"/>
      <c r="IAP153" s="1011"/>
      <c r="IAQ153" s="1011"/>
      <c r="IAR153" s="1011"/>
      <c r="IAS153" s="1011"/>
      <c r="IAT153" s="1011"/>
      <c r="IAU153" s="1011"/>
      <c r="IAV153" s="1011"/>
      <c r="IAW153" s="1011"/>
      <c r="IAX153" s="1011"/>
      <c r="IAY153" s="1011"/>
      <c r="IAZ153" s="1011"/>
      <c r="IBA153" s="1011"/>
      <c r="IBB153" s="1011"/>
      <c r="IBC153" s="1011"/>
      <c r="IBD153" s="1011"/>
      <c r="IBE153" s="1011"/>
      <c r="IBF153" s="1011"/>
      <c r="IBG153" s="1011"/>
      <c r="IBH153" s="1011"/>
      <c r="IBI153" s="1011"/>
      <c r="IBJ153" s="1011"/>
      <c r="IBK153" s="1011"/>
      <c r="IBL153" s="1011"/>
      <c r="IBM153" s="1011"/>
      <c r="IBN153" s="1011"/>
      <c r="IBO153" s="1011"/>
      <c r="IBP153" s="1011"/>
      <c r="IBQ153" s="1011"/>
      <c r="IBR153" s="1011"/>
      <c r="IBS153" s="1011"/>
      <c r="IBT153" s="1011"/>
      <c r="IBU153" s="1011"/>
      <c r="IBV153" s="1011"/>
      <c r="IBW153" s="1011"/>
      <c r="IBX153" s="1011"/>
      <c r="IBY153" s="1011"/>
      <c r="IBZ153" s="1011"/>
      <c r="ICA153" s="1011"/>
      <c r="ICB153" s="1011"/>
      <c r="ICC153" s="1011"/>
      <c r="ICD153" s="1011"/>
      <c r="ICE153" s="1011"/>
      <c r="ICF153" s="1011"/>
      <c r="ICG153" s="1011"/>
      <c r="ICH153" s="1011"/>
      <c r="ICI153" s="1011"/>
      <c r="ICJ153" s="1011"/>
      <c r="ICK153" s="1011"/>
      <c r="ICL153" s="1011"/>
      <c r="ICM153" s="1011"/>
      <c r="ICN153" s="1011"/>
      <c r="ICO153" s="1011"/>
      <c r="ICP153" s="1011"/>
      <c r="ICQ153" s="1011"/>
      <c r="ICR153" s="1011"/>
      <c r="ICS153" s="1011"/>
      <c r="ICT153" s="1011"/>
      <c r="ICU153" s="1011"/>
      <c r="ICV153" s="1011"/>
      <c r="ICW153" s="1011"/>
      <c r="ICX153" s="1011"/>
      <c r="ICY153" s="1011"/>
      <c r="ICZ153" s="1011"/>
      <c r="IDA153" s="1011"/>
      <c r="IDB153" s="1011"/>
      <c r="IDC153" s="1011"/>
      <c r="IDD153" s="1011"/>
      <c r="IDE153" s="1011"/>
      <c r="IDF153" s="1011"/>
      <c r="IDG153" s="1011"/>
      <c r="IDH153" s="1011"/>
      <c r="IDI153" s="1011"/>
      <c r="IDJ153" s="1011"/>
      <c r="IDK153" s="1011"/>
      <c r="IDL153" s="1011"/>
      <c r="IDM153" s="1011"/>
      <c r="IDN153" s="1011"/>
      <c r="IDO153" s="1011"/>
      <c r="IDP153" s="1011"/>
      <c r="IDQ153" s="1011"/>
      <c r="IDR153" s="1011"/>
      <c r="IDS153" s="1011"/>
      <c r="IDT153" s="1011"/>
      <c r="IDU153" s="1011"/>
      <c r="IDV153" s="1011"/>
      <c r="IDW153" s="1011"/>
      <c r="IDX153" s="1011"/>
      <c r="IDY153" s="1011"/>
      <c r="IDZ153" s="1011"/>
      <c r="IEA153" s="1011"/>
      <c r="IEB153" s="1011"/>
      <c r="IEC153" s="1011"/>
      <c r="IED153" s="1011"/>
      <c r="IEE153" s="1011"/>
      <c r="IEF153" s="1011"/>
      <c r="IEG153" s="1011"/>
      <c r="IEH153" s="1011"/>
      <c r="IEI153" s="1011"/>
      <c r="IEJ153" s="1011"/>
      <c r="IEK153" s="1011"/>
      <c r="IEL153" s="1011"/>
      <c r="IEM153" s="1011"/>
      <c r="IEN153" s="1011"/>
      <c r="IEO153" s="1011"/>
      <c r="IEP153" s="1011"/>
      <c r="IEQ153" s="1011"/>
      <c r="IER153" s="1011"/>
      <c r="IES153" s="1011"/>
      <c r="IET153" s="1011"/>
      <c r="IEU153" s="1011"/>
      <c r="IEV153" s="1011"/>
      <c r="IEW153" s="1011"/>
      <c r="IEX153" s="1011"/>
      <c r="IEY153" s="1011"/>
      <c r="IEZ153" s="1011"/>
      <c r="IFA153" s="1011"/>
      <c r="IFB153" s="1011"/>
      <c r="IFC153" s="1011"/>
      <c r="IFD153" s="1011"/>
      <c r="IFE153" s="1011"/>
      <c r="IFF153" s="1011"/>
      <c r="IFG153" s="1011"/>
      <c r="IFH153" s="1011"/>
      <c r="IFI153" s="1011"/>
      <c r="IFJ153" s="1011"/>
      <c r="IFK153" s="1011"/>
      <c r="IFL153" s="1011"/>
      <c r="IFM153" s="1011"/>
      <c r="IFN153" s="1011"/>
      <c r="IFO153" s="1011"/>
      <c r="IFP153" s="1011"/>
      <c r="IFQ153" s="1011"/>
      <c r="IFR153" s="1011"/>
      <c r="IFS153" s="1011"/>
      <c r="IFT153" s="1011"/>
      <c r="IFU153" s="1011"/>
      <c r="IFV153" s="1011"/>
      <c r="IFW153" s="1011"/>
      <c r="IFX153" s="1011"/>
      <c r="IFY153" s="1011"/>
      <c r="IFZ153" s="1011"/>
      <c r="IGA153" s="1011"/>
      <c r="IGB153" s="1011"/>
      <c r="IGC153" s="1011"/>
      <c r="IGD153" s="1011"/>
      <c r="IGE153" s="1011"/>
      <c r="IGF153" s="1011"/>
      <c r="IGG153" s="1011"/>
      <c r="IGH153" s="1011"/>
      <c r="IGI153" s="1011"/>
      <c r="IGJ153" s="1011"/>
      <c r="IGK153" s="1011"/>
      <c r="IGL153" s="1011"/>
      <c r="IGM153" s="1011"/>
      <c r="IGN153" s="1011"/>
      <c r="IGO153" s="1011"/>
      <c r="IGP153" s="1011"/>
      <c r="IGQ153" s="1011"/>
      <c r="IGR153" s="1011"/>
      <c r="IGS153" s="1011"/>
      <c r="IGT153" s="1011"/>
      <c r="IGU153" s="1011"/>
      <c r="IGV153" s="1011"/>
      <c r="IGW153" s="1011"/>
      <c r="IGX153" s="1011"/>
      <c r="IGY153" s="1011"/>
      <c r="IGZ153" s="1011"/>
      <c r="IHA153" s="1011"/>
      <c r="IHB153" s="1011"/>
      <c r="IHC153" s="1011"/>
      <c r="IHD153" s="1011"/>
      <c r="IHE153" s="1011"/>
      <c r="IHF153" s="1011"/>
      <c r="IHG153" s="1011"/>
      <c r="IHH153" s="1011"/>
      <c r="IHI153" s="1011"/>
      <c r="IHJ153" s="1011"/>
      <c r="IHK153" s="1011"/>
      <c r="IHL153" s="1011"/>
      <c r="IHM153" s="1011"/>
      <c r="IHN153" s="1011"/>
      <c r="IHO153" s="1011"/>
      <c r="IHP153" s="1011"/>
      <c r="IHQ153" s="1011"/>
      <c r="IHR153" s="1011"/>
      <c r="IHS153" s="1011"/>
      <c r="IHT153" s="1011"/>
      <c r="IHU153" s="1011"/>
      <c r="IHV153" s="1011"/>
      <c r="IHW153" s="1011"/>
      <c r="IHX153" s="1011"/>
      <c r="IHY153" s="1011"/>
      <c r="IHZ153" s="1011"/>
      <c r="IIA153" s="1011"/>
      <c r="IIB153" s="1011"/>
      <c r="IIC153" s="1011"/>
      <c r="IID153" s="1011"/>
      <c r="IIE153" s="1011"/>
      <c r="IIF153" s="1011"/>
      <c r="IIG153" s="1011"/>
      <c r="IIH153" s="1011"/>
      <c r="III153" s="1011"/>
      <c r="IIJ153" s="1011"/>
      <c r="IIK153" s="1011"/>
      <c r="IIL153" s="1011"/>
      <c r="IIM153" s="1011"/>
      <c r="IIN153" s="1011"/>
      <c r="IIO153" s="1011"/>
      <c r="IIP153" s="1011"/>
      <c r="IIQ153" s="1011"/>
      <c r="IIR153" s="1011"/>
      <c r="IIS153" s="1011"/>
      <c r="IIT153" s="1011"/>
      <c r="IIU153" s="1011"/>
      <c r="IIV153" s="1011"/>
      <c r="IIW153" s="1011"/>
      <c r="IIX153" s="1011"/>
      <c r="IIY153" s="1011"/>
      <c r="IIZ153" s="1011"/>
      <c r="IJA153" s="1011"/>
      <c r="IJB153" s="1011"/>
      <c r="IJC153" s="1011"/>
      <c r="IJD153" s="1011"/>
      <c r="IJE153" s="1011"/>
      <c r="IJF153" s="1011"/>
      <c r="IJG153" s="1011"/>
      <c r="IJH153" s="1011"/>
      <c r="IJI153" s="1011"/>
      <c r="IJJ153" s="1011"/>
      <c r="IJK153" s="1011"/>
      <c r="IJL153" s="1011"/>
      <c r="IJM153" s="1011"/>
      <c r="IJN153" s="1011"/>
      <c r="IJO153" s="1011"/>
      <c r="IJP153" s="1011"/>
      <c r="IJQ153" s="1011"/>
      <c r="IJR153" s="1011"/>
      <c r="IJS153" s="1011"/>
      <c r="IJT153" s="1011"/>
      <c r="IJU153" s="1011"/>
      <c r="IJV153" s="1011"/>
      <c r="IJW153" s="1011"/>
      <c r="IJX153" s="1011"/>
      <c r="IJY153" s="1011"/>
      <c r="IJZ153" s="1011"/>
      <c r="IKA153" s="1011"/>
      <c r="IKB153" s="1011"/>
      <c r="IKC153" s="1011"/>
      <c r="IKD153" s="1011"/>
      <c r="IKE153" s="1011"/>
      <c r="IKF153" s="1011"/>
      <c r="IKG153" s="1011"/>
      <c r="IKH153" s="1011"/>
      <c r="IKI153" s="1011"/>
      <c r="IKJ153" s="1011"/>
      <c r="IKK153" s="1011"/>
      <c r="IKL153" s="1011"/>
      <c r="IKM153" s="1011"/>
      <c r="IKN153" s="1011"/>
      <c r="IKO153" s="1011"/>
      <c r="IKP153" s="1011"/>
      <c r="IKQ153" s="1011"/>
      <c r="IKR153" s="1011"/>
      <c r="IKS153" s="1011"/>
      <c r="IKT153" s="1011"/>
      <c r="IKU153" s="1011"/>
      <c r="IKV153" s="1011"/>
      <c r="IKW153" s="1011"/>
      <c r="IKX153" s="1011"/>
      <c r="IKY153" s="1011"/>
      <c r="IKZ153" s="1011"/>
      <c r="ILA153" s="1011"/>
      <c r="ILB153" s="1011"/>
      <c r="ILC153" s="1011"/>
      <c r="ILD153" s="1011"/>
      <c r="ILE153" s="1011"/>
      <c r="ILF153" s="1011"/>
      <c r="ILG153" s="1011"/>
      <c r="ILH153" s="1011"/>
      <c r="ILI153" s="1011"/>
      <c r="ILJ153" s="1011"/>
      <c r="ILK153" s="1011"/>
      <c r="ILL153" s="1011"/>
      <c r="ILM153" s="1011"/>
      <c r="ILN153" s="1011"/>
      <c r="ILO153" s="1011"/>
      <c r="ILP153" s="1011"/>
      <c r="ILQ153" s="1011"/>
      <c r="ILR153" s="1011"/>
      <c r="ILS153" s="1011"/>
      <c r="ILT153" s="1011"/>
      <c r="ILU153" s="1011"/>
      <c r="ILV153" s="1011"/>
      <c r="ILW153" s="1011"/>
      <c r="ILX153" s="1011"/>
      <c r="ILY153" s="1011"/>
      <c r="ILZ153" s="1011"/>
      <c r="IMA153" s="1011"/>
      <c r="IMB153" s="1011"/>
      <c r="IMC153" s="1011"/>
      <c r="IMD153" s="1011"/>
      <c r="IME153" s="1011"/>
      <c r="IMF153" s="1011"/>
      <c r="IMG153" s="1011"/>
      <c r="IMH153" s="1011"/>
      <c r="IMI153" s="1011"/>
      <c r="IMJ153" s="1011"/>
      <c r="IMK153" s="1011"/>
      <c r="IML153" s="1011"/>
      <c r="IMM153" s="1011"/>
      <c r="IMN153" s="1011"/>
      <c r="IMO153" s="1011"/>
      <c r="IMP153" s="1011"/>
      <c r="IMQ153" s="1011"/>
      <c r="IMR153" s="1011"/>
      <c r="IMS153" s="1011"/>
      <c r="IMT153" s="1011"/>
      <c r="IMU153" s="1011"/>
      <c r="IMV153" s="1011"/>
      <c r="IMW153" s="1011"/>
      <c r="IMX153" s="1011"/>
      <c r="IMY153" s="1011"/>
      <c r="IMZ153" s="1011"/>
      <c r="INA153" s="1011"/>
      <c r="INB153" s="1011"/>
      <c r="INC153" s="1011"/>
      <c r="IND153" s="1011"/>
      <c r="INE153" s="1011"/>
      <c r="INF153" s="1011"/>
      <c r="ING153" s="1011"/>
      <c r="INH153" s="1011"/>
      <c r="INI153" s="1011"/>
      <c r="INJ153" s="1011"/>
      <c r="INK153" s="1011"/>
      <c r="INL153" s="1011"/>
      <c r="INM153" s="1011"/>
      <c r="INN153" s="1011"/>
      <c r="INO153" s="1011"/>
      <c r="INP153" s="1011"/>
      <c r="INQ153" s="1011"/>
      <c r="INR153" s="1011"/>
      <c r="INS153" s="1011"/>
      <c r="INT153" s="1011"/>
      <c r="INU153" s="1011"/>
      <c r="INV153" s="1011"/>
      <c r="INW153" s="1011"/>
      <c r="INX153" s="1011"/>
      <c r="INY153" s="1011"/>
      <c r="INZ153" s="1011"/>
      <c r="IOA153" s="1011"/>
      <c r="IOB153" s="1011"/>
      <c r="IOC153" s="1011"/>
      <c r="IOD153" s="1011"/>
      <c r="IOE153" s="1011"/>
      <c r="IOF153" s="1011"/>
      <c r="IOG153" s="1011"/>
      <c r="IOH153" s="1011"/>
      <c r="IOI153" s="1011"/>
      <c r="IOJ153" s="1011"/>
      <c r="IOK153" s="1011"/>
      <c r="IOL153" s="1011"/>
      <c r="IOM153" s="1011"/>
      <c r="ION153" s="1011"/>
      <c r="IOO153" s="1011"/>
      <c r="IOP153" s="1011"/>
      <c r="IOQ153" s="1011"/>
      <c r="IOR153" s="1011"/>
      <c r="IOS153" s="1011"/>
      <c r="IOT153" s="1011"/>
      <c r="IOU153" s="1011"/>
      <c r="IOV153" s="1011"/>
      <c r="IOW153" s="1011"/>
      <c r="IOX153" s="1011"/>
      <c r="IOY153" s="1011"/>
      <c r="IOZ153" s="1011"/>
      <c r="IPA153" s="1011"/>
      <c r="IPB153" s="1011"/>
      <c r="IPC153" s="1011"/>
      <c r="IPD153" s="1011"/>
      <c r="IPE153" s="1011"/>
      <c r="IPF153" s="1011"/>
      <c r="IPG153" s="1011"/>
      <c r="IPH153" s="1011"/>
      <c r="IPI153" s="1011"/>
      <c r="IPJ153" s="1011"/>
      <c r="IPK153" s="1011"/>
      <c r="IPL153" s="1011"/>
      <c r="IPM153" s="1011"/>
      <c r="IPN153" s="1011"/>
      <c r="IPO153" s="1011"/>
      <c r="IPP153" s="1011"/>
      <c r="IPQ153" s="1011"/>
      <c r="IPR153" s="1011"/>
      <c r="IPS153" s="1011"/>
      <c r="IPT153" s="1011"/>
      <c r="IPU153" s="1011"/>
      <c r="IPV153" s="1011"/>
      <c r="IPW153" s="1011"/>
      <c r="IPX153" s="1011"/>
      <c r="IPY153" s="1011"/>
      <c r="IPZ153" s="1011"/>
      <c r="IQA153" s="1011"/>
      <c r="IQB153" s="1011"/>
      <c r="IQC153" s="1011"/>
      <c r="IQD153" s="1011"/>
      <c r="IQE153" s="1011"/>
      <c r="IQF153" s="1011"/>
      <c r="IQG153" s="1011"/>
      <c r="IQH153" s="1011"/>
      <c r="IQI153" s="1011"/>
      <c r="IQJ153" s="1011"/>
      <c r="IQK153" s="1011"/>
      <c r="IQL153" s="1011"/>
      <c r="IQM153" s="1011"/>
      <c r="IQN153" s="1011"/>
      <c r="IQO153" s="1011"/>
      <c r="IQP153" s="1011"/>
      <c r="IQQ153" s="1011"/>
      <c r="IQR153" s="1011"/>
      <c r="IQS153" s="1011"/>
      <c r="IQT153" s="1011"/>
      <c r="IQU153" s="1011"/>
      <c r="IQV153" s="1011"/>
      <c r="IQW153" s="1011"/>
      <c r="IQX153" s="1011"/>
      <c r="IQY153" s="1011"/>
      <c r="IQZ153" s="1011"/>
      <c r="IRA153" s="1011"/>
      <c r="IRB153" s="1011"/>
      <c r="IRC153" s="1011"/>
      <c r="IRD153" s="1011"/>
      <c r="IRE153" s="1011"/>
      <c r="IRF153" s="1011"/>
      <c r="IRG153" s="1011"/>
      <c r="IRH153" s="1011"/>
      <c r="IRI153" s="1011"/>
      <c r="IRJ153" s="1011"/>
      <c r="IRK153" s="1011"/>
      <c r="IRL153" s="1011"/>
      <c r="IRM153" s="1011"/>
      <c r="IRN153" s="1011"/>
      <c r="IRO153" s="1011"/>
      <c r="IRP153" s="1011"/>
      <c r="IRQ153" s="1011"/>
      <c r="IRR153" s="1011"/>
      <c r="IRS153" s="1011"/>
      <c r="IRT153" s="1011"/>
      <c r="IRU153" s="1011"/>
      <c r="IRV153" s="1011"/>
      <c r="IRW153" s="1011"/>
      <c r="IRX153" s="1011"/>
      <c r="IRY153" s="1011"/>
      <c r="IRZ153" s="1011"/>
      <c r="ISA153" s="1011"/>
      <c r="ISB153" s="1011"/>
      <c r="ISC153" s="1011"/>
      <c r="ISD153" s="1011"/>
      <c r="ISE153" s="1011"/>
      <c r="ISF153" s="1011"/>
      <c r="ISG153" s="1011"/>
      <c r="ISH153" s="1011"/>
      <c r="ISI153" s="1011"/>
      <c r="ISJ153" s="1011"/>
      <c r="ISK153" s="1011"/>
      <c r="ISL153" s="1011"/>
      <c r="ISM153" s="1011"/>
      <c r="ISN153" s="1011"/>
      <c r="ISO153" s="1011"/>
      <c r="ISP153" s="1011"/>
      <c r="ISQ153" s="1011"/>
      <c r="ISR153" s="1011"/>
      <c r="ISS153" s="1011"/>
      <c r="IST153" s="1011"/>
      <c r="ISU153" s="1011"/>
      <c r="ISV153" s="1011"/>
      <c r="ISW153" s="1011"/>
      <c r="ISX153" s="1011"/>
      <c r="ISY153" s="1011"/>
      <c r="ISZ153" s="1011"/>
      <c r="ITA153" s="1011"/>
      <c r="ITB153" s="1011"/>
      <c r="ITC153" s="1011"/>
      <c r="ITD153" s="1011"/>
      <c r="ITE153" s="1011"/>
      <c r="ITF153" s="1011"/>
      <c r="ITG153" s="1011"/>
      <c r="ITH153" s="1011"/>
      <c r="ITI153" s="1011"/>
      <c r="ITJ153" s="1011"/>
      <c r="ITK153" s="1011"/>
      <c r="ITL153" s="1011"/>
      <c r="ITM153" s="1011"/>
      <c r="ITN153" s="1011"/>
      <c r="ITO153" s="1011"/>
      <c r="ITP153" s="1011"/>
      <c r="ITQ153" s="1011"/>
      <c r="ITR153" s="1011"/>
      <c r="ITS153" s="1011"/>
      <c r="ITT153" s="1011"/>
      <c r="ITU153" s="1011"/>
      <c r="ITV153" s="1011"/>
      <c r="ITW153" s="1011"/>
      <c r="ITX153" s="1011"/>
      <c r="ITY153" s="1011"/>
      <c r="ITZ153" s="1011"/>
      <c r="IUA153" s="1011"/>
      <c r="IUB153" s="1011"/>
      <c r="IUC153" s="1011"/>
      <c r="IUD153" s="1011"/>
      <c r="IUE153" s="1011"/>
      <c r="IUF153" s="1011"/>
      <c r="IUG153" s="1011"/>
      <c r="IUH153" s="1011"/>
      <c r="IUI153" s="1011"/>
      <c r="IUJ153" s="1011"/>
      <c r="IUK153" s="1011"/>
      <c r="IUL153" s="1011"/>
      <c r="IUM153" s="1011"/>
      <c r="IUN153" s="1011"/>
      <c r="IUO153" s="1011"/>
      <c r="IUP153" s="1011"/>
      <c r="IUQ153" s="1011"/>
      <c r="IUR153" s="1011"/>
      <c r="IUS153" s="1011"/>
      <c r="IUT153" s="1011"/>
      <c r="IUU153" s="1011"/>
      <c r="IUV153" s="1011"/>
      <c r="IUW153" s="1011"/>
      <c r="IUX153" s="1011"/>
      <c r="IUY153" s="1011"/>
      <c r="IUZ153" s="1011"/>
      <c r="IVA153" s="1011"/>
      <c r="IVB153" s="1011"/>
      <c r="IVC153" s="1011"/>
      <c r="IVD153" s="1011"/>
      <c r="IVE153" s="1011"/>
      <c r="IVF153" s="1011"/>
      <c r="IVG153" s="1011"/>
      <c r="IVH153" s="1011"/>
      <c r="IVI153" s="1011"/>
      <c r="IVJ153" s="1011"/>
      <c r="IVK153" s="1011"/>
      <c r="IVL153" s="1011"/>
      <c r="IVM153" s="1011"/>
      <c r="IVN153" s="1011"/>
      <c r="IVO153" s="1011"/>
      <c r="IVP153" s="1011"/>
      <c r="IVQ153" s="1011"/>
      <c r="IVR153" s="1011"/>
      <c r="IVS153" s="1011"/>
      <c r="IVT153" s="1011"/>
      <c r="IVU153" s="1011"/>
      <c r="IVV153" s="1011"/>
      <c r="IVW153" s="1011"/>
      <c r="IVX153" s="1011"/>
      <c r="IVY153" s="1011"/>
      <c r="IVZ153" s="1011"/>
      <c r="IWA153" s="1011"/>
      <c r="IWB153" s="1011"/>
      <c r="IWC153" s="1011"/>
      <c r="IWD153" s="1011"/>
      <c r="IWE153" s="1011"/>
      <c r="IWF153" s="1011"/>
      <c r="IWG153" s="1011"/>
      <c r="IWH153" s="1011"/>
      <c r="IWI153" s="1011"/>
      <c r="IWJ153" s="1011"/>
      <c r="IWK153" s="1011"/>
      <c r="IWL153" s="1011"/>
      <c r="IWM153" s="1011"/>
      <c r="IWN153" s="1011"/>
      <c r="IWO153" s="1011"/>
      <c r="IWP153" s="1011"/>
      <c r="IWQ153" s="1011"/>
      <c r="IWR153" s="1011"/>
      <c r="IWS153" s="1011"/>
      <c r="IWT153" s="1011"/>
      <c r="IWU153" s="1011"/>
      <c r="IWV153" s="1011"/>
      <c r="IWW153" s="1011"/>
      <c r="IWX153" s="1011"/>
      <c r="IWY153" s="1011"/>
      <c r="IWZ153" s="1011"/>
      <c r="IXA153" s="1011"/>
      <c r="IXB153" s="1011"/>
      <c r="IXC153" s="1011"/>
      <c r="IXD153" s="1011"/>
      <c r="IXE153" s="1011"/>
      <c r="IXF153" s="1011"/>
      <c r="IXG153" s="1011"/>
      <c r="IXH153" s="1011"/>
      <c r="IXI153" s="1011"/>
      <c r="IXJ153" s="1011"/>
      <c r="IXK153" s="1011"/>
      <c r="IXL153" s="1011"/>
      <c r="IXM153" s="1011"/>
      <c r="IXN153" s="1011"/>
      <c r="IXO153" s="1011"/>
      <c r="IXP153" s="1011"/>
      <c r="IXQ153" s="1011"/>
      <c r="IXR153" s="1011"/>
      <c r="IXS153" s="1011"/>
      <c r="IXT153" s="1011"/>
      <c r="IXU153" s="1011"/>
      <c r="IXV153" s="1011"/>
      <c r="IXW153" s="1011"/>
      <c r="IXX153" s="1011"/>
      <c r="IXY153" s="1011"/>
      <c r="IXZ153" s="1011"/>
      <c r="IYA153" s="1011"/>
      <c r="IYB153" s="1011"/>
      <c r="IYC153" s="1011"/>
      <c r="IYD153" s="1011"/>
      <c r="IYE153" s="1011"/>
      <c r="IYF153" s="1011"/>
      <c r="IYG153" s="1011"/>
      <c r="IYH153" s="1011"/>
      <c r="IYI153" s="1011"/>
      <c r="IYJ153" s="1011"/>
      <c r="IYK153" s="1011"/>
      <c r="IYL153" s="1011"/>
      <c r="IYM153" s="1011"/>
      <c r="IYN153" s="1011"/>
      <c r="IYO153" s="1011"/>
      <c r="IYP153" s="1011"/>
      <c r="IYQ153" s="1011"/>
      <c r="IYR153" s="1011"/>
      <c r="IYS153" s="1011"/>
      <c r="IYT153" s="1011"/>
      <c r="IYU153" s="1011"/>
      <c r="IYV153" s="1011"/>
      <c r="IYW153" s="1011"/>
      <c r="IYX153" s="1011"/>
      <c r="IYY153" s="1011"/>
      <c r="IYZ153" s="1011"/>
      <c r="IZA153" s="1011"/>
      <c r="IZB153" s="1011"/>
      <c r="IZC153" s="1011"/>
      <c r="IZD153" s="1011"/>
      <c r="IZE153" s="1011"/>
      <c r="IZF153" s="1011"/>
      <c r="IZG153" s="1011"/>
      <c r="IZH153" s="1011"/>
      <c r="IZI153" s="1011"/>
      <c r="IZJ153" s="1011"/>
      <c r="IZK153" s="1011"/>
      <c r="IZL153" s="1011"/>
      <c r="IZM153" s="1011"/>
      <c r="IZN153" s="1011"/>
      <c r="IZO153" s="1011"/>
      <c r="IZP153" s="1011"/>
      <c r="IZQ153" s="1011"/>
      <c r="IZR153" s="1011"/>
      <c r="IZS153" s="1011"/>
      <c r="IZT153" s="1011"/>
      <c r="IZU153" s="1011"/>
      <c r="IZV153" s="1011"/>
      <c r="IZW153" s="1011"/>
      <c r="IZX153" s="1011"/>
      <c r="IZY153" s="1011"/>
      <c r="IZZ153" s="1011"/>
      <c r="JAA153" s="1011"/>
      <c r="JAB153" s="1011"/>
      <c r="JAC153" s="1011"/>
      <c r="JAD153" s="1011"/>
      <c r="JAE153" s="1011"/>
      <c r="JAF153" s="1011"/>
      <c r="JAG153" s="1011"/>
      <c r="JAH153" s="1011"/>
      <c r="JAI153" s="1011"/>
      <c r="JAJ153" s="1011"/>
      <c r="JAK153" s="1011"/>
      <c r="JAL153" s="1011"/>
      <c r="JAM153" s="1011"/>
      <c r="JAN153" s="1011"/>
      <c r="JAO153" s="1011"/>
      <c r="JAP153" s="1011"/>
      <c r="JAQ153" s="1011"/>
      <c r="JAR153" s="1011"/>
      <c r="JAS153" s="1011"/>
      <c r="JAT153" s="1011"/>
      <c r="JAU153" s="1011"/>
      <c r="JAV153" s="1011"/>
      <c r="JAW153" s="1011"/>
      <c r="JAX153" s="1011"/>
      <c r="JAY153" s="1011"/>
      <c r="JAZ153" s="1011"/>
      <c r="JBA153" s="1011"/>
      <c r="JBB153" s="1011"/>
      <c r="JBC153" s="1011"/>
      <c r="JBD153" s="1011"/>
      <c r="JBE153" s="1011"/>
      <c r="JBF153" s="1011"/>
      <c r="JBG153" s="1011"/>
      <c r="JBH153" s="1011"/>
      <c r="JBI153" s="1011"/>
      <c r="JBJ153" s="1011"/>
      <c r="JBK153" s="1011"/>
      <c r="JBL153" s="1011"/>
      <c r="JBM153" s="1011"/>
      <c r="JBN153" s="1011"/>
      <c r="JBO153" s="1011"/>
      <c r="JBP153" s="1011"/>
      <c r="JBQ153" s="1011"/>
      <c r="JBR153" s="1011"/>
      <c r="JBS153" s="1011"/>
      <c r="JBT153" s="1011"/>
      <c r="JBU153" s="1011"/>
      <c r="JBV153" s="1011"/>
      <c r="JBW153" s="1011"/>
      <c r="JBX153" s="1011"/>
      <c r="JBY153" s="1011"/>
      <c r="JBZ153" s="1011"/>
      <c r="JCA153" s="1011"/>
      <c r="JCB153" s="1011"/>
      <c r="JCC153" s="1011"/>
      <c r="JCD153" s="1011"/>
      <c r="JCE153" s="1011"/>
      <c r="JCF153" s="1011"/>
      <c r="JCG153" s="1011"/>
      <c r="JCH153" s="1011"/>
      <c r="JCI153" s="1011"/>
      <c r="JCJ153" s="1011"/>
      <c r="JCK153" s="1011"/>
      <c r="JCL153" s="1011"/>
      <c r="JCM153" s="1011"/>
      <c r="JCN153" s="1011"/>
      <c r="JCO153" s="1011"/>
      <c r="JCP153" s="1011"/>
      <c r="JCQ153" s="1011"/>
      <c r="JCR153" s="1011"/>
      <c r="JCS153" s="1011"/>
      <c r="JCT153" s="1011"/>
      <c r="JCU153" s="1011"/>
      <c r="JCV153" s="1011"/>
      <c r="JCW153" s="1011"/>
      <c r="JCX153" s="1011"/>
      <c r="JCY153" s="1011"/>
      <c r="JCZ153" s="1011"/>
      <c r="JDA153" s="1011"/>
      <c r="JDB153" s="1011"/>
      <c r="JDC153" s="1011"/>
      <c r="JDD153" s="1011"/>
      <c r="JDE153" s="1011"/>
      <c r="JDF153" s="1011"/>
      <c r="JDG153" s="1011"/>
      <c r="JDH153" s="1011"/>
      <c r="JDI153" s="1011"/>
      <c r="JDJ153" s="1011"/>
      <c r="JDK153" s="1011"/>
      <c r="JDL153" s="1011"/>
      <c r="JDM153" s="1011"/>
      <c r="JDN153" s="1011"/>
      <c r="JDO153" s="1011"/>
      <c r="JDP153" s="1011"/>
      <c r="JDQ153" s="1011"/>
      <c r="JDR153" s="1011"/>
      <c r="JDS153" s="1011"/>
      <c r="JDT153" s="1011"/>
      <c r="JDU153" s="1011"/>
      <c r="JDV153" s="1011"/>
      <c r="JDW153" s="1011"/>
      <c r="JDX153" s="1011"/>
      <c r="JDY153" s="1011"/>
      <c r="JDZ153" s="1011"/>
      <c r="JEA153" s="1011"/>
      <c r="JEB153" s="1011"/>
      <c r="JEC153" s="1011"/>
      <c r="JED153" s="1011"/>
      <c r="JEE153" s="1011"/>
      <c r="JEF153" s="1011"/>
      <c r="JEG153" s="1011"/>
      <c r="JEH153" s="1011"/>
      <c r="JEI153" s="1011"/>
      <c r="JEJ153" s="1011"/>
      <c r="JEK153" s="1011"/>
      <c r="JEL153" s="1011"/>
      <c r="JEM153" s="1011"/>
      <c r="JEN153" s="1011"/>
      <c r="JEO153" s="1011"/>
      <c r="JEP153" s="1011"/>
      <c r="JEQ153" s="1011"/>
      <c r="JER153" s="1011"/>
      <c r="JES153" s="1011"/>
      <c r="JET153" s="1011"/>
      <c r="JEU153" s="1011"/>
      <c r="JEV153" s="1011"/>
      <c r="JEW153" s="1011"/>
      <c r="JEX153" s="1011"/>
      <c r="JEY153" s="1011"/>
      <c r="JEZ153" s="1011"/>
      <c r="JFA153" s="1011"/>
      <c r="JFB153" s="1011"/>
      <c r="JFC153" s="1011"/>
      <c r="JFD153" s="1011"/>
      <c r="JFE153" s="1011"/>
      <c r="JFF153" s="1011"/>
      <c r="JFG153" s="1011"/>
      <c r="JFH153" s="1011"/>
      <c r="JFI153" s="1011"/>
      <c r="JFJ153" s="1011"/>
      <c r="JFK153" s="1011"/>
      <c r="JFL153" s="1011"/>
      <c r="JFM153" s="1011"/>
      <c r="JFN153" s="1011"/>
      <c r="JFO153" s="1011"/>
      <c r="JFP153" s="1011"/>
      <c r="JFQ153" s="1011"/>
      <c r="JFR153" s="1011"/>
      <c r="JFS153" s="1011"/>
      <c r="JFT153" s="1011"/>
      <c r="JFU153" s="1011"/>
      <c r="JFV153" s="1011"/>
      <c r="JFW153" s="1011"/>
      <c r="JFX153" s="1011"/>
      <c r="JFY153" s="1011"/>
      <c r="JFZ153" s="1011"/>
      <c r="JGA153" s="1011"/>
      <c r="JGB153" s="1011"/>
      <c r="JGC153" s="1011"/>
      <c r="JGD153" s="1011"/>
      <c r="JGE153" s="1011"/>
      <c r="JGF153" s="1011"/>
      <c r="JGG153" s="1011"/>
      <c r="JGH153" s="1011"/>
      <c r="JGI153" s="1011"/>
      <c r="JGJ153" s="1011"/>
      <c r="JGK153" s="1011"/>
      <c r="JGL153" s="1011"/>
      <c r="JGM153" s="1011"/>
      <c r="JGN153" s="1011"/>
      <c r="JGO153" s="1011"/>
      <c r="JGP153" s="1011"/>
      <c r="JGQ153" s="1011"/>
      <c r="JGR153" s="1011"/>
      <c r="JGS153" s="1011"/>
      <c r="JGT153" s="1011"/>
      <c r="JGU153" s="1011"/>
      <c r="JGV153" s="1011"/>
      <c r="JGW153" s="1011"/>
      <c r="JGX153" s="1011"/>
      <c r="JGY153" s="1011"/>
      <c r="JGZ153" s="1011"/>
      <c r="JHA153" s="1011"/>
      <c r="JHB153" s="1011"/>
      <c r="JHC153" s="1011"/>
      <c r="JHD153" s="1011"/>
      <c r="JHE153" s="1011"/>
      <c r="JHF153" s="1011"/>
      <c r="JHG153" s="1011"/>
      <c r="JHH153" s="1011"/>
      <c r="JHI153" s="1011"/>
      <c r="JHJ153" s="1011"/>
      <c r="JHK153" s="1011"/>
      <c r="JHL153" s="1011"/>
      <c r="JHM153" s="1011"/>
      <c r="JHN153" s="1011"/>
      <c r="JHO153" s="1011"/>
      <c r="JHP153" s="1011"/>
      <c r="JHQ153" s="1011"/>
      <c r="JHR153" s="1011"/>
      <c r="JHS153" s="1011"/>
      <c r="JHT153" s="1011"/>
      <c r="JHU153" s="1011"/>
      <c r="JHV153" s="1011"/>
      <c r="JHW153" s="1011"/>
      <c r="JHX153" s="1011"/>
      <c r="JHY153" s="1011"/>
      <c r="JHZ153" s="1011"/>
      <c r="JIA153" s="1011"/>
      <c r="JIB153" s="1011"/>
      <c r="JIC153" s="1011"/>
      <c r="JID153" s="1011"/>
      <c r="JIE153" s="1011"/>
      <c r="JIF153" s="1011"/>
      <c r="JIG153" s="1011"/>
      <c r="JIH153" s="1011"/>
      <c r="JII153" s="1011"/>
      <c r="JIJ153" s="1011"/>
      <c r="JIK153" s="1011"/>
      <c r="JIL153" s="1011"/>
      <c r="JIM153" s="1011"/>
      <c r="JIN153" s="1011"/>
      <c r="JIO153" s="1011"/>
      <c r="JIP153" s="1011"/>
      <c r="JIQ153" s="1011"/>
      <c r="JIR153" s="1011"/>
      <c r="JIS153" s="1011"/>
      <c r="JIT153" s="1011"/>
      <c r="JIU153" s="1011"/>
      <c r="JIV153" s="1011"/>
      <c r="JIW153" s="1011"/>
      <c r="JIX153" s="1011"/>
      <c r="JIY153" s="1011"/>
      <c r="JIZ153" s="1011"/>
      <c r="JJA153" s="1011"/>
      <c r="JJB153" s="1011"/>
      <c r="JJC153" s="1011"/>
      <c r="JJD153" s="1011"/>
      <c r="JJE153" s="1011"/>
      <c r="JJF153" s="1011"/>
      <c r="JJG153" s="1011"/>
      <c r="JJH153" s="1011"/>
      <c r="JJI153" s="1011"/>
      <c r="JJJ153" s="1011"/>
      <c r="JJK153" s="1011"/>
      <c r="JJL153" s="1011"/>
      <c r="JJM153" s="1011"/>
      <c r="JJN153" s="1011"/>
      <c r="JJO153" s="1011"/>
      <c r="JJP153" s="1011"/>
      <c r="JJQ153" s="1011"/>
      <c r="JJR153" s="1011"/>
      <c r="JJS153" s="1011"/>
      <c r="JJT153" s="1011"/>
      <c r="JJU153" s="1011"/>
      <c r="JJV153" s="1011"/>
      <c r="JJW153" s="1011"/>
      <c r="JJX153" s="1011"/>
      <c r="JJY153" s="1011"/>
      <c r="JJZ153" s="1011"/>
      <c r="JKA153" s="1011"/>
      <c r="JKB153" s="1011"/>
      <c r="JKC153" s="1011"/>
      <c r="JKD153" s="1011"/>
      <c r="JKE153" s="1011"/>
      <c r="JKF153" s="1011"/>
      <c r="JKG153" s="1011"/>
      <c r="JKH153" s="1011"/>
      <c r="JKI153" s="1011"/>
      <c r="JKJ153" s="1011"/>
      <c r="JKK153" s="1011"/>
      <c r="JKL153" s="1011"/>
      <c r="JKM153" s="1011"/>
      <c r="JKN153" s="1011"/>
      <c r="JKO153" s="1011"/>
      <c r="JKP153" s="1011"/>
      <c r="JKQ153" s="1011"/>
      <c r="JKR153" s="1011"/>
      <c r="JKS153" s="1011"/>
      <c r="JKT153" s="1011"/>
      <c r="JKU153" s="1011"/>
      <c r="JKV153" s="1011"/>
      <c r="JKW153" s="1011"/>
      <c r="JKX153" s="1011"/>
      <c r="JKY153" s="1011"/>
      <c r="JKZ153" s="1011"/>
      <c r="JLA153" s="1011"/>
      <c r="JLB153" s="1011"/>
      <c r="JLC153" s="1011"/>
      <c r="JLD153" s="1011"/>
      <c r="JLE153" s="1011"/>
      <c r="JLF153" s="1011"/>
      <c r="JLG153" s="1011"/>
      <c r="JLH153" s="1011"/>
      <c r="JLI153" s="1011"/>
      <c r="JLJ153" s="1011"/>
      <c r="JLK153" s="1011"/>
      <c r="JLL153" s="1011"/>
      <c r="JLM153" s="1011"/>
      <c r="JLN153" s="1011"/>
      <c r="JLO153" s="1011"/>
      <c r="JLP153" s="1011"/>
      <c r="JLQ153" s="1011"/>
      <c r="JLR153" s="1011"/>
      <c r="JLS153" s="1011"/>
      <c r="JLT153" s="1011"/>
      <c r="JLU153" s="1011"/>
      <c r="JLV153" s="1011"/>
      <c r="JLW153" s="1011"/>
      <c r="JLX153" s="1011"/>
      <c r="JLY153" s="1011"/>
      <c r="JLZ153" s="1011"/>
      <c r="JMA153" s="1011"/>
      <c r="JMB153" s="1011"/>
      <c r="JMC153" s="1011"/>
      <c r="JMD153" s="1011"/>
      <c r="JME153" s="1011"/>
      <c r="JMF153" s="1011"/>
      <c r="JMG153" s="1011"/>
      <c r="JMH153" s="1011"/>
      <c r="JMI153" s="1011"/>
      <c r="JMJ153" s="1011"/>
      <c r="JMK153" s="1011"/>
      <c r="JML153" s="1011"/>
      <c r="JMM153" s="1011"/>
      <c r="JMN153" s="1011"/>
      <c r="JMO153" s="1011"/>
      <c r="JMP153" s="1011"/>
      <c r="JMQ153" s="1011"/>
      <c r="JMR153" s="1011"/>
      <c r="JMS153" s="1011"/>
      <c r="JMT153" s="1011"/>
      <c r="JMU153" s="1011"/>
      <c r="JMV153" s="1011"/>
      <c r="JMW153" s="1011"/>
      <c r="JMX153" s="1011"/>
      <c r="JMY153" s="1011"/>
      <c r="JMZ153" s="1011"/>
      <c r="JNA153" s="1011"/>
      <c r="JNB153" s="1011"/>
      <c r="JNC153" s="1011"/>
      <c r="JND153" s="1011"/>
      <c r="JNE153" s="1011"/>
      <c r="JNF153" s="1011"/>
      <c r="JNG153" s="1011"/>
      <c r="JNH153" s="1011"/>
      <c r="JNI153" s="1011"/>
      <c r="JNJ153" s="1011"/>
      <c r="JNK153" s="1011"/>
      <c r="JNL153" s="1011"/>
      <c r="JNM153" s="1011"/>
      <c r="JNN153" s="1011"/>
      <c r="JNO153" s="1011"/>
      <c r="JNP153" s="1011"/>
      <c r="JNQ153" s="1011"/>
      <c r="JNR153" s="1011"/>
      <c r="JNS153" s="1011"/>
      <c r="JNT153" s="1011"/>
      <c r="JNU153" s="1011"/>
      <c r="JNV153" s="1011"/>
      <c r="JNW153" s="1011"/>
      <c r="JNX153" s="1011"/>
      <c r="JNY153" s="1011"/>
      <c r="JNZ153" s="1011"/>
      <c r="JOA153" s="1011"/>
      <c r="JOB153" s="1011"/>
      <c r="JOC153" s="1011"/>
      <c r="JOD153" s="1011"/>
      <c r="JOE153" s="1011"/>
      <c r="JOF153" s="1011"/>
      <c r="JOG153" s="1011"/>
      <c r="JOH153" s="1011"/>
      <c r="JOI153" s="1011"/>
      <c r="JOJ153" s="1011"/>
      <c r="JOK153" s="1011"/>
      <c r="JOL153" s="1011"/>
      <c r="JOM153" s="1011"/>
      <c r="JON153" s="1011"/>
      <c r="JOO153" s="1011"/>
      <c r="JOP153" s="1011"/>
      <c r="JOQ153" s="1011"/>
      <c r="JOR153" s="1011"/>
      <c r="JOS153" s="1011"/>
      <c r="JOT153" s="1011"/>
      <c r="JOU153" s="1011"/>
      <c r="JOV153" s="1011"/>
      <c r="JOW153" s="1011"/>
      <c r="JOX153" s="1011"/>
      <c r="JOY153" s="1011"/>
      <c r="JOZ153" s="1011"/>
      <c r="JPA153" s="1011"/>
      <c r="JPB153" s="1011"/>
      <c r="JPC153" s="1011"/>
      <c r="JPD153" s="1011"/>
      <c r="JPE153" s="1011"/>
      <c r="JPF153" s="1011"/>
      <c r="JPG153" s="1011"/>
      <c r="JPH153" s="1011"/>
      <c r="JPI153" s="1011"/>
      <c r="JPJ153" s="1011"/>
      <c r="JPK153" s="1011"/>
      <c r="JPL153" s="1011"/>
      <c r="JPM153" s="1011"/>
      <c r="JPN153" s="1011"/>
      <c r="JPO153" s="1011"/>
      <c r="JPP153" s="1011"/>
      <c r="JPQ153" s="1011"/>
      <c r="JPR153" s="1011"/>
      <c r="JPS153" s="1011"/>
      <c r="JPT153" s="1011"/>
      <c r="JPU153" s="1011"/>
      <c r="JPV153" s="1011"/>
      <c r="JPW153" s="1011"/>
      <c r="JPX153" s="1011"/>
      <c r="JPY153" s="1011"/>
      <c r="JPZ153" s="1011"/>
      <c r="JQA153" s="1011"/>
      <c r="JQB153" s="1011"/>
      <c r="JQC153" s="1011"/>
      <c r="JQD153" s="1011"/>
      <c r="JQE153" s="1011"/>
      <c r="JQF153" s="1011"/>
      <c r="JQG153" s="1011"/>
      <c r="JQH153" s="1011"/>
      <c r="JQI153" s="1011"/>
      <c r="JQJ153" s="1011"/>
      <c r="JQK153" s="1011"/>
      <c r="JQL153" s="1011"/>
      <c r="JQM153" s="1011"/>
      <c r="JQN153" s="1011"/>
      <c r="JQO153" s="1011"/>
      <c r="JQP153" s="1011"/>
      <c r="JQQ153" s="1011"/>
      <c r="JQR153" s="1011"/>
      <c r="JQS153" s="1011"/>
      <c r="JQT153" s="1011"/>
      <c r="JQU153" s="1011"/>
      <c r="JQV153" s="1011"/>
      <c r="JQW153" s="1011"/>
      <c r="JQX153" s="1011"/>
      <c r="JQY153" s="1011"/>
      <c r="JQZ153" s="1011"/>
      <c r="JRA153" s="1011"/>
      <c r="JRB153" s="1011"/>
      <c r="JRC153" s="1011"/>
      <c r="JRD153" s="1011"/>
      <c r="JRE153" s="1011"/>
      <c r="JRF153" s="1011"/>
      <c r="JRG153" s="1011"/>
      <c r="JRH153" s="1011"/>
      <c r="JRI153" s="1011"/>
      <c r="JRJ153" s="1011"/>
      <c r="JRK153" s="1011"/>
      <c r="JRL153" s="1011"/>
      <c r="JRM153" s="1011"/>
      <c r="JRN153" s="1011"/>
      <c r="JRO153" s="1011"/>
      <c r="JRP153" s="1011"/>
      <c r="JRQ153" s="1011"/>
      <c r="JRR153" s="1011"/>
      <c r="JRS153" s="1011"/>
      <c r="JRT153" s="1011"/>
      <c r="JRU153" s="1011"/>
      <c r="JRV153" s="1011"/>
      <c r="JRW153" s="1011"/>
      <c r="JRX153" s="1011"/>
      <c r="JRY153" s="1011"/>
      <c r="JRZ153" s="1011"/>
      <c r="JSA153" s="1011"/>
      <c r="JSB153" s="1011"/>
      <c r="JSC153" s="1011"/>
      <c r="JSD153" s="1011"/>
      <c r="JSE153" s="1011"/>
      <c r="JSF153" s="1011"/>
      <c r="JSG153" s="1011"/>
      <c r="JSH153" s="1011"/>
      <c r="JSI153" s="1011"/>
      <c r="JSJ153" s="1011"/>
      <c r="JSK153" s="1011"/>
      <c r="JSL153" s="1011"/>
      <c r="JSM153" s="1011"/>
      <c r="JSN153" s="1011"/>
      <c r="JSO153" s="1011"/>
      <c r="JSP153" s="1011"/>
      <c r="JSQ153" s="1011"/>
      <c r="JSR153" s="1011"/>
      <c r="JSS153" s="1011"/>
      <c r="JST153" s="1011"/>
      <c r="JSU153" s="1011"/>
      <c r="JSV153" s="1011"/>
      <c r="JSW153" s="1011"/>
      <c r="JSX153" s="1011"/>
      <c r="JSY153" s="1011"/>
      <c r="JSZ153" s="1011"/>
      <c r="JTA153" s="1011"/>
      <c r="JTB153" s="1011"/>
      <c r="JTC153" s="1011"/>
      <c r="JTD153" s="1011"/>
      <c r="JTE153" s="1011"/>
      <c r="JTF153" s="1011"/>
      <c r="JTG153" s="1011"/>
      <c r="JTH153" s="1011"/>
      <c r="JTI153" s="1011"/>
      <c r="JTJ153" s="1011"/>
      <c r="JTK153" s="1011"/>
      <c r="JTL153" s="1011"/>
      <c r="JTM153" s="1011"/>
      <c r="JTN153" s="1011"/>
      <c r="JTO153" s="1011"/>
      <c r="JTP153" s="1011"/>
      <c r="JTQ153" s="1011"/>
      <c r="JTR153" s="1011"/>
      <c r="JTS153" s="1011"/>
      <c r="JTT153" s="1011"/>
      <c r="JTU153" s="1011"/>
      <c r="JTV153" s="1011"/>
      <c r="JTW153" s="1011"/>
      <c r="JTX153" s="1011"/>
      <c r="JTY153" s="1011"/>
      <c r="JTZ153" s="1011"/>
      <c r="JUA153" s="1011"/>
      <c r="JUB153" s="1011"/>
      <c r="JUC153" s="1011"/>
      <c r="JUD153" s="1011"/>
      <c r="JUE153" s="1011"/>
      <c r="JUF153" s="1011"/>
      <c r="JUG153" s="1011"/>
      <c r="JUH153" s="1011"/>
      <c r="JUI153" s="1011"/>
      <c r="JUJ153" s="1011"/>
      <c r="JUK153" s="1011"/>
      <c r="JUL153" s="1011"/>
      <c r="JUM153" s="1011"/>
      <c r="JUN153" s="1011"/>
      <c r="JUO153" s="1011"/>
      <c r="JUP153" s="1011"/>
      <c r="JUQ153" s="1011"/>
      <c r="JUR153" s="1011"/>
      <c r="JUS153" s="1011"/>
      <c r="JUT153" s="1011"/>
      <c r="JUU153" s="1011"/>
      <c r="JUV153" s="1011"/>
      <c r="JUW153" s="1011"/>
      <c r="JUX153" s="1011"/>
      <c r="JUY153" s="1011"/>
      <c r="JUZ153" s="1011"/>
      <c r="JVA153" s="1011"/>
      <c r="JVB153" s="1011"/>
      <c r="JVC153" s="1011"/>
      <c r="JVD153" s="1011"/>
      <c r="JVE153" s="1011"/>
      <c r="JVF153" s="1011"/>
      <c r="JVG153" s="1011"/>
      <c r="JVH153" s="1011"/>
      <c r="JVI153" s="1011"/>
      <c r="JVJ153" s="1011"/>
      <c r="JVK153" s="1011"/>
      <c r="JVL153" s="1011"/>
      <c r="JVM153" s="1011"/>
      <c r="JVN153" s="1011"/>
      <c r="JVO153" s="1011"/>
      <c r="JVP153" s="1011"/>
      <c r="JVQ153" s="1011"/>
      <c r="JVR153" s="1011"/>
      <c r="JVS153" s="1011"/>
      <c r="JVT153" s="1011"/>
      <c r="JVU153" s="1011"/>
      <c r="JVV153" s="1011"/>
      <c r="JVW153" s="1011"/>
      <c r="JVX153" s="1011"/>
      <c r="JVY153" s="1011"/>
      <c r="JVZ153" s="1011"/>
      <c r="JWA153" s="1011"/>
      <c r="JWB153" s="1011"/>
      <c r="JWC153" s="1011"/>
      <c r="JWD153" s="1011"/>
      <c r="JWE153" s="1011"/>
      <c r="JWF153" s="1011"/>
      <c r="JWG153" s="1011"/>
      <c r="JWH153" s="1011"/>
      <c r="JWI153" s="1011"/>
      <c r="JWJ153" s="1011"/>
      <c r="JWK153" s="1011"/>
      <c r="JWL153" s="1011"/>
      <c r="JWM153" s="1011"/>
      <c r="JWN153" s="1011"/>
      <c r="JWO153" s="1011"/>
      <c r="JWP153" s="1011"/>
      <c r="JWQ153" s="1011"/>
      <c r="JWR153" s="1011"/>
      <c r="JWS153" s="1011"/>
      <c r="JWT153" s="1011"/>
      <c r="JWU153" s="1011"/>
      <c r="JWV153" s="1011"/>
      <c r="JWW153" s="1011"/>
      <c r="JWX153" s="1011"/>
      <c r="JWY153" s="1011"/>
      <c r="JWZ153" s="1011"/>
      <c r="JXA153" s="1011"/>
      <c r="JXB153" s="1011"/>
      <c r="JXC153" s="1011"/>
      <c r="JXD153" s="1011"/>
      <c r="JXE153" s="1011"/>
      <c r="JXF153" s="1011"/>
      <c r="JXG153" s="1011"/>
      <c r="JXH153" s="1011"/>
      <c r="JXI153" s="1011"/>
      <c r="JXJ153" s="1011"/>
      <c r="JXK153" s="1011"/>
      <c r="JXL153" s="1011"/>
      <c r="JXM153" s="1011"/>
      <c r="JXN153" s="1011"/>
      <c r="JXO153" s="1011"/>
      <c r="JXP153" s="1011"/>
      <c r="JXQ153" s="1011"/>
      <c r="JXR153" s="1011"/>
      <c r="JXS153" s="1011"/>
      <c r="JXT153" s="1011"/>
      <c r="JXU153" s="1011"/>
      <c r="JXV153" s="1011"/>
      <c r="JXW153" s="1011"/>
      <c r="JXX153" s="1011"/>
      <c r="JXY153" s="1011"/>
      <c r="JXZ153" s="1011"/>
      <c r="JYA153" s="1011"/>
      <c r="JYB153" s="1011"/>
      <c r="JYC153" s="1011"/>
      <c r="JYD153" s="1011"/>
      <c r="JYE153" s="1011"/>
      <c r="JYF153" s="1011"/>
      <c r="JYG153" s="1011"/>
      <c r="JYH153" s="1011"/>
      <c r="JYI153" s="1011"/>
      <c r="JYJ153" s="1011"/>
      <c r="JYK153" s="1011"/>
      <c r="JYL153" s="1011"/>
      <c r="JYM153" s="1011"/>
      <c r="JYN153" s="1011"/>
      <c r="JYO153" s="1011"/>
      <c r="JYP153" s="1011"/>
      <c r="JYQ153" s="1011"/>
      <c r="JYR153" s="1011"/>
      <c r="JYS153" s="1011"/>
      <c r="JYT153" s="1011"/>
      <c r="JYU153" s="1011"/>
      <c r="JYV153" s="1011"/>
      <c r="JYW153" s="1011"/>
      <c r="JYX153" s="1011"/>
      <c r="JYY153" s="1011"/>
      <c r="JYZ153" s="1011"/>
      <c r="JZA153" s="1011"/>
      <c r="JZB153" s="1011"/>
      <c r="JZC153" s="1011"/>
      <c r="JZD153" s="1011"/>
      <c r="JZE153" s="1011"/>
      <c r="JZF153" s="1011"/>
      <c r="JZG153" s="1011"/>
      <c r="JZH153" s="1011"/>
      <c r="JZI153" s="1011"/>
      <c r="JZJ153" s="1011"/>
      <c r="JZK153" s="1011"/>
      <c r="JZL153" s="1011"/>
      <c r="JZM153" s="1011"/>
      <c r="JZN153" s="1011"/>
      <c r="JZO153" s="1011"/>
      <c r="JZP153" s="1011"/>
      <c r="JZQ153" s="1011"/>
      <c r="JZR153" s="1011"/>
      <c r="JZS153" s="1011"/>
      <c r="JZT153" s="1011"/>
      <c r="JZU153" s="1011"/>
      <c r="JZV153" s="1011"/>
      <c r="JZW153" s="1011"/>
      <c r="JZX153" s="1011"/>
      <c r="JZY153" s="1011"/>
      <c r="JZZ153" s="1011"/>
      <c r="KAA153" s="1011"/>
      <c r="KAB153" s="1011"/>
      <c r="KAC153" s="1011"/>
      <c r="KAD153" s="1011"/>
      <c r="KAE153" s="1011"/>
      <c r="KAF153" s="1011"/>
      <c r="KAG153" s="1011"/>
      <c r="KAH153" s="1011"/>
      <c r="KAI153" s="1011"/>
      <c r="KAJ153" s="1011"/>
      <c r="KAK153" s="1011"/>
      <c r="KAL153" s="1011"/>
      <c r="KAM153" s="1011"/>
      <c r="KAN153" s="1011"/>
      <c r="KAO153" s="1011"/>
      <c r="KAP153" s="1011"/>
      <c r="KAQ153" s="1011"/>
      <c r="KAR153" s="1011"/>
      <c r="KAS153" s="1011"/>
      <c r="KAT153" s="1011"/>
      <c r="KAU153" s="1011"/>
      <c r="KAV153" s="1011"/>
      <c r="KAW153" s="1011"/>
      <c r="KAX153" s="1011"/>
      <c r="KAY153" s="1011"/>
      <c r="KAZ153" s="1011"/>
      <c r="KBA153" s="1011"/>
      <c r="KBB153" s="1011"/>
      <c r="KBC153" s="1011"/>
      <c r="KBD153" s="1011"/>
      <c r="KBE153" s="1011"/>
      <c r="KBF153" s="1011"/>
      <c r="KBG153" s="1011"/>
      <c r="KBH153" s="1011"/>
      <c r="KBI153" s="1011"/>
      <c r="KBJ153" s="1011"/>
      <c r="KBK153" s="1011"/>
      <c r="KBL153" s="1011"/>
      <c r="KBM153" s="1011"/>
      <c r="KBN153" s="1011"/>
      <c r="KBO153" s="1011"/>
      <c r="KBP153" s="1011"/>
      <c r="KBQ153" s="1011"/>
      <c r="KBR153" s="1011"/>
      <c r="KBS153" s="1011"/>
      <c r="KBT153" s="1011"/>
      <c r="KBU153" s="1011"/>
      <c r="KBV153" s="1011"/>
      <c r="KBW153" s="1011"/>
      <c r="KBX153" s="1011"/>
      <c r="KBY153" s="1011"/>
      <c r="KBZ153" s="1011"/>
      <c r="KCA153" s="1011"/>
      <c r="KCB153" s="1011"/>
      <c r="KCC153" s="1011"/>
      <c r="KCD153" s="1011"/>
      <c r="KCE153" s="1011"/>
      <c r="KCF153" s="1011"/>
      <c r="KCG153" s="1011"/>
      <c r="KCH153" s="1011"/>
      <c r="KCI153" s="1011"/>
      <c r="KCJ153" s="1011"/>
      <c r="KCK153" s="1011"/>
      <c r="KCL153" s="1011"/>
      <c r="KCM153" s="1011"/>
      <c r="KCN153" s="1011"/>
      <c r="KCO153" s="1011"/>
      <c r="KCP153" s="1011"/>
      <c r="KCQ153" s="1011"/>
      <c r="KCR153" s="1011"/>
      <c r="KCS153" s="1011"/>
      <c r="KCT153" s="1011"/>
      <c r="KCU153" s="1011"/>
      <c r="KCV153" s="1011"/>
      <c r="KCW153" s="1011"/>
      <c r="KCX153" s="1011"/>
      <c r="KCY153" s="1011"/>
      <c r="KCZ153" s="1011"/>
      <c r="KDA153" s="1011"/>
      <c r="KDB153" s="1011"/>
      <c r="KDC153" s="1011"/>
      <c r="KDD153" s="1011"/>
      <c r="KDE153" s="1011"/>
      <c r="KDF153" s="1011"/>
      <c r="KDG153" s="1011"/>
      <c r="KDH153" s="1011"/>
      <c r="KDI153" s="1011"/>
      <c r="KDJ153" s="1011"/>
      <c r="KDK153" s="1011"/>
      <c r="KDL153" s="1011"/>
      <c r="KDM153" s="1011"/>
      <c r="KDN153" s="1011"/>
      <c r="KDO153" s="1011"/>
      <c r="KDP153" s="1011"/>
      <c r="KDQ153" s="1011"/>
      <c r="KDR153" s="1011"/>
      <c r="KDS153" s="1011"/>
      <c r="KDT153" s="1011"/>
      <c r="KDU153" s="1011"/>
      <c r="KDV153" s="1011"/>
      <c r="KDW153" s="1011"/>
      <c r="KDX153" s="1011"/>
      <c r="KDY153" s="1011"/>
      <c r="KDZ153" s="1011"/>
      <c r="KEA153" s="1011"/>
      <c r="KEB153" s="1011"/>
      <c r="KEC153" s="1011"/>
      <c r="KED153" s="1011"/>
      <c r="KEE153" s="1011"/>
      <c r="KEF153" s="1011"/>
      <c r="KEG153" s="1011"/>
      <c r="KEH153" s="1011"/>
      <c r="KEI153" s="1011"/>
      <c r="KEJ153" s="1011"/>
      <c r="KEK153" s="1011"/>
      <c r="KEL153" s="1011"/>
      <c r="KEM153" s="1011"/>
      <c r="KEN153" s="1011"/>
      <c r="KEO153" s="1011"/>
      <c r="KEP153" s="1011"/>
      <c r="KEQ153" s="1011"/>
      <c r="KER153" s="1011"/>
      <c r="KES153" s="1011"/>
      <c r="KET153" s="1011"/>
      <c r="KEU153" s="1011"/>
      <c r="KEV153" s="1011"/>
      <c r="KEW153" s="1011"/>
      <c r="KEX153" s="1011"/>
      <c r="KEY153" s="1011"/>
      <c r="KEZ153" s="1011"/>
      <c r="KFA153" s="1011"/>
      <c r="KFB153" s="1011"/>
      <c r="KFC153" s="1011"/>
      <c r="KFD153" s="1011"/>
      <c r="KFE153" s="1011"/>
      <c r="KFF153" s="1011"/>
      <c r="KFG153" s="1011"/>
      <c r="KFH153" s="1011"/>
      <c r="KFI153" s="1011"/>
      <c r="KFJ153" s="1011"/>
      <c r="KFK153" s="1011"/>
      <c r="KFL153" s="1011"/>
      <c r="KFM153" s="1011"/>
      <c r="KFN153" s="1011"/>
      <c r="KFO153" s="1011"/>
      <c r="KFP153" s="1011"/>
      <c r="KFQ153" s="1011"/>
      <c r="KFR153" s="1011"/>
      <c r="KFS153" s="1011"/>
      <c r="KFT153" s="1011"/>
      <c r="KFU153" s="1011"/>
      <c r="KFV153" s="1011"/>
      <c r="KFW153" s="1011"/>
      <c r="KFX153" s="1011"/>
      <c r="KFY153" s="1011"/>
      <c r="KFZ153" s="1011"/>
      <c r="KGA153" s="1011"/>
      <c r="KGB153" s="1011"/>
      <c r="KGC153" s="1011"/>
      <c r="KGD153" s="1011"/>
      <c r="KGE153" s="1011"/>
      <c r="KGF153" s="1011"/>
      <c r="KGG153" s="1011"/>
      <c r="KGH153" s="1011"/>
      <c r="KGI153" s="1011"/>
      <c r="KGJ153" s="1011"/>
      <c r="KGK153" s="1011"/>
      <c r="KGL153" s="1011"/>
      <c r="KGM153" s="1011"/>
      <c r="KGN153" s="1011"/>
      <c r="KGO153" s="1011"/>
      <c r="KGP153" s="1011"/>
      <c r="KGQ153" s="1011"/>
      <c r="KGR153" s="1011"/>
      <c r="KGS153" s="1011"/>
      <c r="KGT153" s="1011"/>
      <c r="KGU153" s="1011"/>
      <c r="KGV153" s="1011"/>
      <c r="KGW153" s="1011"/>
      <c r="KGX153" s="1011"/>
      <c r="KGY153" s="1011"/>
      <c r="KGZ153" s="1011"/>
      <c r="KHA153" s="1011"/>
      <c r="KHB153" s="1011"/>
      <c r="KHC153" s="1011"/>
      <c r="KHD153" s="1011"/>
      <c r="KHE153" s="1011"/>
      <c r="KHF153" s="1011"/>
      <c r="KHG153" s="1011"/>
      <c r="KHH153" s="1011"/>
      <c r="KHI153" s="1011"/>
      <c r="KHJ153" s="1011"/>
      <c r="KHK153" s="1011"/>
      <c r="KHL153" s="1011"/>
      <c r="KHM153" s="1011"/>
      <c r="KHN153" s="1011"/>
      <c r="KHO153" s="1011"/>
      <c r="KHP153" s="1011"/>
      <c r="KHQ153" s="1011"/>
      <c r="KHR153" s="1011"/>
      <c r="KHS153" s="1011"/>
      <c r="KHT153" s="1011"/>
      <c r="KHU153" s="1011"/>
      <c r="KHV153" s="1011"/>
      <c r="KHW153" s="1011"/>
      <c r="KHX153" s="1011"/>
      <c r="KHY153" s="1011"/>
      <c r="KHZ153" s="1011"/>
      <c r="KIA153" s="1011"/>
      <c r="KIB153" s="1011"/>
      <c r="KIC153" s="1011"/>
      <c r="KID153" s="1011"/>
      <c r="KIE153" s="1011"/>
      <c r="KIF153" s="1011"/>
      <c r="KIG153" s="1011"/>
      <c r="KIH153" s="1011"/>
      <c r="KII153" s="1011"/>
      <c r="KIJ153" s="1011"/>
      <c r="KIK153" s="1011"/>
      <c r="KIL153" s="1011"/>
      <c r="KIM153" s="1011"/>
      <c r="KIN153" s="1011"/>
      <c r="KIO153" s="1011"/>
      <c r="KIP153" s="1011"/>
      <c r="KIQ153" s="1011"/>
      <c r="KIR153" s="1011"/>
      <c r="KIS153" s="1011"/>
      <c r="KIT153" s="1011"/>
      <c r="KIU153" s="1011"/>
      <c r="KIV153" s="1011"/>
      <c r="KIW153" s="1011"/>
      <c r="KIX153" s="1011"/>
      <c r="KIY153" s="1011"/>
      <c r="KIZ153" s="1011"/>
      <c r="KJA153" s="1011"/>
      <c r="KJB153" s="1011"/>
      <c r="KJC153" s="1011"/>
      <c r="KJD153" s="1011"/>
      <c r="KJE153" s="1011"/>
      <c r="KJF153" s="1011"/>
      <c r="KJG153" s="1011"/>
      <c r="KJH153" s="1011"/>
      <c r="KJI153" s="1011"/>
      <c r="KJJ153" s="1011"/>
      <c r="KJK153" s="1011"/>
      <c r="KJL153" s="1011"/>
      <c r="KJM153" s="1011"/>
      <c r="KJN153" s="1011"/>
      <c r="KJO153" s="1011"/>
      <c r="KJP153" s="1011"/>
      <c r="KJQ153" s="1011"/>
      <c r="KJR153" s="1011"/>
      <c r="KJS153" s="1011"/>
      <c r="KJT153" s="1011"/>
      <c r="KJU153" s="1011"/>
      <c r="KJV153" s="1011"/>
      <c r="KJW153" s="1011"/>
      <c r="KJX153" s="1011"/>
      <c r="KJY153" s="1011"/>
      <c r="KJZ153" s="1011"/>
      <c r="KKA153" s="1011"/>
      <c r="KKB153" s="1011"/>
      <c r="KKC153" s="1011"/>
      <c r="KKD153" s="1011"/>
      <c r="KKE153" s="1011"/>
      <c r="KKF153" s="1011"/>
      <c r="KKG153" s="1011"/>
      <c r="KKH153" s="1011"/>
      <c r="KKI153" s="1011"/>
      <c r="KKJ153" s="1011"/>
      <c r="KKK153" s="1011"/>
      <c r="KKL153" s="1011"/>
      <c r="KKM153" s="1011"/>
      <c r="KKN153" s="1011"/>
      <c r="KKO153" s="1011"/>
      <c r="KKP153" s="1011"/>
      <c r="KKQ153" s="1011"/>
      <c r="KKR153" s="1011"/>
      <c r="KKS153" s="1011"/>
      <c r="KKT153" s="1011"/>
      <c r="KKU153" s="1011"/>
      <c r="KKV153" s="1011"/>
      <c r="KKW153" s="1011"/>
      <c r="KKX153" s="1011"/>
      <c r="KKY153" s="1011"/>
      <c r="KKZ153" s="1011"/>
      <c r="KLA153" s="1011"/>
      <c r="KLB153" s="1011"/>
      <c r="KLC153" s="1011"/>
      <c r="KLD153" s="1011"/>
      <c r="KLE153" s="1011"/>
      <c r="KLF153" s="1011"/>
      <c r="KLG153" s="1011"/>
      <c r="KLH153" s="1011"/>
      <c r="KLI153" s="1011"/>
      <c r="KLJ153" s="1011"/>
      <c r="KLK153" s="1011"/>
      <c r="KLL153" s="1011"/>
      <c r="KLM153" s="1011"/>
      <c r="KLN153" s="1011"/>
      <c r="KLO153" s="1011"/>
      <c r="KLP153" s="1011"/>
      <c r="KLQ153" s="1011"/>
      <c r="KLR153" s="1011"/>
      <c r="KLS153" s="1011"/>
      <c r="KLT153" s="1011"/>
      <c r="KLU153" s="1011"/>
      <c r="KLV153" s="1011"/>
      <c r="KLW153" s="1011"/>
      <c r="KLX153" s="1011"/>
      <c r="KLY153" s="1011"/>
      <c r="KLZ153" s="1011"/>
      <c r="KMA153" s="1011"/>
      <c r="KMB153" s="1011"/>
      <c r="KMC153" s="1011"/>
      <c r="KMD153" s="1011"/>
      <c r="KME153" s="1011"/>
      <c r="KMF153" s="1011"/>
      <c r="KMG153" s="1011"/>
      <c r="KMH153" s="1011"/>
      <c r="KMI153" s="1011"/>
      <c r="KMJ153" s="1011"/>
      <c r="KMK153" s="1011"/>
      <c r="KML153" s="1011"/>
      <c r="KMM153" s="1011"/>
      <c r="KMN153" s="1011"/>
      <c r="KMO153" s="1011"/>
      <c r="KMP153" s="1011"/>
      <c r="KMQ153" s="1011"/>
      <c r="KMR153" s="1011"/>
      <c r="KMS153" s="1011"/>
      <c r="KMT153" s="1011"/>
      <c r="KMU153" s="1011"/>
      <c r="KMV153" s="1011"/>
      <c r="KMW153" s="1011"/>
      <c r="KMX153" s="1011"/>
      <c r="KMY153" s="1011"/>
      <c r="KMZ153" s="1011"/>
      <c r="KNA153" s="1011"/>
      <c r="KNB153" s="1011"/>
      <c r="KNC153" s="1011"/>
      <c r="KND153" s="1011"/>
      <c r="KNE153" s="1011"/>
      <c r="KNF153" s="1011"/>
      <c r="KNG153" s="1011"/>
      <c r="KNH153" s="1011"/>
      <c r="KNI153" s="1011"/>
      <c r="KNJ153" s="1011"/>
      <c r="KNK153" s="1011"/>
      <c r="KNL153" s="1011"/>
      <c r="KNM153" s="1011"/>
      <c r="KNN153" s="1011"/>
      <c r="KNO153" s="1011"/>
      <c r="KNP153" s="1011"/>
      <c r="KNQ153" s="1011"/>
      <c r="KNR153" s="1011"/>
      <c r="KNS153" s="1011"/>
      <c r="KNT153" s="1011"/>
      <c r="KNU153" s="1011"/>
      <c r="KNV153" s="1011"/>
      <c r="KNW153" s="1011"/>
      <c r="KNX153" s="1011"/>
      <c r="KNY153" s="1011"/>
      <c r="KNZ153" s="1011"/>
      <c r="KOA153" s="1011"/>
      <c r="KOB153" s="1011"/>
      <c r="KOC153" s="1011"/>
      <c r="KOD153" s="1011"/>
      <c r="KOE153" s="1011"/>
      <c r="KOF153" s="1011"/>
      <c r="KOG153" s="1011"/>
      <c r="KOH153" s="1011"/>
      <c r="KOI153" s="1011"/>
      <c r="KOJ153" s="1011"/>
      <c r="KOK153" s="1011"/>
      <c r="KOL153" s="1011"/>
      <c r="KOM153" s="1011"/>
      <c r="KON153" s="1011"/>
      <c r="KOO153" s="1011"/>
      <c r="KOP153" s="1011"/>
      <c r="KOQ153" s="1011"/>
      <c r="KOR153" s="1011"/>
      <c r="KOS153" s="1011"/>
      <c r="KOT153" s="1011"/>
      <c r="KOU153" s="1011"/>
      <c r="KOV153" s="1011"/>
      <c r="KOW153" s="1011"/>
      <c r="KOX153" s="1011"/>
      <c r="KOY153" s="1011"/>
      <c r="KOZ153" s="1011"/>
      <c r="KPA153" s="1011"/>
      <c r="KPB153" s="1011"/>
      <c r="KPC153" s="1011"/>
      <c r="KPD153" s="1011"/>
      <c r="KPE153" s="1011"/>
      <c r="KPF153" s="1011"/>
      <c r="KPG153" s="1011"/>
      <c r="KPH153" s="1011"/>
      <c r="KPI153" s="1011"/>
      <c r="KPJ153" s="1011"/>
      <c r="KPK153" s="1011"/>
      <c r="KPL153" s="1011"/>
      <c r="KPM153" s="1011"/>
      <c r="KPN153" s="1011"/>
      <c r="KPO153" s="1011"/>
      <c r="KPP153" s="1011"/>
      <c r="KPQ153" s="1011"/>
      <c r="KPR153" s="1011"/>
      <c r="KPS153" s="1011"/>
      <c r="KPT153" s="1011"/>
      <c r="KPU153" s="1011"/>
      <c r="KPV153" s="1011"/>
      <c r="KPW153" s="1011"/>
      <c r="KPX153" s="1011"/>
      <c r="KPY153" s="1011"/>
      <c r="KPZ153" s="1011"/>
      <c r="KQA153" s="1011"/>
      <c r="KQB153" s="1011"/>
      <c r="KQC153" s="1011"/>
      <c r="KQD153" s="1011"/>
      <c r="KQE153" s="1011"/>
      <c r="KQF153" s="1011"/>
      <c r="KQG153" s="1011"/>
      <c r="KQH153" s="1011"/>
      <c r="KQI153" s="1011"/>
      <c r="KQJ153" s="1011"/>
      <c r="KQK153" s="1011"/>
      <c r="KQL153" s="1011"/>
      <c r="KQM153" s="1011"/>
      <c r="KQN153" s="1011"/>
      <c r="KQO153" s="1011"/>
      <c r="KQP153" s="1011"/>
      <c r="KQQ153" s="1011"/>
      <c r="KQR153" s="1011"/>
      <c r="KQS153" s="1011"/>
      <c r="KQT153" s="1011"/>
      <c r="KQU153" s="1011"/>
      <c r="KQV153" s="1011"/>
      <c r="KQW153" s="1011"/>
      <c r="KQX153" s="1011"/>
      <c r="KQY153" s="1011"/>
      <c r="KQZ153" s="1011"/>
      <c r="KRA153" s="1011"/>
      <c r="KRB153" s="1011"/>
      <c r="KRC153" s="1011"/>
      <c r="KRD153" s="1011"/>
      <c r="KRE153" s="1011"/>
      <c r="KRF153" s="1011"/>
      <c r="KRG153" s="1011"/>
      <c r="KRH153" s="1011"/>
      <c r="KRI153" s="1011"/>
      <c r="KRJ153" s="1011"/>
      <c r="KRK153" s="1011"/>
      <c r="KRL153" s="1011"/>
      <c r="KRM153" s="1011"/>
      <c r="KRN153" s="1011"/>
      <c r="KRO153" s="1011"/>
      <c r="KRP153" s="1011"/>
      <c r="KRQ153" s="1011"/>
      <c r="KRR153" s="1011"/>
      <c r="KRS153" s="1011"/>
      <c r="KRT153" s="1011"/>
      <c r="KRU153" s="1011"/>
      <c r="KRV153" s="1011"/>
      <c r="KRW153" s="1011"/>
      <c r="KRX153" s="1011"/>
      <c r="KRY153" s="1011"/>
      <c r="KRZ153" s="1011"/>
      <c r="KSA153" s="1011"/>
      <c r="KSB153" s="1011"/>
      <c r="KSC153" s="1011"/>
      <c r="KSD153" s="1011"/>
      <c r="KSE153" s="1011"/>
      <c r="KSF153" s="1011"/>
      <c r="KSG153" s="1011"/>
      <c r="KSH153" s="1011"/>
      <c r="KSI153" s="1011"/>
      <c r="KSJ153" s="1011"/>
      <c r="KSK153" s="1011"/>
      <c r="KSL153" s="1011"/>
      <c r="KSM153" s="1011"/>
      <c r="KSN153" s="1011"/>
      <c r="KSO153" s="1011"/>
      <c r="KSP153" s="1011"/>
      <c r="KSQ153" s="1011"/>
      <c r="KSR153" s="1011"/>
      <c r="KSS153" s="1011"/>
      <c r="KST153" s="1011"/>
      <c r="KSU153" s="1011"/>
      <c r="KSV153" s="1011"/>
      <c r="KSW153" s="1011"/>
      <c r="KSX153" s="1011"/>
      <c r="KSY153" s="1011"/>
      <c r="KSZ153" s="1011"/>
      <c r="KTA153" s="1011"/>
      <c r="KTB153" s="1011"/>
      <c r="KTC153" s="1011"/>
      <c r="KTD153" s="1011"/>
      <c r="KTE153" s="1011"/>
      <c r="KTF153" s="1011"/>
      <c r="KTG153" s="1011"/>
      <c r="KTH153" s="1011"/>
      <c r="KTI153" s="1011"/>
      <c r="KTJ153" s="1011"/>
      <c r="KTK153" s="1011"/>
      <c r="KTL153" s="1011"/>
      <c r="KTM153" s="1011"/>
      <c r="KTN153" s="1011"/>
      <c r="KTO153" s="1011"/>
      <c r="KTP153" s="1011"/>
      <c r="KTQ153" s="1011"/>
      <c r="KTR153" s="1011"/>
      <c r="KTS153" s="1011"/>
      <c r="KTT153" s="1011"/>
      <c r="KTU153" s="1011"/>
      <c r="KTV153" s="1011"/>
      <c r="KTW153" s="1011"/>
      <c r="KTX153" s="1011"/>
      <c r="KTY153" s="1011"/>
      <c r="KTZ153" s="1011"/>
      <c r="KUA153" s="1011"/>
      <c r="KUB153" s="1011"/>
      <c r="KUC153" s="1011"/>
      <c r="KUD153" s="1011"/>
      <c r="KUE153" s="1011"/>
      <c r="KUF153" s="1011"/>
      <c r="KUG153" s="1011"/>
      <c r="KUH153" s="1011"/>
      <c r="KUI153" s="1011"/>
      <c r="KUJ153" s="1011"/>
      <c r="KUK153" s="1011"/>
      <c r="KUL153" s="1011"/>
      <c r="KUM153" s="1011"/>
      <c r="KUN153" s="1011"/>
      <c r="KUO153" s="1011"/>
      <c r="KUP153" s="1011"/>
      <c r="KUQ153" s="1011"/>
      <c r="KUR153" s="1011"/>
      <c r="KUS153" s="1011"/>
      <c r="KUT153" s="1011"/>
      <c r="KUU153" s="1011"/>
      <c r="KUV153" s="1011"/>
      <c r="KUW153" s="1011"/>
      <c r="KUX153" s="1011"/>
      <c r="KUY153" s="1011"/>
      <c r="KUZ153" s="1011"/>
      <c r="KVA153" s="1011"/>
      <c r="KVB153" s="1011"/>
      <c r="KVC153" s="1011"/>
      <c r="KVD153" s="1011"/>
      <c r="KVE153" s="1011"/>
      <c r="KVF153" s="1011"/>
      <c r="KVG153" s="1011"/>
      <c r="KVH153" s="1011"/>
      <c r="KVI153" s="1011"/>
      <c r="KVJ153" s="1011"/>
      <c r="KVK153" s="1011"/>
      <c r="KVL153" s="1011"/>
      <c r="KVM153" s="1011"/>
      <c r="KVN153" s="1011"/>
      <c r="KVO153" s="1011"/>
      <c r="KVP153" s="1011"/>
      <c r="KVQ153" s="1011"/>
      <c r="KVR153" s="1011"/>
      <c r="KVS153" s="1011"/>
      <c r="KVT153" s="1011"/>
      <c r="KVU153" s="1011"/>
      <c r="KVV153" s="1011"/>
      <c r="KVW153" s="1011"/>
      <c r="KVX153" s="1011"/>
      <c r="KVY153" s="1011"/>
      <c r="KVZ153" s="1011"/>
      <c r="KWA153" s="1011"/>
      <c r="KWB153" s="1011"/>
      <c r="KWC153" s="1011"/>
      <c r="KWD153" s="1011"/>
      <c r="KWE153" s="1011"/>
      <c r="KWF153" s="1011"/>
      <c r="KWG153" s="1011"/>
      <c r="KWH153" s="1011"/>
      <c r="KWI153" s="1011"/>
      <c r="KWJ153" s="1011"/>
      <c r="KWK153" s="1011"/>
      <c r="KWL153" s="1011"/>
      <c r="KWM153" s="1011"/>
      <c r="KWN153" s="1011"/>
      <c r="KWO153" s="1011"/>
      <c r="KWP153" s="1011"/>
      <c r="KWQ153" s="1011"/>
      <c r="KWR153" s="1011"/>
      <c r="KWS153" s="1011"/>
      <c r="KWT153" s="1011"/>
      <c r="KWU153" s="1011"/>
      <c r="KWV153" s="1011"/>
      <c r="KWW153" s="1011"/>
      <c r="KWX153" s="1011"/>
      <c r="KWY153" s="1011"/>
      <c r="KWZ153" s="1011"/>
      <c r="KXA153" s="1011"/>
      <c r="KXB153" s="1011"/>
      <c r="KXC153" s="1011"/>
      <c r="KXD153" s="1011"/>
      <c r="KXE153" s="1011"/>
      <c r="KXF153" s="1011"/>
      <c r="KXG153" s="1011"/>
      <c r="KXH153" s="1011"/>
      <c r="KXI153" s="1011"/>
      <c r="KXJ153" s="1011"/>
      <c r="KXK153" s="1011"/>
      <c r="KXL153" s="1011"/>
      <c r="KXM153" s="1011"/>
      <c r="KXN153" s="1011"/>
      <c r="KXO153" s="1011"/>
      <c r="KXP153" s="1011"/>
      <c r="KXQ153" s="1011"/>
      <c r="KXR153" s="1011"/>
      <c r="KXS153" s="1011"/>
      <c r="KXT153" s="1011"/>
      <c r="KXU153" s="1011"/>
      <c r="KXV153" s="1011"/>
      <c r="KXW153" s="1011"/>
      <c r="KXX153" s="1011"/>
      <c r="KXY153" s="1011"/>
      <c r="KXZ153" s="1011"/>
      <c r="KYA153" s="1011"/>
      <c r="KYB153" s="1011"/>
      <c r="KYC153" s="1011"/>
      <c r="KYD153" s="1011"/>
      <c r="KYE153" s="1011"/>
      <c r="KYF153" s="1011"/>
      <c r="KYG153" s="1011"/>
      <c r="KYH153" s="1011"/>
      <c r="KYI153" s="1011"/>
      <c r="KYJ153" s="1011"/>
      <c r="KYK153" s="1011"/>
      <c r="KYL153" s="1011"/>
      <c r="KYM153" s="1011"/>
      <c r="KYN153" s="1011"/>
      <c r="KYO153" s="1011"/>
      <c r="KYP153" s="1011"/>
      <c r="KYQ153" s="1011"/>
      <c r="KYR153" s="1011"/>
      <c r="KYS153" s="1011"/>
      <c r="KYT153" s="1011"/>
      <c r="KYU153" s="1011"/>
      <c r="KYV153" s="1011"/>
      <c r="KYW153" s="1011"/>
      <c r="KYX153" s="1011"/>
      <c r="KYY153" s="1011"/>
      <c r="KYZ153" s="1011"/>
      <c r="KZA153" s="1011"/>
      <c r="KZB153" s="1011"/>
      <c r="KZC153" s="1011"/>
      <c r="KZD153" s="1011"/>
      <c r="KZE153" s="1011"/>
      <c r="KZF153" s="1011"/>
      <c r="KZG153" s="1011"/>
      <c r="KZH153" s="1011"/>
      <c r="KZI153" s="1011"/>
      <c r="KZJ153" s="1011"/>
      <c r="KZK153" s="1011"/>
      <c r="KZL153" s="1011"/>
      <c r="KZM153" s="1011"/>
      <c r="KZN153" s="1011"/>
      <c r="KZO153" s="1011"/>
      <c r="KZP153" s="1011"/>
      <c r="KZQ153" s="1011"/>
      <c r="KZR153" s="1011"/>
      <c r="KZS153" s="1011"/>
      <c r="KZT153" s="1011"/>
      <c r="KZU153" s="1011"/>
      <c r="KZV153" s="1011"/>
      <c r="KZW153" s="1011"/>
      <c r="KZX153" s="1011"/>
      <c r="KZY153" s="1011"/>
      <c r="KZZ153" s="1011"/>
      <c r="LAA153" s="1011"/>
      <c r="LAB153" s="1011"/>
      <c r="LAC153" s="1011"/>
      <c r="LAD153" s="1011"/>
      <c r="LAE153" s="1011"/>
      <c r="LAF153" s="1011"/>
      <c r="LAG153" s="1011"/>
      <c r="LAH153" s="1011"/>
      <c r="LAI153" s="1011"/>
      <c r="LAJ153" s="1011"/>
      <c r="LAK153" s="1011"/>
      <c r="LAL153" s="1011"/>
      <c r="LAM153" s="1011"/>
      <c r="LAN153" s="1011"/>
      <c r="LAO153" s="1011"/>
      <c r="LAP153" s="1011"/>
      <c r="LAQ153" s="1011"/>
      <c r="LAR153" s="1011"/>
      <c r="LAS153" s="1011"/>
      <c r="LAT153" s="1011"/>
      <c r="LAU153" s="1011"/>
      <c r="LAV153" s="1011"/>
      <c r="LAW153" s="1011"/>
      <c r="LAX153" s="1011"/>
      <c r="LAY153" s="1011"/>
      <c r="LAZ153" s="1011"/>
      <c r="LBA153" s="1011"/>
      <c r="LBB153" s="1011"/>
      <c r="LBC153" s="1011"/>
      <c r="LBD153" s="1011"/>
      <c r="LBE153" s="1011"/>
      <c r="LBF153" s="1011"/>
      <c r="LBG153" s="1011"/>
      <c r="LBH153" s="1011"/>
      <c r="LBI153" s="1011"/>
      <c r="LBJ153" s="1011"/>
      <c r="LBK153" s="1011"/>
      <c r="LBL153" s="1011"/>
      <c r="LBM153" s="1011"/>
      <c r="LBN153" s="1011"/>
      <c r="LBO153" s="1011"/>
      <c r="LBP153" s="1011"/>
      <c r="LBQ153" s="1011"/>
      <c r="LBR153" s="1011"/>
      <c r="LBS153" s="1011"/>
      <c r="LBT153" s="1011"/>
      <c r="LBU153" s="1011"/>
      <c r="LBV153" s="1011"/>
      <c r="LBW153" s="1011"/>
      <c r="LBX153" s="1011"/>
      <c r="LBY153" s="1011"/>
      <c r="LBZ153" s="1011"/>
      <c r="LCA153" s="1011"/>
      <c r="LCB153" s="1011"/>
      <c r="LCC153" s="1011"/>
      <c r="LCD153" s="1011"/>
      <c r="LCE153" s="1011"/>
      <c r="LCF153" s="1011"/>
      <c r="LCG153" s="1011"/>
      <c r="LCH153" s="1011"/>
      <c r="LCI153" s="1011"/>
      <c r="LCJ153" s="1011"/>
      <c r="LCK153" s="1011"/>
      <c r="LCL153" s="1011"/>
      <c r="LCM153" s="1011"/>
      <c r="LCN153" s="1011"/>
      <c r="LCO153" s="1011"/>
      <c r="LCP153" s="1011"/>
      <c r="LCQ153" s="1011"/>
      <c r="LCR153" s="1011"/>
      <c r="LCS153" s="1011"/>
      <c r="LCT153" s="1011"/>
      <c r="LCU153" s="1011"/>
      <c r="LCV153" s="1011"/>
      <c r="LCW153" s="1011"/>
      <c r="LCX153" s="1011"/>
      <c r="LCY153" s="1011"/>
      <c r="LCZ153" s="1011"/>
      <c r="LDA153" s="1011"/>
      <c r="LDB153" s="1011"/>
      <c r="LDC153" s="1011"/>
      <c r="LDD153" s="1011"/>
      <c r="LDE153" s="1011"/>
      <c r="LDF153" s="1011"/>
      <c r="LDG153" s="1011"/>
      <c r="LDH153" s="1011"/>
      <c r="LDI153" s="1011"/>
      <c r="LDJ153" s="1011"/>
      <c r="LDK153" s="1011"/>
      <c r="LDL153" s="1011"/>
      <c r="LDM153" s="1011"/>
      <c r="LDN153" s="1011"/>
      <c r="LDO153" s="1011"/>
      <c r="LDP153" s="1011"/>
      <c r="LDQ153" s="1011"/>
      <c r="LDR153" s="1011"/>
      <c r="LDS153" s="1011"/>
      <c r="LDT153" s="1011"/>
      <c r="LDU153" s="1011"/>
      <c r="LDV153" s="1011"/>
      <c r="LDW153" s="1011"/>
      <c r="LDX153" s="1011"/>
      <c r="LDY153" s="1011"/>
      <c r="LDZ153" s="1011"/>
      <c r="LEA153" s="1011"/>
      <c r="LEB153" s="1011"/>
      <c r="LEC153" s="1011"/>
      <c r="LED153" s="1011"/>
      <c r="LEE153" s="1011"/>
      <c r="LEF153" s="1011"/>
      <c r="LEG153" s="1011"/>
      <c r="LEH153" s="1011"/>
      <c r="LEI153" s="1011"/>
      <c r="LEJ153" s="1011"/>
      <c r="LEK153" s="1011"/>
      <c r="LEL153" s="1011"/>
      <c r="LEM153" s="1011"/>
      <c r="LEN153" s="1011"/>
      <c r="LEO153" s="1011"/>
      <c r="LEP153" s="1011"/>
      <c r="LEQ153" s="1011"/>
      <c r="LER153" s="1011"/>
      <c r="LES153" s="1011"/>
      <c r="LET153" s="1011"/>
      <c r="LEU153" s="1011"/>
      <c r="LEV153" s="1011"/>
      <c r="LEW153" s="1011"/>
      <c r="LEX153" s="1011"/>
      <c r="LEY153" s="1011"/>
      <c r="LEZ153" s="1011"/>
      <c r="LFA153" s="1011"/>
      <c r="LFB153" s="1011"/>
      <c r="LFC153" s="1011"/>
      <c r="LFD153" s="1011"/>
      <c r="LFE153" s="1011"/>
      <c r="LFF153" s="1011"/>
      <c r="LFG153" s="1011"/>
      <c r="LFH153" s="1011"/>
      <c r="LFI153" s="1011"/>
      <c r="LFJ153" s="1011"/>
      <c r="LFK153" s="1011"/>
      <c r="LFL153" s="1011"/>
      <c r="LFM153" s="1011"/>
      <c r="LFN153" s="1011"/>
      <c r="LFO153" s="1011"/>
      <c r="LFP153" s="1011"/>
      <c r="LFQ153" s="1011"/>
      <c r="LFR153" s="1011"/>
      <c r="LFS153" s="1011"/>
      <c r="LFT153" s="1011"/>
      <c r="LFU153" s="1011"/>
      <c r="LFV153" s="1011"/>
      <c r="LFW153" s="1011"/>
      <c r="LFX153" s="1011"/>
      <c r="LFY153" s="1011"/>
      <c r="LFZ153" s="1011"/>
      <c r="LGA153" s="1011"/>
      <c r="LGB153" s="1011"/>
      <c r="LGC153" s="1011"/>
      <c r="LGD153" s="1011"/>
      <c r="LGE153" s="1011"/>
      <c r="LGF153" s="1011"/>
      <c r="LGG153" s="1011"/>
      <c r="LGH153" s="1011"/>
      <c r="LGI153" s="1011"/>
      <c r="LGJ153" s="1011"/>
      <c r="LGK153" s="1011"/>
      <c r="LGL153" s="1011"/>
      <c r="LGM153" s="1011"/>
      <c r="LGN153" s="1011"/>
      <c r="LGO153" s="1011"/>
      <c r="LGP153" s="1011"/>
      <c r="LGQ153" s="1011"/>
      <c r="LGR153" s="1011"/>
      <c r="LGS153" s="1011"/>
      <c r="LGT153" s="1011"/>
      <c r="LGU153" s="1011"/>
      <c r="LGV153" s="1011"/>
      <c r="LGW153" s="1011"/>
      <c r="LGX153" s="1011"/>
      <c r="LGY153" s="1011"/>
      <c r="LGZ153" s="1011"/>
      <c r="LHA153" s="1011"/>
      <c r="LHB153" s="1011"/>
      <c r="LHC153" s="1011"/>
      <c r="LHD153" s="1011"/>
      <c r="LHE153" s="1011"/>
      <c r="LHF153" s="1011"/>
      <c r="LHG153" s="1011"/>
      <c r="LHH153" s="1011"/>
      <c r="LHI153" s="1011"/>
      <c r="LHJ153" s="1011"/>
      <c r="LHK153" s="1011"/>
      <c r="LHL153" s="1011"/>
      <c r="LHM153" s="1011"/>
      <c r="LHN153" s="1011"/>
      <c r="LHO153" s="1011"/>
      <c r="LHP153" s="1011"/>
      <c r="LHQ153" s="1011"/>
      <c r="LHR153" s="1011"/>
      <c r="LHS153" s="1011"/>
      <c r="LHT153" s="1011"/>
      <c r="LHU153" s="1011"/>
      <c r="LHV153" s="1011"/>
      <c r="LHW153" s="1011"/>
      <c r="LHX153" s="1011"/>
      <c r="LHY153" s="1011"/>
      <c r="LHZ153" s="1011"/>
      <c r="LIA153" s="1011"/>
      <c r="LIB153" s="1011"/>
      <c r="LIC153" s="1011"/>
      <c r="LID153" s="1011"/>
      <c r="LIE153" s="1011"/>
      <c r="LIF153" s="1011"/>
      <c r="LIG153" s="1011"/>
      <c r="LIH153" s="1011"/>
      <c r="LII153" s="1011"/>
      <c r="LIJ153" s="1011"/>
      <c r="LIK153" s="1011"/>
      <c r="LIL153" s="1011"/>
      <c r="LIM153" s="1011"/>
      <c r="LIN153" s="1011"/>
      <c r="LIO153" s="1011"/>
      <c r="LIP153" s="1011"/>
      <c r="LIQ153" s="1011"/>
      <c r="LIR153" s="1011"/>
      <c r="LIS153" s="1011"/>
      <c r="LIT153" s="1011"/>
      <c r="LIU153" s="1011"/>
      <c r="LIV153" s="1011"/>
      <c r="LIW153" s="1011"/>
      <c r="LIX153" s="1011"/>
      <c r="LIY153" s="1011"/>
      <c r="LIZ153" s="1011"/>
      <c r="LJA153" s="1011"/>
      <c r="LJB153" s="1011"/>
      <c r="LJC153" s="1011"/>
      <c r="LJD153" s="1011"/>
      <c r="LJE153" s="1011"/>
      <c r="LJF153" s="1011"/>
      <c r="LJG153" s="1011"/>
      <c r="LJH153" s="1011"/>
      <c r="LJI153" s="1011"/>
      <c r="LJJ153" s="1011"/>
      <c r="LJK153" s="1011"/>
      <c r="LJL153" s="1011"/>
      <c r="LJM153" s="1011"/>
      <c r="LJN153" s="1011"/>
      <c r="LJO153" s="1011"/>
      <c r="LJP153" s="1011"/>
      <c r="LJQ153" s="1011"/>
      <c r="LJR153" s="1011"/>
      <c r="LJS153" s="1011"/>
      <c r="LJT153" s="1011"/>
      <c r="LJU153" s="1011"/>
      <c r="LJV153" s="1011"/>
      <c r="LJW153" s="1011"/>
      <c r="LJX153" s="1011"/>
      <c r="LJY153" s="1011"/>
      <c r="LJZ153" s="1011"/>
      <c r="LKA153" s="1011"/>
      <c r="LKB153" s="1011"/>
      <c r="LKC153" s="1011"/>
      <c r="LKD153" s="1011"/>
      <c r="LKE153" s="1011"/>
      <c r="LKF153" s="1011"/>
      <c r="LKG153" s="1011"/>
      <c r="LKH153" s="1011"/>
      <c r="LKI153" s="1011"/>
      <c r="LKJ153" s="1011"/>
      <c r="LKK153" s="1011"/>
      <c r="LKL153" s="1011"/>
      <c r="LKM153" s="1011"/>
      <c r="LKN153" s="1011"/>
      <c r="LKO153" s="1011"/>
      <c r="LKP153" s="1011"/>
      <c r="LKQ153" s="1011"/>
      <c r="LKR153" s="1011"/>
      <c r="LKS153" s="1011"/>
      <c r="LKT153" s="1011"/>
      <c r="LKU153" s="1011"/>
      <c r="LKV153" s="1011"/>
      <c r="LKW153" s="1011"/>
      <c r="LKX153" s="1011"/>
      <c r="LKY153" s="1011"/>
      <c r="LKZ153" s="1011"/>
      <c r="LLA153" s="1011"/>
      <c r="LLB153" s="1011"/>
      <c r="LLC153" s="1011"/>
      <c r="LLD153" s="1011"/>
      <c r="LLE153" s="1011"/>
      <c r="LLF153" s="1011"/>
      <c r="LLG153" s="1011"/>
      <c r="LLH153" s="1011"/>
      <c r="LLI153" s="1011"/>
      <c r="LLJ153" s="1011"/>
      <c r="LLK153" s="1011"/>
      <c r="LLL153" s="1011"/>
      <c r="LLM153" s="1011"/>
      <c r="LLN153" s="1011"/>
      <c r="LLO153" s="1011"/>
      <c r="LLP153" s="1011"/>
      <c r="LLQ153" s="1011"/>
      <c r="LLR153" s="1011"/>
      <c r="LLS153" s="1011"/>
      <c r="LLT153" s="1011"/>
      <c r="LLU153" s="1011"/>
      <c r="LLV153" s="1011"/>
      <c r="LLW153" s="1011"/>
      <c r="LLX153" s="1011"/>
      <c r="LLY153" s="1011"/>
      <c r="LLZ153" s="1011"/>
      <c r="LMA153" s="1011"/>
      <c r="LMB153" s="1011"/>
      <c r="LMC153" s="1011"/>
      <c r="LMD153" s="1011"/>
      <c r="LME153" s="1011"/>
      <c r="LMF153" s="1011"/>
      <c r="LMG153" s="1011"/>
      <c r="LMH153" s="1011"/>
      <c r="LMI153" s="1011"/>
      <c r="LMJ153" s="1011"/>
      <c r="LMK153" s="1011"/>
      <c r="LML153" s="1011"/>
      <c r="LMM153" s="1011"/>
      <c r="LMN153" s="1011"/>
      <c r="LMO153" s="1011"/>
      <c r="LMP153" s="1011"/>
      <c r="LMQ153" s="1011"/>
      <c r="LMR153" s="1011"/>
      <c r="LMS153" s="1011"/>
      <c r="LMT153" s="1011"/>
      <c r="LMU153" s="1011"/>
      <c r="LMV153" s="1011"/>
      <c r="LMW153" s="1011"/>
      <c r="LMX153" s="1011"/>
      <c r="LMY153" s="1011"/>
      <c r="LMZ153" s="1011"/>
      <c r="LNA153" s="1011"/>
      <c r="LNB153" s="1011"/>
      <c r="LNC153" s="1011"/>
      <c r="LND153" s="1011"/>
      <c r="LNE153" s="1011"/>
      <c r="LNF153" s="1011"/>
      <c r="LNG153" s="1011"/>
      <c r="LNH153" s="1011"/>
      <c r="LNI153" s="1011"/>
      <c r="LNJ153" s="1011"/>
      <c r="LNK153" s="1011"/>
      <c r="LNL153" s="1011"/>
      <c r="LNM153" s="1011"/>
      <c r="LNN153" s="1011"/>
      <c r="LNO153" s="1011"/>
      <c r="LNP153" s="1011"/>
      <c r="LNQ153" s="1011"/>
      <c r="LNR153" s="1011"/>
      <c r="LNS153" s="1011"/>
      <c r="LNT153" s="1011"/>
      <c r="LNU153" s="1011"/>
      <c r="LNV153" s="1011"/>
      <c r="LNW153" s="1011"/>
      <c r="LNX153" s="1011"/>
      <c r="LNY153" s="1011"/>
      <c r="LNZ153" s="1011"/>
      <c r="LOA153" s="1011"/>
      <c r="LOB153" s="1011"/>
      <c r="LOC153" s="1011"/>
      <c r="LOD153" s="1011"/>
      <c r="LOE153" s="1011"/>
      <c r="LOF153" s="1011"/>
      <c r="LOG153" s="1011"/>
      <c r="LOH153" s="1011"/>
      <c r="LOI153" s="1011"/>
      <c r="LOJ153" s="1011"/>
      <c r="LOK153" s="1011"/>
      <c r="LOL153" s="1011"/>
      <c r="LOM153" s="1011"/>
      <c r="LON153" s="1011"/>
      <c r="LOO153" s="1011"/>
      <c r="LOP153" s="1011"/>
      <c r="LOQ153" s="1011"/>
      <c r="LOR153" s="1011"/>
      <c r="LOS153" s="1011"/>
      <c r="LOT153" s="1011"/>
      <c r="LOU153" s="1011"/>
      <c r="LOV153" s="1011"/>
      <c r="LOW153" s="1011"/>
      <c r="LOX153" s="1011"/>
      <c r="LOY153" s="1011"/>
      <c r="LOZ153" s="1011"/>
      <c r="LPA153" s="1011"/>
      <c r="LPB153" s="1011"/>
      <c r="LPC153" s="1011"/>
      <c r="LPD153" s="1011"/>
      <c r="LPE153" s="1011"/>
      <c r="LPF153" s="1011"/>
      <c r="LPG153" s="1011"/>
      <c r="LPH153" s="1011"/>
      <c r="LPI153" s="1011"/>
      <c r="LPJ153" s="1011"/>
      <c r="LPK153" s="1011"/>
      <c r="LPL153" s="1011"/>
      <c r="LPM153" s="1011"/>
      <c r="LPN153" s="1011"/>
      <c r="LPO153" s="1011"/>
      <c r="LPP153" s="1011"/>
      <c r="LPQ153" s="1011"/>
      <c r="LPR153" s="1011"/>
      <c r="LPS153" s="1011"/>
      <c r="LPT153" s="1011"/>
      <c r="LPU153" s="1011"/>
      <c r="LPV153" s="1011"/>
      <c r="LPW153" s="1011"/>
      <c r="LPX153" s="1011"/>
      <c r="LPY153" s="1011"/>
      <c r="LPZ153" s="1011"/>
      <c r="LQA153" s="1011"/>
      <c r="LQB153" s="1011"/>
      <c r="LQC153" s="1011"/>
      <c r="LQD153" s="1011"/>
      <c r="LQE153" s="1011"/>
      <c r="LQF153" s="1011"/>
      <c r="LQG153" s="1011"/>
      <c r="LQH153" s="1011"/>
      <c r="LQI153" s="1011"/>
      <c r="LQJ153" s="1011"/>
      <c r="LQK153" s="1011"/>
      <c r="LQL153" s="1011"/>
      <c r="LQM153" s="1011"/>
      <c r="LQN153" s="1011"/>
      <c r="LQO153" s="1011"/>
      <c r="LQP153" s="1011"/>
      <c r="LQQ153" s="1011"/>
      <c r="LQR153" s="1011"/>
      <c r="LQS153" s="1011"/>
      <c r="LQT153" s="1011"/>
      <c r="LQU153" s="1011"/>
      <c r="LQV153" s="1011"/>
      <c r="LQW153" s="1011"/>
      <c r="LQX153" s="1011"/>
      <c r="LQY153" s="1011"/>
      <c r="LQZ153" s="1011"/>
      <c r="LRA153" s="1011"/>
      <c r="LRB153" s="1011"/>
      <c r="LRC153" s="1011"/>
      <c r="LRD153" s="1011"/>
      <c r="LRE153" s="1011"/>
      <c r="LRF153" s="1011"/>
      <c r="LRG153" s="1011"/>
      <c r="LRH153" s="1011"/>
      <c r="LRI153" s="1011"/>
      <c r="LRJ153" s="1011"/>
      <c r="LRK153" s="1011"/>
      <c r="LRL153" s="1011"/>
      <c r="LRM153" s="1011"/>
      <c r="LRN153" s="1011"/>
      <c r="LRO153" s="1011"/>
      <c r="LRP153" s="1011"/>
      <c r="LRQ153" s="1011"/>
      <c r="LRR153" s="1011"/>
      <c r="LRS153" s="1011"/>
      <c r="LRT153" s="1011"/>
      <c r="LRU153" s="1011"/>
      <c r="LRV153" s="1011"/>
      <c r="LRW153" s="1011"/>
      <c r="LRX153" s="1011"/>
      <c r="LRY153" s="1011"/>
      <c r="LRZ153" s="1011"/>
      <c r="LSA153" s="1011"/>
      <c r="LSB153" s="1011"/>
      <c r="LSC153" s="1011"/>
      <c r="LSD153" s="1011"/>
      <c r="LSE153" s="1011"/>
      <c r="LSF153" s="1011"/>
      <c r="LSG153" s="1011"/>
      <c r="LSH153" s="1011"/>
      <c r="LSI153" s="1011"/>
      <c r="LSJ153" s="1011"/>
      <c r="LSK153" s="1011"/>
      <c r="LSL153" s="1011"/>
      <c r="LSM153" s="1011"/>
      <c r="LSN153" s="1011"/>
      <c r="LSO153" s="1011"/>
      <c r="LSP153" s="1011"/>
      <c r="LSQ153" s="1011"/>
      <c r="LSR153" s="1011"/>
      <c r="LSS153" s="1011"/>
      <c r="LST153" s="1011"/>
      <c r="LSU153" s="1011"/>
      <c r="LSV153" s="1011"/>
      <c r="LSW153" s="1011"/>
      <c r="LSX153" s="1011"/>
      <c r="LSY153" s="1011"/>
      <c r="LSZ153" s="1011"/>
      <c r="LTA153" s="1011"/>
      <c r="LTB153" s="1011"/>
      <c r="LTC153" s="1011"/>
      <c r="LTD153" s="1011"/>
      <c r="LTE153" s="1011"/>
      <c r="LTF153" s="1011"/>
      <c r="LTG153" s="1011"/>
      <c r="LTH153" s="1011"/>
      <c r="LTI153" s="1011"/>
      <c r="LTJ153" s="1011"/>
      <c r="LTK153" s="1011"/>
      <c r="LTL153" s="1011"/>
      <c r="LTM153" s="1011"/>
      <c r="LTN153" s="1011"/>
      <c r="LTO153" s="1011"/>
      <c r="LTP153" s="1011"/>
      <c r="LTQ153" s="1011"/>
      <c r="LTR153" s="1011"/>
      <c r="LTS153" s="1011"/>
      <c r="LTT153" s="1011"/>
      <c r="LTU153" s="1011"/>
      <c r="LTV153" s="1011"/>
      <c r="LTW153" s="1011"/>
      <c r="LTX153" s="1011"/>
      <c r="LTY153" s="1011"/>
      <c r="LTZ153" s="1011"/>
      <c r="LUA153" s="1011"/>
      <c r="LUB153" s="1011"/>
      <c r="LUC153" s="1011"/>
      <c r="LUD153" s="1011"/>
      <c r="LUE153" s="1011"/>
      <c r="LUF153" s="1011"/>
      <c r="LUG153" s="1011"/>
      <c r="LUH153" s="1011"/>
      <c r="LUI153" s="1011"/>
      <c r="LUJ153" s="1011"/>
      <c r="LUK153" s="1011"/>
      <c r="LUL153" s="1011"/>
      <c r="LUM153" s="1011"/>
      <c r="LUN153" s="1011"/>
      <c r="LUO153" s="1011"/>
      <c r="LUP153" s="1011"/>
      <c r="LUQ153" s="1011"/>
      <c r="LUR153" s="1011"/>
      <c r="LUS153" s="1011"/>
      <c r="LUT153" s="1011"/>
      <c r="LUU153" s="1011"/>
      <c r="LUV153" s="1011"/>
      <c r="LUW153" s="1011"/>
      <c r="LUX153" s="1011"/>
      <c r="LUY153" s="1011"/>
      <c r="LUZ153" s="1011"/>
      <c r="LVA153" s="1011"/>
      <c r="LVB153" s="1011"/>
      <c r="LVC153" s="1011"/>
      <c r="LVD153" s="1011"/>
      <c r="LVE153" s="1011"/>
      <c r="LVF153" s="1011"/>
      <c r="LVG153" s="1011"/>
      <c r="LVH153" s="1011"/>
      <c r="LVI153" s="1011"/>
      <c r="LVJ153" s="1011"/>
      <c r="LVK153" s="1011"/>
      <c r="LVL153" s="1011"/>
      <c r="LVM153" s="1011"/>
      <c r="LVN153" s="1011"/>
      <c r="LVO153" s="1011"/>
      <c r="LVP153" s="1011"/>
      <c r="LVQ153" s="1011"/>
      <c r="LVR153" s="1011"/>
      <c r="LVS153" s="1011"/>
      <c r="LVT153" s="1011"/>
      <c r="LVU153" s="1011"/>
      <c r="LVV153" s="1011"/>
      <c r="LVW153" s="1011"/>
      <c r="LVX153" s="1011"/>
      <c r="LVY153" s="1011"/>
      <c r="LVZ153" s="1011"/>
      <c r="LWA153" s="1011"/>
      <c r="LWB153" s="1011"/>
      <c r="LWC153" s="1011"/>
      <c r="LWD153" s="1011"/>
      <c r="LWE153" s="1011"/>
      <c r="LWF153" s="1011"/>
      <c r="LWG153" s="1011"/>
      <c r="LWH153" s="1011"/>
      <c r="LWI153" s="1011"/>
      <c r="LWJ153" s="1011"/>
      <c r="LWK153" s="1011"/>
      <c r="LWL153" s="1011"/>
      <c r="LWM153" s="1011"/>
      <c r="LWN153" s="1011"/>
      <c r="LWO153" s="1011"/>
      <c r="LWP153" s="1011"/>
      <c r="LWQ153" s="1011"/>
      <c r="LWR153" s="1011"/>
      <c r="LWS153" s="1011"/>
      <c r="LWT153" s="1011"/>
      <c r="LWU153" s="1011"/>
      <c r="LWV153" s="1011"/>
      <c r="LWW153" s="1011"/>
      <c r="LWX153" s="1011"/>
      <c r="LWY153" s="1011"/>
      <c r="LWZ153" s="1011"/>
      <c r="LXA153" s="1011"/>
      <c r="LXB153" s="1011"/>
      <c r="LXC153" s="1011"/>
      <c r="LXD153" s="1011"/>
      <c r="LXE153" s="1011"/>
      <c r="LXF153" s="1011"/>
      <c r="LXG153" s="1011"/>
      <c r="LXH153" s="1011"/>
      <c r="LXI153" s="1011"/>
      <c r="LXJ153" s="1011"/>
      <c r="LXK153" s="1011"/>
      <c r="LXL153" s="1011"/>
      <c r="LXM153" s="1011"/>
      <c r="LXN153" s="1011"/>
      <c r="LXO153" s="1011"/>
      <c r="LXP153" s="1011"/>
      <c r="LXQ153" s="1011"/>
      <c r="LXR153" s="1011"/>
      <c r="LXS153" s="1011"/>
      <c r="LXT153" s="1011"/>
      <c r="LXU153" s="1011"/>
      <c r="LXV153" s="1011"/>
      <c r="LXW153" s="1011"/>
      <c r="LXX153" s="1011"/>
      <c r="LXY153" s="1011"/>
      <c r="LXZ153" s="1011"/>
      <c r="LYA153" s="1011"/>
      <c r="LYB153" s="1011"/>
      <c r="LYC153" s="1011"/>
      <c r="LYD153" s="1011"/>
      <c r="LYE153" s="1011"/>
      <c r="LYF153" s="1011"/>
      <c r="LYG153" s="1011"/>
      <c r="LYH153" s="1011"/>
      <c r="LYI153" s="1011"/>
      <c r="LYJ153" s="1011"/>
      <c r="LYK153" s="1011"/>
      <c r="LYL153" s="1011"/>
      <c r="LYM153" s="1011"/>
      <c r="LYN153" s="1011"/>
      <c r="LYO153" s="1011"/>
      <c r="LYP153" s="1011"/>
      <c r="LYQ153" s="1011"/>
      <c r="LYR153" s="1011"/>
      <c r="LYS153" s="1011"/>
      <c r="LYT153" s="1011"/>
      <c r="LYU153" s="1011"/>
      <c r="LYV153" s="1011"/>
      <c r="LYW153" s="1011"/>
      <c r="LYX153" s="1011"/>
      <c r="LYY153" s="1011"/>
      <c r="LYZ153" s="1011"/>
      <c r="LZA153" s="1011"/>
      <c r="LZB153" s="1011"/>
      <c r="LZC153" s="1011"/>
      <c r="LZD153" s="1011"/>
      <c r="LZE153" s="1011"/>
      <c r="LZF153" s="1011"/>
      <c r="LZG153" s="1011"/>
      <c r="LZH153" s="1011"/>
      <c r="LZI153" s="1011"/>
      <c r="LZJ153" s="1011"/>
      <c r="LZK153" s="1011"/>
      <c r="LZL153" s="1011"/>
      <c r="LZM153" s="1011"/>
      <c r="LZN153" s="1011"/>
      <c r="LZO153" s="1011"/>
      <c r="LZP153" s="1011"/>
      <c r="LZQ153" s="1011"/>
      <c r="LZR153" s="1011"/>
      <c r="LZS153" s="1011"/>
      <c r="LZT153" s="1011"/>
      <c r="LZU153" s="1011"/>
      <c r="LZV153" s="1011"/>
      <c r="LZW153" s="1011"/>
      <c r="LZX153" s="1011"/>
      <c r="LZY153" s="1011"/>
      <c r="LZZ153" s="1011"/>
      <c r="MAA153" s="1011"/>
      <c r="MAB153" s="1011"/>
      <c r="MAC153" s="1011"/>
      <c r="MAD153" s="1011"/>
      <c r="MAE153" s="1011"/>
      <c r="MAF153" s="1011"/>
      <c r="MAG153" s="1011"/>
      <c r="MAH153" s="1011"/>
      <c r="MAI153" s="1011"/>
      <c r="MAJ153" s="1011"/>
      <c r="MAK153" s="1011"/>
      <c r="MAL153" s="1011"/>
      <c r="MAM153" s="1011"/>
      <c r="MAN153" s="1011"/>
      <c r="MAO153" s="1011"/>
      <c r="MAP153" s="1011"/>
      <c r="MAQ153" s="1011"/>
      <c r="MAR153" s="1011"/>
      <c r="MAS153" s="1011"/>
      <c r="MAT153" s="1011"/>
      <c r="MAU153" s="1011"/>
      <c r="MAV153" s="1011"/>
      <c r="MAW153" s="1011"/>
      <c r="MAX153" s="1011"/>
      <c r="MAY153" s="1011"/>
      <c r="MAZ153" s="1011"/>
      <c r="MBA153" s="1011"/>
      <c r="MBB153" s="1011"/>
      <c r="MBC153" s="1011"/>
      <c r="MBD153" s="1011"/>
      <c r="MBE153" s="1011"/>
      <c r="MBF153" s="1011"/>
      <c r="MBG153" s="1011"/>
      <c r="MBH153" s="1011"/>
      <c r="MBI153" s="1011"/>
      <c r="MBJ153" s="1011"/>
      <c r="MBK153" s="1011"/>
      <c r="MBL153" s="1011"/>
      <c r="MBM153" s="1011"/>
      <c r="MBN153" s="1011"/>
      <c r="MBO153" s="1011"/>
      <c r="MBP153" s="1011"/>
      <c r="MBQ153" s="1011"/>
      <c r="MBR153" s="1011"/>
      <c r="MBS153" s="1011"/>
      <c r="MBT153" s="1011"/>
      <c r="MBU153" s="1011"/>
      <c r="MBV153" s="1011"/>
      <c r="MBW153" s="1011"/>
      <c r="MBX153" s="1011"/>
      <c r="MBY153" s="1011"/>
      <c r="MBZ153" s="1011"/>
      <c r="MCA153" s="1011"/>
      <c r="MCB153" s="1011"/>
      <c r="MCC153" s="1011"/>
      <c r="MCD153" s="1011"/>
      <c r="MCE153" s="1011"/>
      <c r="MCF153" s="1011"/>
      <c r="MCG153" s="1011"/>
      <c r="MCH153" s="1011"/>
      <c r="MCI153" s="1011"/>
      <c r="MCJ153" s="1011"/>
      <c r="MCK153" s="1011"/>
      <c r="MCL153" s="1011"/>
      <c r="MCM153" s="1011"/>
      <c r="MCN153" s="1011"/>
      <c r="MCO153" s="1011"/>
      <c r="MCP153" s="1011"/>
      <c r="MCQ153" s="1011"/>
      <c r="MCR153" s="1011"/>
      <c r="MCS153" s="1011"/>
      <c r="MCT153" s="1011"/>
      <c r="MCU153" s="1011"/>
      <c r="MCV153" s="1011"/>
      <c r="MCW153" s="1011"/>
      <c r="MCX153" s="1011"/>
      <c r="MCY153" s="1011"/>
      <c r="MCZ153" s="1011"/>
      <c r="MDA153" s="1011"/>
      <c r="MDB153" s="1011"/>
      <c r="MDC153" s="1011"/>
      <c r="MDD153" s="1011"/>
      <c r="MDE153" s="1011"/>
      <c r="MDF153" s="1011"/>
      <c r="MDG153" s="1011"/>
      <c r="MDH153" s="1011"/>
      <c r="MDI153" s="1011"/>
      <c r="MDJ153" s="1011"/>
      <c r="MDK153" s="1011"/>
      <c r="MDL153" s="1011"/>
      <c r="MDM153" s="1011"/>
      <c r="MDN153" s="1011"/>
      <c r="MDO153" s="1011"/>
      <c r="MDP153" s="1011"/>
      <c r="MDQ153" s="1011"/>
      <c r="MDR153" s="1011"/>
      <c r="MDS153" s="1011"/>
      <c r="MDT153" s="1011"/>
      <c r="MDU153" s="1011"/>
      <c r="MDV153" s="1011"/>
      <c r="MDW153" s="1011"/>
      <c r="MDX153" s="1011"/>
      <c r="MDY153" s="1011"/>
      <c r="MDZ153" s="1011"/>
      <c r="MEA153" s="1011"/>
      <c r="MEB153" s="1011"/>
      <c r="MEC153" s="1011"/>
      <c r="MED153" s="1011"/>
      <c r="MEE153" s="1011"/>
      <c r="MEF153" s="1011"/>
      <c r="MEG153" s="1011"/>
      <c r="MEH153" s="1011"/>
      <c r="MEI153" s="1011"/>
      <c r="MEJ153" s="1011"/>
      <c r="MEK153" s="1011"/>
      <c r="MEL153" s="1011"/>
      <c r="MEM153" s="1011"/>
      <c r="MEN153" s="1011"/>
      <c r="MEO153" s="1011"/>
      <c r="MEP153" s="1011"/>
      <c r="MEQ153" s="1011"/>
      <c r="MER153" s="1011"/>
      <c r="MES153" s="1011"/>
      <c r="MET153" s="1011"/>
      <c r="MEU153" s="1011"/>
      <c r="MEV153" s="1011"/>
      <c r="MEW153" s="1011"/>
      <c r="MEX153" s="1011"/>
      <c r="MEY153" s="1011"/>
      <c r="MEZ153" s="1011"/>
      <c r="MFA153" s="1011"/>
      <c r="MFB153" s="1011"/>
      <c r="MFC153" s="1011"/>
      <c r="MFD153" s="1011"/>
      <c r="MFE153" s="1011"/>
      <c r="MFF153" s="1011"/>
      <c r="MFG153" s="1011"/>
      <c r="MFH153" s="1011"/>
      <c r="MFI153" s="1011"/>
      <c r="MFJ153" s="1011"/>
      <c r="MFK153" s="1011"/>
      <c r="MFL153" s="1011"/>
      <c r="MFM153" s="1011"/>
      <c r="MFN153" s="1011"/>
      <c r="MFO153" s="1011"/>
      <c r="MFP153" s="1011"/>
      <c r="MFQ153" s="1011"/>
      <c r="MFR153" s="1011"/>
      <c r="MFS153" s="1011"/>
      <c r="MFT153" s="1011"/>
      <c r="MFU153" s="1011"/>
      <c r="MFV153" s="1011"/>
      <c r="MFW153" s="1011"/>
      <c r="MFX153" s="1011"/>
      <c r="MFY153" s="1011"/>
      <c r="MFZ153" s="1011"/>
      <c r="MGA153" s="1011"/>
      <c r="MGB153" s="1011"/>
      <c r="MGC153" s="1011"/>
      <c r="MGD153" s="1011"/>
      <c r="MGE153" s="1011"/>
      <c r="MGF153" s="1011"/>
      <c r="MGG153" s="1011"/>
      <c r="MGH153" s="1011"/>
      <c r="MGI153" s="1011"/>
      <c r="MGJ153" s="1011"/>
      <c r="MGK153" s="1011"/>
      <c r="MGL153" s="1011"/>
      <c r="MGM153" s="1011"/>
      <c r="MGN153" s="1011"/>
      <c r="MGO153" s="1011"/>
      <c r="MGP153" s="1011"/>
      <c r="MGQ153" s="1011"/>
      <c r="MGR153" s="1011"/>
      <c r="MGS153" s="1011"/>
      <c r="MGT153" s="1011"/>
      <c r="MGU153" s="1011"/>
      <c r="MGV153" s="1011"/>
      <c r="MGW153" s="1011"/>
      <c r="MGX153" s="1011"/>
      <c r="MGY153" s="1011"/>
      <c r="MGZ153" s="1011"/>
      <c r="MHA153" s="1011"/>
      <c r="MHB153" s="1011"/>
      <c r="MHC153" s="1011"/>
      <c r="MHD153" s="1011"/>
      <c r="MHE153" s="1011"/>
      <c r="MHF153" s="1011"/>
      <c r="MHG153" s="1011"/>
      <c r="MHH153" s="1011"/>
      <c r="MHI153" s="1011"/>
      <c r="MHJ153" s="1011"/>
      <c r="MHK153" s="1011"/>
      <c r="MHL153" s="1011"/>
      <c r="MHM153" s="1011"/>
      <c r="MHN153" s="1011"/>
      <c r="MHO153" s="1011"/>
      <c r="MHP153" s="1011"/>
      <c r="MHQ153" s="1011"/>
      <c r="MHR153" s="1011"/>
      <c r="MHS153" s="1011"/>
      <c r="MHT153" s="1011"/>
      <c r="MHU153" s="1011"/>
      <c r="MHV153" s="1011"/>
      <c r="MHW153" s="1011"/>
      <c r="MHX153" s="1011"/>
      <c r="MHY153" s="1011"/>
      <c r="MHZ153" s="1011"/>
      <c r="MIA153" s="1011"/>
      <c r="MIB153" s="1011"/>
      <c r="MIC153" s="1011"/>
      <c r="MID153" s="1011"/>
      <c r="MIE153" s="1011"/>
      <c r="MIF153" s="1011"/>
      <c r="MIG153" s="1011"/>
      <c r="MIH153" s="1011"/>
      <c r="MII153" s="1011"/>
      <c r="MIJ153" s="1011"/>
      <c r="MIK153" s="1011"/>
      <c r="MIL153" s="1011"/>
      <c r="MIM153" s="1011"/>
      <c r="MIN153" s="1011"/>
      <c r="MIO153" s="1011"/>
      <c r="MIP153" s="1011"/>
      <c r="MIQ153" s="1011"/>
      <c r="MIR153" s="1011"/>
      <c r="MIS153" s="1011"/>
      <c r="MIT153" s="1011"/>
      <c r="MIU153" s="1011"/>
      <c r="MIV153" s="1011"/>
      <c r="MIW153" s="1011"/>
      <c r="MIX153" s="1011"/>
      <c r="MIY153" s="1011"/>
      <c r="MIZ153" s="1011"/>
      <c r="MJA153" s="1011"/>
      <c r="MJB153" s="1011"/>
      <c r="MJC153" s="1011"/>
      <c r="MJD153" s="1011"/>
      <c r="MJE153" s="1011"/>
      <c r="MJF153" s="1011"/>
      <c r="MJG153" s="1011"/>
      <c r="MJH153" s="1011"/>
      <c r="MJI153" s="1011"/>
      <c r="MJJ153" s="1011"/>
      <c r="MJK153" s="1011"/>
      <c r="MJL153" s="1011"/>
      <c r="MJM153" s="1011"/>
      <c r="MJN153" s="1011"/>
      <c r="MJO153" s="1011"/>
      <c r="MJP153" s="1011"/>
      <c r="MJQ153" s="1011"/>
      <c r="MJR153" s="1011"/>
      <c r="MJS153" s="1011"/>
      <c r="MJT153" s="1011"/>
      <c r="MJU153" s="1011"/>
      <c r="MJV153" s="1011"/>
      <c r="MJW153" s="1011"/>
      <c r="MJX153" s="1011"/>
      <c r="MJY153" s="1011"/>
      <c r="MJZ153" s="1011"/>
      <c r="MKA153" s="1011"/>
      <c r="MKB153" s="1011"/>
      <c r="MKC153" s="1011"/>
      <c r="MKD153" s="1011"/>
      <c r="MKE153" s="1011"/>
      <c r="MKF153" s="1011"/>
      <c r="MKG153" s="1011"/>
      <c r="MKH153" s="1011"/>
      <c r="MKI153" s="1011"/>
      <c r="MKJ153" s="1011"/>
      <c r="MKK153" s="1011"/>
      <c r="MKL153" s="1011"/>
      <c r="MKM153" s="1011"/>
      <c r="MKN153" s="1011"/>
      <c r="MKO153" s="1011"/>
      <c r="MKP153" s="1011"/>
      <c r="MKQ153" s="1011"/>
      <c r="MKR153" s="1011"/>
      <c r="MKS153" s="1011"/>
      <c r="MKT153" s="1011"/>
      <c r="MKU153" s="1011"/>
      <c r="MKV153" s="1011"/>
      <c r="MKW153" s="1011"/>
      <c r="MKX153" s="1011"/>
      <c r="MKY153" s="1011"/>
      <c r="MKZ153" s="1011"/>
      <c r="MLA153" s="1011"/>
      <c r="MLB153" s="1011"/>
      <c r="MLC153" s="1011"/>
      <c r="MLD153" s="1011"/>
      <c r="MLE153" s="1011"/>
      <c r="MLF153" s="1011"/>
      <c r="MLG153" s="1011"/>
      <c r="MLH153" s="1011"/>
      <c r="MLI153" s="1011"/>
      <c r="MLJ153" s="1011"/>
      <c r="MLK153" s="1011"/>
      <c r="MLL153" s="1011"/>
      <c r="MLM153" s="1011"/>
      <c r="MLN153" s="1011"/>
      <c r="MLO153" s="1011"/>
      <c r="MLP153" s="1011"/>
      <c r="MLQ153" s="1011"/>
      <c r="MLR153" s="1011"/>
      <c r="MLS153" s="1011"/>
      <c r="MLT153" s="1011"/>
      <c r="MLU153" s="1011"/>
      <c r="MLV153" s="1011"/>
      <c r="MLW153" s="1011"/>
      <c r="MLX153" s="1011"/>
      <c r="MLY153" s="1011"/>
      <c r="MLZ153" s="1011"/>
      <c r="MMA153" s="1011"/>
      <c r="MMB153" s="1011"/>
      <c r="MMC153" s="1011"/>
      <c r="MMD153" s="1011"/>
      <c r="MME153" s="1011"/>
      <c r="MMF153" s="1011"/>
      <c r="MMG153" s="1011"/>
      <c r="MMH153" s="1011"/>
      <c r="MMI153" s="1011"/>
      <c r="MMJ153" s="1011"/>
      <c r="MMK153" s="1011"/>
      <c r="MML153" s="1011"/>
      <c r="MMM153" s="1011"/>
      <c r="MMN153" s="1011"/>
      <c r="MMO153" s="1011"/>
      <c r="MMP153" s="1011"/>
      <c r="MMQ153" s="1011"/>
      <c r="MMR153" s="1011"/>
      <c r="MMS153" s="1011"/>
      <c r="MMT153" s="1011"/>
      <c r="MMU153" s="1011"/>
      <c r="MMV153" s="1011"/>
      <c r="MMW153" s="1011"/>
      <c r="MMX153" s="1011"/>
      <c r="MMY153" s="1011"/>
      <c r="MMZ153" s="1011"/>
      <c r="MNA153" s="1011"/>
      <c r="MNB153" s="1011"/>
      <c r="MNC153" s="1011"/>
      <c r="MND153" s="1011"/>
      <c r="MNE153" s="1011"/>
      <c r="MNF153" s="1011"/>
      <c r="MNG153" s="1011"/>
      <c r="MNH153" s="1011"/>
      <c r="MNI153" s="1011"/>
      <c r="MNJ153" s="1011"/>
      <c r="MNK153" s="1011"/>
      <c r="MNL153" s="1011"/>
      <c r="MNM153" s="1011"/>
      <c r="MNN153" s="1011"/>
      <c r="MNO153" s="1011"/>
      <c r="MNP153" s="1011"/>
      <c r="MNQ153" s="1011"/>
      <c r="MNR153" s="1011"/>
      <c r="MNS153" s="1011"/>
      <c r="MNT153" s="1011"/>
      <c r="MNU153" s="1011"/>
      <c r="MNV153" s="1011"/>
      <c r="MNW153" s="1011"/>
      <c r="MNX153" s="1011"/>
      <c r="MNY153" s="1011"/>
      <c r="MNZ153" s="1011"/>
      <c r="MOA153" s="1011"/>
      <c r="MOB153" s="1011"/>
      <c r="MOC153" s="1011"/>
      <c r="MOD153" s="1011"/>
      <c r="MOE153" s="1011"/>
      <c r="MOF153" s="1011"/>
      <c r="MOG153" s="1011"/>
      <c r="MOH153" s="1011"/>
      <c r="MOI153" s="1011"/>
      <c r="MOJ153" s="1011"/>
      <c r="MOK153" s="1011"/>
      <c r="MOL153" s="1011"/>
      <c r="MOM153" s="1011"/>
      <c r="MON153" s="1011"/>
      <c r="MOO153" s="1011"/>
      <c r="MOP153" s="1011"/>
      <c r="MOQ153" s="1011"/>
      <c r="MOR153" s="1011"/>
      <c r="MOS153" s="1011"/>
      <c r="MOT153" s="1011"/>
      <c r="MOU153" s="1011"/>
      <c r="MOV153" s="1011"/>
      <c r="MOW153" s="1011"/>
      <c r="MOX153" s="1011"/>
      <c r="MOY153" s="1011"/>
      <c r="MOZ153" s="1011"/>
      <c r="MPA153" s="1011"/>
      <c r="MPB153" s="1011"/>
      <c r="MPC153" s="1011"/>
      <c r="MPD153" s="1011"/>
      <c r="MPE153" s="1011"/>
      <c r="MPF153" s="1011"/>
      <c r="MPG153" s="1011"/>
      <c r="MPH153" s="1011"/>
      <c r="MPI153" s="1011"/>
      <c r="MPJ153" s="1011"/>
      <c r="MPK153" s="1011"/>
      <c r="MPL153" s="1011"/>
      <c r="MPM153" s="1011"/>
      <c r="MPN153" s="1011"/>
      <c r="MPO153" s="1011"/>
      <c r="MPP153" s="1011"/>
      <c r="MPQ153" s="1011"/>
      <c r="MPR153" s="1011"/>
      <c r="MPS153" s="1011"/>
      <c r="MPT153" s="1011"/>
      <c r="MPU153" s="1011"/>
      <c r="MPV153" s="1011"/>
      <c r="MPW153" s="1011"/>
      <c r="MPX153" s="1011"/>
      <c r="MPY153" s="1011"/>
      <c r="MPZ153" s="1011"/>
      <c r="MQA153" s="1011"/>
      <c r="MQB153" s="1011"/>
      <c r="MQC153" s="1011"/>
      <c r="MQD153" s="1011"/>
      <c r="MQE153" s="1011"/>
      <c r="MQF153" s="1011"/>
      <c r="MQG153" s="1011"/>
      <c r="MQH153" s="1011"/>
      <c r="MQI153" s="1011"/>
      <c r="MQJ153" s="1011"/>
      <c r="MQK153" s="1011"/>
      <c r="MQL153" s="1011"/>
      <c r="MQM153" s="1011"/>
      <c r="MQN153" s="1011"/>
      <c r="MQO153" s="1011"/>
      <c r="MQP153" s="1011"/>
      <c r="MQQ153" s="1011"/>
      <c r="MQR153" s="1011"/>
      <c r="MQS153" s="1011"/>
      <c r="MQT153" s="1011"/>
      <c r="MQU153" s="1011"/>
      <c r="MQV153" s="1011"/>
      <c r="MQW153" s="1011"/>
      <c r="MQX153" s="1011"/>
      <c r="MQY153" s="1011"/>
      <c r="MQZ153" s="1011"/>
      <c r="MRA153" s="1011"/>
      <c r="MRB153" s="1011"/>
      <c r="MRC153" s="1011"/>
      <c r="MRD153" s="1011"/>
      <c r="MRE153" s="1011"/>
      <c r="MRF153" s="1011"/>
      <c r="MRG153" s="1011"/>
      <c r="MRH153" s="1011"/>
      <c r="MRI153" s="1011"/>
      <c r="MRJ153" s="1011"/>
      <c r="MRK153" s="1011"/>
      <c r="MRL153" s="1011"/>
      <c r="MRM153" s="1011"/>
      <c r="MRN153" s="1011"/>
      <c r="MRO153" s="1011"/>
      <c r="MRP153" s="1011"/>
      <c r="MRQ153" s="1011"/>
      <c r="MRR153" s="1011"/>
      <c r="MRS153" s="1011"/>
      <c r="MRT153" s="1011"/>
      <c r="MRU153" s="1011"/>
      <c r="MRV153" s="1011"/>
      <c r="MRW153" s="1011"/>
      <c r="MRX153" s="1011"/>
      <c r="MRY153" s="1011"/>
      <c r="MRZ153" s="1011"/>
      <c r="MSA153" s="1011"/>
      <c r="MSB153" s="1011"/>
      <c r="MSC153" s="1011"/>
      <c r="MSD153" s="1011"/>
      <c r="MSE153" s="1011"/>
      <c r="MSF153" s="1011"/>
      <c r="MSG153" s="1011"/>
      <c r="MSH153" s="1011"/>
      <c r="MSI153" s="1011"/>
      <c r="MSJ153" s="1011"/>
      <c r="MSK153" s="1011"/>
      <c r="MSL153" s="1011"/>
      <c r="MSM153" s="1011"/>
      <c r="MSN153" s="1011"/>
      <c r="MSO153" s="1011"/>
      <c r="MSP153" s="1011"/>
      <c r="MSQ153" s="1011"/>
      <c r="MSR153" s="1011"/>
      <c r="MSS153" s="1011"/>
      <c r="MST153" s="1011"/>
      <c r="MSU153" s="1011"/>
      <c r="MSV153" s="1011"/>
      <c r="MSW153" s="1011"/>
      <c r="MSX153" s="1011"/>
      <c r="MSY153" s="1011"/>
      <c r="MSZ153" s="1011"/>
      <c r="MTA153" s="1011"/>
      <c r="MTB153" s="1011"/>
      <c r="MTC153" s="1011"/>
      <c r="MTD153" s="1011"/>
      <c r="MTE153" s="1011"/>
      <c r="MTF153" s="1011"/>
      <c r="MTG153" s="1011"/>
      <c r="MTH153" s="1011"/>
      <c r="MTI153" s="1011"/>
      <c r="MTJ153" s="1011"/>
      <c r="MTK153" s="1011"/>
      <c r="MTL153" s="1011"/>
      <c r="MTM153" s="1011"/>
      <c r="MTN153" s="1011"/>
      <c r="MTO153" s="1011"/>
      <c r="MTP153" s="1011"/>
      <c r="MTQ153" s="1011"/>
      <c r="MTR153" s="1011"/>
      <c r="MTS153" s="1011"/>
      <c r="MTT153" s="1011"/>
      <c r="MTU153" s="1011"/>
      <c r="MTV153" s="1011"/>
      <c r="MTW153" s="1011"/>
      <c r="MTX153" s="1011"/>
      <c r="MTY153" s="1011"/>
      <c r="MTZ153" s="1011"/>
      <c r="MUA153" s="1011"/>
      <c r="MUB153" s="1011"/>
      <c r="MUC153" s="1011"/>
      <c r="MUD153" s="1011"/>
      <c r="MUE153" s="1011"/>
      <c r="MUF153" s="1011"/>
      <c r="MUG153" s="1011"/>
      <c r="MUH153" s="1011"/>
      <c r="MUI153" s="1011"/>
      <c r="MUJ153" s="1011"/>
      <c r="MUK153" s="1011"/>
      <c r="MUL153" s="1011"/>
      <c r="MUM153" s="1011"/>
      <c r="MUN153" s="1011"/>
      <c r="MUO153" s="1011"/>
      <c r="MUP153" s="1011"/>
      <c r="MUQ153" s="1011"/>
      <c r="MUR153" s="1011"/>
      <c r="MUS153" s="1011"/>
      <c r="MUT153" s="1011"/>
      <c r="MUU153" s="1011"/>
      <c r="MUV153" s="1011"/>
      <c r="MUW153" s="1011"/>
      <c r="MUX153" s="1011"/>
      <c r="MUY153" s="1011"/>
      <c r="MUZ153" s="1011"/>
      <c r="MVA153" s="1011"/>
      <c r="MVB153" s="1011"/>
      <c r="MVC153" s="1011"/>
      <c r="MVD153" s="1011"/>
      <c r="MVE153" s="1011"/>
      <c r="MVF153" s="1011"/>
      <c r="MVG153" s="1011"/>
      <c r="MVH153" s="1011"/>
      <c r="MVI153" s="1011"/>
      <c r="MVJ153" s="1011"/>
      <c r="MVK153" s="1011"/>
      <c r="MVL153" s="1011"/>
      <c r="MVM153" s="1011"/>
      <c r="MVN153" s="1011"/>
      <c r="MVO153" s="1011"/>
      <c r="MVP153" s="1011"/>
      <c r="MVQ153" s="1011"/>
      <c r="MVR153" s="1011"/>
      <c r="MVS153" s="1011"/>
      <c r="MVT153" s="1011"/>
      <c r="MVU153" s="1011"/>
      <c r="MVV153" s="1011"/>
      <c r="MVW153" s="1011"/>
      <c r="MVX153" s="1011"/>
      <c r="MVY153" s="1011"/>
      <c r="MVZ153" s="1011"/>
      <c r="MWA153" s="1011"/>
      <c r="MWB153" s="1011"/>
      <c r="MWC153" s="1011"/>
      <c r="MWD153" s="1011"/>
      <c r="MWE153" s="1011"/>
      <c r="MWF153" s="1011"/>
      <c r="MWG153" s="1011"/>
      <c r="MWH153" s="1011"/>
      <c r="MWI153" s="1011"/>
      <c r="MWJ153" s="1011"/>
      <c r="MWK153" s="1011"/>
      <c r="MWL153" s="1011"/>
      <c r="MWM153" s="1011"/>
      <c r="MWN153" s="1011"/>
      <c r="MWO153" s="1011"/>
      <c r="MWP153" s="1011"/>
      <c r="MWQ153" s="1011"/>
      <c r="MWR153" s="1011"/>
      <c r="MWS153" s="1011"/>
      <c r="MWT153" s="1011"/>
      <c r="MWU153" s="1011"/>
      <c r="MWV153" s="1011"/>
      <c r="MWW153" s="1011"/>
      <c r="MWX153" s="1011"/>
      <c r="MWY153" s="1011"/>
      <c r="MWZ153" s="1011"/>
      <c r="MXA153" s="1011"/>
      <c r="MXB153" s="1011"/>
      <c r="MXC153" s="1011"/>
      <c r="MXD153" s="1011"/>
      <c r="MXE153" s="1011"/>
      <c r="MXF153" s="1011"/>
      <c r="MXG153" s="1011"/>
      <c r="MXH153" s="1011"/>
      <c r="MXI153" s="1011"/>
      <c r="MXJ153" s="1011"/>
      <c r="MXK153" s="1011"/>
      <c r="MXL153" s="1011"/>
      <c r="MXM153" s="1011"/>
      <c r="MXN153" s="1011"/>
      <c r="MXO153" s="1011"/>
      <c r="MXP153" s="1011"/>
      <c r="MXQ153" s="1011"/>
      <c r="MXR153" s="1011"/>
      <c r="MXS153" s="1011"/>
      <c r="MXT153" s="1011"/>
      <c r="MXU153" s="1011"/>
      <c r="MXV153" s="1011"/>
      <c r="MXW153" s="1011"/>
      <c r="MXX153" s="1011"/>
      <c r="MXY153" s="1011"/>
      <c r="MXZ153" s="1011"/>
      <c r="MYA153" s="1011"/>
      <c r="MYB153" s="1011"/>
      <c r="MYC153" s="1011"/>
      <c r="MYD153" s="1011"/>
      <c r="MYE153" s="1011"/>
      <c r="MYF153" s="1011"/>
      <c r="MYG153" s="1011"/>
      <c r="MYH153" s="1011"/>
      <c r="MYI153" s="1011"/>
      <c r="MYJ153" s="1011"/>
      <c r="MYK153" s="1011"/>
      <c r="MYL153" s="1011"/>
      <c r="MYM153" s="1011"/>
      <c r="MYN153" s="1011"/>
      <c r="MYO153" s="1011"/>
      <c r="MYP153" s="1011"/>
      <c r="MYQ153" s="1011"/>
      <c r="MYR153" s="1011"/>
      <c r="MYS153" s="1011"/>
      <c r="MYT153" s="1011"/>
      <c r="MYU153" s="1011"/>
      <c r="MYV153" s="1011"/>
      <c r="MYW153" s="1011"/>
      <c r="MYX153" s="1011"/>
      <c r="MYY153" s="1011"/>
      <c r="MYZ153" s="1011"/>
      <c r="MZA153" s="1011"/>
      <c r="MZB153" s="1011"/>
      <c r="MZC153" s="1011"/>
      <c r="MZD153" s="1011"/>
      <c r="MZE153" s="1011"/>
      <c r="MZF153" s="1011"/>
      <c r="MZG153" s="1011"/>
      <c r="MZH153" s="1011"/>
      <c r="MZI153" s="1011"/>
      <c r="MZJ153" s="1011"/>
      <c r="MZK153" s="1011"/>
      <c r="MZL153" s="1011"/>
      <c r="MZM153" s="1011"/>
      <c r="MZN153" s="1011"/>
      <c r="MZO153" s="1011"/>
      <c r="MZP153" s="1011"/>
      <c r="MZQ153" s="1011"/>
      <c r="MZR153" s="1011"/>
      <c r="MZS153" s="1011"/>
      <c r="MZT153" s="1011"/>
      <c r="MZU153" s="1011"/>
      <c r="MZV153" s="1011"/>
      <c r="MZW153" s="1011"/>
      <c r="MZX153" s="1011"/>
      <c r="MZY153" s="1011"/>
      <c r="MZZ153" s="1011"/>
      <c r="NAA153" s="1011"/>
      <c r="NAB153" s="1011"/>
      <c r="NAC153" s="1011"/>
      <c r="NAD153" s="1011"/>
      <c r="NAE153" s="1011"/>
      <c r="NAF153" s="1011"/>
      <c r="NAG153" s="1011"/>
      <c r="NAH153" s="1011"/>
      <c r="NAI153" s="1011"/>
      <c r="NAJ153" s="1011"/>
      <c r="NAK153" s="1011"/>
      <c r="NAL153" s="1011"/>
      <c r="NAM153" s="1011"/>
      <c r="NAN153" s="1011"/>
      <c r="NAO153" s="1011"/>
      <c r="NAP153" s="1011"/>
      <c r="NAQ153" s="1011"/>
      <c r="NAR153" s="1011"/>
      <c r="NAS153" s="1011"/>
      <c r="NAT153" s="1011"/>
      <c r="NAU153" s="1011"/>
      <c r="NAV153" s="1011"/>
      <c r="NAW153" s="1011"/>
      <c r="NAX153" s="1011"/>
      <c r="NAY153" s="1011"/>
      <c r="NAZ153" s="1011"/>
      <c r="NBA153" s="1011"/>
      <c r="NBB153" s="1011"/>
      <c r="NBC153" s="1011"/>
      <c r="NBD153" s="1011"/>
      <c r="NBE153" s="1011"/>
      <c r="NBF153" s="1011"/>
      <c r="NBG153" s="1011"/>
      <c r="NBH153" s="1011"/>
      <c r="NBI153" s="1011"/>
      <c r="NBJ153" s="1011"/>
      <c r="NBK153" s="1011"/>
      <c r="NBL153" s="1011"/>
      <c r="NBM153" s="1011"/>
      <c r="NBN153" s="1011"/>
      <c r="NBO153" s="1011"/>
      <c r="NBP153" s="1011"/>
      <c r="NBQ153" s="1011"/>
      <c r="NBR153" s="1011"/>
      <c r="NBS153" s="1011"/>
      <c r="NBT153" s="1011"/>
      <c r="NBU153" s="1011"/>
      <c r="NBV153" s="1011"/>
      <c r="NBW153" s="1011"/>
      <c r="NBX153" s="1011"/>
      <c r="NBY153" s="1011"/>
      <c r="NBZ153" s="1011"/>
      <c r="NCA153" s="1011"/>
      <c r="NCB153" s="1011"/>
      <c r="NCC153" s="1011"/>
      <c r="NCD153" s="1011"/>
      <c r="NCE153" s="1011"/>
      <c r="NCF153" s="1011"/>
      <c r="NCG153" s="1011"/>
      <c r="NCH153" s="1011"/>
      <c r="NCI153" s="1011"/>
      <c r="NCJ153" s="1011"/>
      <c r="NCK153" s="1011"/>
      <c r="NCL153" s="1011"/>
      <c r="NCM153" s="1011"/>
      <c r="NCN153" s="1011"/>
      <c r="NCO153" s="1011"/>
      <c r="NCP153" s="1011"/>
      <c r="NCQ153" s="1011"/>
      <c r="NCR153" s="1011"/>
      <c r="NCS153" s="1011"/>
      <c r="NCT153" s="1011"/>
      <c r="NCU153" s="1011"/>
      <c r="NCV153" s="1011"/>
      <c r="NCW153" s="1011"/>
      <c r="NCX153" s="1011"/>
      <c r="NCY153" s="1011"/>
      <c r="NCZ153" s="1011"/>
      <c r="NDA153" s="1011"/>
      <c r="NDB153" s="1011"/>
      <c r="NDC153" s="1011"/>
      <c r="NDD153" s="1011"/>
      <c r="NDE153" s="1011"/>
      <c r="NDF153" s="1011"/>
      <c r="NDG153" s="1011"/>
      <c r="NDH153" s="1011"/>
      <c r="NDI153" s="1011"/>
      <c r="NDJ153" s="1011"/>
      <c r="NDK153" s="1011"/>
      <c r="NDL153" s="1011"/>
      <c r="NDM153" s="1011"/>
      <c r="NDN153" s="1011"/>
      <c r="NDO153" s="1011"/>
      <c r="NDP153" s="1011"/>
      <c r="NDQ153" s="1011"/>
      <c r="NDR153" s="1011"/>
      <c r="NDS153" s="1011"/>
      <c r="NDT153" s="1011"/>
      <c r="NDU153" s="1011"/>
      <c r="NDV153" s="1011"/>
      <c r="NDW153" s="1011"/>
      <c r="NDX153" s="1011"/>
      <c r="NDY153" s="1011"/>
      <c r="NDZ153" s="1011"/>
      <c r="NEA153" s="1011"/>
      <c r="NEB153" s="1011"/>
      <c r="NEC153" s="1011"/>
      <c r="NED153" s="1011"/>
      <c r="NEE153" s="1011"/>
      <c r="NEF153" s="1011"/>
      <c r="NEG153" s="1011"/>
      <c r="NEH153" s="1011"/>
      <c r="NEI153" s="1011"/>
      <c r="NEJ153" s="1011"/>
      <c r="NEK153" s="1011"/>
      <c r="NEL153" s="1011"/>
      <c r="NEM153" s="1011"/>
      <c r="NEN153" s="1011"/>
      <c r="NEO153" s="1011"/>
      <c r="NEP153" s="1011"/>
      <c r="NEQ153" s="1011"/>
      <c r="NER153" s="1011"/>
      <c r="NES153" s="1011"/>
      <c r="NET153" s="1011"/>
      <c r="NEU153" s="1011"/>
      <c r="NEV153" s="1011"/>
      <c r="NEW153" s="1011"/>
      <c r="NEX153" s="1011"/>
      <c r="NEY153" s="1011"/>
      <c r="NEZ153" s="1011"/>
      <c r="NFA153" s="1011"/>
      <c r="NFB153" s="1011"/>
      <c r="NFC153" s="1011"/>
      <c r="NFD153" s="1011"/>
      <c r="NFE153" s="1011"/>
      <c r="NFF153" s="1011"/>
      <c r="NFG153" s="1011"/>
      <c r="NFH153" s="1011"/>
      <c r="NFI153" s="1011"/>
      <c r="NFJ153" s="1011"/>
      <c r="NFK153" s="1011"/>
      <c r="NFL153" s="1011"/>
      <c r="NFM153" s="1011"/>
      <c r="NFN153" s="1011"/>
      <c r="NFO153" s="1011"/>
      <c r="NFP153" s="1011"/>
      <c r="NFQ153" s="1011"/>
      <c r="NFR153" s="1011"/>
      <c r="NFS153" s="1011"/>
      <c r="NFT153" s="1011"/>
      <c r="NFU153" s="1011"/>
      <c r="NFV153" s="1011"/>
      <c r="NFW153" s="1011"/>
      <c r="NFX153" s="1011"/>
      <c r="NFY153" s="1011"/>
      <c r="NFZ153" s="1011"/>
      <c r="NGA153" s="1011"/>
      <c r="NGB153" s="1011"/>
      <c r="NGC153" s="1011"/>
      <c r="NGD153" s="1011"/>
      <c r="NGE153" s="1011"/>
      <c r="NGF153" s="1011"/>
      <c r="NGG153" s="1011"/>
      <c r="NGH153" s="1011"/>
      <c r="NGI153" s="1011"/>
      <c r="NGJ153" s="1011"/>
      <c r="NGK153" s="1011"/>
      <c r="NGL153" s="1011"/>
      <c r="NGM153" s="1011"/>
      <c r="NGN153" s="1011"/>
      <c r="NGO153" s="1011"/>
      <c r="NGP153" s="1011"/>
      <c r="NGQ153" s="1011"/>
      <c r="NGR153" s="1011"/>
      <c r="NGS153" s="1011"/>
      <c r="NGT153" s="1011"/>
      <c r="NGU153" s="1011"/>
      <c r="NGV153" s="1011"/>
      <c r="NGW153" s="1011"/>
      <c r="NGX153" s="1011"/>
      <c r="NGY153" s="1011"/>
      <c r="NGZ153" s="1011"/>
      <c r="NHA153" s="1011"/>
      <c r="NHB153" s="1011"/>
      <c r="NHC153" s="1011"/>
      <c r="NHD153" s="1011"/>
      <c r="NHE153" s="1011"/>
      <c r="NHF153" s="1011"/>
      <c r="NHG153" s="1011"/>
      <c r="NHH153" s="1011"/>
      <c r="NHI153" s="1011"/>
      <c r="NHJ153" s="1011"/>
      <c r="NHK153" s="1011"/>
      <c r="NHL153" s="1011"/>
      <c r="NHM153" s="1011"/>
      <c r="NHN153" s="1011"/>
      <c r="NHO153" s="1011"/>
      <c r="NHP153" s="1011"/>
      <c r="NHQ153" s="1011"/>
      <c r="NHR153" s="1011"/>
      <c r="NHS153" s="1011"/>
      <c r="NHT153" s="1011"/>
      <c r="NHU153" s="1011"/>
      <c r="NHV153" s="1011"/>
      <c r="NHW153" s="1011"/>
      <c r="NHX153" s="1011"/>
      <c r="NHY153" s="1011"/>
      <c r="NHZ153" s="1011"/>
      <c r="NIA153" s="1011"/>
      <c r="NIB153" s="1011"/>
      <c r="NIC153" s="1011"/>
      <c r="NID153" s="1011"/>
      <c r="NIE153" s="1011"/>
      <c r="NIF153" s="1011"/>
      <c r="NIG153" s="1011"/>
      <c r="NIH153" s="1011"/>
      <c r="NII153" s="1011"/>
      <c r="NIJ153" s="1011"/>
      <c r="NIK153" s="1011"/>
      <c r="NIL153" s="1011"/>
      <c r="NIM153" s="1011"/>
      <c r="NIN153" s="1011"/>
      <c r="NIO153" s="1011"/>
      <c r="NIP153" s="1011"/>
      <c r="NIQ153" s="1011"/>
      <c r="NIR153" s="1011"/>
      <c r="NIS153" s="1011"/>
      <c r="NIT153" s="1011"/>
      <c r="NIU153" s="1011"/>
      <c r="NIV153" s="1011"/>
      <c r="NIW153" s="1011"/>
      <c r="NIX153" s="1011"/>
      <c r="NIY153" s="1011"/>
      <c r="NIZ153" s="1011"/>
      <c r="NJA153" s="1011"/>
      <c r="NJB153" s="1011"/>
      <c r="NJC153" s="1011"/>
      <c r="NJD153" s="1011"/>
      <c r="NJE153" s="1011"/>
      <c r="NJF153" s="1011"/>
      <c r="NJG153" s="1011"/>
      <c r="NJH153" s="1011"/>
      <c r="NJI153" s="1011"/>
      <c r="NJJ153" s="1011"/>
      <c r="NJK153" s="1011"/>
      <c r="NJL153" s="1011"/>
      <c r="NJM153" s="1011"/>
      <c r="NJN153" s="1011"/>
      <c r="NJO153" s="1011"/>
      <c r="NJP153" s="1011"/>
      <c r="NJQ153" s="1011"/>
      <c r="NJR153" s="1011"/>
      <c r="NJS153" s="1011"/>
      <c r="NJT153" s="1011"/>
      <c r="NJU153" s="1011"/>
      <c r="NJV153" s="1011"/>
      <c r="NJW153" s="1011"/>
      <c r="NJX153" s="1011"/>
      <c r="NJY153" s="1011"/>
      <c r="NJZ153" s="1011"/>
      <c r="NKA153" s="1011"/>
      <c r="NKB153" s="1011"/>
      <c r="NKC153" s="1011"/>
      <c r="NKD153" s="1011"/>
      <c r="NKE153" s="1011"/>
      <c r="NKF153" s="1011"/>
      <c r="NKG153" s="1011"/>
      <c r="NKH153" s="1011"/>
      <c r="NKI153" s="1011"/>
      <c r="NKJ153" s="1011"/>
      <c r="NKK153" s="1011"/>
      <c r="NKL153" s="1011"/>
      <c r="NKM153" s="1011"/>
      <c r="NKN153" s="1011"/>
      <c r="NKO153" s="1011"/>
      <c r="NKP153" s="1011"/>
      <c r="NKQ153" s="1011"/>
      <c r="NKR153" s="1011"/>
      <c r="NKS153" s="1011"/>
      <c r="NKT153" s="1011"/>
      <c r="NKU153" s="1011"/>
      <c r="NKV153" s="1011"/>
      <c r="NKW153" s="1011"/>
      <c r="NKX153" s="1011"/>
      <c r="NKY153" s="1011"/>
      <c r="NKZ153" s="1011"/>
      <c r="NLA153" s="1011"/>
      <c r="NLB153" s="1011"/>
      <c r="NLC153" s="1011"/>
      <c r="NLD153" s="1011"/>
      <c r="NLE153" s="1011"/>
      <c r="NLF153" s="1011"/>
      <c r="NLG153" s="1011"/>
      <c r="NLH153" s="1011"/>
      <c r="NLI153" s="1011"/>
      <c r="NLJ153" s="1011"/>
      <c r="NLK153" s="1011"/>
      <c r="NLL153" s="1011"/>
      <c r="NLM153" s="1011"/>
      <c r="NLN153" s="1011"/>
      <c r="NLO153" s="1011"/>
      <c r="NLP153" s="1011"/>
      <c r="NLQ153" s="1011"/>
      <c r="NLR153" s="1011"/>
      <c r="NLS153" s="1011"/>
      <c r="NLT153" s="1011"/>
      <c r="NLU153" s="1011"/>
      <c r="NLV153" s="1011"/>
      <c r="NLW153" s="1011"/>
      <c r="NLX153" s="1011"/>
      <c r="NLY153" s="1011"/>
      <c r="NLZ153" s="1011"/>
      <c r="NMA153" s="1011"/>
      <c r="NMB153" s="1011"/>
      <c r="NMC153" s="1011"/>
      <c r="NMD153" s="1011"/>
      <c r="NME153" s="1011"/>
      <c r="NMF153" s="1011"/>
      <c r="NMG153" s="1011"/>
      <c r="NMH153" s="1011"/>
      <c r="NMI153" s="1011"/>
      <c r="NMJ153" s="1011"/>
      <c r="NMK153" s="1011"/>
      <c r="NML153" s="1011"/>
      <c r="NMM153" s="1011"/>
      <c r="NMN153" s="1011"/>
      <c r="NMO153" s="1011"/>
      <c r="NMP153" s="1011"/>
      <c r="NMQ153" s="1011"/>
      <c r="NMR153" s="1011"/>
      <c r="NMS153" s="1011"/>
      <c r="NMT153" s="1011"/>
      <c r="NMU153" s="1011"/>
      <c r="NMV153" s="1011"/>
      <c r="NMW153" s="1011"/>
      <c r="NMX153" s="1011"/>
      <c r="NMY153" s="1011"/>
      <c r="NMZ153" s="1011"/>
      <c r="NNA153" s="1011"/>
      <c r="NNB153" s="1011"/>
      <c r="NNC153" s="1011"/>
      <c r="NND153" s="1011"/>
      <c r="NNE153" s="1011"/>
      <c r="NNF153" s="1011"/>
      <c r="NNG153" s="1011"/>
      <c r="NNH153" s="1011"/>
      <c r="NNI153" s="1011"/>
      <c r="NNJ153" s="1011"/>
      <c r="NNK153" s="1011"/>
      <c r="NNL153" s="1011"/>
      <c r="NNM153" s="1011"/>
      <c r="NNN153" s="1011"/>
      <c r="NNO153" s="1011"/>
      <c r="NNP153" s="1011"/>
      <c r="NNQ153" s="1011"/>
      <c r="NNR153" s="1011"/>
      <c r="NNS153" s="1011"/>
      <c r="NNT153" s="1011"/>
      <c r="NNU153" s="1011"/>
      <c r="NNV153" s="1011"/>
      <c r="NNW153" s="1011"/>
      <c r="NNX153" s="1011"/>
      <c r="NNY153" s="1011"/>
      <c r="NNZ153" s="1011"/>
      <c r="NOA153" s="1011"/>
      <c r="NOB153" s="1011"/>
      <c r="NOC153" s="1011"/>
      <c r="NOD153" s="1011"/>
      <c r="NOE153" s="1011"/>
      <c r="NOF153" s="1011"/>
      <c r="NOG153" s="1011"/>
      <c r="NOH153" s="1011"/>
      <c r="NOI153" s="1011"/>
      <c r="NOJ153" s="1011"/>
      <c r="NOK153" s="1011"/>
      <c r="NOL153" s="1011"/>
      <c r="NOM153" s="1011"/>
      <c r="NON153" s="1011"/>
      <c r="NOO153" s="1011"/>
      <c r="NOP153" s="1011"/>
      <c r="NOQ153" s="1011"/>
      <c r="NOR153" s="1011"/>
      <c r="NOS153" s="1011"/>
      <c r="NOT153" s="1011"/>
      <c r="NOU153" s="1011"/>
      <c r="NOV153" s="1011"/>
      <c r="NOW153" s="1011"/>
      <c r="NOX153" s="1011"/>
      <c r="NOY153" s="1011"/>
      <c r="NOZ153" s="1011"/>
      <c r="NPA153" s="1011"/>
      <c r="NPB153" s="1011"/>
      <c r="NPC153" s="1011"/>
      <c r="NPD153" s="1011"/>
      <c r="NPE153" s="1011"/>
      <c r="NPF153" s="1011"/>
      <c r="NPG153" s="1011"/>
      <c r="NPH153" s="1011"/>
      <c r="NPI153" s="1011"/>
      <c r="NPJ153" s="1011"/>
      <c r="NPK153" s="1011"/>
      <c r="NPL153" s="1011"/>
      <c r="NPM153" s="1011"/>
      <c r="NPN153" s="1011"/>
      <c r="NPO153" s="1011"/>
      <c r="NPP153" s="1011"/>
      <c r="NPQ153" s="1011"/>
      <c r="NPR153" s="1011"/>
      <c r="NPS153" s="1011"/>
      <c r="NPT153" s="1011"/>
      <c r="NPU153" s="1011"/>
      <c r="NPV153" s="1011"/>
      <c r="NPW153" s="1011"/>
      <c r="NPX153" s="1011"/>
      <c r="NPY153" s="1011"/>
      <c r="NPZ153" s="1011"/>
      <c r="NQA153" s="1011"/>
      <c r="NQB153" s="1011"/>
      <c r="NQC153" s="1011"/>
      <c r="NQD153" s="1011"/>
      <c r="NQE153" s="1011"/>
      <c r="NQF153" s="1011"/>
      <c r="NQG153" s="1011"/>
      <c r="NQH153" s="1011"/>
      <c r="NQI153" s="1011"/>
      <c r="NQJ153" s="1011"/>
      <c r="NQK153" s="1011"/>
      <c r="NQL153" s="1011"/>
      <c r="NQM153" s="1011"/>
      <c r="NQN153" s="1011"/>
      <c r="NQO153" s="1011"/>
      <c r="NQP153" s="1011"/>
      <c r="NQQ153" s="1011"/>
      <c r="NQR153" s="1011"/>
      <c r="NQS153" s="1011"/>
      <c r="NQT153" s="1011"/>
      <c r="NQU153" s="1011"/>
      <c r="NQV153" s="1011"/>
      <c r="NQW153" s="1011"/>
      <c r="NQX153" s="1011"/>
      <c r="NQY153" s="1011"/>
      <c r="NQZ153" s="1011"/>
      <c r="NRA153" s="1011"/>
      <c r="NRB153" s="1011"/>
      <c r="NRC153" s="1011"/>
      <c r="NRD153" s="1011"/>
      <c r="NRE153" s="1011"/>
      <c r="NRF153" s="1011"/>
      <c r="NRG153" s="1011"/>
      <c r="NRH153" s="1011"/>
      <c r="NRI153" s="1011"/>
      <c r="NRJ153" s="1011"/>
      <c r="NRK153" s="1011"/>
      <c r="NRL153" s="1011"/>
      <c r="NRM153" s="1011"/>
      <c r="NRN153" s="1011"/>
      <c r="NRO153" s="1011"/>
      <c r="NRP153" s="1011"/>
      <c r="NRQ153" s="1011"/>
      <c r="NRR153" s="1011"/>
      <c r="NRS153" s="1011"/>
      <c r="NRT153" s="1011"/>
      <c r="NRU153" s="1011"/>
      <c r="NRV153" s="1011"/>
      <c r="NRW153" s="1011"/>
      <c r="NRX153" s="1011"/>
      <c r="NRY153" s="1011"/>
      <c r="NRZ153" s="1011"/>
      <c r="NSA153" s="1011"/>
      <c r="NSB153" s="1011"/>
      <c r="NSC153" s="1011"/>
      <c r="NSD153" s="1011"/>
      <c r="NSE153" s="1011"/>
      <c r="NSF153" s="1011"/>
      <c r="NSG153" s="1011"/>
      <c r="NSH153" s="1011"/>
      <c r="NSI153" s="1011"/>
      <c r="NSJ153" s="1011"/>
      <c r="NSK153" s="1011"/>
      <c r="NSL153" s="1011"/>
      <c r="NSM153" s="1011"/>
      <c r="NSN153" s="1011"/>
      <c r="NSO153" s="1011"/>
      <c r="NSP153" s="1011"/>
      <c r="NSQ153" s="1011"/>
      <c r="NSR153" s="1011"/>
      <c r="NSS153" s="1011"/>
      <c r="NST153" s="1011"/>
      <c r="NSU153" s="1011"/>
      <c r="NSV153" s="1011"/>
      <c r="NSW153" s="1011"/>
      <c r="NSX153" s="1011"/>
      <c r="NSY153" s="1011"/>
      <c r="NSZ153" s="1011"/>
      <c r="NTA153" s="1011"/>
      <c r="NTB153" s="1011"/>
      <c r="NTC153" s="1011"/>
      <c r="NTD153" s="1011"/>
      <c r="NTE153" s="1011"/>
      <c r="NTF153" s="1011"/>
      <c r="NTG153" s="1011"/>
      <c r="NTH153" s="1011"/>
      <c r="NTI153" s="1011"/>
      <c r="NTJ153" s="1011"/>
      <c r="NTK153" s="1011"/>
      <c r="NTL153" s="1011"/>
      <c r="NTM153" s="1011"/>
      <c r="NTN153" s="1011"/>
      <c r="NTO153" s="1011"/>
      <c r="NTP153" s="1011"/>
      <c r="NTQ153" s="1011"/>
      <c r="NTR153" s="1011"/>
      <c r="NTS153" s="1011"/>
      <c r="NTT153" s="1011"/>
      <c r="NTU153" s="1011"/>
      <c r="NTV153" s="1011"/>
      <c r="NTW153" s="1011"/>
      <c r="NTX153" s="1011"/>
      <c r="NTY153" s="1011"/>
      <c r="NTZ153" s="1011"/>
      <c r="NUA153" s="1011"/>
      <c r="NUB153" s="1011"/>
      <c r="NUC153" s="1011"/>
      <c r="NUD153" s="1011"/>
      <c r="NUE153" s="1011"/>
      <c r="NUF153" s="1011"/>
      <c r="NUG153" s="1011"/>
      <c r="NUH153" s="1011"/>
      <c r="NUI153" s="1011"/>
      <c r="NUJ153" s="1011"/>
      <c r="NUK153" s="1011"/>
      <c r="NUL153" s="1011"/>
      <c r="NUM153" s="1011"/>
      <c r="NUN153" s="1011"/>
      <c r="NUO153" s="1011"/>
      <c r="NUP153" s="1011"/>
      <c r="NUQ153" s="1011"/>
      <c r="NUR153" s="1011"/>
      <c r="NUS153" s="1011"/>
      <c r="NUT153" s="1011"/>
      <c r="NUU153" s="1011"/>
      <c r="NUV153" s="1011"/>
      <c r="NUW153" s="1011"/>
      <c r="NUX153" s="1011"/>
      <c r="NUY153" s="1011"/>
      <c r="NUZ153" s="1011"/>
      <c r="NVA153" s="1011"/>
      <c r="NVB153" s="1011"/>
      <c r="NVC153" s="1011"/>
      <c r="NVD153" s="1011"/>
      <c r="NVE153" s="1011"/>
      <c r="NVF153" s="1011"/>
      <c r="NVG153" s="1011"/>
      <c r="NVH153" s="1011"/>
      <c r="NVI153" s="1011"/>
      <c r="NVJ153" s="1011"/>
      <c r="NVK153" s="1011"/>
      <c r="NVL153" s="1011"/>
      <c r="NVM153" s="1011"/>
      <c r="NVN153" s="1011"/>
      <c r="NVO153" s="1011"/>
      <c r="NVP153" s="1011"/>
      <c r="NVQ153" s="1011"/>
      <c r="NVR153" s="1011"/>
      <c r="NVS153" s="1011"/>
      <c r="NVT153" s="1011"/>
      <c r="NVU153" s="1011"/>
      <c r="NVV153" s="1011"/>
      <c r="NVW153" s="1011"/>
      <c r="NVX153" s="1011"/>
      <c r="NVY153" s="1011"/>
      <c r="NVZ153" s="1011"/>
      <c r="NWA153" s="1011"/>
      <c r="NWB153" s="1011"/>
      <c r="NWC153" s="1011"/>
      <c r="NWD153" s="1011"/>
      <c r="NWE153" s="1011"/>
      <c r="NWF153" s="1011"/>
      <c r="NWG153" s="1011"/>
      <c r="NWH153" s="1011"/>
      <c r="NWI153" s="1011"/>
      <c r="NWJ153" s="1011"/>
      <c r="NWK153" s="1011"/>
      <c r="NWL153" s="1011"/>
      <c r="NWM153" s="1011"/>
      <c r="NWN153" s="1011"/>
      <c r="NWO153" s="1011"/>
      <c r="NWP153" s="1011"/>
      <c r="NWQ153" s="1011"/>
      <c r="NWR153" s="1011"/>
      <c r="NWS153" s="1011"/>
      <c r="NWT153" s="1011"/>
      <c r="NWU153" s="1011"/>
      <c r="NWV153" s="1011"/>
      <c r="NWW153" s="1011"/>
      <c r="NWX153" s="1011"/>
      <c r="NWY153" s="1011"/>
      <c r="NWZ153" s="1011"/>
      <c r="NXA153" s="1011"/>
      <c r="NXB153" s="1011"/>
      <c r="NXC153" s="1011"/>
      <c r="NXD153" s="1011"/>
      <c r="NXE153" s="1011"/>
      <c r="NXF153" s="1011"/>
      <c r="NXG153" s="1011"/>
      <c r="NXH153" s="1011"/>
      <c r="NXI153" s="1011"/>
      <c r="NXJ153" s="1011"/>
      <c r="NXK153" s="1011"/>
      <c r="NXL153" s="1011"/>
      <c r="NXM153" s="1011"/>
      <c r="NXN153" s="1011"/>
      <c r="NXO153" s="1011"/>
      <c r="NXP153" s="1011"/>
      <c r="NXQ153" s="1011"/>
      <c r="NXR153" s="1011"/>
      <c r="NXS153" s="1011"/>
      <c r="NXT153" s="1011"/>
      <c r="NXU153" s="1011"/>
      <c r="NXV153" s="1011"/>
      <c r="NXW153" s="1011"/>
      <c r="NXX153" s="1011"/>
      <c r="NXY153" s="1011"/>
      <c r="NXZ153" s="1011"/>
      <c r="NYA153" s="1011"/>
      <c r="NYB153" s="1011"/>
      <c r="NYC153" s="1011"/>
      <c r="NYD153" s="1011"/>
      <c r="NYE153" s="1011"/>
      <c r="NYF153" s="1011"/>
      <c r="NYG153" s="1011"/>
      <c r="NYH153" s="1011"/>
      <c r="NYI153" s="1011"/>
      <c r="NYJ153" s="1011"/>
      <c r="NYK153" s="1011"/>
      <c r="NYL153" s="1011"/>
      <c r="NYM153" s="1011"/>
      <c r="NYN153" s="1011"/>
      <c r="NYO153" s="1011"/>
      <c r="NYP153" s="1011"/>
      <c r="NYQ153" s="1011"/>
      <c r="NYR153" s="1011"/>
      <c r="NYS153" s="1011"/>
      <c r="NYT153" s="1011"/>
      <c r="NYU153" s="1011"/>
      <c r="NYV153" s="1011"/>
      <c r="NYW153" s="1011"/>
      <c r="NYX153" s="1011"/>
      <c r="NYY153" s="1011"/>
      <c r="NYZ153" s="1011"/>
      <c r="NZA153" s="1011"/>
      <c r="NZB153" s="1011"/>
      <c r="NZC153" s="1011"/>
      <c r="NZD153" s="1011"/>
      <c r="NZE153" s="1011"/>
      <c r="NZF153" s="1011"/>
      <c r="NZG153" s="1011"/>
      <c r="NZH153" s="1011"/>
      <c r="NZI153" s="1011"/>
      <c r="NZJ153" s="1011"/>
      <c r="NZK153" s="1011"/>
      <c r="NZL153" s="1011"/>
      <c r="NZM153" s="1011"/>
      <c r="NZN153" s="1011"/>
      <c r="NZO153" s="1011"/>
      <c r="NZP153" s="1011"/>
      <c r="NZQ153" s="1011"/>
      <c r="NZR153" s="1011"/>
      <c r="NZS153" s="1011"/>
      <c r="NZT153" s="1011"/>
      <c r="NZU153" s="1011"/>
      <c r="NZV153" s="1011"/>
      <c r="NZW153" s="1011"/>
      <c r="NZX153" s="1011"/>
      <c r="NZY153" s="1011"/>
      <c r="NZZ153" s="1011"/>
      <c r="OAA153" s="1011"/>
      <c r="OAB153" s="1011"/>
      <c r="OAC153" s="1011"/>
      <c r="OAD153" s="1011"/>
      <c r="OAE153" s="1011"/>
      <c r="OAF153" s="1011"/>
      <c r="OAG153" s="1011"/>
      <c r="OAH153" s="1011"/>
      <c r="OAI153" s="1011"/>
      <c r="OAJ153" s="1011"/>
      <c r="OAK153" s="1011"/>
      <c r="OAL153" s="1011"/>
      <c r="OAM153" s="1011"/>
      <c r="OAN153" s="1011"/>
      <c r="OAO153" s="1011"/>
      <c r="OAP153" s="1011"/>
      <c r="OAQ153" s="1011"/>
      <c r="OAR153" s="1011"/>
      <c r="OAS153" s="1011"/>
      <c r="OAT153" s="1011"/>
      <c r="OAU153" s="1011"/>
      <c r="OAV153" s="1011"/>
      <c r="OAW153" s="1011"/>
      <c r="OAX153" s="1011"/>
      <c r="OAY153" s="1011"/>
      <c r="OAZ153" s="1011"/>
      <c r="OBA153" s="1011"/>
      <c r="OBB153" s="1011"/>
      <c r="OBC153" s="1011"/>
      <c r="OBD153" s="1011"/>
      <c r="OBE153" s="1011"/>
      <c r="OBF153" s="1011"/>
      <c r="OBG153" s="1011"/>
      <c r="OBH153" s="1011"/>
      <c r="OBI153" s="1011"/>
      <c r="OBJ153" s="1011"/>
      <c r="OBK153" s="1011"/>
      <c r="OBL153" s="1011"/>
      <c r="OBM153" s="1011"/>
      <c r="OBN153" s="1011"/>
      <c r="OBO153" s="1011"/>
      <c r="OBP153" s="1011"/>
      <c r="OBQ153" s="1011"/>
      <c r="OBR153" s="1011"/>
      <c r="OBS153" s="1011"/>
      <c r="OBT153" s="1011"/>
      <c r="OBU153" s="1011"/>
      <c r="OBV153" s="1011"/>
      <c r="OBW153" s="1011"/>
      <c r="OBX153" s="1011"/>
      <c r="OBY153" s="1011"/>
      <c r="OBZ153" s="1011"/>
      <c r="OCA153" s="1011"/>
      <c r="OCB153" s="1011"/>
      <c r="OCC153" s="1011"/>
      <c r="OCD153" s="1011"/>
      <c r="OCE153" s="1011"/>
      <c r="OCF153" s="1011"/>
      <c r="OCG153" s="1011"/>
      <c r="OCH153" s="1011"/>
      <c r="OCI153" s="1011"/>
      <c r="OCJ153" s="1011"/>
      <c r="OCK153" s="1011"/>
      <c r="OCL153" s="1011"/>
      <c r="OCM153" s="1011"/>
      <c r="OCN153" s="1011"/>
      <c r="OCO153" s="1011"/>
      <c r="OCP153" s="1011"/>
      <c r="OCQ153" s="1011"/>
      <c r="OCR153" s="1011"/>
      <c r="OCS153" s="1011"/>
      <c r="OCT153" s="1011"/>
      <c r="OCU153" s="1011"/>
      <c r="OCV153" s="1011"/>
      <c r="OCW153" s="1011"/>
      <c r="OCX153" s="1011"/>
      <c r="OCY153" s="1011"/>
      <c r="OCZ153" s="1011"/>
      <c r="ODA153" s="1011"/>
      <c r="ODB153" s="1011"/>
      <c r="ODC153" s="1011"/>
      <c r="ODD153" s="1011"/>
      <c r="ODE153" s="1011"/>
      <c r="ODF153" s="1011"/>
      <c r="ODG153" s="1011"/>
      <c r="ODH153" s="1011"/>
      <c r="ODI153" s="1011"/>
      <c r="ODJ153" s="1011"/>
      <c r="ODK153" s="1011"/>
      <c r="ODL153" s="1011"/>
      <c r="ODM153" s="1011"/>
      <c r="ODN153" s="1011"/>
      <c r="ODO153" s="1011"/>
      <c r="ODP153" s="1011"/>
      <c r="ODQ153" s="1011"/>
      <c r="ODR153" s="1011"/>
      <c r="ODS153" s="1011"/>
      <c r="ODT153" s="1011"/>
      <c r="ODU153" s="1011"/>
      <c r="ODV153" s="1011"/>
      <c r="ODW153" s="1011"/>
      <c r="ODX153" s="1011"/>
      <c r="ODY153" s="1011"/>
      <c r="ODZ153" s="1011"/>
      <c r="OEA153" s="1011"/>
      <c r="OEB153" s="1011"/>
      <c r="OEC153" s="1011"/>
      <c r="OED153" s="1011"/>
      <c r="OEE153" s="1011"/>
      <c r="OEF153" s="1011"/>
      <c r="OEG153" s="1011"/>
      <c r="OEH153" s="1011"/>
      <c r="OEI153" s="1011"/>
      <c r="OEJ153" s="1011"/>
      <c r="OEK153" s="1011"/>
      <c r="OEL153" s="1011"/>
      <c r="OEM153" s="1011"/>
      <c r="OEN153" s="1011"/>
      <c r="OEO153" s="1011"/>
      <c r="OEP153" s="1011"/>
      <c r="OEQ153" s="1011"/>
      <c r="OER153" s="1011"/>
      <c r="OES153" s="1011"/>
      <c r="OET153" s="1011"/>
      <c r="OEU153" s="1011"/>
      <c r="OEV153" s="1011"/>
      <c r="OEW153" s="1011"/>
      <c r="OEX153" s="1011"/>
      <c r="OEY153" s="1011"/>
      <c r="OEZ153" s="1011"/>
      <c r="OFA153" s="1011"/>
      <c r="OFB153" s="1011"/>
      <c r="OFC153" s="1011"/>
      <c r="OFD153" s="1011"/>
      <c r="OFE153" s="1011"/>
      <c r="OFF153" s="1011"/>
      <c r="OFG153" s="1011"/>
      <c r="OFH153" s="1011"/>
      <c r="OFI153" s="1011"/>
      <c r="OFJ153" s="1011"/>
      <c r="OFK153" s="1011"/>
      <c r="OFL153" s="1011"/>
      <c r="OFM153" s="1011"/>
      <c r="OFN153" s="1011"/>
      <c r="OFO153" s="1011"/>
      <c r="OFP153" s="1011"/>
      <c r="OFQ153" s="1011"/>
      <c r="OFR153" s="1011"/>
      <c r="OFS153" s="1011"/>
      <c r="OFT153" s="1011"/>
      <c r="OFU153" s="1011"/>
      <c r="OFV153" s="1011"/>
      <c r="OFW153" s="1011"/>
      <c r="OFX153" s="1011"/>
      <c r="OFY153" s="1011"/>
      <c r="OFZ153" s="1011"/>
      <c r="OGA153" s="1011"/>
      <c r="OGB153" s="1011"/>
      <c r="OGC153" s="1011"/>
      <c r="OGD153" s="1011"/>
      <c r="OGE153" s="1011"/>
      <c r="OGF153" s="1011"/>
      <c r="OGG153" s="1011"/>
      <c r="OGH153" s="1011"/>
      <c r="OGI153" s="1011"/>
      <c r="OGJ153" s="1011"/>
      <c r="OGK153" s="1011"/>
      <c r="OGL153" s="1011"/>
      <c r="OGM153" s="1011"/>
      <c r="OGN153" s="1011"/>
      <c r="OGO153" s="1011"/>
      <c r="OGP153" s="1011"/>
      <c r="OGQ153" s="1011"/>
      <c r="OGR153" s="1011"/>
      <c r="OGS153" s="1011"/>
      <c r="OGT153" s="1011"/>
      <c r="OGU153" s="1011"/>
      <c r="OGV153" s="1011"/>
      <c r="OGW153" s="1011"/>
      <c r="OGX153" s="1011"/>
      <c r="OGY153" s="1011"/>
      <c r="OGZ153" s="1011"/>
      <c r="OHA153" s="1011"/>
      <c r="OHB153" s="1011"/>
      <c r="OHC153" s="1011"/>
      <c r="OHD153" s="1011"/>
      <c r="OHE153" s="1011"/>
      <c r="OHF153" s="1011"/>
      <c r="OHG153" s="1011"/>
      <c r="OHH153" s="1011"/>
      <c r="OHI153" s="1011"/>
      <c r="OHJ153" s="1011"/>
      <c r="OHK153" s="1011"/>
      <c r="OHL153" s="1011"/>
      <c r="OHM153" s="1011"/>
      <c r="OHN153" s="1011"/>
      <c r="OHO153" s="1011"/>
      <c r="OHP153" s="1011"/>
      <c r="OHQ153" s="1011"/>
      <c r="OHR153" s="1011"/>
      <c r="OHS153" s="1011"/>
      <c r="OHT153" s="1011"/>
      <c r="OHU153" s="1011"/>
      <c r="OHV153" s="1011"/>
      <c r="OHW153" s="1011"/>
      <c r="OHX153" s="1011"/>
      <c r="OHY153" s="1011"/>
      <c r="OHZ153" s="1011"/>
      <c r="OIA153" s="1011"/>
      <c r="OIB153" s="1011"/>
      <c r="OIC153" s="1011"/>
      <c r="OID153" s="1011"/>
      <c r="OIE153" s="1011"/>
      <c r="OIF153" s="1011"/>
      <c r="OIG153" s="1011"/>
      <c r="OIH153" s="1011"/>
      <c r="OII153" s="1011"/>
      <c r="OIJ153" s="1011"/>
      <c r="OIK153" s="1011"/>
      <c r="OIL153" s="1011"/>
      <c r="OIM153" s="1011"/>
      <c r="OIN153" s="1011"/>
      <c r="OIO153" s="1011"/>
      <c r="OIP153" s="1011"/>
      <c r="OIQ153" s="1011"/>
      <c r="OIR153" s="1011"/>
      <c r="OIS153" s="1011"/>
      <c r="OIT153" s="1011"/>
      <c r="OIU153" s="1011"/>
      <c r="OIV153" s="1011"/>
      <c r="OIW153" s="1011"/>
      <c r="OIX153" s="1011"/>
      <c r="OIY153" s="1011"/>
      <c r="OIZ153" s="1011"/>
      <c r="OJA153" s="1011"/>
      <c r="OJB153" s="1011"/>
      <c r="OJC153" s="1011"/>
      <c r="OJD153" s="1011"/>
      <c r="OJE153" s="1011"/>
      <c r="OJF153" s="1011"/>
      <c r="OJG153" s="1011"/>
      <c r="OJH153" s="1011"/>
      <c r="OJI153" s="1011"/>
      <c r="OJJ153" s="1011"/>
      <c r="OJK153" s="1011"/>
      <c r="OJL153" s="1011"/>
      <c r="OJM153" s="1011"/>
      <c r="OJN153" s="1011"/>
      <c r="OJO153" s="1011"/>
      <c r="OJP153" s="1011"/>
      <c r="OJQ153" s="1011"/>
      <c r="OJR153" s="1011"/>
      <c r="OJS153" s="1011"/>
      <c r="OJT153" s="1011"/>
      <c r="OJU153" s="1011"/>
      <c r="OJV153" s="1011"/>
      <c r="OJW153" s="1011"/>
      <c r="OJX153" s="1011"/>
      <c r="OJY153" s="1011"/>
      <c r="OJZ153" s="1011"/>
      <c r="OKA153" s="1011"/>
      <c r="OKB153" s="1011"/>
      <c r="OKC153" s="1011"/>
      <c r="OKD153" s="1011"/>
      <c r="OKE153" s="1011"/>
      <c r="OKF153" s="1011"/>
      <c r="OKG153" s="1011"/>
      <c r="OKH153" s="1011"/>
      <c r="OKI153" s="1011"/>
      <c r="OKJ153" s="1011"/>
      <c r="OKK153" s="1011"/>
      <c r="OKL153" s="1011"/>
      <c r="OKM153" s="1011"/>
      <c r="OKN153" s="1011"/>
      <c r="OKO153" s="1011"/>
      <c r="OKP153" s="1011"/>
      <c r="OKQ153" s="1011"/>
      <c r="OKR153" s="1011"/>
      <c r="OKS153" s="1011"/>
      <c r="OKT153" s="1011"/>
      <c r="OKU153" s="1011"/>
      <c r="OKV153" s="1011"/>
      <c r="OKW153" s="1011"/>
      <c r="OKX153" s="1011"/>
      <c r="OKY153" s="1011"/>
      <c r="OKZ153" s="1011"/>
      <c r="OLA153" s="1011"/>
      <c r="OLB153" s="1011"/>
      <c r="OLC153" s="1011"/>
      <c r="OLD153" s="1011"/>
      <c r="OLE153" s="1011"/>
      <c r="OLF153" s="1011"/>
      <c r="OLG153" s="1011"/>
      <c r="OLH153" s="1011"/>
      <c r="OLI153" s="1011"/>
      <c r="OLJ153" s="1011"/>
      <c r="OLK153" s="1011"/>
      <c r="OLL153" s="1011"/>
      <c r="OLM153" s="1011"/>
      <c r="OLN153" s="1011"/>
      <c r="OLO153" s="1011"/>
      <c r="OLP153" s="1011"/>
      <c r="OLQ153" s="1011"/>
      <c r="OLR153" s="1011"/>
      <c r="OLS153" s="1011"/>
      <c r="OLT153" s="1011"/>
      <c r="OLU153" s="1011"/>
      <c r="OLV153" s="1011"/>
      <c r="OLW153" s="1011"/>
      <c r="OLX153" s="1011"/>
      <c r="OLY153" s="1011"/>
      <c r="OLZ153" s="1011"/>
      <c r="OMA153" s="1011"/>
      <c r="OMB153" s="1011"/>
      <c r="OMC153" s="1011"/>
      <c r="OMD153" s="1011"/>
      <c r="OME153" s="1011"/>
      <c r="OMF153" s="1011"/>
      <c r="OMG153" s="1011"/>
      <c r="OMH153" s="1011"/>
      <c r="OMI153" s="1011"/>
      <c r="OMJ153" s="1011"/>
      <c r="OMK153" s="1011"/>
      <c r="OML153" s="1011"/>
      <c r="OMM153" s="1011"/>
      <c r="OMN153" s="1011"/>
      <c r="OMO153" s="1011"/>
      <c r="OMP153" s="1011"/>
      <c r="OMQ153" s="1011"/>
      <c r="OMR153" s="1011"/>
      <c r="OMS153" s="1011"/>
      <c r="OMT153" s="1011"/>
      <c r="OMU153" s="1011"/>
      <c r="OMV153" s="1011"/>
      <c r="OMW153" s="1011"/>
      <c r="OMX153" s="1011"/>
      <c r="OMY153" s="1011"/>
      <c r="OMZ153" s="1011"/>
      <c r="ONA153" s="1011"/>
      <c r="ONB153" s="1011"/>
      <c r="ONC153" s="1011"/>
      <c r="OND153" s="1011"/>
      <c r="ONE153" s="1011"/>
      <c r="ONF153" s="1011"/>
      <c r="ONG153" s="1011"/>
      <c r="ONH153" s="1011"/>
      <c r="ONI153" s="1011"/>
      <c r="ONJ153" s="1011"/>
      <c r="ONK153" s="1011"/>
      <c r="ONL153" s="1011"/>
      <c r="ONM153" s="1011"/>
      <c r="ONN153" s="1011"/>
      <c r="ONO153" s="1011"/>
      <c r="ONP153" s="1011"/>
      <c r="ONQ153" s="1011"/>
      <c r="ONR153" s="1011"/>
      <c r="ONS153" s="1011"/>
      <c r="ONT153" s="1011"/>
      <c r="ONU153" s="1011"/>
      <c r="ONV153" s="1011"/>
      <c r="ONW153" s="1011"/>
      <c r="ONX153" s="1011"/>
      <c r="ONY153" s="1011"/>
      <c r="ONZ153" s="1011"/>
      <c r="OOA153" s="1011"/>
      <c r="OOB153" s="1011"/>
      <c r="OOC153" s="1011"/>
      <c r="OOD153" s="1011"/>
      <c r="OOE153" s="1011"/>
      <c r="OOF153" s="1011"/>
      <c r="OOG153" s="1011"/>
      <c r="OOH153" s="1011"/>
      <c r="OOI153" s="1011"/>
      <c r="OOJ153" s="1011"/>
      <c r="OOK153" s="1011"/>
      <c r="OOL153" s="1011"/>
      <c r="OOM153" s="1011"/>
      <c r="OON153" s="1011"/>
      <c r="OOO153" s="1011"/>
      <c r="OOP153" s="1011"/>
      <c r="OOQ153" s="1011"/>
      <c r="OOR153" s="1011"/>
      <c r="OOS153" s="1011"/>
      <c r="OOT153" s="1011"/>
      <c r="OOU153" s="1011"/>
      <c r="OOV153" s="1011"/>
      <c r="OOW153" s="1011"/>
      <c r="OOX153" s="1011"/>
      <c r="OOY153" s="1011"/>
      <c r="OOZ153" s="1011"/>
      <c r="OPA153" s="1011"/>
      <c r="OPB153" s="1011"/>
      <c r="OPC153" s="1011"/>
      <c r="OPD153" s="1011"/>
      <c r="OPE153" s="1011"/>
      <c r="OPF153" s="1011"/>
      <c r="OPG153" s="1011"/>
      <c r="OPH153" s="1011"/>
      <c r="OPI153" s="1011"/>
      <c r="OPJ153" s="1011"/>
      <c r="OPK153" s="1011"/>
      <c r="OPL153" s="1011"/>
      <c r="OPM153" s="1011"/>
      <c r="OPN153" s="1011"/>
      <c r="OPO153" s="1011"/>
      <c r="OPP153" s="1011"/>
      <c r="OPQ153" s="1011"/>
      <c r="OPR153" s="1011"/>
      <c r="OPS153" s="1011"/>
      <c r="OPT153" s="1011"/>
      <c r="OPU153" s="1011"/>
      <c r="OPV153" s="1011"/>
      <c r="OPW153" s="1011"/>
      <c r="OPX153" s="1011"/>
      <c r="OPY153" s="1011"/>
      <c r="OPZ153" s="1011"/>
      <c r="OQA153" s="1011"/>
      <c r="OQB153" s="1011"/>
      <c r="OQC153" s="1011"/>
      <c r="OQD153" s="1011"/>
      <c r="OQE153" s="1011"/>
      <c r="OQF153" s="1011"/>
      <c r="OQG153" s="1011"/>
      <c r="OQH153" s="1011"/>
      <c r="OQI153" s="1011"/>
      <c r="OQJ153" s="1011"/>
      <c r="OQK153" s="1011"/>
      <c r="OQL153" s="1011"/>
      <c r="OQM153" s="1011"/>
      <c r="OQN153" s="1011"/>
      <c r="OQO153" s="1011"/>
      <c r="OQP153" s="1011"/>
      <c r="OQQ153" s="1011"/>
      <c r="OQR153" s="1011"/>
      <c r="OQS153" s="1011"/>
      <c r="OQT153" s="1011"/>
      <c r="OQU153" s="1011"/>
      <c r="OQV153" s="1011"/>
      <c r="OQW153" s="1011"/>
      <c r="OQX153" s="1011"/>
      <c r="OQY153" s="1011"/>
      <c r="OQZ153" s="1011"/>
      <c r="ORA153" s="1011"/>
      <c r="ORB153" s="1011"/>
      <c r="ORC153" s="1011"/>
      <c r="ORD153" s="1011"/>
      <c r="ORE153" s="1011"/>
      <c r="ORF153" s="1011"/>
      <c r="ORG153" s="1011"/>
      <c r="ORH153" s="1011"/>
      <c r="ORI153" s="1011"/>
      <c r="ORJ153" s="1011"/>
      <c r="ORK153" s="1011"/>
      <c r="ORL153" s="1011"/>
      <c r="ORM153" s="1011"/>
      <c r="ORN153" s="1011"/>
      <c r="ORO153" s="1011"/>
      <c r="ORP153" s="1011"/>
      <c r="ORQ153" s="1011"/>
      <c r="ORR153" s="1011"/>
      <c r="ORS153" s="1011"/>
      <c r="ORT153" s="1011"/>
      <c r="ORU153" s="1011"/>
      <c r="ORV153" s="1011"/>
      <c r="ORW153" s="1011"/>
      <c r="ORX153" s="1011"/>
      <c r="ORY153" s="1011"/>
      <c r="ORZ153" s="1011"/>
      <c r="OSA153" s="1011"/>
      <c r="OSB153" s="1011"/>
      <c r="OSC153" s="1011"/>
      <c r="OSD153" s="1011"/>
      <c r="OSE153" s="1011"/>
      <c r="OSF153" s="1011"/>
      <c r="OSG153" s="1011"/>
      <c r="OSH153" s="1011"/>
      <c r="OSI153" s="1011"/>
      <c r="OSJ153" s="1011"/>
      <c r="OSK153" s="1011"/>
      <c r="OSL153" s="1011"/>
      <c r="OSM153" s="1011"/>
      <c r="OSN153" s="1011"/>
      <c r="OSO153" s="1011"/>
      <c r="OSP153" s="1011"/>
      <c r="OSQ153" s="1011"/>
      <c r="OSR153" s="1011"/>
      <c r="OSS153" s="1011"/>
      <c r="OST153" s="1011"/>
      <c r="OSU153" s="1011"/>
      <c r="OSV153" s="1011"/>
      <c r="OSW153" s="1011"/>
      <c r="OSX153" s="1011"/>
      <c r="OSY153" s="1011"/>
      <c r="OSZ153" s="1011"/>
      <c r="OTA153" s="1011"/>
      <c r="OTB153" s="1011"/>
      <c r="OTC153" s="1011"/>
      <c r="OTD153" s="1011"/>
      <c r="OTE153" s="1011"/>
      <c r="OTF153" s="1011"/>
      <c r="OTG153" s="1011"/>
      <c r="OTH153" s="1011"/>
      <c r="OTI153" s="1011"/>
      <c r="OTJ153" s="1011"/>
      <c r="OTK153" s="1011"/>
      <c r="OTL153" s="1011"/>
      <c r="OTM153" s="1011"/>
      <c r="OTN153" s="1011"/>
      <c r="OTO153" s="1011"/>
      <c r="OTP153" s="1011"/>
      <c r="OTQ153" s="1011"/>
      <c r="OTR153" s="1011"/>
      <c r="OTS153" s="1011"/>
      <c r="OTT153" s="1011"/>
      <c r="OTU153" s="1011"/>
      <c r="OTV153" s="1011"/>
      <c r="OTW153" s="1011"/>
      <c r="OTX153" s="1011"/>
      <c r="OTY153" s="1011"/>
      <c r="OTZ153" s="1011"/>
      <c r="OUA153" s="1011"/>
      <c r="OUB153" s="1011"/>
      <c r="OUC153" s="1011"/>
      <c r="OUD153" s="1011"/>
      <c r="OUE153" s="1011"/>
      <c r="OUF153" s="1011"/>
      <c r="OUG153" s="1011"/>
      <c r="OUH153" s="1011"/>
      <c r="OUI153" s="1011"/>
      <c r="OUJ153" s="1011"/>
      <c r="OUK153" s="1011"/>
      <c r="OUL153" s="1011"/>
      <c r="OUM153" s="1011"/>
      <c r="OUN153" s="1011"/>
      <c r="OUO153" s="1011"/>
      <c r="OUP153" s="1011"/>
      <c r="OUQ153" s="1011"/>
      <c r="OUR153" s="1011"/>
      <c r="OUS153" s="1011"/>
      <c r="OUT153" s="1011"/>
      <c r="OUU153" s="1011"/>
      <c r="OUV153" s="1011"/>
      <c r="OUW153" s="1011"/>
      <c r="OUX153" s="1011"/>
      <c r="OUY153" s="1011"/>
      <c r="OUZ153" s="1011"/>
      <c r="OVA153" s="1011"/>
      <c r="OVB153" s="1011"/>
      <c r="OVC153" s="1011"/>
      <c r="OVD153" s="1011"/>
      <c r="OVE153" s="1011"/>
      <c r="OVF153" s="1011"/>
      <c r="OVG153" s="1011"/>
      <c r="OVH153" s="1011"/>
      <c r="OVI153" s="1011"/>
      <c r="OVJ153" s="1011"/>
      <c r="OVK153" s="1011"/>
      <c r="OVL153" s="1011"/>
      <c r="OVM153" s="1011"/>
      <c r="OVN153" s="1011"/>
      <c r="OVO153" s="1011"/>
      <c r="OVP153" s="1011"/>
      <c r="OVQ153" s="1011"/>
      <c r="OVR153" s="1011"/>
      <c r="OVS153" s="1011"/>
      <c r="OVT153" s="1011"/>
      <c r="OVU153" s="1011"/>
      <c r="OVV153" s="1011"/>
      <c r="OVW153" s="1011"/>
      <c r="OVX153" s="1011"/>
      <c r="OVY153" s="1011"/>
      <c r="OVZ153" s="1011"/>
      <c r="OWA153" s="1011"/>
      <c r="OWB153" s="1011"/>
      <c r="OWC153" s="1011"/>
      <c r="OWD153" s="1011"/>
      <c r="OWE153" s="1011"/>
      <c r="OWF153" s="1011"/>
      <c r="OWG153" s="1011"/>
      <c r="OWH153" s="1011"/>
      <c r="OWI153" s="1011"/>
      <c r="OWJ153" s="1011"/>
      <c r="OWK153" s="1011"/>
      <c r="OWL153" s="1011"/>
      <c r="OWM153" s="1011"/>
      <c r="OWN153" s="1011"/>
      <c r="OWO153" s="1011"/>
      <c r="OWP153" s="1011"/>
      <c r="OWQ153" s="1011"/>
      <c r="OWR153" s="1011"/>
      <c r="OWS153" s="1011"/>
      <c r="OWT153" s="1011"/>
      <c r="OWU153" s="1011"/>
      <c r="OWV153" s="1011"/>
      <c r="OWW153" s="1011"/>
      <c r="OWX153" s="1011"/>
      <c r="OWY153" s="1011"/>
      <c r="OWZ153" s="1011"/>
      <c r="OXA153" s="1011"/>
      <c r="OXB153" s="1011"/>
      <c r="OXC153" s="1011"/>
      <c r="OXD153" s="1011"/>
      <c r="OXE153" s="1011"/>
      <c r="OXF153" s="1011"/>
      <c r="OXG153" s="1011"/>
      <c r="OXH153" s="1011"/>
      <c r="OXI153" s="1011"/>
      <c r="OXJ153" s="1011"/>
      <c r="OXK153" s="1011"/>
      <c r="OXL153" s="1011"/>
      <c r="OXM153" s="1011"/>
      <c r="OXN153" s="1011"/>
      <c r="OXO153" s="1011"/>
      <c r="OXP153" s="1011"/>
      <c r="OXQ153" s="1011"/>
      <c r="OXR153" s="1011"/>
      <c r="OXS153" s="1011"/>
      <c r="OXT153" s="1011"/>
      <c r="OXU153" s="1011"/>
      <c r="OXV153" s="1011"/>
      <c r="OXW153" s="1011"/>
      <c r="OXX153" s="1011"/>
      <c r="OXY153" s="1011"/>
      <c r="OXZ153" s="1011"/>
      <c r="OYA153" s="1011"/>
      <c r="OYB153" s="1011"/>
      <c r="OYC153" s="1011"/>
      <c r="OYD153" s="1011"/>
      <c r="OYE153" s="1011"/>
      <c r="OYF153" s="1011"/>
      <c r="OYG153" s="1011"/>
      <c r="OYH153" s="1011"/>
      <c r="OYI153" s="1011"/>
      <c r="OYJ153" s="1011"/>
      <c r="OYK153" s="1011"/>
      <c r="OYL153" s="1011"/>
      <c r="OYM153" s="1011"/>
      <c r="OYN153" s="1011"/>
      <c r="OYO153" s="1011"/>
      <c r="OYP153" s="1011"/>
      <c r="OYQ153" s="1011"/>
      <c r="OYR153" s="1011"/>
      <c r="OYS153" s="1011"/>
      <c r="OYT153" s="1011"/>
      <c r="OYU153" s="1011"/>
      <c r="OYV153" s="1011"/>
      <c r="OYW153" s="1011"/>
      <c r="OYX153" s="1011"/>
      <c r="OYY153" s="1011"/>
      <c r="OYZ153" s="1011"/>
      <c r="OZA153" s="1011"/>
      <c r="OZB153" s="1011"/>
      <c r="OZC153" s="1011"/>
      <c r="OZD153" s="1011"/>
      <c r="OZE153" s="1011"/>
      <c r="OZF153" s="1011"/>
      <c r="OZG153" s="1011"/>
      <c r="OZH153" s="1011"/>
      <c r="OZI153" s="1011"/>
      <c r="OZJ153" s="1011"/>
      <c r="OZK153" s="1011"/>
      <c r="OZL153" s="1011"/>
      <c r="OZM153" s="1011"/>
      <c r="OZN153" s="1011"/>
      <c r="OZO153" s="1011"/>
      <c r="OZP153" s="1011"/>
      <c r="OZQ153" s="1011"/>
      <c r="OZR153" s="1011"/>
      <c r="OZS153" s="1011"/>
      <c r="OZT153" s="1011"/>
      <c r="OZU153" s="1011"/>
      <c r="OZV153" s="1011"/>
      <c r="OZW153" s="1011"/>
      <c r="OZX153" s="1011"/>
      <c r="OZY153" s="1011"/>
      <c r="OZZ153" s="1011"/>
      <c r="PAA153" s="1011"/>
      <c r="PAB153" s="1011"/>
      <c r="PAC153" s="1011"/>
      <c r="PAD153" s="1011"/>
      <c r="PAE153" s="1011"/>
      <c r="PAF153" s="1011"/>
      <c r="PAG153" s="1011"/>
      <c r="PAH153" s="1011"/>
      <c r="PAI153" s="1011"/>
      <c r="PAJ153" s="1011"/>
      <c r="PAK153" s="1011"/>
      <c r="PAL153" s="1011"/>
      <c r="PAM153" s="1011"/>
      <c r="PAN153" s="1011"/>
      <c r="PAO153" s="1011"/>
      <c r="PAP153" s="1011"/>
      <c r="PAQ153" s="1011"/>
      <c r="PAR153" s="1011"/>
      <c r="PAS153" s="1011"/>
      <c r="PAT153" s="1011"/>
      <c r="PAU153" s="1011"/>
      <c r="PAV153" s="1011"/>
      <c r="PAW153" s="1011"/>
      <c r="PAX153" s="1011"/>
      <c r="PAY153" s="1011"/>
      <c r="PAZ153" s="1011"/>
      <c r="PBA153" s="1011"/>
      <c r="PBB153" s="1011"/>
      <c r="PBC153" s="1011"/>
      <c r="PBD153" s="1011"/>
      <c r="PBE153" s="1011"/>
      <c r="PBF153" s="1011"/>
      <c r="PBG153" s="1011"/>
      <c r="PBH153" s="1011"/>
      <c r="PBI153" s="1011"/>
      <c r="PBJ153" s="1011"/>
      <c r="PBK153" s="1011"/>
      <c r="PBL153" s="1011"/>
      <c r="PBM153" s="1011"/>
      <c r="PBN153" s="1011"/>
      <c r="PBO153" s="1011"/>
      <c r="PBP153" s="1011"/>
      <c r="PBQ153" s="1011"/>
      <c r="PBR153" s="1011"/>
      <c r="PBS153" s="1011"/>
      <c r="PBT153" s="1011"/>
      <c r="PBU153" s="1011"/>
      <c r="PBV153" s="1011"/>
      <c r="PBW153" s="1011"/>
      <c r="PBX153" s="1011"/>
      <c r="PBY153" s="1011"/>
      <c r="PBZ153" s="1011"/>
      <c r="PCA153" s="1011"/>
      <c r="PCB153" s="1011"/>
      <c r="PCC153" s="1011"/>
      <c r="PCD153" s="1011"/>
      <c r="PCE153" s="1011"/>
      <c r="PCF153" s="1011"/>
      <c r="PCG153" s="1011"/>
      <c r="PCH153" s="1011"/>
      <c r="PCI153" s="1011"/>
      <c r="PCJ153" s="1011"/>
      <c r="PCK153" s="1011"/>
      <c r="PCL153" s="1011"/>
      <c r="PCM153" s="1011"/>
      <c r="PCN153" s="1011"/>
      <c r="PCO153" s="1011"/>
      <c r="PCP153" s="1011"/>
      <c r="PCQ153" s="1011"/>
      <c r="PCR153" s="1011"/>
      <c r="PCS153" s="1011"/>
      <c r="PCT153" s="1011"/>
      <c r="PCU153" s="1011"/>
      <c r="PCV153" s="1011"/>
      <c r="PCW153" s="1011"/>
      <c r="PCX153" s="1011"/>
      <c r="PCY153" s="1011"/>
      <c r="PCZ153" s="1011"/>
      <c r="PDA153" s="1011"/>
      <c r="PDB153" s="1011"/>
      <c r="PDC153" s="1011"/>
      <c r="PDD153" s="1011"/>
      <c r="PDE153" s="1011"/>
      <c r="PDF153" s="1011"/>
      <c r="PDG153" s="1011"/>
      <c r="PDH153" s="1011"/>
      <c r="PDI153" s="1011"/>
      <c r="PDJ153" s="1011"/>
      <c r="PDK153" s="1011"/>
      <c r="PDL153" s="1011"/>
      <c r="PDM153" s="1011"/>
      <c r="PDN153" s="1011"/>
      <c r="PDO153" s="1011"/>
      <c r="PDP153" s="1011"/>
      <c r="PDQ153" s="1011"/>
      <c r="PDR153" s="1011"/>
      <c r="PDS153" s="1011"/>
      <c r="PDT153" s="1011"/>
      <c r="PDU153" s="1011"/>
      <c r="PDV153" s="1011"/>
      <c r="PDW153" s="1011"/>
      <c r="PDX153" s="1011"/>
      <c r="PDY153" s="1011"/>
      <c r="PDZ153" s="1011"/>
      <c r="PEA153" s="1011"/>
      <c r="PEB153" s="1011"/>
      <c r="PEC153" s="1011"/>
      <c r="PED153" s="1011"/>
      <c r="PEE153" s="1011"/>
      <c r="PEF153" s="1011"/>
      <c r="PEG153" s="1011"/>
      <c r="PEH153" s="1011"/>
      <c r="PEI153" s="1011"/>
      <c r="PEJ153" s="1011"/>
      <c r="PEK153" s="1011"/>
      <c r="PEL153" s="1011"/>
      <c r="PEM153" s="1011"/>
      <c r="PEN153" s="1011"/>
      <c r="PEO153" s="1011"/>
      <c r="PEP153" s="1011"/>
      <c r="PEQ153" s="1011"/>
      <c r="PER153" s="1011"/>
      <c r="PES153" s="1011"/>
      <c r="PET153" s="1011"/>
      <c r="PEU153" s="1011"/>
      <c r="PEV153" s="1011"/>
      <c r="PEW153" s="1011"/>
      <c r="PEX153" s="1011"/>
      <c r="PEY153" s="1011"/>
      <c r="PEZ153" s="1011"/>
      <c r="PFA153" s="1011"/>
      <c r="PFB153" s="1011"/>
      <c r="PFC153" s="1011"/>
      <c r="PFD153" s="1011"/>
      <c r="PFE153" s="1011"/>
      <c r="PFF153" s="1011"/>
      <c r="PFG153" s="1011"/>
      <c r="PFH153" s="1011"/>
      <c r="PFI153" s="1011"/>
      <c r="PFJ153" s="1011"/>
      <c r="PFK153" s="1011"/>
      <c r="PFL153" s="1011"/>
      <c r="PFM153" s="1011"/>
      <c r="PFN153" s="1011"/>
      <c r="PFO153" s="1011"/>
      <c r="PFP153" s="1011"/>
      <c r="PFQ153" s="1011"/>
      <c r="PFR153" s="1011"/>
      <c r="PFS153" s="1011"/>
      <c r="PFT153" s="1011"/>
      <c r="PFU153" s="1011"/>
      <c r="PFV153" s="1011"/>
      <c r="PFW153" s="1011"/>
      <c r="PFX153" s="1011"/>
      <c r="PFY153" s="1011"/>
      <c r="PFZ153" s="1011"/>
      <c r="PGA153" s="1011"/>
      <c r="PGB153" s="1011"/>
      <c r="PGC153" s="1011"/>
      <c r="PGD153" s="1011"/>
      <c r="PGE153" s="1011"/>
      <c r="PGF153" s="1011"/>
      <c r="PGG153" s="1011"/>
      <c r="PGH153" s="1011"/>
      <c r="PGI153" s="1011"/>
      <c r="PGJ153" s="1011"/>
      <c r="PGK153" s="1011"/>
      <c r="PGL153" s="1011"/>
      <c r="PGM153" s="1011"/>
      <c r="PGN153" s="1011"/>
      <c r="PGO153" s="1011"/>
      <c r="PGP153" s="1011"/>
      <c r="PGQ153" s="1011"/>
      <c r="PGR153" s="1011"/>
      <c r="PGS153" s="1011"/>
      <c r="PGT153" s="1011"/>
      <c r="PGU153" s="1011"/>
      <c r="PGV153" s="1011"/>
      <c r="PGW153" s="1011"/>
      <c r="PGX153" s="1011"/>
      <c r="PGY153" s="1011"/>
      <c r="PGZ153" s="1011"/>
      <c r="PHA153" s="1011"/>
      <c r="PHB153" s="1011"/>
      <c r="PHC153" s="1011"/>
      <c r="PHD153" s="1011"/>
      <c r="PHE153" s="1011"/>
      <c r="PHF153" s="1011"/>
      <c r="PHG153" s="1011"/>
      <c r="PHH153" s="1011"/>
      <c r="PHI153" s="1011"/>
      <c r="PHJ153" s="1011"/>
      <c r="PHK153" s="1011"/>
      <c r="PHL153" s="1011"/>
      <c r="PHM153" s="1011"/>
      <c r="PHN153" s="1011"/>
      <c r="PHO153" s="1011"/>
      <c r="PHP153" s="1011"/>
      <c r="PHQ153" s="1011"/>
      <c r="PHR153" s="1011"/>
      <c r="PHS153" s="1011"/>
      <c r="PHT153" s="1011"/>
      <c r="PHU153" s="1011"/>
      <c r="PHV153" s="1011"/>
      <c r="PHW153" s="1011"/>
      <c r="PHX153" s="1011"/>
      <c r="PHY153" s="1011"/>
      <c r="PHZ153" s="1011"/>
      <c r="PIA153" s="1011"/>
      <c r="PIB153" s="1011"/>
      <c r="PIC153" s="1011"/>
      <c r="PID153" s="1011"/>
      <c r="PIE153" s="1011"/>
      <c r="PIF153" s="1011"/>
      <c r="PIG153" s="1011"/>
      <c r="PIH153" s="1011"/>
      <c r="PII153" s="1011"/>
      <c r="PIJ153" s="1011"/>
      <c r="PIK153" s="1011"/>
      <c r="PIL153" s="1011"/>
      <c r="PIM153" s="1011"/>
      <c r="PIN153" s="1011"/>
      <c r="PIO153" s="1011"/>
      <c r="PIP153" s="1011"/>
      <c r="PIQ153" s="1011"/>
      <c r="PIR153" s="1011"/>
      <c r="PIS153" s="1011"/>
      <c r="PIT153" s="1011"/>
      <c r="PIU153" s="1011"/>
      <c r="PIV153" s="1011"/>
      <c r="PIW153" s="1011"/>
      <c r="PIX153" s="1011"/>
      <c r="PIY153" s="1011"/>
      <c r="PIZ153" s="1011"/>
      <c r="PJA153" s="1011"/>
      <c r="PJB153" s="1011"/>
      <c r="PJC153" s="1011"/>
      <c r="PJD153" s="1011"/>
      <c r="PJE153" s="1011"/>
      <c r="PJF153" s="1011"/>
      <c r="PJG153" s="1011"/>
      <c r="PJH153" s="1011"/>
      <c r="PJI153" s="1011"/>
      <c r="PJJ153" s="1011"/>
      <c r="PJK153" s="1011"/>
      <c r="PJL153" s="1011"/>
      <c r="PJM153" s="1011"/>
      <c r="PJN153" s="1011"/>
      <c r="PJO153" s="1011"/>
      <c r="PJP153" s="1011"/>
      <c r="PJQ153" s="1011"/>
      <c r="PJR153" s="1011"/>
      <c r="PJS153" s="1011"/>
      <c r="PJT153" s="1011"/>
      <c r="PJU153" s="1011"/>
      <c r="PJV153" s="1011"/>
      <c r="PJW153" s="1011"/>
      <c r="PJX153" s="1011"/>
      <c r="PJY153" s="1011"/>
      <c r="PJZ153" s="1011"/>
      <c r="PKA153" s="1011"/>
      <c r="PKB153" s="1011"/>
      <c r="PKC153" s="1011"/>
      <c r="PKD153" s="1011"/>
      <c r="PKE153" s="1011"/>
      <c r="PKF153" s="1011"/>
      <c r="PKG153" s="1011"/>
      <c r="PKH153" s="1011"/>
      <c r="PKI153" s="1011"/>
      <c r="PKJ153" s="1011"/>
      <c r="PKK153" s="1011"/>
      <c r="PKL153" s="1011"/>
      <c r="PKM153" s="1011"/>
      <c r="PKN153" s="1011"/>
      <c r="PKO153" s="1011"/>
      <c r="PKP153" s="1011"/>
      <c r="PKQ153" s="1011"/>
      <c r="PKR153" s="1011"/>
      <c r="PKS153" s="1011"/>
      <c r="PKT153" s="1011"/>
      <c r="PKU153" s="1011"/>
      <c r="PKV153" s="1011"/>
      <c r="PKW153" s="1011"/>
      <c r="PKX153" s="1011"/>
      <c r="PKY153" s="1011"/>
      <c r="PKZ153" s="1011"/>
      <c r="PLA153" s="1011"/>
      <c r="PLB153" s="1011"/>
      <c r="PLC153" s="1011"/>
      <c r="PLD153" s="1011"/>
      <c r="PLE153" s="1011"/>
      <c r="PLF153" s="1011"/>
      <c r="PLG153" s="1011"/>
      <c r="PLH153" s="1011"/>
      <c r="PLI153" s="1011"/>
      <c r="PLJ153" s="1011"/>
      <c r="PLK153" s="1011"/>
      <c r="PLL153" s="1011"/>
      <c r="PLM153" s="1011"/>
      <c r="PLN153" s="1011"/>
      <c r="PLO153" s="1011"/>
      <c r="PLP153" s="1011"/>
      <c r="PLQ153" s="1011"/>
      <c r="PLR153" s="1011"/>
      <c r="PLS153" s="1011"/>
      <c r="PLT153" s="1011"/>
      <c r="PLU153" s="1011"/>
      <c r="PLV153" s="1011"/>
      <c r="PLW153" s="1011"/>
      <c r="PLX153" s="1011"/>
      <c r="PLY153" s="1011"/>
      <c r="PLZ153" s="1011"/>
      <c r="PMA153" s="1011"/>
      <c r="PMB153" s="1011"/>
      <c r="PMC153" s="1011"/>
      <c r="PMD153" s="1011"/>
      <c r="PME153" s="1011"/>
      <c r="PMF153" s="1011"/>
      <c r="PMG153" s="1011"/>
      <c r="PMH153" s="1011"/>
      <c r="PMI153" s="1011"/>
      <c r="PMJ153" s="1011"/>
      <c r="PMK153" s="1011"/>
      <c r="PML153" s="1011"/>
      <c r="PMM153" s="1011"/>
      <c r="PMN153" s="1011"/>
      <c r="PMO153" s="1011"/>
      <c r="PMP153" s="1011"/>
      <c r="PMQ153" s="1011"/>
      <c r="PMR153" s="1011"/>
      <c r="PMS153" s="1011"/>
      <c r="PMT153" s="1011"/>
      <c r="PMU153" s="1011"/>
      <c r="PMV153" s="1011"/>
      <c r="PMW153" s="1011"/>
      <c r="PMX153" s="1011"/>
      <c r="PMY153" s="1011"/>
      <c r="PMZ153" s="1011"/>
      <c r="PNA153" s="1011"/>
      <c r="PNB153" s="1011"/>
      <c r="PNC153" s="1011"/>
      <c r="PND153" s="1011"/>
      <c r="PNE153" s="1011"/>
      <c r="PNF153" s="1011"/>
      <c r="PNG153" s="1011"/>
      <c r="PNH153" s="1011"/>
      <c r="PNI153" s="1011"/>
      <c r="PNJ153" s="1011"/>
      <c r="PNK153" s="1011"/>
      <c r="PNL153" s="1011"/>
      <c r="PNM153" s="1011"/>
      <c r="PNN153" s="1011"/>
      <c r="PNO153" s="1011"/>
      <c r="PNP153" s="1011"/>
      <c r="PNQ153" s="1011"/>
      <c r="PNR153" s="1011"/>
      <c r="PNS153" s="1011"/>
      <c r="PNT153" s="1011"/>
      <c r="PNU153" s="1011"/>
      <c r="PNV153" s="1011"/>
      <c r="PNW153" s="1011"/>
      <c r="PNX153" s="1011"/>
      <c r="PNY153" s="1011"/>
      <c r="PNZ153" s="1011"/>
      <c r="POA153" s="1011"/>
      <c r="POB153" s="1011"/>
      <c r="POC153" s="1011"/>
      <c r="POD153" s="1011"/>
      <c r="POE153" s="1011"/>
      <c r="POF153" s="1011"/>
      <c r="POG153" s="1011"/>
      <c r="POH153" s="1011"/>
      <c r="POI153" s="1011"/>
      <c r="POJ153" s="1011"/>
      <c r="POK153" s="1011"/>
      <c r="POL153" s="1011"/>
      <c r="POM153" s="1011"/>
      <c r="PON153" s="1011"/>
      <c r="POO153" s="1011"/>
      <c r="POP153" s="1011"/>
      <c r="POQ153" s="1011"/>
      <c r="POR153" s="1011"/>
      <c r="POS153" s="1011"/>
      <c r="POT153" s="1011"/>
      <c r="POU153" s="1011"/>
      <c r="POV153" s="1011"/>
      <c r="POW153" s="1011"/>
      <c r="POX153" s="1011"/>
      <c r="POY153" s="1011"/>
      <c r="POZ153" s="1011"/>
      <c r="PPA153" s="1011"/>
      <c r="PPB153" s="1011"/>
      <c r="PPC153" s="1011"/>
      <c r="PPD153" s="1011"/>
      <c r="PPE153" s="1011"/>
      <c r="PPF153" s="1011"/>
      <c r="PPG153" s="1011"/>
      <c r="PPH153" s="1011"/>
      <c r="PPI153" s="1011"/>
      <c r="PPJ153" s="1011"/>
      <c r="PPK153" s="1011"/>
      <c r="PPL153" s="1011"/>
      <c r="PPM153" s="1011"/>
      <c r="PPN153" s="1011"/>
      <c r="PPO153" s="1011"/>
      <c r="PPP153" s="1011"/>
      <c r="PPQ153" s="1011"/>
      <c r="PPR153" s="1011"/>
      <c r="PPS153" s="1011"/>
      <c r="PPT153" s="1011"/>
      <c r="PPU153" s="1011"/>
      <c r="PPV153" s="1011"/>
      <c r="PPW153" s="1011"/>
      <c r="PPX153" s="1011"/>
      <c r="PPY153" s="1011"/>
      <c r="PPZ153" s="1011"/>
      <c r="PQA153" s="1011"/>
      <c r="PQB153" s="1011"/>
      <c r="PQC153" s="1011"/>
      <c r="PQD153" s="1011"/>
      <c r="PQE153" s="1011"/>
      <c r="PQF153" s="1011"/>
      <c r="PQG153" s="1011"/>
      <c r="PQH153" s="1011"/>
      <c r="PQI153" s="1011"/>
      <c r="PQJ153" s="1011"/>
      <c r="PQK153" s="1011"/>
      <c r="PQL153" s="1011"/>
      <c r="PQM153" s="1011"/>
      <c r="PQN153" s="1011"/>
      <c r="PQO153" s="1011"/>
      <c r="PQP153" s="1011"/>
      <c r="PQQ153" s="1011"/>
      <c r="PQR153" s="1011"/>
      <c r="PQS153" s="1011"/>
      <c r="PQT153" s="1011"/>
      <c r="PQU153" s="1011"/>
      <c r="PQV153" s="1011"/>
      <c r="PQW153" s="1011"/>
      <c r="PQX153" s="1011"/>
      <c r="PQY153" s="1011"/>
      <c r="PQZ153" s="1011"/>
      <c r="PRA153" s="1011"/>
      <c r="PRB153" s="1011"/>
      <c r="PRC153" s="1011"/>
      <c r="PRD153" s="1011"/>
      <c r="PRE153" s="1011"/>
      <c r="PRF153" s="1011"/>
      <c r="PRG153" s="1011"/>
      <c r="PRH153" s="1011"/>
      <c r="PRI153" s="1011"/>
      <c r="PRJ153" s="1011"/>
      <c r="PRK153" s="1011"/>
      <c r="PRL153" s="1011"/>
      <c r="PRM153" s="1011"/>
      <c r="PRN153" s="1011"/>
      <c r="PRO153" s="1011"/>
      <c r="PRP153" s="1011"/>
      <c r="PRQ153" s="1011"/>
      <c r="PRR153" s="1011"/>
      <c r="PRS153" s="1011"/>
      <c r="PRT153" s="1011"/>
      <c r="PRU153" s="1011"/>
      <c r="PRV153" s="1011"/>
      <c r="PRW153" s="1011"/>
      <c r="PRX153" s="1011"/>
      <c r="PRY153" s="1011"/>
      <c r="PRZ153" s="1011"/>
      <c r="PSA153" s="1011"/>
      <c r="PSB153" s="1011"/>
      <c r="PSC153" s="1011"/>
      <c r="PSD153" s="1011"/>
      <c r="PSE153" s="1011"/>
      <c r="PSF153" s="1011"/>
      <c r="PSG153" s="1011"/>
      <c r="PSH153" s="1011"/>
      <c r="PSI153" s="1011"/>
      <c r="PSJ153" s="1011"/>
      <c r="PSK153" s="1011"/>
      <c r="PSL153" s="1011"/>
      <c r="PSM153" s="1011"/>
      <c r="PSN153" s="1011"/>
      <c r="PSO153" s="1011"/>
      <c r="PSP153" s="1011"/>
      <c r="PSQ153" s="1011"/>
      <c r="PSR153" s="1011"/>
      <c r="PSS153" s="1011"/>
      <c r="PST153" s="1011"/>
      <c r="PSU153" s="1011"/>
      <c r="PSV153" s="1011"/>
      <c r="PSW153" s="1011"/>
      <c r="PSX153" s="1011"/>
      <c r="PSY153" s="1011"/>
      <c r="PSZ153" s="1011"/>
      <c r="PTA153" s="1011"/>
      <c r="PTB153" s="1011"/>
      <c r="PTC153" s="1011"/>
      <c r="PTD153" s="1011"/>
      <c r="PTE153" s="1011"/>
      <c r="PTF153" s="1011"/>
      <c r="PTG153" s="1011"/>
      <c r="PTH153" s="1011"/>
      <c r="PTI153" s="1011"/>
      <c r="PTJ153" s="1011"/>
      <c r="PTK153" s="1011"/>
      <c r="PTL153" s="1011"/>
      <c r="PTM153" s="1011"/>
      <c r="PTN153" s="1011"/>
      <c r="PTO153" s="1011"/>
      <c r="PTP153" s="1011"/>
      <c r="PTQ153" s="1011"/>
      <c r="PTR153" s="1011"/>
      <c r="PTS153" s="1011"/>
      <c r="PTT153" s="1011"/>
      <c r="PTU153" s="1011"/>
      <c r="PTV153" s="1011"/>
      <c r="PTW153" s="1011"/>
      <c r="PTX153" s="1011"/>
      <c r="PTY153" s="1011"/>
      <c r="PTZ153" s="1011"/>
      <c r="PUA153" s="1011"/>
      <c r="PUB153" s="1011"/>
      <c r="PUC153" s="1011"/>
      <c r="PUD153" s="1011"/>
      <c r="PUE153" s="1011"/>
      <c r="PUF153" s="1011"/>
      <c r="PUG153" s="1011"/>
      <c r="PUH153" s="1011"/>
      <c r="PUI153" s="1011"/>
      <c r="PUJ153" s="1011"/>
      <c r="PUK153" s="1011"/>
      <c r="PUL153" s="1011"/>
      <c r="PUM153" s="1011"/>
      <c r="PUN153" s="1011"/>
      <c r="PUO153" s="1011"/>
      <c r="PUP153" s="1011"/>
      <c r="PUQ153" s="1011"/>
      <c r="PUR153" s="1011"/>
      <c r="PUS153" s="1011"/>
      <c r="PUT153" s="1011"/>
      <c r="PUU153" s="1011"/>
      <c r="PUV153" s="1011"/>
      <c r="PUW153" s="1011"/>
      <c r="PUX153" s="1011"/>
      <c r="PUY153" s="1011"/>
      <c r="PUZ153" s="1011"/>
      <c r="PVA153" s="1011"/>
      <c r="PVB153" s="1011"/>
      <c r="PVC153" s="1011"/>
      <c r="PVD153" s="1011"/>
      <c r="PVE153" s="1011"/>
      <c r="PVF153" s="1011"/>
      <c r="PVG153" s="1011"/>
      <c r="PVH153" s="1011"/>
      <c r="PVI153" s="1011"/>
      <c r="PVJ153" s="1011"/>
      <c r="PVK153" s="1011"/>
      <c r="PVL153" s="1011"/>
      <c r="PVM153" s="1011"/>
      <c r="PVN153" s="1011"/>
      <c r="PVO153" s="1011"/>
      <c r="PVP153" s="1011"/>
      <c r="PVQ153" s="1011"/>
      <c r="PVR153" s="1011"/>
      <c r="PVS153" s="1011"/>
      <c r="PVT153" s="1011"/>
      <c r="PVU153" s="1011"/>
      <c r="PVV153" s="1011"/>
      <c r="PVW153" s="1011"/>
      <c r="PVX153" s="1011"/>
      <c r="PVY153" s="1011"/>
      <c r="PVZ153" s="1011"/>
      <c r="PWA153" s="1011"/>
      <c r="PWB153" s="1011"/>
      <c r="PWC153" s="1011"/>
      <c r="PWD153" s="1011"/>
      <c r="PWE153" s="1011"/>
      <c r="PWF153" s="1011"/>
      <c r="PWG153" s="1011"/>
      <c r="PWH153" s="1011"/>
      <c r="PWI153" s="1011"/>
      <c r="PWJ153" s="1011"/>
      <c r="PWK153" s="1011"/>
      <c r="PWL153" s="1011"/>
      <c r="PWM153" s="1011"/>
      <c r="PWN153" s="1011"/>
      <c r="PWO153" s="1011"/>
      <c r="PWP153" s="1011"/>
      <c r="PWQ153" s="1011"/>
      <c r="PWR153" s="1011"/>
      <c r="PWS153" s="1011"/>
      <c r="PWT153" s="1011"/>
      <c r="PWU153" s="1011"/>
      <c r="PWV153" s="1011"/>
      <c r="PWW153" s="1011"/>
      <c r="PWX153" s="1011"/>
      <c r="PWY153" s="1011"/>
      <c r="PWZ153" s="1011"/>
      <c r="PXA153" s="1011"/>
      <c r="PXB153" s="1011"/>
      <c r="PXC153" s="1011"/>
      <c r="PXD153" s="1011"/>
      <c r="PXE153" s="1011"/>
      <c r="PXF153" s="1011"/>
      <c r="PXG153" s="1011"/>
      <c r="PXH153" s="1011"/>
      <c r="PXI153" s="1011"/>
      <c r="PXJ153" s="1011"/>
      <c r="PXK153" s="1011"/>
      <c r="PXL153" s="1011"/>
      <c r="PXM153" s="1011"/>
      <c r="PXN153" s="1011"/>
      <c r="PXO153" s="1011"/>
      <c r="PXP153" s="1011"/>
      <c r="PXQ153" s="1011"/>
      <c r="PXR153" s="1011"/>
      <c r="PXS153" s="1011"/>
      <c r="PXT153" s="1011"/>
      <c r="PXU153" s="1011"/>
      <c r="PXV153" s="1011"/>
      <c r="PXW153" s="1011"/>
      <c r="PXX153" s="1011"/>
      <c r="PXY153" s="1011"/>
      <c r="PXZ153" s="1011"/>
      <c r="PYA153" s="1011"/>
      <c r="PYB153" s="1011"/>
      <c r="PYC153" s="1011"/>
      <c r="PYD153" s="1011"/>
      <c r="PYE153" s="1011"/>
      <c r="PYF153" s="1011"/>
      <c r="PYG153" s="1011"/>
      <c r="PYH153" s="1011"/>
      <c r="PYI153" s="1011"/>
      <c r="PYJ153" s="1011"/>
      <c r="PYK153" s="1011"/>
      <c r="PYL153" s="1011"/>
      <c r="PYM153" s="1011"/>
      <c r="PYN153" s="1011"/>
      <c r="PYO153" s="1011"/>
      <c r="PYP153" s="1011"/>
      <c r="PYQ153" s="1011"/>
      <c r="PYR153" s="1011"/>
      <c r="PYS153" s="1011"/>
      <c r="PYT153" s="1011"/>
      <c r="PYU153" s="1011"/>
      <c r="PYV153" s="1011"/>
      <c r="PYW153" s="1011"/>
      <c r="PYX153" s="1011"/>
      <c r="PYY153" s="1011"/>
      <c r="PYZ153" s="1011"/>
      <c r="PZA153" s="1011"/>
      <c r="PZB153" s="1011"/>
      <c r="PZC153" s="1011"/>
      <c r="PZD153" s="1011"/>
      <c r="PZE153" s="1011"/>
      <c r="PZF153" s="1011"/>
      <c r="PZG153" s="1011"/>
      <c r="PZH153" s="1011"/>
      <c r="PZI153" s="1011"/>
      <c r="PZJ153" s="1011"/>
      <c r="PZK153" s="1011"/>
      <c r="PZL153" s="1011"/>
      <c r="PZM153" s="1011"/>
      <c r="PZN153" s="1011"/>
      <c r="PZO153" s="1011"/>
      <c r="PZP153" s="1011"/>
      <c r="PZQ153" s="1011"/>
      <c r="PZR153" s="1011"/>
      <c r="PZS153" s="1011"/>
      <c r="PZT153" s="1011"/>
      <c r="PZU153" s="1011"/>
      <c r="PZV153" s="1011"/>
      <c r="PZW153" s="1011"/>
      <c r="PZX153" s="1011"/>
      <c r="PZY153" s="1011"/>
      <c r="PZZ153" s="1011"/>
      <c r="QAA153" s="1011"/>
      <c r="QAB153" s="1011"/>
      <c r="QAC153" s="1011"/>
      <c r="QAD153" s="1011"/>
      <c r="QAE153" s="1011"/>
      <c r="QAF153" s="1011"/>
      <c r="QAG153" s="1011"/>
      <c r="QAH153" s="1011"/>
      <c r="QAI153" s="1011"/>
      <c r="QAJ153" s="1011"/>
      <c r="QAK153" s="1011"/>
      <c r="QAL153" s="1011"/>
      <c r="QAM153" s="1011"/>
      <c r="QAN153" s="1011"/>
      <c r="QAO153" s="1011"/>
      <c r="QAP153" s="1011"/>
      <c r="QAQ153" s="1011"/>
      <c r="QAR153" s="1011"/>
      <c r="QAS153" s="1011"/>
      <c r="QAT153" s="1011"/>
      <c r="QAU153" s="1011"/>
      <c r="QAV153" s="1011"/>
      <c r="QAW153" s="1011"/>
      <c r="QAX153" s="1011"/>
      <c r="QAY153" s="1011"/>
      <c r="QAZ153" s="1011"/>
      <c r="QBA153" s="1011"/>
      <c r="QBB153" s="1011"/>
      <c r="QBC153" s="1011"/>
      <c r="QBD153" s="1011"/>
      <c r="QBE153" s="1011"/>
      <c r="QBF153" s="1011"/>
      <c r="QBG153" s="1011"/>
      <c r="QBH153" s="1011"/>
      <c r="QBI153" s="1011"/>
      <c r="QBJ153" s="1011"/>
      <c r="QBK153" s="1011"/>
      <c r="QBL153" s="1011"/>
      <c r="QBM153" s="1011"/>
      <c r="QBN153" s="1011"/>
      <c r="QBO153" s="1011"/>
      <c r="QBP153" s="1011"/>
      <c r="QBQ153" s="1011"/>
      <c r="QBR153" s="1011"/>
      <c r="QBS153" s="1011"/>
      <c r="QBT153" s="1011"/>
      <c r="QBU153" s="1011"/>
      <c r="QBV153" s="1011"/>
      <c r="QBW153" s="1011"/>
      <c r="QBX153" s="1011"/>
      <c r="QBY153" s="1011"/>
      <c r="QBZ153" s="1011"/>
      <c r="QCA153" s="1011"/>
      <c r="QCB153" s="1011"/>
      <c r="QCC153" s="1011"/>
      <c r="QCD153" s="1011"/>
      <c r="QCE153" s="1011"/>
      <c r="QCF153" s="1011"/>
      <c r="QCG153" s="1011"/>
      <c r="QCH153" s="1011"/>
      <c r="QCI153" s="1011"/>
      <c r="QCJ153" s="1011"/>
      <c r="QCK153" s="1011"/>
      <c r="QCL153" s="1011"/>
      <c r="QCM153" s="1011"/>
      <c r="QCN153" s="1011"/>
      <c r="QCO153" s="1011"/>
      <c r="QCP153" s="1011"/>
      <c r="QCQ153" s="1011"/>
      <c r="QCR153" s="1011"/>
      <c r="QCS153" s="1011"/>
      <c r="QCT153" s="1011"/>
      <c r="QCU153" s="1011"/>
      <c r="QCV153" s="1011"/>
      <c r="QCW153" s="1011"/>
      <c r="QCX153" s="1011"/>
      <c r="QCY153" s="1011"/>
      <c r="QCZ153" s="1011"/>
      <c r="QDA153" s="1011"/>
      <c r="QDB153" s="1011"/>
      <c r="QDC153" s="1011"/>
      <c r="QDD153" s="1011"/>
      <c r="QDE153" s="1011"/>
      <c r="QDF153" s="1011"/>
      <c r="QDG153" s="1011"/>
      <c r="QDH153" s="1011"/>
      <c r="QDI153" s="1011"/>
      <c r="QDJ153" s="1011"/>
      <c r="QDK153" s="1011"/>
      <c r="QDL153" s="1011"/>
      <c r="QDM153" s="1011"/>
      <c r="QDN153" s="1011"/>
      <c r="QDO153" s="1011"/>
      <c r="QDP153" s="1011"/>
      <c r="QDQ153" s="1011"/>
      <c r="QDR153" s="1011"/>
      <c r="QDS153" s="1011"/>
      <c r="QDT153" s="1011"/>
      <c r="QDU153" s="1011"/>
      <c r="QDV153" s="1011"/>
      <c r="QDW153" s="1011"/>
      <c r="QDX153" s="1011"/>
      <c r="QDY153" s="1011"/>
      <c r="QDZ153" s="1011"/>
      <c r="QEA153" s="1011"/>
      <c r="QEB153" s="1011"/>
      <c r="QEC153" s="1011"/>
      <c r="QED153" s="1011"/>
      <c r="QEE153" s="1011"/>
      <c r="QEF153" s="1011"/>
      <c r="QEG153" s="1011"/>
      <c r="QEH153" s="1011"/>
      <c r="QEI153" s="1011"/>
      <c r="QEJ153" s="1011"/>
      <c r="QEK153" s="1011"/>
      <c r="QEL153" s="1011"/>
      <c r="QEM153" s="1011"/>
      <c r="QEN153" s="1011"/>
      <c r="QEO153" s="1011"/>
      <c r="QEP153" s="1011"/>
      <c r="QEQ153" s="1011"/>
      <c r="QER153" s="1011"/>
      <c r="QES153" s="1011"/>
      <c r="QET153" s="1011"/>
      <c r="QEU153" s="1011"/>
      <c r="QEV153" s="1011"/>
      <c r="QEW153" s="1011"/>
      <c r="QEX153" s="1011"/>
      <c r="QEY153" s="1011"/>
      <c r="QEZ153" s="1011"/>
      <c r="QFA153" s="1011"/>
      <c r="QFB153" s="1011"/>
      <c r="QFC153" s="1011"/>
      <c r="QFD153" s="1011"/>
      <c r="QFE153" s="1011"/>
      <c r="QFF153" s="1011"/>
      <c r="QFG153" s="1011"/>
      <c r="QFH153" s="1011"/>
      <c r="QFI153" s="1011"/>
      <c r="QFJ153" s="1011"/>
      <c r="QFK153" s="1011"/>
      <c r="QFL153" s="1011"/>
      <c r="QFM153" s="1011"/>
      <c r="QFN153" s="1011"/>
      <c r="QFO153" s="1011"/>
      <c r="QFP153" s="1011"/>
      <c r="QFQ153" s="1011"/>
      <c r="QFR153" s="1011"/>
      <c r="QFS153" s="1011"/>
      <c r="QFT153" s="1011"/>
      <c r="QFU153" s="1011"/>
      <c r="QFV153" s="1011"/>
      <c r="QFW153" s="1011"/>
      <c r="QFX153" s="1011"/>
      <c r="QFY153" s="1011"/>
      <c r="QFZ153" s="1011"/>
      <c r="QGA153" s="1011"/>
      <c r="QGB153" s="1011"/>
      <c r="QGC153" s="1011"/>
      <c r="QGD153" s="1011"/>
      <c r="QGE153" s="1011"/>
      <c r="QGF153" s="1011"/>
      <c r="QGG153" s="1011"/>
      <c r="QGH153" s="1011"/>
      <c r="QGI153" s="1011"/>
      <c r="QGJ153" s="1011"/>
      <c r="QGK153" s="1011"/>
      <c r="QGL153" s="1011"/>
      <c r="QGM153" s="1011"/>
      <c r="QGN153" s="1011"/>
      <c r="QGO153" s="1011"/>
      <c r="QGP153" s="1011"/>
      <c r="QGQ153" s="1011"/>
      <c r="QGR153" s="1011"/>
      <c r="QGS153" s="1011"/>
      <c r="QGT153" s="1011"/>
      <c r="QGU153" s="1011"/>
      <c r="QGV153" s="1011"/>
      <c r="QGW153" s="1011"/>
      <c r="QGX153" s="1011"/>
      <c r="QGY153" s="1011"/>
      <c r="QGZ153" s="1011"/>
      <c r="QHA153" s="1011"/>
      <c r="QHB153" s="1011"/>
      <c r="QHC153" s="1011"/>
      <c r="QHD153" s="1011"/>
      <c r="QHE153" s="1011"/>
      <c r="QHF153" s="1011"/>
      <c r="QHG153" s="1011"/>
      <c r="QHH153" s="1011"/>
      <c r="QHI153" s="1011"/>
      <c r="QHJ153" s="1011"/>
      <c r="QHK153" s="1011"/>
      <c r="QHL153" s="1011"/>
      <c r="QHM153" s="1011"/>
      <c r="QHN153" s="1011"/>
      <c r="QHO153" s="1011"/>
      <c r="QHP153" s="1011"/>
      <c r="QHQ153" s="1011"/>
      <c r="QHR153" s="1011"/>
      <c r="QHS153" s="1011"/>
      <c r="QHT153" s="1011"/>
      <c r="QHU153" s="1011"/>
      <c r="QHV153" s="1011"/>
      <c r="QHW153" s="1011"/>
      <c r="QHX153" s="1011"/>
      <c r="QHY153" s="1011"/>
      <c r="QHZ153" s="1011"/>
      <c r="QIA153" s="1011"/>
      <c r="QIB153" s="1011"/>
      <c r="QIC153" s="1011"/>
      <c r="QID153" s="1011"/>
      <c r="QIE153" s="1011"/>
      <c r="QIF153" s="1011"/>
      <c r="QIG153" s="1011"/>
      <c r="QIH153" s="1011"/>
      <c r="QII153" s="1011"/>
      <c r="QIJ153" s="1011"/>
      <c r="QIK153" s="1011"/>
      <c r="QIL153" s="1011"/>
      <c r="QIM153" s="1011"/>
      <c r="QIN153" s="1011"/>
      <c r="QIO153" s="1011"/>
      <c r="QIP153" s="1011"/>
      <c r="QIQ153" s="1011"/>
      <c r="QIR153" s="1011"/>
      <c r="QIS153" s="1011"/>
      <c r="QIT153" s="1011"/>
      <c r="QIU153" s="1011"/>
      <c r="QIV153" s="1011"/>
      <c r="QIW153" s="1011"/>
      <c r="QIX153" s="1011"/>
      <c r="QIY153" s="1011"/>
      <c r="QIZ153" s="1011"/>
      <c r="QJA153" s="1011"/>
      <c r="QJB153" s="1011"/>
      <c r="QJC153" s="1011"/>
      <c r="QJD153" s="1011"/>
      <c r="QJE153" s="1011"/>
      <c r="QJF153" s="1011"/>
      <c r="QJG153" s="1011"/>
      <c r="QJH153" s="1011"/>
      <c r="QJI153" s="1011"/>
      <c r="QJJ153" s="1011"/>
      <c r="QJK153" s="1011"/>
      <c r="QJL153" s="1011"/>
      <c r="QJM153" s="1011"/>
      <c r="QJN153" s="1011"/>
      <c r="QJO153" s="1011"/>
      <c r="QJP153" s="1011"/>
      <c r="QJQ153" s="1011"/>
      <c r="QJR153" s="1011"/>
      <c r="QJS153" s="1011"/>
      <c r="QJT153" s="1011"/>
      <c r="QJU153" s="1011"/>
      <c r="QJV153" s="1011"/>
      <c r="QJW153" s="1011"/>
      <c r="QJX153" s="1011"/>
      <c r="QJY153" s="1011"/>
      <c r="QJZ153" s="1011"/>
      <c r="QKA153" s="1011"/>
      <c r="QKB153" s="1011"/>
      <c r="QKC153" s="1011"/>
      <c r="QKD153" s="1011"/>
      <c r="QKE153" s="1011"/>
      <c r="QKF153" s="1011"/>
      <c r="QKG153" s="1011"/>
      <c r="QKH153" s="1011"/>
      <c r="QKI153" s="1011"/>
      <c r="QKJ153" s="1011"/>
      <c r="QKK153" s="1011"/>
      <c r="QKL153" s="1011"/>
      <c r="QKM153" s="1011"/>
      <c r="QKN153" s="1011"/>
      <c r="QKO153" s="1011"/>
      <c r="QKP153" s="1011"/>
      <c r="QKQ153" s="1011"/>
      <c r="QKR153" s="1011"/>
      <c r="QKS153" s="1011"/>
      <c r="QKT153" s="1011"/>
      <c r="QKU153" s="1011"/>
      <c r="QKV153" s="1011"/>
      <c r="QKW153" s="1011"/>
      <c r="QKX153" s="1011"/>
      <c r="QKY153" s="1011"/>
      <c r="QKZ153" s="1011"/>
      <c r="QLA153" s="1011"/>
      <c r="QLB153" s="1011"/>
      <c r="QLC153" s="1011"/>
      <c r="QLD153" s="1011"/>
      <c r="QLE153" s="1011"/>
      <c r="QLF153" s="1011"/>
      <c r="QLG153" s="1011"/>
      <c r="QLH153" s="1011"/>
      <c r="QLI153" s="1011"/>
      <c r="QLJ153" s="1011"/>
      <c r="QLK153" s="1011"/>
      <c r="QLL153" s="1011"/>
      <c r="QLM153" s="1011"/>
      <c r="QLN153" s="1011"/>
      <c r="QLO153" s="1011"/>
      <c r="QLP153" s="1011"/>
      <c r="QLQ153" s="1011"/>
      <c r="QLR153" s="1011"/>
      <c r="QLS153" s="1011"/>
      <c r="QLT153" s="1011"/>
      <c r="QLU153" s="1011"/>
      <c r="QLV153" s="1011"/>
      <c r="QLW153" s="1011"/>
      <c r="QLX153" s="1011"/>
      <c r="QLY153" s="1011"/>
      <c r="QLZ153" s="1011"/>
      <c r="QMA153" s="1011"/>
      <c r="QMB153" s="1011"/>
      <c r="QMC153" s="1011"/>
      <c r="QMD153" s="1011"/>
      <c r="QME153" s="1011"/>
      <c r="QMF153" s="1011"/>
      <c r="QMG153" s="1011"/>
      <c r="QMH153" s="1011"/>
      <c r="QMI153" s="1011"/>
      <c r="QMJ153" s="1011"/>
      <c r="QMK153" s="1011"/>
      <c r="QML153" s="1011"/>
      <c r="QMM153" s="1011"/>
      <c r="QMN153" s="1011"/>
      <c r="QMO153" s="1011"/>
      <c r="QMP153" s="1011"/>
      <c r="QMQ153" s="1011"/>
      <c r="QMR153" s="1011"/>
      <c r="QMS153" s="1011"/>
      <c r="QMT153" s="1011"/>
      <c r="QMU153" s="1011"/>
      <c r="QMV153" s="1011"/>
      <c r="QMW153" s="1011"/>
      <c r="QMX153" s="1011"/>
      <c r="QMY153" s="1011"/>
      <c r="QMZ153" s="1011"/>
      <c r="QNA153" s="1011"/>
      <c r="QNB153" s="1011"/>
      <c r="QNC153" s="1011"/>
      <c r="QND153" s="1011"/>
      <c r="QNE153" s="1011"/>
      <c r="QNF153" s="1011"/>
      <c r="QNG153" s="1011"/>
      <c r="QNH153" s="1011"/>
      <c r="QNI153" s="1011"/>
      <c r="QNJ153" s="1011"/>
      <c r="QNK153" s="1011"/>
      <c r="QNL153" s="1011"/>
      <c r="QNM153" s="1011"/>
      <c r="QNN153" s="1011"/>
      <c r="QNO153" s="1011"/>
      <c r="QNP153" s="1011"/>
      <c r="QNQ153" s="1011"/>
      <c r="QNR153" s="1011"/>
      <c r="QNS153" s="1011"/>
      <c r="QNT153" s="1011"/>
      <c r="QNU153" s="1011"/>
      <c r="QNV153" s="1011"/>
      <c r="QNW153" s="1011"/>
      <c r="QNX153" s="1011"/>
      <c r="QNY153" s="1011"/>
      <c r="QNZ153" s="1011"/>
      <c r="QOA153" s="1011"/>
      <c r="QOB153" s="1011"/>
      <c r="QOC153" s="1011"/>
      <c r="QOD153" s="1011"/>
      <c r="QOE153" s="1011"/>
      <c r="QOF153" s="1011"/>
      <c r="QOG153" s="1011"/>
      <c r="QOH153" s="1011"/>
      <c r="QOI153" s="1011"/>
      <c r="QOJ153" s="1011"/>
      <c r="QOK153" s="1011"/>
      <c r="QOL153" s="1011"/>
      <c r="QOM153" s="1011"/>
      <c r="QON153" s="1011"/>
      <c r="QOO153" s="1011"/>
      <c r="QOP153" s="1011"/>
      <c r="QOQ153" s="1011"/>
      <c r="QOR153" s="1011"/>
      <c r="QOS153" s="1011"/>
      <c r="QOT153" s="1011"/>
      <c r="QOU153" s="1011"/>
      <c r="QOV153" s="1011"/>
      <c r="QOW153" s="1011"/>
      <c r="QOX153" s="1011"/>
      <c r="QOY153" s="1011"/>
      <c r="QOZ153" s="1011"/>
      <c r="QPA153" s="1011"/>
      <c r="QPB153" s="1011"/>
      <c r="QPC153" s="1011"/>
      <c r="QPD153" s="1011"/>
      <c r="QPE153" s="1011"/>
      <c r="QPF153" s="1011"/>
      <c r="QPG153" s="1011"/>
      <c r="QPH153" s="1011"/>
      <c r="QPI153" s="1011"/>
      <c r="QPJ153" s="1011"/>
      <c r="QPK153" s="1011"/>
      <c r="QPL153" s="1011"/>
      <c r="QPM153" s="1011"/>
      <c r="QPN153" s="1011"/>
      <c r="QPO153" s="1011"/>
      <c r="QPP153" s="1011"/>
      <c r="QPQ153" s="1011"/>
      <c r="QPR153" s="1011"/>
      <c r="QPS153" s="1011"/>
      <c r="QPT153" s="1011"/>
      <c r="QPU153" s="1011"/>
      <c r="QPV153" s="1011"/>
      <c r="QPW153" s="1011"/>
      <c r="QPX153" s="1011"/>
      <c r="QPY153" s="1011"/>
      <c r="QPZ153" s="1011"/>
      <c r="QQA153" s="1011"/>
      <c r="QQB153" s="1011"/>
      <c r="QQC153" s="1011"/>
      <c r="QQD153" s="1011"/>
      <c r="QQE153" s="1011"/>
      <c r="QQF153" s="1011"/>
      <c r="QQG153" s="1011"/>
      <c r="QQH153" s="1011"/>
      <c r="QQI153" s="1011"/>
      <c r="QQJ153" s="1011"/>
      <c r="QQK153" s="1011"/>
      <c r="QQL153" s="1011"/>
      <c r="QQM153" s="1011"/>
      <c r="QQN153" s="1011"/>
      <c r="QQO153" s="1011"/>
      <c r="QQP153" s="1011"/>
      <c r="QQQ153" s="1011"/>
      <c r="QQR153" s="1011"/>
      <c r="QQS153" s="1011"/>
      <c r="QQT153" s="1011"/>
      <c r="QQU153" s="1011"/>
      <c r="QQV153" s="1011"/>
      <c r="QQW153" s="1011"/>
      <c r="QQX153" s="1011"/>
      <c r="QQY153" s="1011"/>
      <c r="QQZ153" s="1011"/>
      <c r="QRA153" s="1011"/>
      <c r="QRB153" s="1011"/>
      <c r="QRC153" s="1011"/>
      <c r="QRD153" s="1011"/>
      <c r="QRE153" s="1011"/>
      <c r="QRF153" s="1011"/>
      <c r="QRG153" s="1011"/>
      <c r="QRH153" s="1011"/>
      <c r="QRI153" s="1011"/>
      <c r="QRJ153" s="1011"/>
      <c r="QRK153" s="1011"/>
      <c r="QRL153" s="1011"/>
      <c r="QRM153" s="1011"/>
      <c r="QRN153" s="1011"/>
      <c r="QRO153" s="1011"/>
      <c r="QRP153" s="1011"/>
      <c r="QRQ153" s="1011"/>
      <c r="QRR153" s="1011"/>
      <c r="QRS153" s="1011"/>
      <c r="QRT153" s="1011"/>
      <c r="QRU153" s="1011"/>
      <c r="QRV153" s="1011"/>
      <c r="QRW153" s="1011"/>
      <c r="QRX153" s="1011"/>
      <c r="QRY153" s="1011"/>
      <c r="QRZ153" s="1011"/>
      <c r="QSA153" s="1011"/>
      <c r="QSB153" s="1011"/>
      <c r="QSC153" s="1011"/>
      <c r="QSD153" s="1011"/>
      <c r="QSE153" s="1011"/>
      <c r="QSF153" s="1011"/>
      <c r="QSG153" s="1011"/>
      <c r="QSH153" s="1011"/>
      <c r="QSI153" s="1011"/>
      <c r="QSJ153" s="1011"/>
      <c r="QSK153" s="1011"/>
      <c r="QSL153" s="1011"/>
      <c r="QSM153" s="1011"/>
      <c r="QSN153" s="1011"/>
      <c r="QSO153" s="1011"/>
      <c r="QSP153" s="1011"/>
      <c r="QSQ153" s="1011"/>
      <c r="QSR153" s="1011"/>
      <c r="QSS153" s="1011"/>
      <c r="QST153" s="1011"/>
      <c r="QSU153" s="1011"/>
      <c r="QSV153" s="1011"/>
      <c r="QSW153" s="1011"/>
      <c r="QSX153" s="1011"/>
      <c r="QSY153" s="1011"/>
      <c r="QSZ153" s="1011"/>
      <c r="QTA153" s="1011"/>
      <c r="QTB153" s="1011"/>
      <c r="QTC153" s="1011"/>
      <c r="QTD153" s="1011"/>
      <c r="QTE153" s="1011"/>
      <c r="QTF153" s="1011"/>
      <c r="QTG153" s="1011"/>
      <c r="QTH153" s="1011"/>
      <c r="QTI153" s="1011"/>
      <c r="QTJ153" s="1011"/>
      <c r="QTK153" s="1011"/>
      <c r="QTL153" s="1011"/>
      <c r="QTM153" s="1011"/>
      <c r="QTN153" s="1011"/>
      <c r="QTO153" s="1011"/>
      <c r="QTP153" s="1011"/>
      <c r="QTQ153" s="1011"/>
      <c r="QTR153" s="1011"/>
      <c r="QTS153" s="1011"/>
      <c r="QTT153" s="1011"/>
      <c r="QTU153" s="1011"/>
      <c r="QTV153" s="1011"/>
      <c r="QTW153" s="1011"/>
      <c r="QTX153" s="1011"/>
      <c r="QTY153" s="1011"/>
      <c r="QTZ153" s="1011"/>
      <c r="QUA153" s="1011"/>
      <c r="QUB153" s="1011"/>
      <c r="QUC153" s="1011"/>
      <c r="QUD153" s="1011"/>
      <c r="QUE153" s="1011"/>
      <c r="QUF153" s="1011"/>
      <c r="QUG153" s="1011"/>
      <c r="QUH153" s="1011"/>
      <c r="QUI153" s="1011"/>
      <c r="QUJ153" s="1011"/>
      <c r="QUK153" s="1011"/>
      <c r="QUL153" s="1011"/>
      <c r="QUM153" s="1011"/>
      <c r="QUN153" s="1011"/>
      <c r="QUO153" s="1011"/>
      <c r="QUP153" s="1011"/>
      <c r="QUQ153" s="1011"/>
      <c r="QUR153" s="1011"/>
      <c r="QUS153" s="1011"/>
      <c r="QUT153" s="1011"/>
      <c r="QUU153" s="1011"/>
      <c r="QUV153" s="1011"/>
      <c r="QUW153" s="1011"/>
      <c r="QUX153" s="1011"/>
      <c r="QUY153" s="1011"/>
      <c r="QUZ153" s="1011"/>
      <c r="QVA153" s="1011"/>
      <c r="QVB153" s="1011"/>
      <c r="QVC153" s="1011"/>
      <c r="QVD153" s="1011"/>
      <c r="QVE153" s="1011"/>
      <c r="QVF153" s="1011"/>
      <c r="QVG153" s="1011"/>
      <c r="QVH153" s="1011"/>
      <c r="QVI153" s="1011"/>
      <c r="QVJ153" s="1011"/>
      <c r="QVK153" s="1011"/>
      <c r="QVL153" s="1011"/>
      <c r="QVM153" s="1011"/>
      <c r="QVN153" s="1011"/>
      <c r="QVO153" s="1011"/>
      <c r="QVP153" s="1011"/>
      <c r="QVQ153" s="1011"/>
      <c r="QVR153" s="1011"/>
      <c r="QVS153" s="1011"/>
      <c r="QVT153" s="1011"/>
      <c r="QVU153" s="1011"/>
      <c r="QVV153" s="1011"/>
      <c r="QVW153" s="1011"/>
      <c r="QVX153" s="1011"/>
      <c r="QVY153" s="1011"/>
      <c r="QVZ153" s="1011"/>
      <c r="QWA153" s="1011"/>
      <c r="QWB153" s="1011"/>
      <c r="QWC153" s="1011"/>
      <c r="QWD153" s="1011"/>
      <c r="QWE153" s="1011"/>
      <c r="QWF153" s="1011"/>
      <c r="QWG153" s="1011"/>
      <c r="QWH153" s="1011"/>
      <c r="QWI153" s="1011"/>
      <c r="QWJ153" s="1011"/>
      <c r="QWK153" s="1011"/>
      <c r="QWL153" s="1011"/>
      <c r="QWM153" s="1011"/>
      <c r="QWN153" s="1011"/>
      <c r="QWO153" s="1011"/>
      <c r="QWP153" s="1011"/>
      <c r="QWQ153" s="1011"/>
      <c r="QWR153" s="1011"/>
      <c r="QWS153" s="1011"/>
      <c r="QWT153" s="1011"/>
      <c r="QWU153" s="1011"/>
      <c r="QWV153" s="1011"/>
      <c r="QWW153" s="1011"/>
      <c r="QWX153" s="1011"/>
      <c r="QWY153" s="1011"/>
      <c r="QWZ153" s="1011"/>
      <c r="QXA153" s="1011"/>
      <c r="QXB153" s="1011"/>
      <c r="QXC153" s="1011"/>
      <c r="QXD153" s="1011"/>
      <c r="QXE153" s="1011"/>
      <c r="QXF153" s="1011"/>
      <c r="QXG153" s="1011"/>
      <c r="QXH153" s="1011"/>
      <c r="QXI153" s="1011"/>
      <c r="QXJ153" s="1011"/>
      <c r="QXK153" s="1011"/>
      <c r="QXL153" s="1011"/>
      <c r="QXM153" s="1011"/>
      <c r="QXN153" s="1011"/>
      <c r="QXO153" s="1011"/>
      <c r="QXP153" s="1011"/>
      <c r="QXQ153" s="1011"/>
      <c r="QXR153" s="1011"/>
      <c r="QXS153" s="1011"/>
      <c r="QXT153" s="1011"/>
      <c r="QXU153" s="1011"/>
      <c r="QXV153" s="1011"/>
      <c r="QXW153" s="1011"/>
      <c r="QXX153" s="1011"/>
      <c r="QXY153" s="1011"/>
      <c r="QXZ153" s="1011"/>
      <c r="QYA153" s="1011"/>
      <c r="QYB153" s="1011"/>
      <c r="QYC153" s="1011"/>
      <c r="QYD153" s="1011"/>
      <c r="QYE153" s="1011"/>
      <c r="QYF153" s="1011"/>
      <c r="QYG153" s="1011"/>
      <c r="QYH153" s="1011"/>
      <c r="QYI153" s="1011"/>
      <c r="QYJ153" s="1011"/>
      <c r="QYK153" s="1011"/>
      <c r="QYL153" s="1011"/>
      <c r="QYM153" s="1011"/>
      <c r="QYN153" s="1011"/>
      <c r="QYO153" s="1011"/>
      <c r="QYP153" s="1011"/>
      <c r="QYQ153" s="1011"/>
      <c r="QYR153" s="1011"/>
      <c r="QYS153" s="1011"/>
      <c r="QYT153" s="1011"/>
      <c r="QYU153" s="1011"/>
      <c r="QYV153" s="1011"/>
      <c r="QYW153" s="1011"/>
      <c r="QYX153" s="1011"/>
      <c r="QYY153" s="1011"/>
      <c r="QYZ153" s="1011"/>
      <c r="QZA153" s="1011"/>
      <c r="QZB153" s="1011"/>
      <c r="QZC153" s="1011"/>
      <c r="QZD153" s="1011"/>
      <c r="QZE153" s="1011"/>
      <c r="QZF153" s="1011"/>
      <c r="QZG153" s="1011"/>
      <c r="QZH153" s="1011"/>
      <c r="QZI153" s="1011"/>
      <c r="QZJ153" s="1011"/>
      <c r="QZK153" s="1011"/>
      <c r="QZL153" s="1011"/>
      <c r="QZM153" s="1011"/>
      <c r="QZN153" s="1011"/>
      <c r="QZO153" s="1011"/>
      <c r="QZP153" s="1011"/>
      <c r="QZQ153" s="1011"/>
      <c r="QZR153" s="1011"/>
      <c r="QZS153" s="1011"/>
      <c r="QZT153" s="1011"/>
      <c r="QZU153" s="1011"/>
      <c r="QZV153" s="1011"/>
      <c r="QZW153" s="1011"/>
      <c r="QZX153" s="1011"/>
      <c r="QZY153" s="1011"/>
      <c r="QZZ153" s="1011"/>
      <c r="RAA153" s="1011"/>
      <c r="RAB153" s="1011"/>
      <c r="RAC153" s="1011"/>
      <c r="RAD153" s="1011"/>
      <c r="RAE153" s="1011"/>
      <c r="RAF153" s="1011"/>
      <c r="RAG153" s="1011"/>
      <c r="RAH153" s="1011"/>
      <c r="RAI153" s="1011"/>
      <c r="RAJ153" s="1011"/>
      <c r="RAK153" s="1011"/>
      <c r="RAL153" s="1011"/>
      <c r="RAM153" s="1011"/>
      <c r="RAN153" s="1011"/>
      <c r="RAO153" s="1011"/>
      <c r="RAP153" s="1011"/>
      <c r="RAQ153" s="1011"/>
      <c r="RAR153" s="1011"/>
      <c r="RAS153" s="1011"/>
      <c r="RAT153" s="1011"/>
      <c r="RAU153" s="1011"/>
      <c r="RAV153" s="1011"/>
      <c r="RAW153" s="1011"/>
      <c r="RAX153" s="1011"/>
      <c r="RAY153" s="1011"/>
      <c r="RAZ153" s="1011"/>
      <c r="RBA153" s="1011"/>
      <c r="RBB153" s="1011"/>
      <c r="RBC153" s="1011"/>
      <c r="RBD153" s="1011"/>
      <c r="RBE153" s="1011"/>
      <c r="RBF153" s="1011"/>
      <c r="RBG153" s="1011"/>
      <c r="RBH153" s="1011"/>
      <c r="RBI153" s="1011"/>
      <c r="RBJ153" s="1011"/>
      <c r="RBK153" s="1011"/>
      <c r="RBL153" s="1011"/>
      <c r="RBM153" s="1011"/>
      <c r="RBN153" s="1011"/>
      <c r="RBO153" s="1011"/>
      <c r="RBP153" s="1011"/>
      <c r="RBQ153" s="1011"/>
      <c r="RBR153" s="1011"/>
      <c r="RBS153" s="1011"/>
      <c r="RBT153" s="1011"/>
      <c r="RBU153" s="1011"/>
      <c r="RBV153" s="1011"/>
      <c r="RBW153" s="1011"/>
      <c r="RBX153" s="1011"/>
      <c r="RBY153" s="1011"/>
      <c r="RBZ153" s="1011"/>
      <c r="RCA153" s="1011"/>
      <c r="RCB153" s="1011"/>
      <c r="RCC153" s="1011"/>
      <c r="RCD153" s="1011"/>
      <c r="RCE153" s="1011"/>
      <c r="RCF153" s="1011"/>
      <c r="RCG153" s="1011"/>
      <c r="RCH153" s="1011"/>
      <c r="RCI153" s="1011"/>
      <c r="RCJ153" s="1011"/>
      <c r="RCK153" s="1011"/>
      <c r="RCL153" s="1011"/>
      <c r="RCM153" s="1011"/>
      <c r="RCN153" s="1011"/>
      <c r="RCO153" s="1011"/>
      <c r="RCP153" s="1011"/>
      <c r="RCQ153" s="1011"/>
      <c r="RCR153" s="1011"/>
      <c r="RCS153" s="1011"/>
      <c r="RCT153" s="1011"/>
      <c r="RCU153" s="1011"/>
      <c r="RCV153" s="1011"/>
      <c r="RCW153" s="1011"/>
      <c r="RCX153" s="1011"/>
      <c r="RCY153" s="1011"/>
      <c r="RCZ153" s="1011"/>
      <c r="RDA153" s="1011"/>
      <c r="RDB153" s="1011"/>
      <c r="RDC153" s="1011"/>
      <c r="RDD153" s="1011"/>
      <c r="RDE153" s="1011"/>
      <c r="RDF153" s="1011"/>
      <c r="RDG153" s="1011"/>
      <c r="RDH153" s="1011"/>
      <c r="RDI153" s="1011"/>
      <c r="RDJ153" s="1011"/>
      <c r="RDK153" s="1011"/>
      <c r="RDL153" s="1011"/>
      <c r="RDM153" s="1011"/>
      <c r="RDN153" s="1011"/>
      <c r="RDO153" s="1011"/>
      <c r="RDP153" s="1011"/>
      <c r="RDQ153" s="1011"/>
      <c r="RDR153" s="1011"/>
      <c r="RDS153" s="1011"/>
      <c r="RDT153" s="1011"/>
      <c r="RDU153" s="1011"/>
      <c r="RDV153" s="1011"/>
      <c r="RDW153" s="1011"/>
      <c r="RDX153" s="1011"/>
      <c r="RDY153" s="1011"/>
      <c r="RDZ153" s="1011"/>
      <c r="REA153" s="1011"/>
      <c r="REB153" s="1011"/>
      <c r="REC153" s="1011"/>
      <c r="RED153" s="1011"/>
      <c r="REE153" s="1011"/>
      <c r="REF153" s="1011"/>
      <c r="REG153" s="1011"/>
      <c r="REH153" s="1011"/>
      <c r="REI153" s="1011"/>
      <c r="REJ153" s="1011"/>
      <c r="REK153" s="1011"/>
      <c r="REL153" s="1011"/>
      <c r="REM153" s="1011"/>
      <c r="REN153" s="1011"/>
      <c r="REO153" s="1011"/>
      <c r="REP153" s="1011"/>
      <c r="REQ153" s="1011"/>
      <c r="RER153" s="1011"/>
      <c r="RES153" s="1011"/>
      <c r="RET153" s="1011"/>
      <c r="REU153" s="1011"/>
      <c r="REV153" s="1011"/>
      <c r="REW153" s="1011"/>
      <c r="REX153" s="1011"/>
      <c r="REY153" s="1011"/>
      <c r="REZ153" s="1011"/>
      <c r="RFA153" s="1011"/>
      <c r="RFB153" s="1011"/>
      <c r="RFC153" s="1011"/>
      <c r="RFD153" s="1011"/>
      <c r="RFE153" s="1011"/>
      <c r="RFF153" s="1011"/>
      <c r="RFG153" s="1011"/>
      <c r="RFH153" s="1011"/>
      <c r="RFI153" s="1011"/>
      <c r="RFJ153" s="1011"/>
      <c r="RFK153" s="1011"/>
      <c r="RFL153" s="1011"/>
      <c r="RFM153" s="1011"/>
      <c r="RFN153" s="1011"/>
      <c r="RFO153" s="1011"/>
      <c r="RFP153" s="1011"/>
      <c r="RFQ153" s="1011"/>
      <c r="RFR153" s="1011"/>
      <c r="RFS153" s="1011"/>
      <c r="RFT153" s="1011"/>
      <c r="RFU153" s="1011"/>
      <c r="RFV153" s="1011"/>
      <c r="RFW153" s="1011"/>
      <c r="RFX153" s="1011"/>
      <c r="RFY153" s="1011"/>
      <c r="RFZ153" s="1011"/>
      <c r="RGA153" s="1011"/>
      <c r="RGB153" s="1011"/>
      <c r="RGC153" s="1011"/>
      <c r="RGD153" s="1011"/>
      <c r="RGE153" s="1011"/>
      <c r="RGF153" s="1011"/>
      <c r="RGG153" s="1011"/>
      <c r="RGH153" s="1011"/>
      <c r="RGI153" s="1011"/>
      <c r="RGJ153" s="1011"/>
      <c r="RGK153" s="1011"/>
      <c r="RGL153" s="1011"/>
      <c r="RGM153" s="1011"/>
      <c r="RGN153" s="1011"/>
      <c r="RGO153" s="1011"/>
      <c r="RGP153" s="1011"/>
      <c r="RGQ153" s="1011"/>
      <c r="RGR153" s="1011"/>
      <c r="RGS153" s="1011"/>
      <c r="RGT153" s="1011"/>
      <c r="RGU153" s="1011"/>
      <c r="RGV153" s="1011"/>
      <c r="RGW153" s="1011"/>
      <c r="RGX153" s="1011"/>
      <c r="RGY153" s="1011"/>
      <c r="RGZ153" s="1011"/>
      <c r="RHA153" s="1011"/>
      <c r="RHB153" s="1011"/>
      <c r="RHC153" s="1011"/>
      <c r="RHD153" s="1011"/>
      <c r="RHE153" s="1011"/>
      <c r="RHF153" s="1011"/>
      <c r="RHG153" s="1011"/>
      <c r="RHH153" s="1011"/>
      <c r="RHI153" s="1011"/>
      <c r="RHJ153" s="1011"/>
      <c r="RHK153" s="1011"/>
      <c r="RHL153" s="1011"/>
      <c r="RHM153" s="1011"/>
      <c r="RHN153" s="1011"/>
      <c r="RHO153" s="1011"/>
      <c r="RHP153" s="1011"/>
      <c r="RHQ153" s="1011"/>
      <c r="RHR153" s="1011"/>
      <c r="RHS153" s="1011"/>
      <c r="RHT153" s="1011"/>
      <c r="RHU153" s="1011"/>
      <c r="RHV153" s="1011"/>
      <c r="RHW153" s="1011"/>
      <c r="RHX153" s="1011"/>
      <c r="RHY153" s="1011"/>
      <c r="RHZ153" s="1011"/>
      <c r="RIA153" s="1011"/>
      <c r="RIB153" s="1011"/>
      <c r="RIC153" s="1011"/>
      <c r="RID153" s="1011"/>
      <c r="RIE153" s="1011"/>
      <c r="RIF153" s="1011"/>
      <c r="RIG153" s="1011"/>
      <c r="RIH153" s="1011"/>
      <c r="RII153" s="1011"/>
      <c r="RIJ153" s="1011"/>
      <c r="RIK153" s="1011"/>
      <c r="RIL153" s="1011"/>
      <c r="RIM153" s="1011"/>
      <c r="RIN153" s="1011"/>
      <c r="RIO153" s="1011"/>
      <c r="RIP153" s="1011"/>
      <c r="RIQ153" s="1011"/>
      <c r="RIR153" s="1011"/>
      <c r="RIS153" s="1011"/>
      <c r="RIT153" s="1011"/>
      <c r="RIU153" s="1011"/>
      <c r="RIV153" s="1011"/>
      <c r="RIW153" s="1011"/>
      <c r="RIX153" s="1011"/>
      <c r="RIY153" s="1011"/>
      <c r="RIZ153" s="1011"/>
      <c r="RJA153" s="1011"/>
      <c r="RJB153" s="1011"/>
      <c r="RJC153" s="1011"/>
      <c r="RJD153" s="1011"/>
      <c r="RJE153" s="1011"/>
      <c r="RJF153" s="1011"/>
      <c r="RJG153" s="1011"/>
      <c r="RJH153" s="1011"/>
      <c r="RJI153" s="1011"/>
      <c r="RJJ153" s="1011"/>
      <c r="RJK153" s="1011"/>
      <c r="RJL153" s="1011"/>
      <c r="RJM153" s="1011"/>
      <c r="RJN153" s="1011"/>
      <c r="RJO153" s="1011"/>
      <c r="RJP153" s="1011"/>
      <c r="RJQ153" s="1011"/>
      <c r="RJR153" s="1011"/>
      <c r="RJS153" s="1011"/>
      <c r="RJT153" s="1011"/>
      <c r="RJU153" s="1011"/>
      <c r="RJV153" s="1011"/>
      <c r="RJW153" s="1011"/>
      <c r="RJX153" s="1011"/>
      <c r="RJY153" s="1011"/>
      <c r="RJZ153" s="1011"/>
      <c r="RKA153" s="1011"/>
      <c r="RKB153" s="1011"/>
      <c r="RKC153" s="1011"/>
      <c r="RKD153" s="1011"/>
      <c r="RKE153" s="1011"/>
      <c r="RKF153" s="1011"/>
      <c r="RKG153" s="1011"/>
      <c r="RKH153" s="1011"/>
      <c r="RKI153" s="1011"/>
      <c r="RKJ153" s="1011"/>
      <c r="RKK153" s="1011"/>
      <c r="RKL153" s="1011"/>
      <c r="RKM153" s="1011"/>
      <c r="RKN153" s="1011"/>
      <c r="RKO153" s="1011"/>
      <c r="RKP153" s="1011"/>
      <c r="RKQ153" s="1011"/>
      <c r="RKR153" s="1011"/>
      <c r="RKS153" s="1011"/>
      <c r="RKT153" s="1011"/>
      <c r="RKU153" s="1011"/>
      <c r="RKV153" s="1011"/>
      <c r="RKW153" s="1011"/>
      <c r="RKX153" s="1011"/>
      <c r="RKY153" s="1011"/>
      <c r="RKZ153" s="1011"/>
      <c r="RLA153" s="1011"/>
      <c r="RLB153" s="1011"/>
      <c r="RLC153" s="1011"/>
      <c r="RLD153" s="1011"/>
      <c r="RLE153" s="1011"/>
      <c r="RLF153" s="1011"/>
      <c r="RLG153" s="1011"/>
      <c r="RLH153" s="1011"/>
      <c r="RLI153" s="1011"/>
      <c r="RLJ153" s="1011"/>
      <c r="RLK153" s="1011"/>
      <c r="RLL153" s="1011"/>
      <c r="RLM153" s="1011"/>
      <c r="RLN153" s="1011"/>
      <c r="RLO153" s="1011"/>
      <c r="RLP153" s="1011"/>
      <c r="RLQ153" s="1011"/>
      <c r="RLR153" s="1011"/>
      <c r="RLS153" s="1011"/>
      <c r="RLT153" s="1011"/>
      <c r="RLU153" s="1011"/>
      <c r="RLV153" s="1011"/>
      <c r="RLW153" s="1011"/>
      <c r="RLX153" s="1011"/>
      <c r="RLY153" s="1011"/>
      <c r="RLZ153" s="1011"/>
      <c r="RMA153" s="1011"/>
      <c r="RMB153" s="1011"/>
      <c r="RMC153" s="1011"/>
      <c r="RMD153" s="1011"/>
      <c r="RME153" s="1011"/>
      <c r="RMF153" s="1011"/>
      <c r="RMG153" s="1011"/>
      <c r="RMH153" s="1011"/>
      <c r="RMI153" s="1011"/>
      <c r="RMJ153" s="1011"/>
      <c r="RMK153" s="1011"/>
      <c r="RML153" s="1011"/>
      <c r="RMM153" s="1011"/>
      <c r="RMN153" s="1011"/>
      <c r="RMO153" s="1011"/>
      <c r="RMP153" s="1011"/>
      <c r="RMQ153" s="1011"/>
      <c r="RMR153" s="1011"/>
      <c r="RMS153" s="1011"/>
      <c r="RMT153" s="1011"/>
      <c r="RMU153" s="1011"/>
      <c r="RMV153" s="1011"/>
      <c r="RMW153" s="1011"/>
      <c r="RMX153" s="1011"/>
      <c r="RMY153" s="1011"/>
      <c r="RMZ153" s="1011"/>
      <c r="RNA153" s="1011"/>
      <c r="RNB153" s="1011"/>
      <c r="RNC153" s="1011"/>
      <c r="RND153" s="1011"/>
      <c r="RNE153" s="1011"/>
      <c r="RNF153" s="1011"/>
      <c r="RNG153" s="1011"/>
      <c r="RNH153" s="1011"/>
      <c r="RNI153" s="1011"/>
      <c r="RNJ153" s="1011"/>
      <c r="RNK153" s="1011"/>
      <c r="RNL153" s="1011"/>
      <c r="RNM153" s="1011"/>
      <c r="RNN153" s="1011"/>
      <c r="RNO153" s="1011"/>
      <c r="RNP153" s="1011"/>
      <c r="RNQ153" s="1011"/>
      <c r="RNR153" s="1011"/>
      <c r="RNS153" s="1011"/>
      <c r="RNT153" s="1011"/>
      <c r="RNU153" s="1011"/>
      <c r="RNV153" s="1011"/>
      <c r="RNW153" s="1011"/>
      <c r="RNX153" s="1011"/>
      <c r="RNY153" s="1011"/>
      <c r="RNZ153" s="1011"/>
      <c r="ROA153" s="1011"/>
      <c r="ROB153" s="1011"/>
      <c r="ROC153" s="1011"/>
      <c r="ROD153" s="1011"/>
      <c r="ROE153" s="1011"/>
      <c r="ROF153" s="1011"/>
      <c r="ROG153" s="1011"/>
      <c r="ROH153" s="1011"/>
      <c r="ROI153" s="1011"/>
      <c r="ROJ153" s="1011"/>
      <c r="ROK153" s="1011"/>
      <c r="ROL153" s="1011"/>
      <c r="ROM153" s="1011"/>
      <c r="RON153" s="1011"/>
      <c r="ROO153" s="1011"/>
      <c r="ROP153" s="1011"/>
      <c r="ROQ153" s="1011"/>
      <c r="ROR153" s="1011"/>
      <c r="ROS153" s="1011"/>
      <c r="ROT153" s="1011"/>
      <c r="ROU153" s="1011"/>
      <c r="ROV153" s="1011"/>
      <c r="ROW153" s="1011"/>
      <c r="ROX153" s="1011"/>
      <c r="ROY153" s="1011"/>
      <c r="ROZ153" s="1011"/>
      <c r="RPA153" s="1011"/>
      <c r="RPB153" s="1011"/>
      <c r="RPC153" s="1011"/>
      <c r="RPD153" s="1011"/>
      <c r="RPE153" s="1011"/>
      <c r="RPF153" s="1011"/>
      <c r="RPG153" s="1011"/>
      <c r="RPH153" s="1011"/>
      <c r="RPI153" s="1011"/>
      <c r="RPJ153" s="1011"/>
      <c r="RPK153" s="1011"/>
      <c r="RPL153" s="1011"/>
      <c r="RPM153" s="1011"/>
      <c r="RPN153" s="1011"/>
      <c r="RPO153" s="1011"/>
      <c r="RPP153" s="1011"/>
      <c r="RPQ153" s="1011"/>
      <c r="RPR153" s="1011"/>
      <c r="RPS153" s="1011"/>
      <c r="RPT153" s="1011"/>
      <c r="RPU153" s="1011"/>
      <c r="RPV153" s="1011"/>
      <c r="RPW153" s="1011"/>
      <c r="RPX153" s="1011"/>
      <c r="RPY153" s="1011"/>
      <c r="RPZ153" s="1011"/>
      <c r="RQA153" s="1011"/>
      <c r="RQB153" s="1011"/>
      <c r="RQC153" s="1011"/>
      <c r="RQD153" s="1011"/>
      <c r="RQE153" s="1011"/>
      <c r="RQF153" s="1011"/>
      <c r="RQG153" s="1011"/>
      <c r="RQH153" s="1011"/>
      <c r="RQI153" s="1011"/>
      <c r="RQJ153" s="1011"/>
      <c r="RQK153" s="1011"/>
      <c r="RQL153" s="1011"/>
      <c r="RQM153" s="1011"/>
      <c r="RQN153" s="1011"/>
      <c r="RQO153" s="1011"/>
      <c r="RQP153" s="1011"/>
      <c r="RQQ153" s="1011"/>
      <c r="RQR153" s="1011"/>
      <c r="RQS153" s="1011"/>
      <c r="RQT153" s="1011"/>
      <c r="RQU153" s="1011"/>
      <c r="RQV153" s="1011"/>
      <c r="RQW153" s="1011"/>
      <c r="RQX153" s="1011"/>
      <c r="RQY153" s="1011"/>
      <c r="RQZ153" s="1011"/>
      <c r="RRA153" s="1011"/>
      <c r="RRB153" s="1011"/>
      <c r="RRC153" s="1011"/>
      <c r="RRD153" s="1011"/>
      <c r="RRE153" s="1011"/>
      <c r="RRF153" s="1011"/>
      <c r="RRG153" s="1011"/>
      <c r="RRH153" s="1011"/>
      <c r="RRI153" s="1011"/>
      <c r="RRJ153" s="1011"/>
      <c r="RRK153" s="1011"/>
      <c r="RRL153" s="1011"/>
      <c r="RRM153" s="1011"/>
      <c r="RRN153" s="1011"/>
      <c r="RRO153" s="1011"/>
      <c r="RRP153" s="1011"/>
      <c r="RRQ153" s="1011"/>
      <c r="RRR153" s="1011"/>
      <c r="RRS153" s="1011"/>
      <c r="RRT153" s="1011"/>
      <c r="RRU153" s="1011"/>
      <c r="RRV153" s="1011"/>
      <c r="RRW153" s="1011"/>
      <c r="RRX153" s="1011"/>
      <c r="RRY153" s="1011"/>
      <c r="RRZ153" s="1011"/>
      <c r="RSA153" s="1011"/>
      <c r="RSB153" s="1011"/>
      <c r="RSC153" s="1011"/>
      <c r="RSD153" s="1011"/>
      <c r="RSE153" s="1011"/>
      <c r="RSF153" s="1011"/>
      <c r="RSG153" s="1011"/>
      <c r="RSH153" s="1011"/>
      <c r="RSI153" s="1011"/>
      <c r="RSJ153" s="1011"/>
      <c r="RSK153" s="1011"/>
      <c r="RSL153" s="1011"/>
      <c r="RSM153" s="1011"/>
      <c r="RSN153" s="1011"/>
      <c r="RSO153" s="1011"/>
      <c r="RSP153" s="1011"/>
      <c r="RSQ153" s="1011"/>
      <c r="RSR153" s="1011"/>
      <c r="RSS153" s="1011"/>
      <c r="RST153" s="1011"/>
      <c r="RSU153" s="1011"/>
      <c r="RSV153" s="1011"/>
      <c r="RSW153" s="1011"/>
      <c r="RSX153" s="1011"/>
      <c r="RSY153" s="1011"/>
      <c r="RSZ153" s="1011"/>
      <c r="RTA153" s="1011"/>
      <c r="RTB153" s="1011"/>
      <c r="RTC153" s="1011"/>
      <c r="RTD153" s="1011"/>
      <c r="RTE153" s="1011"/>
      <c r="RTF153" s="1011"/>
      <c r="RTG153" s="1011"/>
      <c r="RTH153" s="1011"/>
      <c r="RTI153" s="1011"/>
      <c r="RTJ153" s="1011"/>
      <c r="RTK153" s="1011"/>
      <c r="RTL153" s="1011"/>
      <c r="RTM153" s="1011"/>
      <c r="RTN153" s="1011"/>
      <c r="RTO153" s="1011"/>
      <c r="RTP153" s="1011"/>
      <c r="RTQ153" s="1011"/>
      <c r="RTR153" s="1011"/>
      <c r="RTS153" s="1011"/>
      <c r="RTT153" s="1011"/>
      <c r="RTU153" s="1011"/>
      <c r="RTV153" s="1011"/>
      <c r="RTW153" s="1011"/>
      <c r="RTX153" s="1011"/>
      <c r="RTY153" s="1011"/>
      <c r="RTZ153" s="1011"/>
      <c r="RUA153" s="1011"/>
      <c r="RUB153" s="1011"/>
      <c r="RUC153" s="1011"/>
      <c r="RUD153" s="1011"/>
      <c r="RUE153" s="1011"/>
      <c r="RUF153" s="1011"/>
      <c r="RUG153" s="1011"/>
      <c r="RUH153" s="1011"/>
      <c r="RUI153" s="1011"/>
      <c r="RUJ153" s="1011"/>
      <c r="RUK153" s="1011"/>
      <c r="RUL153" s="1011"/>
      <c r="RUM153" s="1011"/>
      <c r="RUN153" s="1011"/>
      <c r="RUO153" s="1011"/>
      <c r="RUP153" s="1011"/>
      <c r="RUQ153" s="1011"/>
      <c r="RUR153" s="1011"/>
      <c r="RUS153" s="1011"/>
      <c r="RUT153" s="1011"/>
      <c r="RUU153" s="1011"/>
      <c r="RUV153" s="1011"/>
      <c r="RUW153" s="1011"/>
      <c r="RUX153" s="1011"/>
      <c r="RUY153" s="1011"/>
      <c r="RUZ153" s="1011"/>
      <c r="RVA153" s="1011"/>
      <c r="RVB153" s="1011"/>
      <c r="RVC153" s="1011"/>
      <c r="RVD153" s="1011"/>
      <c r="RVE153" s="1011"/>
      <c r="RVF153" s="1011"/>
      <c r="RVG153" s="1011"/>
      <c r="RVH153" s="1011"/>
      <c r="RVI153" s="1011"/>
      <c r="RVJ153" s="1011"/>
      <c r="RVK153" s="1011"/>
      <c r="RVL153" s="1011"/>
      <c r="RVM153" s="1011"/>
      <c r="RVN153" s="1011"/>
      <c r="RVO153" s="1011"/>
      <c r="RVP153" s="1011"/>
      <c r="RVQ153" s="1011"/>
      <c r="RVR153" s="1011"/>
      <c r="RVS153" s="1011"/>
      <c r="RVT153" s="1011"/>
      <c r="RVU153" s="1011"/>
      <c r="RVV153" s="1011"/>
      <c r="RVW153" s="1011"/>
      <c r="RVX153" s="1011"/>
      <c r="RVY153" s="1011"/>
      <c r="RVZ153" s="1011"/>
      <c r="RWA153" s="1011"/>
      <c r="RWB153" s="1011"/>
      <c r="RWC153" s="1011"/>
      <c r="RWD153" s="1011"/>
      <c r="RWE153" s="1011"/>
      <c r="RWF153" s="1011"/>
      <c r="RWG153" s="1011"/>
      <c r="RWH153" s="1011"/>
      <c r="RWI153" s="1011"/>
      <c r="RWJ153" s="1011"/>
      <c r="RWK153" s="1011"/>
      <c r="RWL153" s="1011"/>
      <c r="RWM153" s="1011"/>
      <c r="RWN153" s="1011"/>
      <c r="RWO153" s="1011"/>
      <c r="RWP153" s="1011"/>
      <c r="RWQ153" s="1011"/>
      <c r="RWR153" s="1011"/>
      <c r="RWS153" s="1011"/>
      <c r="RWT153" s="1011"/>
      <c r="RWU153" s="1011"/>
      <c r="RWV153" s="1011"/>
      <c r="RWW153" s="1011"/>
      <c r="RWX153" s="1011"/>
      <c r="RWY153" s="1011"/>
      <c r="RWZ153" s="1011"/>
      <c r="RXA153" s="1011"/>
      <c r="RXB153" s="1011"/>
      <c r="RXC153" s="1011"/>
      <c r="RXD153" s="1011"/>
      <c r="RXE153" s="1011"/>
      <c r="RXF153" s="1011"/>
      <c r="RXG153" s="1011"/>
      <c r="RXH153" s="1011"/>
      <c r="RXI153" s="1011"/>
      <c r="RXJ153" s="1011"/>
      <c r="RXK153" s="1011"/>
      <c r="RXL153" s="1011"/>
      <c r="RXM153" s="1011"/>
      <c r="RXN153" s="1011"/>
      <c r="RXO153" s="1011"/>
      <c r="RXP153" s="1011"/>
      <c r="RXQ153" s="1011"/>
      <c r="RXR153" s="1011"/>
      <c r="RXS153" s="1011"/>
      <c r="RXT153" s="1011"/>
      <c r="RXU153" s="1011"/>
      <c r="RXV153" s="1011"/>
      <c r="RXW153" s="1011"/>
      <c r="RXX153" s="1011"/>
      <c r="RXY153" s="1011"/>
      <c r="RXZ153" s="1011"/>
      <c r="RYA153" s="1011"/>
      <c r="RYB153" s="1011"/>
      <c r="RYC153" s="1011"/>
      <c r="RYD153" s="1011"/>
      <c r="RYE153" s="1011"/>
      <c r="RYF153" s="1011"/>
      <c r="RYG153" s="1011"/>
      <c r="RYH153" s="1011"/>
      <c r="RYI153" s="1011"/>
      <c r="RYJ153" s="1011"/>
      <c r="RYK153" s="1011"/>
      <c r="RYL153" s="1011"/>
      <c r="RYM153" s="1011"/>
      <c r="RYN153" s="1011"/>
      <c r="RYO153" s="1011"/>
      <c r="RYP153" s="1011"/>
      <c r="RYQ153" s="1011"/>
      <c r="RYR153" s="1011"/>
      <c r="RYS153" s="1011"/>
      <c r="RYT153" s="1011"/>
      <c r="RYU153" s="1011"/>
      <c r="RYV153" s="1011"/>
      <c r="RYW153" s="1011"/>
      <c r="RYX153" s="1011"/>
      <c r="RYY153" s="1011"/>
      <c r="RYZ153" s="1011"/>
      <c r="RZA153" s="1011"/>
      <c r="RZB153" s="1011"/>
      <c r="RZC153" s="1011"/>
      <c r="RZD153" s="1011"/>
      <c r="RZE153" s="1011"/>
      <c r="RZF153" s="1011"/>
      <c r="RZG153" s="1011"/>
      <c r="RZH153" s="1011"/>
      <c r="RZI153" s="1011"/>
      <c r="RZJ153" s="1011"/>
      <c r="RZK153" s="1011"/>
      <c r="RZL153" s="1011"/>
      <c r="RZM153" s="1011"/>
      <c r="RZN153" s="1011"/>
      <c r="RZO153" s="1011"/>
      <c r="RZP153" s="1011"/>
      <c r="RZQ153" s="1011"/>
      <c r="RZR153" s="1011"/>
      <c r="RZS153" s="1011"/>
      <c r="RZT153" s="1011"/>
      <c r="RZU153" s="1011"/>
      <c r="RZV153" s="1011"/>
      <c r="RZW153" s="1011"/>
      <c r="RZX153" s="1011"/>
      <c r="RZY153" s="1011"/>
      <c r="RZZ153" s="1011"/>
      <c r="SAA153" s="1011"/>
      <c r="SAB153" s="1011"/>
      <c r="SAC153" s="1011"/>
      <c r="SAD153" s="1011"/>
      <c r="SAE153" s="1011"/>
      <c r="SAF153" s="1011"/>
      <c r="SAG153" s="1011"/>
      <c r="SAH153" s="1011"/>
      <c r="SAI153" s="1011"/>
      <c r="SAJ153" s="1011"/>
      <c r="SAK153" s="1011"/>
      <c r="SAL153" s="1011"/>
      <c r="SAM153" s="1011"/>
      <c r="SAN153" s="1011"/>
      <c r="SAO153" s="1011"/>
      <c r="SAP153" s="1011"/>
      <c r="SAQ153" s="1011"/>
      <c r="SAR153" s="1011"/>
      <c r="SAS153" s="1011"/>
      <c r="SAT153" s="1011"/>
      <c r="SAU153" s="1011"/>
      <c r="SAV153" s="1011"/>
      <c r="SAW153" s="1011"/>
      <c r="SAX153" s="1011"/>
      <c r="SAY153" s="1011"/>
      <c r="SAZ153" s="1011"/>
      <c r="SBA153" s="1011"/>
      <c r="SBB153" s="1011"/>
      <c r="SBC153" s="1011"/>
      <c r="SBD153" s="1011"/>
      <c r="SBE153" s="1011"/>
      <c r="SBF153" s="1011"/>
      <c r="SBG153" s="1011"/>
      <c r="SBH153" s="1011"/>
      <c r="SBI153" s="1011"/>
      <c r="SBJ153" s="1011"/>
      <c r="SBK153" s="1011"/>
      <c r="SBL153" s="1011"/>
      <c r="SBM153" s="1011"/>
      <c r="SBN153" s="1011"/>
      <c r="SBO153" s="1011"/>
      <c r="SBP153" s="1011"/>
      <c r="SBQ153" s="1011"/>
      <c r="SBR153" s="1011"/>
      <c r="SBS153" s="1011"/>
      <c r="SBT153" s="1011"/>
      <c r="SBU153" s="1011"/>
      <c r="SBV153" s="1011"/>
      <c r="SBW153" s="1011"/>
      <c r="SBX153" s="1011"/>
      <c r="SBY153" s="1011"/>
      <c r="SBZ153" s="1011"/>
      <c r="SCA153" s="1011"/>
      <c r="SCB153" s="1011"/>
      <c r="SCC153" s="1011"/>
      <c r="SCD153" s="1011"/>
      <c r="SCE153" s="1011"/>
      <c r="SCF153" s="1011"/>
      <c r="SCG153" s="1011"/>
      <c r="SCH153" s="1011"/>
      <c r="SCI153" s="1011"/>
      <c r="SCJ153" s="1011"/>
      <c r="SCK153" s="1011"/>
      <c r="SCL153" s="1011"/>
      <c r="SCM153" s="1011"/>
      <c r="SCN153" s="1011"/>
      <c r="SCO153" s="1011"/>
      <c r="SCP153" s="1011"/>
      <c r="SCQ153" s="1011"/>
      <c r="SCR153" s="1011"/>
      <c r="SCS153" s="1011"/>
      <c r="SCT153" s="1011"/>
      <c r="SCU153" s="1011"/>
      <c r="SCV153" s="1011"/>
      <c r="SCW153" s="1011"/>
      <c r="SCX153" s="1011"/>
      <c r="SCY153" s="1011"/>
      <c r="SCZ153" s="1011"/>
      <c r="SDA153" s="1011"/>
      <c r="SDB153" s="1011"/>
      <c r="SDC153" s="1011"/>
      <c r="SDD153" s="1011"/>
      <c r="SDE153" s="1011"/>
      <c r="SDF153" s="1011"/>
      <c r="SDG153" s="1011"/>
      <c r="SDH153" s="1011"/>
      <c r="SDI153" s="1011"/>
      <c r="SDJ153" s="1011"/>
      <c r="SDK153" s="1011"/>
      <c r="SDL153" s="1011"/>
      <c r="SDM153" s="1011"/>
      <c r="SDN153" s="1011"/>
      <c r="SDO153" s="1011"/>
      <c r="SDP153" s="1011"/>
      <c r="SDQ153" s="1011"/>
      <c r="SDR153" s="1011"/>
      <c r="SDS153" s="1011"/>
      <c r="SDT153" s="1011"/>
      <c r="SDU153" s="1011"/>
      <c r="SDV153" s="1011"/>
      <c r="SDW153" s="1011"/>
      <c r="SDX153" s="1011"/>
      <c r="SDY153" s="1011"/>
      <c r="SDZ153" s="1011"/>
      <c r="SEA153" s="1011"/>
      <c r="SEB153" s="1011"/>
      <c r="SEC153" s="1011"/>
      <c r="SED153" s="1011"/>
      <c r="SEE153" s="1011"/>
      <c r="SEF153" s="1011"/>
      <c r="SEG153" s="1011"/>
      <c r="SEH153" s="1011"/>
      <c r="SEI153" s="1011"/>
      <c r="SEJ153" s="1011"/>
      <c r="SEK153" s="1011"/>
      <c r="SEL153" s="1011"/>
      <c r="SEM153" s="1011"/>
      <c r="SEN153" s="1011"/>
      <c r="SEO153" s="1011"/>
      <c r="SEP153" s="1011"/>
      <c r="SEQ153" s="1011"/>
      <c r="SER153" s="1011"/>
      <c r="SES153" s="1011"/>
      <c r="SET153" s="1011"/>
      <c r="SEU153" s="1011"/>
      <c r="SEV153" s="1011"/>
      <c r="SEW153" s="1011"/>
      <c r="SEX153" s="1011"/>
      <c r="SEY153" s="1011"/>
      <c r="SEZ153" s="1011"/>
      <c r="SFA153" s="1011"/>
      <c r="SFB153" s="1011"/>
      <c r="SFC153" s="1011"/>
      <c r="SFD153" s="1011"/>
      <c r="SFE153" s="1011"/>
      <c r="SFF153" s="1011"/>
      <c r="SFG153" s="1011"/>
      <c r="SFH153" s="1011"/>
      <c r="SFI153" s="1011"/>
      <c r="SFJ153" s="1011"/>
      <c r="SFK153" s="1011"/>
      <c r="SFL153" s="1011"/>
      <c r="SFM153" s="1011"/>
      <c r="SFN153" s="1011"/>
      <c r="SFO153" s="1011"/>
      <c r="SFP153" s="1011"/>
      <c r="SFQ153" s="1011"/>
      <c r="SFR153" s="1011"/>
      <c r="SFS153" s="1011"/>
      <c r="SFT153" s="1011"/>
      <c r="SFU153" s="1011"/>
      <c r="SFV153" s="1011"/>
      <c r="SFW153" s="1011"/>
      <c r="SFX153" s="1011"/>
      <c r="SFY153" s="1011"/>
      <c r="SFZ153" s="1011"/>
      <c r="SGA153" s="1011"/>
      <c r="SGB153" s="1011"/>
      <c r="SGC153" s="1011"/>
      <c r="SGD153" s="1011"/>
      <c r="SGE153" s="1011"/>
      <c r="SGF153" s="1011"/>
      <c r="SGG153" s="1011"/>
      <c r="SGH153" s="1011"/>
      <c r="SGI153" s="1011"/>
      <c r="SGJ153" s="1011"/>
      <c r="SGK153" s="1011"/>
      <c r="SGL153" s="1011"/>
      <c r="SGM153" s="1011"/>
      <c r="SGN153" s="1011"/>
      <c r="SGO153" s="1011"/>
      <c r="SGP153" s="1011"/>
      <c r="SGQ153" s="1011"/>
      <c r="SGR153" s="1011"/>
      <c r="SGS153" s="1011"/>
      <c r="SGT153" s="1011"/>
      <c r="SGU153" s="1011"/>
      <c r="SGV153" s="1011"/>
      <c r="SGW153" s="1011"/>
      <c r="SGX153" s="1011"/>
      <c r="SGY153" s="1011"/>
      <c r="SGZ153" s="1011"/>
      <c r="SHA153" s="1011"/>
      <c r="SHB153" s="1011"/>
      <c r="SHC153" s="1011"/>
      <c r="SHD153" s="1011"/>
      <c r="SHE153" s="1011"/>
      <c r="SHF153" s="1011"/>
      <c r="SHG153" s="1011"/>
      <c r="SHH153" s="1011"/>
      <c r="SHI153" s="1011"/>
      <c r="SHJ153" s="1011"/>
      <c r="SHK153" s="1011"/>
      <c r="SHL153" s="1011"/>
      <c r="SHM153" s="1011"/>
      <c r="SHN153" s="1011"/>
      <c r="SHO153" s="1011"/>
      <c r="SHP153" s="1011"/>
      <c r="SHQ153" s="1011"/>
      <c r="SHR153" s="1011"/>
      <c r="SHS153" s="1011"/>
      <c r="SHT153" s="1011"/>
      <c r="SHU153" s="1011"/>
      <c r="SHV153" s="1011"/>
      <c r="SHW153" s="1011"/>
      <c r="SHX153" s="1011"/>
      <c r="SHY153" s="1011"/>
      <c r="SHZ153" s="1011"/>
      <c r="SIA153" s="1011"/>
      <c r="SIB153" s="1011"/>
      <c r="SIC153" s="1011"/>
      <c r="SID153" s="1011"/>
      <c r="SIE153" s="1011"/>
      <c r="SIF153" s="1011"/>
      <c r="SIG153" s="1011"/>
      <c r="SIH153" s="1011"/>
      <c r="SII153" s="1011"/>
      <c r="SIJ153" s="1011"/>
      <c r="SIK153" s="1011"/>
      <c r="SIL153" s="1011"/>
      <c r="SIM153" s="1011"/>
      <c r="SIN153" s="1011"/>
      <c r="SIO153" s="1011"/>
      <c r="SIP153" s="1011"/>
      <c r="SIQ153" s="1011"/>
      <c r="SIR153" s="1011"/>
      <c r="SIS153" s="1011"/>
      <c r="SIT153" s="1011"/>
      <c r="SIU153" s="1011"/>
      <c r="SIV153" s="1011"/>
      <c r="SIW153" s="1011"/>
      <c r="SIX153" s="1011"/>
      <c r="SIY153" s="1011"/>
      <c r="SIZ153" s="1011"/>
      <c r="SJA153" s="1011"/>
      <c r="SJB153" s="1011"/>
      <c r="SJC153" s="1011"/>
      <c r="SJD153" s="1011"/>
      <c r="SJE153" s="1011"/>
      <c r="SJF153" s="1011"/>
      <c r="SJG153" s="1011"/>
      <c r="SJH153" s="1011"/>
      <c r="SJI153" s="1011"/>
      <c r="SJJ153" s="1011"/>
      <c r="SJK153" s="1011"/>
      <c r="SJL153" s="1011"/>
      <c r="SJM153" s="1011"/>
      <c r="SJN153" s="1011"/>
      <c r="SJO153" s="1011"/>
      <c r="SJP153" s="1011"/>
      <c r="SJQ153" s="1011"/>
      <c r="SJR153" s="1011"/>
      <c r="SJS153" s="1011"/>
      <c r="SJT153" s="1011"/>
      <c r="SJU153" s="1011"/>
      <c r="SJV153" s="1011"/>
      <c r="SJW153" s="1011"/>
      <c r="SJX153" s="1011"/>
      <c r="SJY153" s="1011"/>
      <c r="SJZ153" s="1011"/>
      <c r="SKA153" s="1011"/>
      <c r="SKB153" s="1011"/>
      <c r="SKC153" s="1011"/>
      <c r="SKD153" s="1011"/>
      <c r="SKE153" s="1011"/>
      <c r="SKF153" s="1011"/>
      <c r="SKG153" s="1011"/>
      <c r="SKH153" s="1011"/>
      <c r="SKI153" s="1011"/>
      <c r="SKJ153" s="1011"/>
      <c r="SKK153" s="1011"/>
      <c r="SKL153" s="1011"/>
      <c r="SKM153" s="1011"/>
      <c r="SKN153" s="1011"/>
      <c r="SKO153" s="1011"/>
      <c r="SKP153" s="1011"/>
      <c r="SKQ153" s="1011"/>
      <c r="SKR153" s="1011"/>
      <c r="SKS153" s="1011"/>
      <c r="SKT153" s="1011"/>
      <c r="SKU153" s="1011"/>
      <c r="SKV153" s="1011"/>
      <c r="SKW153" s="1011"/>
      <c r="SKX153" s="1011"/>
      <c r="SKY153" s="1011"/>
      <c r="SKZ153" s="1011"/>
      <c r="SLA153" s="1011"/>
      <c r="SLB153" s="1011"/>
      <c r="SLC153" s="1011"/>
      <c r="SLD153" s="1011"/>
      <c r="SLE153" s="1011"/>
      <c r="SLF153" s="1011"/>
      <c r="SLG153" s="1011"/>
      <c r="SLH153" s="1011"/>
      <c r="SLI153" s="1011"/>
      <c r="SLJ153" s="1011"/>
      <c r="SLK153" s="1011"/>
      <c r="SLL153" s="1011"/>
      <c r="SLM153" s="1011"/>
      <c r="SLN153" s="1011"/>
      <c r="SLO153" s="1011"/>
      <c r="SLP153" s="1011"/>
      <c r="SLQ153" s="1011"/>
      <c r="SLR153" s="1011"/>
      <c r="SLS153" s="1011"/>
      <c r="SLT153" s="1011"/>
      <c r="SLU153" s="1011"/>
      <c r="SLV153" s="1011"/>
      <c r="SLW153" s="1011"/>
      <c r="SLX153" s="1011"/>
      <c r="SLY153" s="1011"/>
      <c r="SLZ153" s="1011"/>
      <c r="SMA153" s="1011"/>
      <c r="SMB153" s="1011"/>
      <c r="SMC153" s="1011"/>
      <c r="SMD153" s="1011"/>
      <c r="SME153" s="1011"/>
      <c r="SMF153" s="1011"/>
      <c r="SMG153" s="1011"/>
      <c r="SMH153" s="1011"/>
      <c r="SMI153" s="1011"/>
      <c r="SMJ153" s="1011"/>
      <c r="SMK153" s="1011"/>
      <c r="SML153" s="1011"/>
      <c r="SMM153" s="1011"/>
      <c r="SMN153" s="1011"/>
      <c r="SMO153" s="1011"/>
      <c r="SMP153" s="1011"/>
      <c r="SMQ153" s="1011"/>
      <c r="SMR153" s="1011"/>
      <c r="SMS153" s="1011"/>
      <c r="SMT153" s="1011"/>
      <c r="SMU153" s="1011"/>
      <c r="SMV153" s="1011"/>
      <c r="SMW153" s="1011"/>
      <c r="SMX153" s="1011"/>
      <c r="SMY153" s="1011"/>
      <c r="SMZ153" s="1011"/>
      <c r="SNA153" s="1011"/>
      <c r="SNB153" s="1011"/>
      <c r="SNC153" s="1011"/>
      <c r="SND153" s="1011"/>
      <c r="SNE153" s="1011"/>
      <c r="SNF153" s="1011"/>
      <c r="SNG153" s="1011"/>
      <c r="SNH153" s="1011"/>
      <c r="SNI153" s="1011"/>
      <c r="SNJ153" s="1011"/>
      <c r="SNK153" s="1011"/>
      <c r="SNL153" s="1011"/>
      <c r="SNM153" s="1011"/>
      <c r="SNN153" s="1011"/>
      <c r="SNO153" s="1011"/>
      <c r="SNP153" s="1011"/>
      <c r="SNQ153" s="1011"/>
      <c r="SNR153" s="1011"/>
      <c r="SNS153" s="1011"/>
      <c r="SNT153" s="1011"/>
      <c r="SNU153" s="1011"/>
      <c r="SNV153" s="1011"/>
      <c r="SNW153" s="1011"/>
      <c r="SNX153" s="1011"/>
      <c r="SNY153" s="1011"/>
      <c r="SNZ153" s="1011"/>
      <c r="SOA153" s="1011"/>
      <c r="SOB153" s="1011"/>
      <c r="SOC153" s="1011"/>
      <c r="SOD153" s="1011"/>
      <c r="SOE153" s="1011"/>
      <c r="SOF153" s="1011"/>
      <c r="SOG153" s="1011"/>
      <c r="SOH153" s="1011"/>
      <c r="SOI153" s="1011"/>
      <c r="SOJ153" s="1011"/>
      <c r="SOK153" s="1011"/>
      <c r="SOL153" s="1011"/>
      <c r="SOM153" s="1011"/>
      <c r="SON153" s="1011"/>
      <c r="SOO153" s="1011"/>
      <c r="SOP153" s="1011"/>
      <c r="SOQ153" s="1011"/>
      <c r="SOR153" s="1011"/>
      <c r="SOS153" s="1011"/>
      <c r="SOT153" s="1011"/>
      <c r="SOU153" s="1011"/>
      <c r="SOV153" s="1011"/>
      <c r="SOW153" s="1011"/>
      <c r="SOX153" s="1011"/>
      <c r="SOY153" s="1011"/>
      <c r="SOZ153" s="1011"/>
      <c r="SPA153" s="1011"/>
      <c r="SPB153" s="1011"/>
      <c r="SPC153" s="1011"/>
      <c r="SPD153" s="1011"/>
      <c r="SPE153" s="1011"/>
      <c r="SPF153" s="1011"/>
      <c r="SPG153" s="1011"/>
      <c r="SPH153" s="1011"/>
      <c r="SPI153" s="1011"/>
      <c r="SPJ153" s="1011"/>
      <c r="SPK153" s="1011"/>
      <c r="SPL153" s="1011"/>
      <c r="SPM153" s="1011"/>
      <c r="SPN153" s="1011"/>
      <c r="SPO153" s="1011"/>
      <c r="SPP153" s="1011"/>
      <c r="SPQ153" s="1011"/>
      <c r="SPR153" s="1011"/>
      <c r="SPS153" s="1011"/>
      <c r="SPT153" s="1011"/>
      <c r="SPU153" s="1011"/>
      <c r="SPV153" s="1011"/>
      <c r="SPW153" s="1011"/>
      <c r="SPX153" s="1011"/>
      <c r="SPY153" s="1011"/>
      <c r="SPZ153" s="1011"/>
      <c r="SQA153" s="1011"/>
      <c r="SQB153" s="1011"/>
      <c r="SQC153" s="1011"/>
      <c r="SQD153" s="1011"/>
      <c r="SQE153" s="1011"/>
      <c r="SQF153" s="1011"/>
      <c r="SQG153" s="1011"/>
      <c r="SQH153" s="1011"/>
      <c r="SQI153" s="1011"/>
      <c r="SQJ153" s="1011"/>
      <c r="SQK153" s="1011"/>
      <c r="SQL153" s="1011"/>
      <c r="SQM153" s="1011"/>
      <c r="SQN153" s="1011"/>
      <c r="SQO153" s="1011"/>
      <c r="SQP153" s="1011"/>
      <c r="SQQ153" s="1011"/>
      <c r="SQR153" s="1011"/>
      <c r="SQS153" s="1011"/>
      <c r="SQT153" s="1011"/>
      <c r="SQU153" s="1011"/>
      <c r="SQV153" s="1011"/>
      <c r="SQW153" s="1011"/>
      <c r="SQX153" s="1011"/>
      <c r="SQY153" s="1011"/>
      <c r="SQZ153" s="1011"/>
      <c r="SRA153" s="1011"/>
      <c r="SRB153" s="1011"/>
      <c r="SRC153" s="1011"/>
      <c r="SRD153" s="1011"/>
      <c r="SRE153" s="1011"/>
      <c r="SRF153" s="1011"/>
      <c r="SRG153" s="1011"/>
      <c r="SRH153" s="1011"/>
      <c r="SRI153" s="1011"/>
      <c r="SRJ153" s="1011"/>
      <c r="SRK153" s="1011"/>
      <c r="SRL153" s="1011"/>
      <c r="SRM153" s="1011"/>
      <c r="SRN153" s="1011"/>
      <c r="SRO153" s="1011"/>
      <c r="SRP153" s="1011"/>
      <c r="SRQ153" s="1011"/>
      <c r="SRR153" s="1011"/>
      <c r="SRS153" s="1011"/>
      <c r="SRT153" s="1011"/>
      <c r="SRU153" s="1011"/>
      <c r="SRV153" s="1011"/>
      <c r="SRW153" s="1011"/>
      <c r="SRX153" s="1011"/>
      <c r="SRY153" s="1011"/>
      <c r="SRZ153" s="1011"/>
      <c r="SSA153" s="1011"/>
      <c r="SSB153" s="1011"/>
      <c r="SSC153" s="1011"/>
      <c r="SSD153" s="1011"/>
      <c r="SSE153" s="1011"/>
      <c r="SSF153" s="1011"/>
      <c r="SSG153" s="1011"/>
      <c r="SSH153" s="1011"/>
      <c r="SSI153" s="1011"/>
      <c r="SSJ153" s="1011"/>
      <c r="SSK153" s="1011"/>
      <c r="SSL153" s="1011"/>
      <c r="SSM153" s="1011"/>
      <c r="SSN153" s="1011"/>
      <c r="SSO153" s="1011"/>
      <c r="SSP153" s="1011"/>
      <c r="SSQ153" s="1011"/>
      <c r="SSR153" s="1011"/>
      <c r="SSS153" s="1011"/>
      <c r="SST153" s="1011"/>
      <c r="SSU153" s="1011"/>
      <c r="SSV153" s="1011"/>
      <c r="SSW153" s="1011"/>
      <c r="SSX153" s="1011"/>
      <c r="SSY153" s="1011"/>
      <c r="SSZ153" s="1011"/>
      <c r="STA153" s="1011"/>
      <c r="STB153" s="1011"/>
      <c r="STC153" s="1011"/>
      <c r="STD153" s="1011"/>
      <c r="STE153" s="1011"/>
      <c r="STF153" s="1011"/>
      <c r="STG153" s="1011"/>
      <c r="STH153" s="1011"/>
      <c r="STI153" s="1011"/>
      <c r="STJ153" s="1011"/>
      <c r="STK153" s="1011"/>
      <c r="STL153" s="1011"/>
      <c r="STM153" s="1011"/>
      <c r="STN153" s="1011"/>
      <c r="STO153" s="1011"/>
      <c r="STP153" s="1011"/>
      <c r="STQ153" s="1011"/>
      <c r="STR153" s="1011"/>
      <c r="STS153" s="1011"/>
      <c r="STT153" s="1011"/>
      <c r="STU153" s="1011"/>
      <c r="STV153" s="1011"/>
      <c r="STW153" s="1011"/>
      <c r="STX153" s="1011"/>
      <c r="STY153" s="1011"/>
      <c r="STZ153" s="1011"/>
      <c r="SUA153" s="1011"/>
      <c r="SUB153" s="1011"/>
      <c r="SUC153" s="1011"/>
      <c r="SUD153" s="1011"/>
      <c r="SUE153" s="1011"/>
      <c r="SUF153" s="1011"/>
      <c r="SUG153" s="1011"/>
      <c r="SUH153" s="1011"/>
      <c r="SUI153" s="1011"/>
      <c r="SUJ153" s="1011"/>
      <c r="SUK153" s="1011"/>
      <c r="SUL153" s="1011"/>
      <c r="SUM153" s="1011"/>
      <c r="SUN153" s="1011"/>
      <c r="SUO153" s="1011"/>
      <c r="SUP153" s="1011"/>
      <c r="SUQ153" s="1011"/>
      <c r="SUR153" s="1011"/>
      <c r="SUS153" s="1011"/>
      <c r="SUT153" s="1011"/>
      <c r="SUU153" s="1011"/>
      <c r="SUV153" s="1011"/>
      <c r="SUW153" s="1011"/>
      <c r="SUX153" s="1011"/>
      <c r="SUY153" s="1011"/>
      <c r="SUZ153" s="1011"/>
      <c r="SVA153" s="1011"/>
      <c r="SVB153" s="1011"/>
      <c r="SVC153" s="1011"/>
      <c r="SVD153" s="1011"/>
      <c r="SVE153" s="1011"/>
      <c r="SVF153" s="1011"/>
      <c r="SVG153" s="1011"/>
      <c r="SVH153" s="1011"/>
      <c r="SVI153" s="1011"/>
      <c r="SVJ153" s="1011"/>
      <c r="SVK153" s="1011"/>
      <c r="SVL153" s="1011"/>
      <c r="SVM153" s="1011"/>
      <c r="SVN153" s="1011"/>
      <c r="SVO153" s="1011"/>
      <c r="SVP153" s="1011"/>
      <c r="SVQ153" s="1011"/>
      <c r="SVR153" s="1011"/>
      <c r="SVS153" s="1011"/>
      <c r="SVT153" s="1011"/>
      <c r="SVU153" s="1011"/>
      <c r="SVV153" s="1011"/>
      <c r="SVW153" s="1011"/>
      <c r="SVX153" s="1011"/>
      <c r="SVY153" s="1011"/>
      <c r="SVZ153" s="1011"/>
      <c r="SWA153" s="1011"/>
      <c r="SWB153" s="1011"/>
      <c r="SWC153" s="1011"/>
      <c r="SWD153" s="1011"/>
      <c r="SWE153" s="1011"/>
      <c r="SWF153" s="1011"/>
      <c r="SWG153" s="1011"/>
      <c r="SWH153" s="1011"/>
      <c r="SWI153" s="1011"/>
      <c r="SWJ153" s="1011"/>
      <c r="SWK153" s="1011"/>
      <c r="SWL153" s="1011"/>
      <c r="SWM153" s="1011"/>
      <c r="SWN153" s="1011"/>
      <c r="SWO153" s="1011"/>
      <c r="SWP153" s="1011"/>
      <c r="SWQ153" s="1011"/>
      <c r="SWR153" s="1011"/>
      <c r="SWS153" s="1011"/>
      <c r="SWT153" s="1011"/>
      <c r="SWU153" s="1011"/>
      <c r="SWV153" s="1011"/>
      <c r="SWW153" s="1011"/>
      <c r="SWX153" s="1011"/>
      <c r="SWY153" s="1011"/>
      <c r="SWZ153" s="1011"/>
      <c r="SXA153" s="1011"/>
      <c r="SXB153" s="1011"/>
      <c r="SXC153" s="1011"/>
      <c r="SXD153" s="1011"/>
      <c r="SXE153" s="1011"/>
      <c r="SXF153" s="1011"/>
      <c r="SXG153" s="1011"/>
      <c r="SXH153" s="1011"/>
      <c r="SXI153" s="1011"/>
      <c r="SXJ153" s="1011"/>
      <c r="SXK153" s="1011"/>
      <c r="SXL153" s="1011"/>
      <c r="SXM153" s="1011"/>
      <c r="SXN153" s="1011"/>
      <c r="SXO153" s="1011"/>
      <c r="SXP153" s="1011"/>
      <c r="SXQ153" s="1011"/>
      <c r="SXR153" s="1011"/>
      <c r="SXS153" s="1011"/>
      <c r="SXT153" s="1011"/>
      <c r="SXU153" s="1011"/>
      <c r="SXV153" s="1011"/>
      <c r="SXW153" s="1011"/>
      <c r="SXX153" s="1011"/>
      <c r="SXY153" s="1011"/>
      <c r="SXZ153" s="1011"/>
      <c r="SYA153" s="1011"/>
      <c r="SYB153" s="1011"/>
      <c r="SYC153" s="1011"/>
      <c r="SYD153" s="1011"/>
      <c r="SYE153" s="1011"/>
      <c r="SYF153" s="1011"/>
      <c r="SYG153" s="1011"/>
      <c r="SYH153" s="1011"/>
      <c r="SYI153" s="1011"/>
      <c r="SYJ153" s="1011"/>
      <c r="SYK153" s="1011"/>
      <c r="SYL153" s="1011"/>
      <c r="SYM153" s="1011"/>
      <c r="SYN153" s="1011"/>
      <c r="SYO153" s="1011"/>
      <c r="SYP153" s="1011"/>
      <c r="SYQ153" s="1011"/>
      <c r="SYR153" s="1011"/>
      <c r="SYS153" s="1011"/>
      <c r="SYT153" s="1011"/>
      <c r="SYU153" s="1011"/>
      <c r="SYV153" s="1011"/>
      <c r="SYW153" s="1011"/>
      <c r="SYX153" s="1011"/>
      <c r="SYY153" s="1011"/>
      <c r="SYZ153" s="1011"/>
      <c r="SZA153" s="1011"/>
      <c r="SZB153" s="1011"/>
      <c r="SZC153" s="1011"/>
      <c r="SZD153" s="1011"/>
      <c r="SZE153" s="1011"/>
      <c r="SZF153" s="1011"/>
      <c r="SZG153" s="1011"/>
      <c r="SZH153" s="1011"/>
      <c r="SZI153" s="1011"/>
      <c r="SZJ153" s="1011"/>
      <c r="SZK153" s="1011"/>
      <c r="SZL153" s="1011"/>
      <c r="SZM153" s="1011"/>
      <c r="SZN153" s="1011"/>
      <c r="SZO153" s="1011"/>
      <c r="SZP153" s="1011"/>
      <c r="SZQ153" s="1011"/>
      <c r="SZR153" s="1011"/>
      <c r="SZS153" s="1011"/>
      <c r="SZT153" s="1011"/>
      <c r="SZU153" s="1011"/>
      <c r="SZV153" s="1011"/>
      <c r="SZW153" s="1011"/>
      <c r="SZX153" s="1011"/>
      <c r="SZY153" s="1011"/>
      <c r="SZZ153" s="1011"/>
      <c r="TAA153" s="1011"/>
      <c r="TAB153" s="1011"/>
      <c r="TAC153" s="1011"/>
      <c r="TAD153" s="1011"/>
      <c r="TAE153" s="1011"/>
      <c r="TAF153" s="1011"/>
      <c r="TAG153" s="1011"/>
      <c r="TAH153" s="1011"/>
      <c r="TAI153" s="1011"/>
      <c r="TAJ153" s="1011"/>
      <c r="TAK153" s="1011"/>
      <c r="TAL153" s="1011"/>
      <c r="TAM153" s="1011"/>
      <c r="TAN153" s="1011"/>
      <c r="TAO153" s="1011"/>
      <c r="TAP153" s="1011"/>
      <c r="TAQ153" s="1011"/>
      <c r="TAR153" s="1011"/>
      <c r="TAS153" s="1011"/>
      <c r="TAT153" s="1011"/>
      <c r="TAU153" s="1011"/>
      <c r="TAV153" s="1011"/>
      <c r="TAW153" s="1011"/>
      <c r="TAX153" s="1011"/>
      <c r="TAY153" s="1011"/>
      <c r="TAZ153" s="1011"/>
      <c r="TBA153" s="1011"/>
      <c r="TBB153" s="1011"/>
      <c r="TBC153" s="1011"/>
      <c r="TBD153" s="1011"/>
      <c r="TBE153" s="1011"/>
      <c r="TBF153" s="1011"/>
      <c r="TBG153" s="1011"/>
      <c r="TBH153" s="1011"/>
      <c r="TBI153" s="1011"/>
      <c r="TBJ153" s="1011"/>
      <c r="TBK153" s="1011"/>
      <c r="TBL153" s="1011"/>
      <c r="TBM153" s="1011"/>
      <c r="TBN153" s="1011"/>
      <c r="TBO153" s="1011"/>
      <c r="TBP153" s="1011"/>
      <c r="TBQ153" s="1011"/>
      <c r="TBR153" s="1011"/>
      <c r="TBS153" s="1011"/>
      <c r="TBT153" s="1011"/>
      <c r="TBU153" s="1011"/>
      <c r="TBV153" s="1011"/>
      <c r="TBW153" s="1011"/>
      <c r="TBX153" s="1011"/>
      <c r="TBY153" s="1011"/>
      <c r="TBZ153" s="1011"/>
      <c r="TCA153" s="1011"/>
      <c r="TCB153" s="1011"/>
      <c r="TCC153" s="1011"/>
      <c r="TCD153" s="1011"/>
      <c r="TCE153" s="1011"/>
      <c r="TCF153" s="1011"/>
      <c r="TCG153" s="1011"/>
      <c r="TCH153" s="1011"/>
      <c r="TCI153" s="1011"/>
      <c r="TCJ153" s="1011"/>
      <c r="TCK153" s="1011"/>
      <c r="TCL153" s="1011"/>
      <c r="TCM153" s="1011"/>
      <c r="TCN153" s="1011"/>
      <c r="TCO153" s="1011"/>
      <c r="TCP153" s="1011"/>
      <c r="TCQ153" s="1011"/>
      <c r="TCR153" s="1011"/>
      <c r="TCS153" s="1011"/>
      <c r="TCT153" s="1011"/>
      <c r="TCU153" s="1011"/>
      <c r="TCV153" s="1011"/>
      <c r="TCW153" s="1011"/>
      <c r="TCX153" s="1011"/>
      <c r="TCY153" s="1011"/>
      <c r="TCZ153" s="1011"/>
      <c r="TDA153" s="1011"/>
      <c r="TDB153" s="1011"/>
      <c r="TDC153" s="1011"/>
      <c r="TDD153" s="1011"/>
      <c r="TDE153" s="1011"/>
      <c r="TDF153" s="1011"/>
      <c r="TDG153" s="1011"/>
      <c r="TDH153" s="1011"/>
      <c r="TDI153" s="1011"/>
      <c r="TDJ153" s="1011"/>
      <c r="TDK153" s="1011"/>
      <c r="TDL153" s="1011"/>
      <c r="TDM153" s="1011"/>
      <c r="TDN153" s="1011"/>
      <c r="TDO153" s="1011"/>
      <c r="TDP153" s="1011"/>
      <c r="TDQ153" s="1011"/>
      <c r="TDR153" s="1011"/>
      <c r="TDS153" s="1011"/>
      <c r="TDT153" s="1011"/>
      <c r="TDU153" s="1011"/>
      <c r="TDV153" s="1011"/>
      <c r="TDW153" s="1011"/>
      <c r="TDX153" s="1011"/>
      <c r="TDY153" s="1011"/>
      <c r="TDZ153" s="1011"/>
      <c r="TEA153" s="1011"/>
      <c r="TEB153" s="1011"/>
      <c r="TEC153" s="1011"/>
      <c r="TED153" s="1011"/>
      <c r="TEE153" s="1011"/>
      <c r="TEF153" s="1011"/>
      <c r="TEG153" s="1011"/>
      <c r="TEH153" s="1011"/>
      <c r="TEI153" s="1011"/>
      <c r="TEJ153" s="1011"/>
      <c r="TEK153" s="1011"/>
      <c r="TEL153" s="1011"/>
      <c r="TEM153" s="1011"/>
      <c r="TEN153" s="1011"/>
      <c r="TEO153" s="1011"/>
      <c r="TEP153" s="1011"/>
      <c r="TEQ153" s="1011"/>
      <c r="TER153" s="1011"/>
      <c r="TES153" s="1011"/>
      <c r="TET153" s="1011"/>
      <c r="TEU153" s="1011"/>
      <c r="TEV153" s="1011"/>
      <c r="TEW153" s="1011"/>
      <c r="TEX153" s="1011"/>
      <c r="TEY153" s="1011"/>
      <c r="TEZ153" s="1011"/>
      <c r="TFA153" s="1011"/>
      <c r="TFB153" s="1011"/>
      <c r="TFC153" s="1011"/>
      <c r="TFD153" s="1011"/>
      <c r="TFE153" s="1011"/>
      <c r="TFF153" s="1011"/>
      <c r="TFG153" s="1011"/>
      <c r="TFH153" s="1011"/>
      <c r="TFI153" s="1011"/>
      <c r="TFJ153" s="1011"/>
      <c r="TFK153" s="1011"/>
      <c r="TFL153" s="1011"/>
      <c r="TFM153" s="1011"/>
      <c r="TFN153" s="1011"/>
      <c r="TFO153" s="1011"/>
      <c r="TFP153" s="1011"/>
      <c r="TFQ153" s="1011"/>
      <c r="TFR153" s="1011"/>
      <c r="TFS153" s="1011"/>
      <c r="TFT153" s="1011"/>
      <c r="TFU153" s="1011"/>
      <c r="TFV153" s="1011"/>
      <c r="TFW153" s="1011"/>
      <c r="TFX153" s="1011"/>
      <c r="TFY153" s="1011"/>
      <c r="TFZ153" s="1011"/>
      <c r="TGA153" s="1011"/>
      <c r="TGB153" s="1011"/>
      <c r="TGC153" s="1011"/>
      <c r="TGD153" s="1011"/>
      <c r="TGE153" s="1011"/>
      <c r="TGF153" s="1011"/>
      <c r="TGG153" s="1011"/>
      <c r="TGH153" s="1011"/>
      <c r="TGI153" s="1011"/>
      <c r="TGJ153" s="1011"/>
      <c r="TGK153" s="1011"/>
      <c r="TGL153" s="1011"/>
      <c r="TGM153" s="1011"/>
      <c r="TGN153" s="1011"/>
      <c r="TGO153" s="1011"/>
      <c r="TGP153" s="1011"/>
      <c r="TGQ153" s="1011"/>
      <c r="TGR153" s="1011"/>
      <c r="TGS153" s="1011"/>
      <c r="TGT153" s="1011"/>
      <c r="TGU153" s="1011"/>
      <c r="TGV153" s="1011"/>
      <c r="TGW153" s="1011"/>
      <c r="TGX153" s="1011"/>
      <c r="TGY153" s="1011"/>
      <c r="TGZ153" s="1011"/>
      <c r="THA153" s="1011"/>
      <c r="THB153" s="1011"/>
      <c r="THC153" s="1011"/>
      <c r="THD153" s="1011"/>
      <c r="THE153" s="1011"/>
      <c r="THF153" s="1011"/>
      <c r="THG153" s="1011"/>
      <c r="THH153" s="1011"/>
      <c r="THI153" s="1011"/>
      <c r="THJ153" s="1011"/>
      <c r="THK153" s="1011"/>
      <c r="THL153" s="1011"/>
      <c r="THM153" s="1011"/>
      <c r="THN153" s="1011"/>
      <c r="THO153" s="1011"/>
      <c r="THP153" s="1011"/>
      <c r="THQ153" s="1011"/>
      <c r="THR153" s="1011"/>
      <c r="THS153" s="1011"/>
      <c r="THT153" s="1011"/>
      <c r="THU153" s="1011"/>
      <c r="THV153" s="1011"/>
      <c r="THW153" s="1011"/>
      <c r="THX153" s="1011"/>
      <c r="THY153" s="1011"/>
      <c r="THZ153" s="1011"/>
      <c r="TIA153" s="1011"/>
      <c r="TIB153" s="1011"/>
      <c r="TIC153" s="1011"/>
      <c r="TID153" s="1011"/>
      <c r="TIE153" s="1011"/>
      <c r="TIF153" s="1011"/>
      <c r="TIG153" s="1011"/>
      <c r="TIH153" s="1011"/>
      <c r="TII153" s="1011"/>
      <c r="TIJ153" s="1011"/>
      <c r="TIK153" s="1011"/>
      <c r="TIL153" s="1011"/>
      <c r="TIM153" s="1011"/>
      <c r="TIN153" s="1011"/>
      <c r="TIO153" s="1011"/>
      <c r="TIP153" s="1011"/>
      <c r="TIQ153" s="1011"/>
      <c r="TIR153" s="1011"/>
      <c r="TIS153" s="1011"/>
      <c r="TIT153" s="1011"/>
      <c r="TIU153" s="1011"/>
      <c r="TIV153" s="1011"/>
      <c r="TIW153" s="1011"/>
      <c r="TIX153" s="1011"/>
      <c r="TIY153" s="1011"/>
      <c r="TIZ153" s="1011"/>
      <c r="TJA153" s="1011"/>
      <c r="TJB153" s="1011"/>
      <c r="TJC153" s="1011"/>
      <c r="TJD153" s="1011"/>
      <c r="TJE153" s="1011"/>
      <c r="TJF153" s="1011"/>
      <c r="TJG153" s="1011"/>
      <c r="TJH153" s="1011"/>
      <c r="TJI153" s="1011"/>
      <c r="TJJ153" s="1011"/>
      <c r="TJK153" s="1011"/>
      <c r="TJL153" s="1011"/>
      <c r="TJM153" s="1011"/>
      <c r="TJN153" s="1011"/>
      <c r="TJO153" s="1011"/>
      <c r="TJP153" s="1011"/>
      <c r="TJQ153" s="1011"/>
      <c r="TJR153" s="1011"/>
      <c r="TJS153" s="1011"/>
      <c r="TJT153" s="1011"/>
      <c r="TJU153" s="1011"/>
      <c r="TJV153" s="1011"/>
      <c r="TJW153" s="1011"/>
      <c r="TJX153" s="1011"/>
      <c r="TJY153" s="1011"/>
      <c r="TJZ153" s="1011"/>
      <c r="TKA153" s="1011"/>
      <c r="TKB153" s="1011"/>
      <c r="TKC153" s="1011"/>
      <c r="TKD153" s="1011"/>
      <c r="TKE153" s="1011"/>
      <c r="TKF153" s="1011"/>
      <c r="TKG153" s="1011"/>
      <c r="TKH153" s="1011"/>
      <c r="TKI153" s="1011"/>
      <c r="TKJ153" s="1011"/>
      <c r="TKK153" s="1011"/>
      <c r="TKL153" s="1011"/>
      <c r="TKM153" s="1011"/>
      <c r="TKN153" s="1011"/>
      <c r="TKO153" s="1011"/>
      <c r="TKP153" s="1011"/>
      <c r="TKQ153" s="1011"/>
      <c r="TKR153" s="1011"/>
      <c r="TKS153" s="1011"/>
      <c r="TKT153" s="1011"/>
      <c r="TKU153" s="1011"/>
      <c r="TKV153" s="1011"/>
      <c r="TKW153" s="1011"/>
      <c r="TKX153" s="1011"/>
      <c r="TKY153" s="1011"/>
      <c r="TKZ153" s="1011"/>
      <c r="TLA153" s="1011"/>
      <c r="TLB153" s="1011"/>
      <c r="TLC153" s="1011"/>
      <c r="TLD153" s="1011"/>
      <c r="TLE153" s="1011"/>
      <c r="TLF153" s="1011"/>
      <c r="TLG153" s="1011"/>
      <c r="TLH153" s="1011"/>
      <c r="TLI153" s="1011"/>
      <c r="TLJ153" s="1011"/>
      <c r="TLK153" s="1011"/>
      <c r="TLL153" s="1011"/>
      <c r="TLM153" s="1011"/>
      <c r="TLN153" s="1011"/>
      <c r="TLO153" s="1011"/>
      <c r="TLP153" s="1011"/>
      <c r="TLQ153" s="1011"/>
      <c r="TLR153" s="1011"/>
      <c r="TLS153" s="1011"/>
      <c r="TLT153" s="1011"/>
      <c r="TLU153" s="1011"/>
      <c r="TLV153" s="1011"/>
      <c r="TLW153" s="1011"/>
      <c r="TLX153" s="1011"/>
      <c r="TLY153" s="1011"/>
      <c r="TLZ153" s="1011"/>
      <c r="TMA153" s="1011"/>
      <c r="TMB153" s="1011"/>
      <c r="TMC153" s="1011"/>
      <c r="TMD153" s="1011"/>
      <c r="TME153" s="1011"/>
      <c r="TMF153" s="1011"/>
      <c r="TMG153" s="1011"/>
      <c r="TMH153" s="1011"/>
      <c r="TMI153" s="1011"/>
      <c r="TMJ153" s="1011"/>
      <c r="TMK153" s="1011"/>
      <c r="TML153" s="1011"/>
      <c r="TMM153" s="1011"/>
      <c r="TMN153" s="1011"/>
      <c r="TMO153" s="1011"/>
      <c r="TMP153" s="1011"/>
      <c r="TMQ153" s="1011"/>
      <c r="TMR153" s="1011"/>
      <c r="TMS153" s="1011"/>
      <c r="TMT153" s="1011"/>
      <c r="TMU153" s="1011"/>
      <c r="TMV153" s="1011"/>
      <c r="TMW153" s="1011"/>
      <c r="TMX153" s="1011"/>
      <c r="TMY153" s="1011"/>
      <c r="TMZ153" s="1011"/>
      <c r="TNA153" s="1011"/>
      <c r="TNB153" s="1011"/>
      <c r="TNC153" s="1011"/>
      <c r="TND153" s="1011"/>
      <c r="TNE153" s="1011"/>
      <c r="TNF153" s="1011"/>
      <c r="TNG153" s="1011"/>
      <c r="TNH153" s="1011"/>
      <c r="TNI153" s="1011"/>
      <c r="TNJ153" s="1011"/>
      <c r="TNK153" s="1011"/>
      <c r="TNL153" s="1011"/>
      <c r="TNM153" s="1011"/>
      <c r="TNN153" s="1011"/>
      <c r="TNO153" s="1011"/>
      <c r="TNP153" s="1011"/>
      <c r="TNQ153" s="1011"/>
      <c r="TNR153" s="1011"/>
      <c r="TNS153" s="1011"/>
      <c r="TNT153" s="1011"/>
      <c r="TNU153" s="1011"/>
      <c r="TNV153" s="1011"/>
      <c r="TNW153" s="1011"/>
      <c r="TNX153" s="1011"/>
      <c r="TNY153" s="1011"/>
      <c r="TNZ153" s="1011"/>
      <c r="TOA153" s="1011"/>
      <c r="TOB153" s="1011"/>
      <c r="TOC153" s="1011"/>
      <c r="TOD153" s="1011"/>
      <c r="TOE153" s="1011"/>
      <c r="TOF153" s="1011"/>
      <c r="TOG153" s="1011"/>
      <c r="TOH153" s="1011"/>
      <c r="TOI153" s="1011"/>
      <c r="TOJ153" s="1011"/>
      <c r="TOK153" s="1011"/>
      <c r="TOL153" s="1011"/>
      <c r="TOM153" s="1011"/>
      <c r="TON153" s="1011"/>
      <c r="TOO153" s="1011"/>
      <c r="TOP153" s="1011"/>
      <c r="TOQ153" s="1011"/>
      <c r="TOR153" s="1011"/>
      <c r="TOS153" s="1011"/>
      <c r="TOT153" s="1011"/>
      <c r="TOU153" s="1011"/>
      <c r="TOV153" s="1011"/>
      <c r="TOW153" s="1011"/>
      <c r="TOX153" s="1011"/>
      <c r="TOY153" s="1011"/>
      <c r="TOZ153" s="1011"/>
      <c r="TPA153" s="1011"/>
      <c r="TPB153" s="1011"/>
      <c r="TPC153" s="1011"/>
      <c r="TPD153" s="1011"/>
      <c r="TPE153" s="1011"/>
      <c r="TPF153" s="1011"/>
      <c r="TPG153" s="1011"/>
      <c r="TPH153" s="1011"/>
      <c r="TPI153" s="1011"/>
      <c r="TPJ153" s="1011"/>
      <c r="TPK153" s="1011"/>
      <c r="TPL153" s="1011"/>
      <c r="TPM153" s="1011"/>
      <c r="TPN153" s="1011"/>
      <c r="TPO153" s="1011"/>
      <c r="TPP153" s="1011"/>
      <c r="TPQ153" s="1011"/>
      <c r="TPR153" s="1011"/>
      <c r="TPS153" s="1011"/>
      <c r="TPT153" s="1011"/>
      <c r="TPU153" s="1011"/>
      <c r="TPV153" s="1011"/>
      <c r="TPW153" s="1011"/>
      <c r="TPX153" s="1011"/>
      <c r="TPY153" s="1011"/>
      <c r="TPZ153" s="1011"/>
      <c r="TQA153" s="1011"/>
      <c r="TQB153" s="1011"/>
      <c r="TQC153" s="1011"/>
      <c r="TQD153" s="1011"/>
      <c r="TQE153" s="1011"/>
      <c r="TQF153" s="1011"/>
      <c r="TQG153" s="1011"/>
      <c r="TQH153" s="1011"/>
      <c r="TQI153" s="1011"/>
      <c r="TQJ153" s="1011"/>
      <c r="TQK153" s="1011"/>
      <c r="TQL153" s="1011"/>
      <c r="TQM153" s="1011"/>
      <c r="TQN153" s="1011"/>
      <c r="TQO153" s="1011"/>
      <c r="TQP153" s="1011"/>
      <c r="TQQ153" s="1011"/>
      <c r="TQR153" s="1011"/>
      <c r="TQS153" s="1011"/>
      <c r="TQT153" s="1011"/>
      <c r="TQU153" s="1011"/>
      <c r="TQV153" s="1011"/>
      <c r="TQW153" s="1011"/>
      <c r="TQX153" s="1011"/>
      <c r="TQY153" s="1011"/>
      <c r="TQZ153" s="1011"/>
      <c r="TRA153" s="1011"/>
      <c r="TRB153" s="1011"/>
      <c r="TRC153" s="1011"/>
      <c r="TRD153" s="1011"/>
      <c r="TRE153" s="1011"/>
      <c r="TRF153" s="1011"/>
      <c r="TRG153" s="1011"/>
      <c r="TRH153" s="1011"/>
      <c r="TRI153" s="1011"/>
      <c r="TRJ153" s="1011"/>
      <c r="TRK153" s="1011"/>
      <c r="TRL153" s="1011"/>
      <c r="TRM153" s="1011"/>
      <c r="TRN153" s="1011"/>
      <c r="TRO153" s="1011"/>
      <c r="TRP153" s="1011"/>
      <c r="TRQ153" s="1011"/>
      <c r="TRR153" s="1011"/>
      <c r="TRS153" s="1011"/>
      <c r="TRT153" s="1011"/>
      <c r="TRU153" s="1011"/>
      <c r="TRV153" s="1011"/>
      <c r="TRW153" s="1011"/>
      <c r="TRX153" s="1011"/>
      <c r="TRY153" s="1011"/>
      <c r="TRZ153" s="1011"/>
      <c r="TSA153" s="1011"/>
      <c r="TSB153" s="1011"/>
      <c r="TSC153" s="1011"/>
      <c r="TSD153" s="1011"/>
      <c r="TSE153" s="1011"/>
      <c r="TSF153" s="1011"/>
      <c r="TSG153" s="1011"/>
      <c r="TSH153" s="1011"/>
      <c r="TSI153" s="1011"/>
      <c r="TSJ153" s="1011"/>
      <c r="TSK153" s="1011"/>
      <c r="TSL153" s="1011"/>
      <c r="TSM153" s="1011"/>
      <c r="TSN153" s="1011"/>
      <c r="TSO153" s="1011"/>
      <c r="TSP153" s="1011"/>
      <c r="TSQ153" s="1011"/>
      <c r="TSR153" s="1011"/>
      <c r="TSS153" s="1011"/>
      <c r="TST153" s="1011"/>
      <c r="TSU153" s="1011"/>
      <c r="TSV153" s="1011"/>
      <c r="TSW153" s="1011"/>
      <c r="TSX153" s="1011"/>
      <c r="TSY153" s="1011"/>
      <c r="TSZ153" s="1011"/>
      <c r="TTA153" s="1011"/>
      <c r="TTB153" s="1011"/>
      <c r="TTC153" s="1011"/>
      <c r="TTD153" s="1011"/>
      <c r="TTE153" s="1011"/>
      <c r="TTF153" s="1011"/>
      <c r="TTG153" s="1011"/>
      <c r="TTH153" s="1011"/>
      <c r="TTI153" s="1011"/>
      <c r="TTJ153" s="1011"/>
      <c r="TTK153" s="1011"/>
      <c r="TTL153" s="1011"/>
      <c r="TTM153" s="1011"/>
      <c r="TTN153" s="1011"/>
      <c r="TTO153" s="1011"/>
      <c r="TTP153" s="1011"/>
      <c r="TTQ153" s="1011"/>
      <c r="TTR153" s="1011"/>
      <c r="TTS153" s="1011"/>
      <c r="TTT153" s="1011"/>
      <c r="TTU153" s="1011"/>
      <c r="TTV153" s="1011"/>
      <c r="TTW153" s="1011"/>
      <c r="TTX153" s="1011"/>
      <c r="TTY153" s="1011"/>
      <c r="TTZ153" s="1011"/>
      <c r="TUA153" s="1011"/>
      <c r="TUB153" s="1011"/>
      <c r="TUC153" s="1011"/>
      <c r="TUD153" s="1011"/>
      <c r="TUE153" s="1011"/>
      <c r="TUF153" s="1011"/>
      <c r="TUG153" s="1011"/>
      <c r="TUH153" s="1011"/>
      <c r="TUI153" s="1011"/>
      <c r="TUJ153" s="1011"/>
      <c r="TUK153" s="1011"/>
      <c r="TUL153" s="1011"/>
      <c r="TUM153" s="1011"/>
      <c r="TUN153" s="1011"/>
      <c r="TUO153" s="1011"/>
      <c r="TUP153" s="1011"/>
      <c r="TUQ153" s="1011"/>
      <c r="TUR153" s="1011"/>
      <c r="TUS153" s="1011"/>
      <c r="TUT153" s="1011"/>
      <c r="TUU153" s="1011"/>
      <c r="TUV153" s="1011"/>
      <c r="TUW153" s="1011"/>
      <c r="TUX153" s="1011"/>
      <c r="TUY153" s="1011"/>
      <c r="TUZ153" s="1011"/>
      <c r="TVA153" s="1011"/>
      <c r="TVB153" s="1011"/>
      <c r="TVC153" s="1011"/>
      <c r="TVD153" s="1011"/>
      <c r="TVE153" s="1011"/>
      <c r="TVF153" s="1011"/>
      <c r="TVG153" s="1011"/>
      <c r="TVH153" s="1011"/>
      <c r="TVI153" s="1011"/>
      <c r="TVJ153" s="1011"/>
      <c r="TVK153" s="1011"/>
      <c r="TVL153" s="1011"/>
      <c r="TVM153" s="1011"/>
      <c r="TVN153" s="1011"/>
      <c r="TVO153" s="1011"/>
      <c r="TVP153" s="1011"/>
      <c r="TVQ153" s="1011"/>
      <c r="TVR153" s="1011"/>
      <c r="TVS153" s="1011"/>
      <c r="TVT153" s="1011"/>
      <c r="TVU153" s="1011"/>
      <c r="TVV153" s="1011"/>
      <c r="TVW153" s="1011"/>
      <c r="TVX153" s="1011"/>
      <c r="TVY153" s="1011"/>
      <c r="TVZ153" s="1011"/>
      <c r="TWA153" s="1011"/>
      <c r="TWB153" s="1011"/>
      <c r="TWC153" s="1011"/>
      <c r="TWD153" s="1011"/>
      <c r="TWE153" s="1011"/>
      <c r="TWF153" s="1011"/>
      <c r="TWG153" s="1011"/>
      <c r="TWH153" s="1011"/>
      <c r="TWI153" s="1011"/>
      <c r="TWJ153" s="1011"/>
      <c r="TWK153" s="1011"/>
      <c r="TWL153" s="1011"/>
      <c r="TWM153" s="1011"/>
      <c r="TWN153" s="1011"/>
      <c r="TWO153" s="1011"/>
      <c r="TWP153" s="1011"/>
      <c r="TWQ153" s="1011"/>
      <c r="TWR153" s="1011"/>
      <c r="TWS153" s="1011"/>
      <c r="TWT153" s="1011"/>
      <c r="TWU153" s="1011"/>
      <c r="TWV153" s="1011"/>
      <c r="TWW153" s="1011"/>
      <c r="TWX153" s="1011"/>
      <c r="TWY153" s="1011"/>
      <c r="TWZ153" s="1011"/>
      <c r="TXA153" s="1011"/>
      <c r="TXB153" s="1011"/>
      <c r="TXC153" s="1011"/>
      <c r="TXD153" s="1011"/>
      <c r="TXE153" s="1011"/>
      <c r="TXF153" s="1011"/>
      <c r="TXG153" s="1011"/>
      <c r="TXH153" s="1011"/>
      <c r="TXI153" s="1011"/>
      <c r="TXJ153" s="1011"/>
      <c r="TXK153" s="1011"/>
      <c r="TXL153" s="1011"/>
      <c r="TXM153" s="1011"/>
      <c r="TXN153" s="1011"/>
      <c r="TXO153" s="1011"/>
      <c r="TXP153" s="1011"/>
      <c r="TXQ153" s="1011"/>
      <c r="TXR153" s="1011"/>
      <c r="TXS153" s="1011"/>
      <c r="TXT153" s="1011"/>
      <c r="TXU153" s="1011"/>
      <c r="TXV153" s="1011"/>
      <c r="TXW153" s="1011"/>
      <c r="TXX153" s="1011"/>
      <c r="TXY153" s="1011"/>
      <c r="TXZ153" s="1011"/>
      <c r="TYA153" s="1011"/>
      <c r="TYB153" s="1011"/>
      <c r="TYC153" s="1011"/>
      <c r="TYD153" s="1011"/>
      <c r="TYE153" s="1011"/>
      <c r="TYF153" s="1011"/>
      <c r="TYG153" s="1011"/>
      <c r="TYH153" s="1011"/>
      <c r="TYI153" s="1011"/>
      <c r="TYJ153" s="1011"/>
      <c r="TYK153" s="1011"/>
      <c r="TYL153" s="1011"/>
      <c r="TYM153" s="1011"/>
      <c r="TYN153" s="1011"/>
      <c r="TYO153" s="1011"/>
      <c r="TYP153" s="1011"/>
      <c r="TYQ153" s="1011"/>
      <c r="TYR153" s="1011"/>
      <c r="TYS153" s="1011"/>
      <c r="TYT153" s="1011"/>
      <c r="TYU153" s="1011"/>
      <c r="TYV153" s="1011"/>
      <c r="TYW153" s="1011"/>
      <c r="TYX153" s="1011"/>
      <c r="TYY153" s="1011"/>
      <c r="TYZ153" s="1011"/>
      <c r="TZA153" s="1011"/>
      <c r="TZB153" s="1011"/>
      <c r="TZC153" s="1011"/>
      <c r="TZD153" s="1011"/>
      <c r="TZE153" s="1011"/>
      <c r="TZF153" s="1011"/>
      <c r="TZG153" s="1011"/>
      <c r="TZH153" s="1011"/>
      <c r="TZI153" s="1011"/>
      <c r="TZJ153" s="1011"/>
      <c r="TZK153" s="1011"/>
      <c r="TZL153" s="1011"/>
      <c r="TZM153" s="1011"/>
      <c r="TZN153" s="1011"/>
      <c r="TZO153" s="1011"/>
      <c r="TZP153" s="1011"/>
      <c r="TZQ153" s="1011"/>
      <c r="TZR153" s="1011"/>
      <c r="TZS153" s="1011"/>
      <c r="TZT153" s="1011"/>
      <c r="TZU153" s="1011"/>
      <c r="TZV153" s="1011"/>
      <c r="TZW153" s="1011"/>
      <c r="TZX153" s="1011"/>
      <c r="TZY153" s="1011"/>
      <c r="TZZ153" s="1011"/>
      <c r="UAA153" s="1011"/>
      <c r="UAB153" s="1011"/>
      <c r="UAC153" s="1011"/>
      <c r="UAD153" s="1011"/>
      <c r="UAE153" s="1011"/>
      <c r="UAF153" s="1011"/>
      <c r="UAG153" s="1011"/>
      <c r="UAH153" s="1011"/>
      <c r="UAI153" s="1011"/>
      <c r="UAJ153" s="1011"/>
      <c r="UAK153" s="1011"/>
      <c r="UAL153" s="1011"/>
      <c r="UAM153" s="1011"/>
      <c r="UAN153" s="1011"/>
      <c r="UAO153" s="1011"/>
      <c r="UAP153" s="1011"/>
      <c r="UAQ153" s="1011"/>
      <c r="UAR153" s="1011"/>
      <c r="UAS153" s="1011"/>
      <c r="UAT153" s="1011"/>
      <c r="UAU153" s="1011"/>
      <c r="UAV153" s="1011"/>
      <c r="UAW153" s="1011"/>
      <c r="UAX153" s="1011"/>
      <c r="UAY153" s="1011"/>
      <c r="UAZ153" s="1011"/>
      <c r="UBA153" s="1011"/>
      <c r="UBB153" s="1011"/>
      <c r="UBC153" s="1011"/>
      <c r="UBD153" s="1011"/>
      <c r="UBE153" s="1011"/>
      <c r="UBF153" s="1011"/>
      <c r="UBG153" s="1011"/>
      <c r="UBH153" s="1011"/>
      <c r="UBI153" s="1011"/>
      <c r="UBJ153" s="1011"/>
      <c r="UBK153" s="1011"/>
      <c r="UBL153" s="1011"/>
      <c r="UBM153" s="1011"/>
      <c r="UBN153" s="1011"/>
      <c r="UBO153" s="1011"/>
      <c r="UBP153" s="1011"/>
      <c r="UBQ153" s="1011"/>
      <c r="UBR153" s="1011"/>
      <c r="UBS153" s="1011"/>
      <c r="UBT153" s="1011"/>
      <c r="UBU153" s="1011"/>
      <c r="UBV153" s="1011"/>
      <c r="UBW153" s="1011"/>
      <c r="UBX153" s="1011"/>
      <c r="UBY153" s="1011"/>
      <c r="UBZ153" s="1011"/>
      <c r="UCA153" s="1011"/>
      <c r="UCB153" s="1011"/>
      <c r="UCC153" s="1011"/>
      <c r="UCD153" s="1011"/>
      <c r="UCE153" s="1011"/>
      <c r="UCF153" s="1011"/>
      <c r="UCG153" s="1011"/>
      <c r="UCH153" s="1011"/>
      <c r="UCI153" s="1011"/>
      <c r="UCJ153" s="1011"/>
      <c r="UCK153" s="1011"/>
      <c r="UCL153" s="1011"/>
      <c r="UCM153" s="1011"/>
      <c r="UCN153" s="1011"/>
      <c r="UCO153" s="1011"/>
      <c r="UCP153" s="1011"/>
      <c r="UCQ153" s="1011"/>
      <c r="UCR153" s="1011"/>
      <c r="UCS153" s="1011"/>
      <c r="UCT153" s="1011"/>
      <c r="UCU153" s="1011"/>
      <c r="UCV153" s="1011"/>
      <c r="UCW153" s="1011"/>
      <c r="UCX153" s="1011"/>
      <c r="UCY153" s="1011"/>
      <c r="UCZ153" s="1011"/>
      <c r="UDA153" s="1011"/>
      <c r="UDB153" s="1011"/>
      <c r="UDC153" s="1011"/>
      <c r="UDD153" s="1011"/>
      <c r="UDE153" s="1011"/>
      <c r="UDF153" s="1011"/>
      <c r="UDG153" s="1011"/>
      <c r="UDH153" s="1011"/>
      <c r="UDI153" s="1011"/>
      <c r="UDJ153" s="1011"/>
      <c r="UDK153" s="1011"/>
      <c r="UDL153" s="1011"/>
      <c r="UDM153" s="1011"/>
      <c r="UDN153" s="1011"/>
      <c r="UDO153" s="1011"/>
      <c r="UDP153" s="1011"/>
      <c r="UDQ153" s="1011"/>
      <c r="UDR153" s="1011"/>
      <c r="UDS153" s="1011"/>
      <c r="UDT153" s="1011"/>
      <c r="UDU153" s="1011"/>
      <c r="UDV153" s="1011"/>
      <c r="UDW153" s="1011"/>
      <c r="UDX153" s="1011"/>
      <c r="UDY153" s="1011"/>
      <c r="UDZ153" s="1011"/>
      <c r="UEA153" s="1011"/>
      <c r="UEB153" s="1011"/>
      <c r="UEC153" s="1011"/>
      <c r="UED153" s="1011"/>
      <c r="UEE153" s="1011"/>
      <c r="UEF153" s="1011"/>
      <c r="UEG153" s="1011"/>
      <c r="UEH153" s="1011"/>
      <c r="UEI153" s="1011"/>
      <c r="UEJ153" s="1011"/>
      <c r="UEK153" s="1011"/>
      <c r="UEL153" s="1011"/>
      <c r="UEM153" s="1011"/>
      <c r="UEN153" s="1011"/>
      <c r="UEO153" s="1011"/>
      <c r="UEP153" s="1011"/>
      <c r="UEQ153" s="1011"/>
      <c r="UER153" s="1011"/>
      <c r="UES153" s="1011"/>
      <c r="UET153" s="1011"/>
      <c r="UEU153" s="1011"/>
      <c r="UEV153" s="1011"/>
      <c r="UEW153" s="1011"/>
      <c r="UEX153" s="1011"/>
      <c r="UEY153" s="1011"/>
      <c r="UEZ153" s="1011"/>
      <c r="UFA153" s="1011"/>
      <c r="UFB153" s="1011"/>
      <c r="UFC153" s="1011"/>
      <c r="UFD153" s="1011"/>
      <c r="UFE153" s="1011"/>
      <c r="UFF153" s="1011"/>
      <c r="UFG153" s="1011"/>
      <c r="UFH153" s="1011"/>
      <c r="UFI153" s="1011"/>
      <c r="UFJ153" s="1011"/>
      <c r="UFK153" s="1011"/>
      <c r="UFL153" s="1011"/>
      <c r="UFM153" s="1011"/>
      <c r="UFN153" s="1011"/>
      <c r="UFO153" s="1011"/>
      <c r="UFP153" s="1011"/>
      <c r="UFQ153" s="1011"/>
      <c r="UFR153" s="1011"/>
      <c r="UFS153" s="1011"/>
      <c r="UFT153" s="1011"/>
      <c r="UFU153" s="1011"/>
      <c r="UFV153" s="1011"/>
      <c r="UFW153" s="1011"/>
      <c r="UFX153" s="1011"/>
      <c r="UFY153" s="1011"/>
      <c r="UFZ153" s="1011"/>
      <c r="UGA153" s="1011"/>
      <c r="UGB153" s="1011"/>
      <c r="UGC153" s="1011"/>
      <c r="UGD153" s="1011"/>
      <c r="UGE153" s="1011"/>
      <c r="UGF153" s="1011"/>
      <c r="UGG153" s="1011"/>
      <c r="UGH153" s="1011"/>
      <c r="UGI153" s="1011"/>
      <c r="UGJ153" s="1011"/>
      <c r="UGK153" s="1011"/>
      <c r="UGL153" s="1011"/>
      <c r="UGM153" s="1011"/>
      <c r="UGN153" s="1011"/>
      <c r="UGO153" s="1011"/>
      <c r="UGP153" s="1011"/>
      <c r="UGQ153" s="1011"/>
      <c r="UGR153" s="1011"/>
      <c r="UGS153" s="1011"/>
      <c r="UGT153" s="1011"/>
      <c r="UGU153" s="1011"/>
      <c r="UGV153" s="1011"/>
      <c r="UGW153" s="1011"/>
      <c r="UGX153" s="1011"/>
      <c r="UGY153" s="1011"/>
      <c r="UGZ153" s="1011"/>
      <c r="UHA153" s="1011"/>
      <c r="UHB153" s="1011"/>
      <c r="UHC153" s="1011"/>
      <c r="UHD153" s="1011"/>
      <c r="UHE153" s="1011"/>
      <c r="UHF153" s="1011"/>
      <c r="UHG153" s="1011"/>
      <c r="UHH153" s="1011"/>
      <c r="UHI153" s="1011"/>
      <c r="UHJ153" s="1011"/>
      <c r="UHK153" s="1011"/>
      <c r="UHL153" s="1011"/>
      <c r="UHM153" s="1011"/>
      <c r="UHN153" s="1011"/>
      <c r="UHO153" s="1011"/>
      <c r="UHP153" s="1011"/>
      <c r="UHQ153" s="1011"/>
      <c r="UHR153" s="1011"/>
      <c r="UHS153" s="1011"/>
      <c r="UHT153" s="1011"/>
      <c r="UHU153" s="1011"/>
      <c r="UHV153" s="1011"/>
      <c r="UHW153" s="1011"/>
      <c r="UHX153" s="1011"/>
      <c r="UHY153" s="1011"/>
      <c r="UHZ153" s="1011"/>
      <c r="UIA153" s="1011"/>
      <c r="UIB153" s="1011"/>
      <c r="UIC153" s="1011"/>
      <c r="UID153" s="1011"/>
      <c r="UIE153" s="1011"/>
      <c r="UIF153" s="1011"/>
      <c r="UIG153" s="1011"/>
      <c r="UIH153" s="1011"/>
      <c r="UII153" s="1011"/>
      <c r="UIJ153" s="1011"/>
      <c r="UIK153" s="1011"/>
      <c r="UIL153" s="1011"/>
      <c r="UIM153" s="1011"/>
      <c r="UIN153" s="1011"/>
      <c r="UIO153" s="1011"/>
      <c r="UIP153" s="1011"/>
      <c r="UIQ153" s="1011"/>
      <c r="UIR153" s="1011"/>
      <c r="UIS153" s="1011"/>
      <c r="UIT153" s="1011"/>
      <c r="UIU153" s="1011"/>
      <c r="UIV153" s="1011"/>
      <c r="UIW153" s="1011"/>
      <c r="UIX153" s="1011"/>
      <c r="UIY153" s="1011"/>
      <c r="UIZ153" s="1011"/>
      <c r="UJA153" s="1011"/>
      <c r="UJB153" s="1011"/>
      <c r="UJC153" s="1011"/>
      <c r="UJD153" s="1011"/>
      <c r="UJE153" s="1011"/>
      <c r="UJF153" s="1011"/>
      <c r="UJG153" s="1011"/>
      <c r="UJH153" s="1011"/>
      <c r="UJI153" s="1011"/>
      <c r="UJJ153" s="1011"/>
      <c r="UJK153" s="1011"/>
      <c r="UJL153" s="1011"/>
      <c r="UJM153" s="1011"/>
      <c r="UJN153" s="1011"/>
      <c r="UJO153" s="1011"/>
      <c r="UJP153" s="1011"/>
      <c r="UJQ153" s="1011"/>
      <c r="UJR153" s="1011"/>
      <c r="UJS153" s="1011"/>
      <c r="UJT153" s="1011"/>
      <c r="UJU153" s="1011"/>
      <c r="UJV153" s="1011"/>
      <c r="UJW153" s="1011"/>
      <c r="UJX153" s="1011"/>
      <c r="UJY153" s="1011"/>
      <c r="UJZ153" s="1011"/>
      <c r="UKA153" s="1011"/>
      <c r="UKB153" s="1011"/>
      <c r="UKC153" s="1011"/>
      <c r="UKD153" s="1011"/>
      <c r="UKE153" s="1011"/>
      <c r="UKF153" s="1011"/>
      <c r="UKG153" s="1011"/>
      <c r="UKH153" s="1011"/>
      <c r="UKI153" s="1011"/>
      <c r="UKJ153" s="1011"/>
      <c r="UKK153" s="1011"/>
      <c r="UKL153" s="1011"/>
      <c r="UKM153" s="1011"/>
      <c r="UKN153" s="1011"/>
      <c r="UKO153" s="1011"/>
      <c r="UKP153" s="1011"/>
      <c r="UKQ153" s="1011"/>
      <c r="UKR153" s="1011"/>
      <c r="UKS153" s="1011"/>
      <c r="UKT153" s="1011"/>
      <c r="UKU153" s="1011"/>
      <c r="UKV153" s="1011"/>
      <c r="UKW153" s="1011"/>
      <c r="UKX153" s="1011"/>
      <c r="UKY153" s="1011"/>
      <c r="UKZ153" s="1011"/>
      <c r="ULA153" s="1011"/>
      <c r="ULB153" s="1011"/>
      <c r="ULC153" s="1011"/>
      <c r="ULD153" s="1011"/>
      <c r="ULE153" s="1011"/>
      <c r="ULF153" s="1011"/>
      <c r="ULG153" s="1011"/>
      <c r="ULH153" s="1011"/>
      <c r="ULI153" s="1011"/>
      <c r="ULJ153" s="1011"/>
      <c r="ULK153" s="1011"/>
      <c r="ULL153" s="1011"/>
      <c r="ULM153" s="1011"/>
      <c r="ULN153" s="1011"/>
      <c r="ULO153" s="1011"/>
      <c r="ULP153" s="1011"/>
      <c r="ULQ153" s="1011"/>
      <c r="ULR153" s="1011"/>
      <c r="ULS153" s="1011"/>
      <c r="ULT153" s="1011"/>
      <c r="ULU153" s="1011"/>
      <c r="ULV153" s="1011"/>
      <c r="ULW153" s="1011"/>
      <c r="ULX153" s="1011"/>
      <c r="ULY153" s="1011"/>
      <c r="ULZ153" s="1011"/>
      <c r="UMA153" s="1011"/>
      <c r="UMB153" s="1011"/>
      <c r="UMC153" s="1011"/>
      <c r="UMD153" s="1011"/>
      <c r="UME153" s="1011"/>
      <c r="UMF153" s="1011"/>
      <c r="UMG153" s="1011"/>
      <c r="UMH153" s="1011"/>
      <c r="UMI153" s="1011"/>
      <c r="UMJ153" s="1011"/>
      <c r="UMK153" s="1011"/>
      <c r="UML153" s="1011"/>
      <c r="UMM153" s="1011"/>
      <c r="UMN153" s="1011"/>
      <c r="UMO153" s="1011"/>
      <c r="UMP153" s="1011"/>
      <c r="UMQ153" s="1011"/>
      <c r="UMR153" s="1011"/>
      <c r="UMS153" s="1011"/>
      <c r="UMT153" s="1011"/>
      <c r="UMU153" s="1011"/>
      <c r="UMV153" s="1011"/>
      <c r="UMW153" s="1011"/>
      <c r="UMX153" s="1011"/>
      <c r="UMY153" s="1011"/>
      <c r="UMZ153" s="1011"/>
      <c r="UNA153" s="1011"/>
      <c r="UNB153" s="1011"/>
      <c r="UNC153" s="1011"/>
      <c r="UND153" s="1011"/>
      <c r="UNE153" s="1011"/>
      <c r="UNF153" s="1011"/>
      <c r="UNG153" s="1011"/>
      <c r="UNH153" s="1011"/>
      <c r="UNI153" s="1011"/>
      <c r="UNJ153" s="1011"/>
      <c r="UNK153" s="1011"/>
      <c r="UNL153" s="1011"/>
      <c r="UNM153" s="1011"/>
      <c r="UNN153" s="1011"/>
      <c r="UNO153" s="1011"/>
      <c r="UNP153" s="1011"/>
      <c r="UNQ153" s="1011"/>
      <c r="UNR153" s="1011"/>
      <c r="UNS153" s="1011"/>
      <c r="UNT153" s="1011"/>
      <c r="UNU153" s="1011"/>
      <c r="UNV153" s="1011"/>
      <c r="UNW153" s="1011"/>
      <c r="UNX153" s="1011"/>
      <c r="UNY153" s="1011"/>
      <c r="UNZ153" s="1011"/>
      <c r="UOA153" s="1011"/>
      <c r="UOB153" s="1011"/>
      <c r="UOC153" s="1011"/>
      <c r="UOD153" s="1011"/>
      <c r="UOE153" s="1011"/>
      <c r="UOF153" s="1011"/>
      <c r="UOG153" s="1011"/>
      <c r="UOH153" s="1011"/>
      <c r="UOI153" s="1011"/>
      <c r="UOJ153" s="1011"/>
      <c r="UOK153" s="1011"/>
      <c r="UOL153" s="1011"/>
      <c r="UOM153" s="1011"/>
      <c r="UON153" s="1011"/>
      <c r="UOO153" s="1011"/>
      <c r="UOP153" s="1011"/>
      <c r="UOQ153" s="1011"/>
      <c r="UOR153" s="1011"/>
      <c r="UOS153" s="1011"/>
      <c r="UOT153" s="1011"/>
      <c r="UOU153" s="1011"/>
      <c r="UOV153" s="1011"/>
      <c r="UOW153" s="1011"/>
      <c r="UOX153" s="1011"/>
      <c r="UOY153" s="1011"/>
      <c r="UOZ153" s="1011"/>
      <c r="UPA153" s="1011"/>
      <c r="UPB153" s="1011"/>
      <c r="UPC153" s="1011"/>
      <c r="UPD153" s="1011"/>
      <c r="UPE153" s="1011"/>
      <c r="UPF153" s="1011"/>
      <c r="UPG153" s="1011"/>
      <c r="UPH153" s="1011"/>
      <c r="UPI153" s="1011"/>
      <c r="UPJ153" s="1011"/>
      <c r="UPK153" s="1011"/>
      <c r="UPL153" s="1011"/>
      <c r="UPM153" s="1011"/>
      <c r="UPN153" s="1011"/>
      <c r="UPO153" s="1011"/>
      <c r="UPP153" s="1011"/>
      <c r="UPQ153" s="1011"/>
      <c r="UPR153" s="1011"/>
      <c r="UPS153" s="1011"/>
      <c r="UPT153" s="1011"/>
      <c r="UPU153" s="1011"/>
      <c r="UPV153" s="1011"/>
      <c r="UPW153" s="1011"/>
      <c r="UPX153" s="1011"/>
      <c r="UPY153" s="1011"/>
      <c r="UPZ153" s="1011"/>
      <c r="UQA153" s="1011"/>
      <c r="UQB153" s="1011"/>
      <c r="UQC153" s="1011"/>
      <c r="UQD153" s="1011"/>
      <c r="UQE153" s="1011"/>
      <c r="UQF153" s="1011"/>
      <c r="UQG153" s="1011"/>
      <c r="UQH153" s="1011"/>
      <c r="UQI153" s="1011"/>
      <c r="UQJ153" s="1011"/>
      <c r="UQK153" s="1011"/>
      <c r="UQL153" s="1011"/>
      <c r="UQM153" s="1011"/>
      <c r="UQN153" s="1011"/>
      <c r="UQO153" s="1011"/>
      <c r="UQP153" s="1011"/>
      <c r="UQQ153" s="1011"/>
      <c r="UQR153" s="1011"/>
      <c r="UQS153" s="1011"/>
      <c r="UQT153" s="1011"/>
      <c r="UQU153" s="1011"/>
      <c r="UQV153" s="1011"/>
      <c r="UQW153" s="1011"/>
      <c r="UQX153" s="1011"/>
      <c r="UQY153" s="1011"/>
      <c r="UQZ153" s="1011"/>
      <c r="URA153" s="1011"/>
      <c r="URB153" s="1011"/>
      <c r="URC153" s="1011"/>
      <c r="URD153" s="1011"/>
      <c r="URE153" s="1011"/>
      <c r="URF153" s="1011"/>
      <c r="URG153" s="1011"/>
      <c r="URH153" s="1011"/>
      <c r="URI153" s="1011"/>
      <c r="URJ153" s="1011"/>
      <c r="URK153" s="1011"/>
      <c r="URL153" s="1011"/>
      <c r="URM153" s="1011"/>
      <c r="URN153" s="1011"/>
      <c r="URO153" s="1011"/>
      <c r="URP153" s="1011"/>
      <c r="URQ153" s="1011"/>
      <c r="URR153" s="1011"/>
      <c r="URS153" s="1011"/>
      <c r="URT153" s="1011"/>
      <c r="URU153" s="1011"/>
      <c r="URV153" s="1011"/>
      <c r="URW153" s="1011"/>
      <c r="URX153" s="1011"/>
      <c r="URY153" s="1011"/>
      <c r="URZ153" s="1011"/>
      <c r="USA153" s="1011"/>
      <c r="USB153" s="1011"/>
      <c r="USC153" s="1011"/>
      <c r="USD153" s="1011"/>
      <c r="USE153" s="1011"/>
      <c r="USF153" s="1011"/>
      <c r="USG153" s="1011"/>
      <c r="USH153" s="1011"/>
      <c r="USI153" s="1011"/>
      <c r="USJ153" s="1011"/>
      <c r="USK153" s="1011"/>
      <c r="USL153" s="1011"/>
      <c r="USM153" s="1011"/>
      <c r="USN153" s="1011"/>
      <c r="USO153" s="1011"/>
      <c r="USP153" s="1011"/>
      <c r="USQ153" s="1011"/>
      <c r="USR153" s="1011"/>
      <c r="USS153" s="1011"/>
      <c r="UST153" s="1011"/>
      <c r="USU153" s="1011"/>
      <c r="USV153" s="1011"/>
      <c r="USW153" s="1011"/>
      <c r="USX153" s="1011"/>
      <c r="USY153" s="1011"/>
      <c r="USZ153" s="1011"/>
      <c r="UTA153" s="1011"/>
      <c r="UTB153" s="1011"/>
      <c r="UTC153" s="1011"/>
      <c r="UTD153" s="1011"/>
      <c r="UTE153" s="1011"/>
      <c r="UTF153" s="1011"/>
      <c r="UTG153" s="1011"/>
      <c r="UTH153" s="1011"/>
      <c r="UTI153" s="1011"/>
      <c r="UTJ153" s="1011"/>
      <c r="UTK153" s="1011"/>
      <c r="UTL153" s="1011"/>
      <c r="UTM153" s="1011"/>
      <c r="UTN153" s="1011"/>
      <c r="UTO153" s="1011"/>
      <c r="UTP153" s="1011"/>
      <c r="UTQ153" s="1011"/>
      <c r="UTR153" s="1011"/>
      <c r="UTS153" s="1011"/>
      <c r="UTT153" s="1011"/>
      <c r="UTU153" s="1011"/>
      <c r="UTV153" s="1011"/>
      <c r="UTW153" s="1011"/>
      <c r="UTX153" s="1011"/>
      <c r="UTY153" s="1011"/>
      <c r="UTZ153" s="1011"/>
      <c r="UUA153" s="1011"/>
      <c r="UUB153" s="1011"/>
      <c r="UUC153" s="1011"/>
      <c r="UUD153" s="1011"/>
      <c r="UUE153" s="1011"/>
      <c r="UUF153" s="1011"/>
      <c r="UUG153" s="1011"/>
      <c r="UUH153" s="1011"/>
      <c r="UUI153" s="1011"/>
      <c r="UUJ153" s="1011"/>
      <c r="UUK153" s="1011"/>
      <c r="UUL153" s="1011"/>
      <c r="UUM153" s="1011"/>
      <c r="UUN153" s="1011"/>
      <c r="UUO153" s="1011"/>
      <c r="UUP153" s="1011"/>
      <c r="UUQ153" s="1011"/>
      <c r="UUR153" s="1011"/>
      <c r="UUS153" s="1011"/>
      <c r="UUT153" s="1011"/>
      <c r="UUU153" s="1011"/>
      <c r="UUV153" s="1011"/>
      <c r="UUW153" s="1011"/>
      <c r="UUX153" s="1011"/>
      <c r="UUY153" s="1011"/>
      <c r="UUZ153" s="1011"/>
      <c r="UVA153" s="1011"/>
      <c r="UVB153" s="1011"/>
      <c r="UVC153" s="1011"/>
      <c r="UVD153" s="1011"/>
      <c r="UVE153" s="1011"/>
      <c r="UVF153" s="1011"/>
      <c r="UVG153" s="1011"/>
      <c r="UVH153" s="1011"/>
      <c r="UVI153" s="1011"/>
      <c r="UVJ153" s="1011"/>
      <c r="UVK153" s="1011"/>
      <c r="UVL153" s="1011"/>
      <c r="UVM153" s="1011"/>
      <c r="UVN153" s="1011"/>
      <c r="UVO153" s="1011"/>
      <c r="UVP153" s="1011"/>
      <c r="UVQ153" s="1011"/>
      <c r="UVR153" s="1011"/>
      <c r="UVS153" s="1011"/>
      <c r="UVT153" s="1011"/>
      <c r="UVU153" s="1011"/>
      <c r="UVV153" s="1011"/>
      <c r="UVW153" s="1011"/>
      <c r="UVX153" s="1011"/>
      <c r="UVY153" s="1011"/>
      <c r="UVZ153" s="1011"/>
      <c r="UWA153" s="1011"/>
      <c r="UWB153" s="1011"/>
      <c r="UWC153" s="1011"/>
      <c r="UWD153" s="1011"/>
      <c r="UWE153" s="1011"/>
      <c r="UWF153" s="1011"/>
      <c r="UWG153" s="1011"/>
      <c r="UWH153" s="1011"/>
      <c r="UWI153" s="1011"/>
      <c r="UWJ153" s="1011"/>
      <c r="UWK153" s="1011"/>
      <c r="UWL153" s="1011"/>
      <c r="UWM153" s="1011"/>
      <c r="UWN153" s="1011"/>
      <c r="UWO153" s="1011"/>
      <c r="UWP153" s="1011"/>
      <c r="UWQ153" s="1011"/>
      <c r="UWR153" s="1011"/>
      <c r="UWS153" s="1011"/>
      <c r="UWT153" s="1011"/>
      <c r="UWU153" s="1011"/>
      <c r="UWV153" s="1011"/>
      <c r="UWW153" s="1011"/>
      <c r="UWX153" s="1011"/>
      <c r="UWY153" s="1011"/>
      <c r="UWZ153" s="1011"/>
      <c r="UXA153" s="1011"/>
      <c r="UXB153" s="1011"/>
      <c r="UXC153" s="1011"/>
      <c r="UXD153" s="1011"/>
      <c r="UXE153" s="1011"/>
      <c r="UXF153" s="1011"/>
      <c r="UXG153" s="1011"/>
      <c r="UXH153" s="1011"/>
      <c r="UXI153" s="1011"/>
      <c r="UXJ153" s="1011"/>
      <c r="UXK153" s="1011"/>
      <c r="UXL153" s="1011"/>
      <c r="UXM153" s="1011"/>
      <c r="UXN153" s="1011"/>
      <c r="UXO153" s="1011"/>
      <c r="UXP153" s="1011"/>
      <c r="UXQ153" s="1011"/>
      <c r="UXR153" s="1011"/>
      <c r="UXS153" s="1011"/>
      <c r="UXT153" s="1011"/>
      <c r="UXU153" s="1011"/>
      <c r="UXV153" s="1011"/>
      <c r="UXW153" s="1011"/>
      <c r="UXX153" s="1011"/>
      <c r="UXY153" s="1011"/>
      <c r="UXZ153" s="1011"/>
      <c r="UYA153" s="1011"/>
      <c r="UYB153" s="1011"/>
      <c r="UYC153" s="1011"/>
      <c r="UYD153" s="1011"/>
      <c r="UYE153" s="1011"/>
      <c r="UYF153" s="1011"/>
      <c r="UYG153" s="1011"/>
      <c r="UYH153" s="1011"/>
      <c r="UYI153" s="1011"/>
      <c r="UYJ153" s="1011"/>
      <c r="UYK153" s="1011"/>
      <c r="UYL153" s="1011"/>
      <c r="UYM153" s="1011"/>
      <c r="UYN153" s="1011"/>
      <c r="UYO153" s="1011"/>
      <c r="UYP153" s="1011"/>
      <c r="UYQ153" s="1011"/>
      <c r="UYR153" s="1011"/>
      <c r="UYS153" s="1011"/>
      <c r="UYT153" s="1011"/>
      <c r="UYU153" s="1011"/>
      <c r="UYV153" s="1011"/>
      <c r="UYW153" s="1011"/>
      <c r="UYX153" s="1011"/>
      <c r="UYY153" s="1011"/>
      <c r="UYZ153" s="1011"/>
      <c r="UZA153" s="1011"/>
      <c r="UZB153" s="1011"/>
      <c r="UZC153" s="1011"/>
      <c r="UZD153" s="1011"/>
      <c r="UZE153" s="1011"/>
      <c r="UZF153" s="1011"/>
      <c r="UZG153" s="1011"/>
      <c r="UZH153" s="1011"/>
      <c r="UZI153" s="1011"/>
      <c r="UZJ153" s="1011"/>
      <c r="UZK153" s="1011"/>
      <c r="UZL153" s="1011"/>
      <c r="UZM153" s="1011"/>
      <c r="UZN153" s="1011"/>
      <c r="UZO153" s="1011"/>
      <c r="UZP153" s="1011"/>
      <c r="UZQ153" s="1011"/>
      <c r="UZR153" s="1011"/>
      <c r="UZS153" s="1011"/>
      <c r="UZT153" s="1011"/>
      <c r="UZU153" s="1011"/>
      <c r="UZV153" s="1011"/>
      <c r="UZW153" s="1011"/>
      <c r="UZX153" s="1011"/>
      <c r="UZY153" s="1011"/>
      <c r="UZZ153" s="1011"/>
      <c r="VAA153" s="1011"/>
      <c r="VAB153" s="1011"/>
      <c r="VAC153" s="1011"/>
      <c r="VAD153" s="1011"/>
      <c r="VAE153" s="1011"/>
      <c r="VAF153" s="1011"/>
      <c r="VAG153" s="1011"/>
      <c r="VAH153" s="1011"/>
      <c r="VAI153" s="1011"/>
      <c r="VAJ153" s="1011"/>
      <c r="VAK153" s="1011"/>
      <c r="VAL153" s="1011"/>
      <c r="VAM153" s="1011"/>
      <c r="VAN153" s="1011"/>
      <c r="VAO153" s="1011"/>
      <c r="VAP153" s="1011"/>
      <c r="VAQ153" s="1011"/>
      <c r="VAR153" s="1011"/>
      <c r="VAS153" s="1011"/>
      <c r="VAT153" s="1011"/>
      <c r="VAU153" s="1011"/>
      <c r="VAV153" s="1011"/>
      <c r="VAW153" s="1011"/>
      <c r="VAX153" s="1011"/>
      <c r="VAY153" s="1011"/>
      <c r="VAZ153" s="1011"/>
      <c r="VBA153" s="1011"/>
      <c r="VBB153" s="1011"/>
      <c r="VBC153" s="1011"/>
      <c r="VBD153" s="1011"/>
      <c r="VBE153" s="1011"/>
      <c r="VBF153" s="1011"/>
      <c r="VBG153" s="1011"/>
      <c r="VBH153" s="1011"/>
      <c r="VBI153" s="1011"/>
      <c r="VBJ153" s="1011"/>
      <c r="VBK153" s="1011"/>
      <c r="VBL153" s="1011"/>
      <c r="VBM153" s="1011"/>
      <c r="VBN153" s="1011"/>
      <c r="VBO153" s="1011"/>
      <c r="VBP153" s="1011"/>
      <c r="VBQ153" s="1011"/>
      <c r="VBR153" s="1011"/>
      <c r="VBS153" s="1011"/>
      <c r="VBT153" s="1011"/>
      <c r="VBU153" s="1011"/>
      <c r="VBV153" s="1011"/>
      <c r="VBW153" s="1011"/>
      <c r="VBX153" s="1011"/>
      <c r="VBY153" s="1011"/>
      <c r="VBZ153" s="1011"/>
      <c r="VCA153" s="1011"/>
      <c r="VCB153" s="1011"/>
      <c r="VCC153" s="1011"/>
      <c r="VCD153" s="1011"/>
      <c r="VCE153" s="1011"/>
      <c r="VCF153" s="1011"/>
      <c r="VCG153" s="1011"/>
      <c r="VCH153" s="1011"/>
      <c r="VCI153" s="1011"/>
      <c r="VCJ153" s="1011"/>
      <c r="VCK153" s="1011"/>
      <c r="VCL153" s="1011"/>
      <c r="VCM153" s="1011"/>
      <c r="VCN153" s="1011"/>
      <c r="VCO153" s="1011"/>
      <c r="VCP153" s="1011"/>
      <c r="VCQ153" s="1011"/>
      <c r="VCR153" s="1011"/>
      <c r="VCS153" s="1011"/>
      <c r="VCT153" s="1011"/>
      <c r="VCU153" s="1011"/>
      <c r="VCV153" s="1011"/>
      <c r="VCW153" s="1011"/>
      <c r="VCX153" s="1011"/>
      <c r="VCY153" s="1011"/>
      <c r="VCZ153" s="1011"/>
      <c r="VDA153" s="1011"/>
      <c r="VDB153" s="1011"/>
      <c r="VDC153" s="1011"/>
      <c r="VDD153" s="1011"/>
      <c r="VDE153" s="1011"/>
      <c r="VDF153" s="1011"/>
      <c r="VDG153" s="1011"/>
      <c r="VDH153" s="1011"/>
      <c r="VDI153" s="1011"/>
      <c r="VDJ153" s="1011"/>
      <c r="VDK153" s="1011"/>
      <c r="VDL153" s="1011"/>
      <c r="VDM153" s="1011"/>
      <c r="VDN153" s="1011"/>
      <c r="VDO153" s="1011"/>
      <c r="VDP153" s="1011"/>
      <c r="VDQ153" s="1011"/>
      <c r="VDR153" s="1011"/>
      <c r="VDS153" s="1011"/>
      <c r="VDT153" s="1011"/>
      <c r="VDU153" s="1011"/>
      <c r="VDV153" s="1011"/>
      <c r="VDW153" s="1011"/>
      <c r="VDX153" s="1011"/>
      <c r="VDY153" s="1011"/>
      <c r="VDZ153" s="1011"/>
      <c r="VEA153" s="1011"/>
      <c r="VEB153" s="1011"/>
      <c r="VEC153" s="1011"/>
      <c r="VED153" s="1011"/>
      <c r="VEE153" s="1011"/>
      <c r="VEF153" s="1011"/>
      <c r="VEG153" s="1011"/>
      <c r="VEH153" s="1011"/>
      <c r="VEI153" s="1011"/>
      <c r="VEJ153" s="1011"/>
      <c r="VEK153" s="1011"/>
      <c r="VEL153" s="1011"/>
      <c r="VEM153" s="1011"/>
      <c r="VEN153" s="1011"/>
      <c r="VEO153" s="1011"/>
      <c r="VEP153" s="1011"/>
      <c r="VEQ153" s="1011"/>
      <c r="VER153" s="1011"/>
      <c r="VES153" s="1011"/>
      <c r="VET153" s="1011"/>
      <c r="VEU153" s="1011"/>
      <c r="VEV153" s="1011"/>
      <c r="VEW153" s="1011"/>
      <c r="VEX153" s="1011"/>
      <c r="VEY153" s="1011"/>
      <c r="VEZ153" s="1011"/>
      <c r="VFA153" s="1011"/>
      <c r="VFB153" s="1011"/>
      <c r="VFC153" s="1011"/>
      <c r="VFD153" s="1011"/>
      <c r="VFE153" s="1011"/>
      <c r="VFF153" s="1011"/>
      <c r="VFG153" s="1011"/>
      <c r="VFH153" s="1011"/>
      <c r="VFI153" s="1011"/>
      <c r="VFJ153" s="1011"/>
      <c r="VFK153" s="1011"/>
      <c r="VFL153" s="1011"/>
      <c r="VFM153" s="1011"/>
      <c r="VFN153" s="1011"/>
      <c r="VFO153" s="1011"/>
      <c r="VFP153" s="1011"/>
      <c r="VFQ153" s="1011"/>
      <c r="VFR153" s="1011"/>
      <c r="VFS153" s="1011"/>
      <c r="VFT153" s="1011"/>
      <c r="VFU153" s="1011"/>
      <c r="VFV153" s="1011"/>
      <c r="VFW153" s="1011"/>
      <c r="VFX153" s="1011"/>
      <c r="VFY153" s="1011"/>
      <c r="VFZ153" s="1011"/>
      <c r="VGA153" s="1011"/>
      <c r="VGB153" s="1011"/>
      <c r="VGC153" s="1011"/>
      <c r="VGD153" s="1011"/>
      <c r="VGE153" s="1011"/>
      <c r="VGF153" s="1011"/>
      <c r="VGG153" s="1011"/>
      <c r="VGH153" s="1011"/>
      <c r="VGI153" s="1011"/>
      <c r="VGJ153" s="1011"/>
      <c r="VGK153" s="1011"/>
      <c r="VGL153" s="1011"/>
      <c r="VGM153" s="1011"/>
      <c r="VGN153" s="1011"/>
      <c r="VGO153" s="1011"/>
      <c r="VGP153" s="1011"/>
      <c r="VGQ153" s="1011"/>
      <c r="VGR153" s="1011"/>
      <c r="VGS153" s="1011"/>
      <c r="VGT153" s="1011"/>
      <c r="VGU153" s="1011"/>
      <c r="VGV153" s="1011"/>
      <c r="VGW153" s="1011"/>
      <c r="VGX153" s="1011"/>
      <c r="VGY153" s="1011"/>
      <c r="VGZ153" s="1011"/>
      <c r="VHA153" s="1011"/>
      <c r="VHB153" s="1011"/>
      <c r="VHC153" s="1011"/>
      <c r="VHD153" s="1011"/>
      <c r="VHE153" s="1011"/>
      <c r="VHF153" s="1011"/>
      <c r="VHG153" s="1011"/>
      <c r="VHH153" s="1011"/>
      <c r="VHI153" s="1011"/>
      <c r="VHJ153" s="1011"/>
      <c r="VHK153" s="1011"/>
      <c r="VHL153" s="1011"/>
      <c r="VHM153" s="1011"/>
      <c r="VHN153" s="1011"/>
      <c r="VHO153" s="1011"/>
      <c r="VHP153" s="1011"/>
      <c r="VHQ153" s="1011"/>
      <c r="VHR153" s="1011"/>
      <c r="VHS153" s="1011"/>
      <c r="VHT153" s="1011"/>
      <c r="VHU153" s="1011"/>
      <c r="VHV153" s="1011"/>
      <c r="VHW153" s="1011"/>
      <c r="VHX153" s="1011"/>
      <c r="VHY153" s="1011"/>
      <c r="VHZ153" s="1011"/>
      <c r="VIA153" s="1011"/>
      <c r="VIB153" s="1011"/>
      <c r="VIC153" s="1011"/>
      <c r="VID153" s="1011"/>
      <c r="VIE153" s="1011"/>
      <c r="VIF153" s="1011"/>
      <c r="VIG153" s="1011"/>
      <c r="VIH153" s="1011"/>
      <c r="VII153" s="1011"/>
      <c r="VIJ153" s="1011"/>
      <c r="VIK153" s="1011"/>
      <c r="VIL153" s="1011"/>
      <c r="VIM153" s="1011"/>
      <c r="VIN153" s="1011"/>
      <c r="VIO153" s="1011"/>
      <c r="VIP153" s="1011"/>
      <c r="VIQ153" s="1011"/>
      <c r="VIR153" s="1011"/>
      <c r="VIS153" s="1011"/>
      <c r="VIT153" s="1011"/>
      <c r="VIU153" s="1011"/>
      <c r="VIV153" s="1011"/>
      <c r="VIW153" s="1011"/>
      <c r="VIX153" s="1011"/>
      <c r="VIY153" s="1011"/>
      <c r="VIZ153" s="1011"/>
      <c r="VJA153" s="1011"/>
      <c r="VJB153" s="1011"/>
      <c r="VJC153" s="1011"/>
      <c r="VJD153" s="1011"/>
      <c r="VJE153" s="1011"/>
      <c r="VJF153" s="1011"/>
      <c r="VJG153" s="1011"/>
      <c r="VJH153" s="1011"/>
      <c r="VJI153" s="1011"/>
      <c r="VJJ153" s="1011"/>
      <c r="VJK153" s="1011"/>
      <c r="VJL153" s="1011"/>
      <c r="VJM153" s="1011"/>
      <c r="VJN153" s="1011"/>
      <c r="VJO153" s="1011"/>
      <c r="VJP153" s="1011"/>
      <c r="VJQ153" s="1011"/>
      <c r="VJR153" s="1011"/>
      <c r="VJS153" s="1011"/>
      <c r="VJT153" s="1011"/>
      <c r="VJU153" s="1011"/>
      <c r="VJV153" s="1011"/>
      <c r="VJW153" s="1011"/>
      <c r="VJX153" s="1011"/>
      <c r="VJY153" s="1011"/>
      <c r="VJZ153" s="1011"/>
      <c r="VKA153" s="1011"/>
      <c r="VKB153" s="1011"/>
      <c r="VKC153" s="1011"/>
      <c r="VKD153" s="1011"/>
      <c r="VKE153" s="1011"/>
      <c r="VKF153" s="1011"/>
      <c r="VKG153" s="1011"/>
      <c r="VKH153" s="1011"/>
      <c r="VKI153" s="1011"/>
      <c r="VKJ153" s="1011"/>
      <c r="VKK153" s="1011"/>
      <c r="VKL153" s="1011"/>
      <c r="VKM153" s="1011"/>
      <c r="VKN153" s="1011"/>
      <c r="VKO153" s="1011"/>
      <c r="VKP153" s="1011"/>
      <c r="VKQ153" s="1011"/>
      <c r="VKR153" s="1011"/>
      <c r="VKS153" s="1011"/>
      <c r="VKT153" s="1011"/>
      <c r="VKU153" s="1011"/>
      <c r="VKV153" s="1011"/>
      <c r="VKW153" s="1011"/>
      <c r="VKX153" s="1011"/>
      <c r="VKY153" s="1011"/>
      <c r="VKZ153" s="1011"/>
      <c r="VLA153" s="1011"/>
      <c r="VLB153" s="1011"/>
      <c r="VLC153" s="1011"/>
      <c r="VLD153" s="1011"/>
      <c r="VLE153" s="1011"/>
      <c r="VLF153" s="1011"/>
      <c r="VLG153" s="1011"/>
      <c r="VLH153" s="1011"/>
      <c r="VLI153" s="1011"/>
      <c r="VLJ153" s="1011"/>
      <c r="VLK153" s="1011"/>
      <c r="VLL153" s="1011"/>
      <c r="VLM153" s="1011"/>
      <c r="VLN153" s="1011"/>
      <c r="VLO153" s="1011"/>
      <c r="VLP153" s="1011"/>
      <c r="VLQ153" s="1011"/>
      <c r="VLR153" s="1011"/>
      <c r="VLS153" s="1011"/>
      <c r="VLT153" s="1011"/>
      <c r="VLU153" s="1011"/>
      <c r="VLV153" s="1011"/>
      <c r="VLW153" s="1011"/>
      <c r="VLX153" s="1011"/>
      <c r="VLY153" s="1011"/>
      <c r="VLZ153" s="1011"/>
      <c r="VMA153" s="1011"/>
      <c r="VMB153" s="1011"/>
      <c r="VMC153" s="1011"/>
      <c r="VMD153" s="1011"/>
      <c r="VME153" s="1011"/>
      <c r="VMF153" s="1011"/>
      <c r="VMG153" s="1011"/>
      <c r="VMH153" s="1011"/>
      <c r="VMI153" s="1011"/>
      <c r="VMJ153" s="1011"/>
      <c r="VMK153" s="1011"/>
      <c r="VML153" s="1011"/>
      <c r="VMM153" s="1011"/>
      <c r="VMN153" s="1011"/>
      <c r="VMO153" s="1011"/>
      <c r="VMP153" s="1011"/>
      <c r="VMQ153" s="1011"/>
      <c r="VMR153" s="1011"/>
      <c r="VMS153" s="1011"/>
      <c r="VMT153" s="1011"/>
      <c r="VMU153" s="1011"/>
      <c r="VMV153" s="1011"/>
      <c r="VMW153" s="1011"/>
      <c r="VMX153" s="1011"/>
      <c r="VMY153" s="1011"/>
      <c r="VMZ153" s="1011"/>
      <c r="VNA153" s="1011"/>
      <c r="VNB153" s="1011"/>
      <c r="VNC153" s="1011"/>
      <c r="VND153" s="1011"/>
      <c r="VNE153" s="1011"/>
      <c r="VNF153" s="1011"/>
      <c r="VNG153" s="1011"/>
      <c r="VNH153" s="1011"/>
      <c r="VNI153" s="1011"/>
      <c r="VNJ153" s="1011"/>
      <c r="VNK153" s="1011"/>
      <c r="VNL153" s="1011"/>
      <c r="VNM153" s="1011"/>
      <c r="VNN153" s="1011"/>
      <c r="VNO153" s="1011"/>
      <c r="VNP153" s="1011"/>
      <c r="VNQ153" s="1011"/>
      <c r="VNR153" s="1011"/>
      <c r="VNS153" s="1011"/>
      <c r="VNT153" s="1011"/>
      <c r="VNU153" s="1011"/>
      <c r="VNV153" s="1011"/>
      <c r="VNW153" s="1011"/>
      <c r="VNX153" s="1011"/>
      <c r="VNY153" s="1011"/>
      <c r="VNZ153" s="1011"/>
      <c r="VOA153" s="1011"/>
      <c r="VOB153" s="1011"/>
      <c r="VOC153" s="1011"/>
      <c r="VOD153" s="1011"/>
      <c r="VOE153" s="1011"/>
      <c r="VOF153" s="1011"/>
      <c r="VOG153" s="1011"/>
      <c r="VOH153" s="1011"/>
      <c r="VOI153" s="1011"/>
      <c r="VOJ153" s="1011"/>
      <c r="VOK153" s="1011"/>
      <c r="VOL153" s="1011"/>
      <c r="VOM153" s="1011"/>
      <c r="VON153" s="1011"/>
      <c r="VOO153" s="1011"/>
      <c r="VOP153" s="1011"/>
      <c r="VOQ153" s="1011"/>
      <c r="VOR153" s="1011"/>
      <c r="VOS153" s="1011"/>
      <c r="VOT153" s="1011"/>
      <c r="VOU153" s="1011"/>
      <c r="VOV153" s="1011"/>
      <c r="VOW153" s="1011"/>
      <c r="VOX153" s="1011"/>
      <c r="VOY153" s="1011"/>
      <c r="VOZ153" s="1011"/>
      <c r="VPA153" s="1011"/>
      <c r="VPB153" s="1011"/>
      <c r="VPC153" s="1011"/>
      <c r="VPD153" s="1011"/>
      <c r="VPE153" s="1011"/>
      <c r="VPF153" s="1011"/>
      <c r="VPG153" s="1011"/>
      <c r="VPH153" s="1011"/>
      <c r="VPI153" s="1011"/>
      <c r="VPJ153" s="1011"/>
      <c r="VPK153" s="1011"/>
      <c r="VPL153" s="1011"/>
      <c r="VPM153" s="1011"/>
      <c r="VPN153" s="1011"/>
      <c r="VPO153" s="1011"/>
      <c r="VPP153" s="1011"/>
      <c r="VPQ153" s="1011"/>
      <c r="VPR153" s="1011"/>
      <c r="VPS153" s="1011"/>
      <c r="VPT153" s="1011"/>
      <c r="VPU153" s="1011"/>
      <c r="VPV153" s="1011"/>
      <c r="VPW153" s="1011"/>
      <c r="VPX153" s="1011"/>
      <c r="VPY153" s="1011"/>
      <c r="VPZ153" s="1011"/>
      <c r="VQA153" s="1011"/>
      <c r="VQB153" s="1011"/>
      <c r="VQC153" s="1011"/>
      <c r="VQD153" s="1011"/>
      <c r="VQE153" s="1011"/>
      <c r="VQF153" s="1011"/>
      <c r="VQG153" s="1011"/>
      <c r="VQH153" s="1011"/>
      <c r="VQI153" s="1011"/>
      <c r="VQJ153" s="1011"/>
      <c r="VQK153" s="1011"/>
      <c r="VQL153" s="1011"/>
      <c r="VQM153" s="1011"/>
      <c r="VQN153" s="1011"/>
      <c r="VQO153" s="1011"/>
      <c r="VQP153" s="1011"/>
      <c r="VQQ153" s="1011"/>
      <c r="VQR153" s="1011"/>
      <c r="VQS153" s="1011"/>
      <c r="VQT153" s="1011"/>
      <c r="VQU153" s="1011"/>
      <c r="VQV153" s="1011"/>
      <c r="VQW153" s="1011"/>
      <c r="VQX153" s="1011"/>
      <c r="VQY153" s="1011"/>
      <c r="VQZ153" s="1011"/>
      <c r="VRA153" s="1011"/>
      <c r="VRB153" s="1011"/>
      <c r="VRC153" s="1011"/>
      <c r="VRD153" s="1011"/>
      <c r="VRE153" s="1011"/>
      <c r="VRF153" s="1011"/>
      <c r="VRG153" s="1011"/>
      <c r="VRH153" s="1011"/>
      <c r="VRI153" s="1011"/>
      <c r="VRJ153" s="1011"/>
      <c r="VRK153" s="1011"/>
      <c r="VRL153" s="1011"/>
      <c r="VRM153" s="1011"/>
      <c r="VRN153" s="1011"/>
      <c r="VRO153" s="1011"/>
      <c r="VRP153" s="1011"/>
      <c r="VRQ153" s="1011"/>
      <c r="VRR153" s="1011"/>
      <c r="VRS153" s="1011"/>
      <c r="VRT153" s="1011"/>
      <c r="VRU153" s="1011"/>
      <c r="VRV153" s="1011"/>
      <c r="VRW153" s="1011"/>
      <c r="VRX153" s="1011"/>
      <c r="VRY153" s="1011"/>
      <c r="VRZ153" s="1011"/>
      <c r="VSA153" s="1011"/>
      <c r="VSB153" s="1011"/>
      <c r="VSC153" s="1011"/>
      <c r="VSD153" s="1011"/>
      <c r="VSE153" s="1011"/>
      <c r="VSF153" s="1011"/>
      <c r="VSG153" s="1011"/>
      <c r="VSH153" s="1011"/>
      <c r="VSI153" s="1011"/>
      <c r="VSJ153" s="1011"/>
      <c r="VSK153" s="1011"/>
      <c r="VSL153" s="1011"/>
      <c r="VSM153" s="1011"/>
      <c r="VSN153" s="1011"/>
      <c r="VSO153" s="1011"/>
      <c r="VSP153" s="1011"/>
      <c r="VSQ153" s="1011"/>
      <c r="VSR153" s="1011"/>
      <c r="VSS153" s="1011"/>
      <c r="VST153" s="1011"/>
      <c r="VSU153" s="1011"/>
      <c r="VSV153" s="1011"/>
      <c r="VSW153" s="1011"/>
      <c r="VSX153" s="1011"/>
      <c r="VSY153" s="1011"/>
      <c r="VSZ153" s="1011"/>
      <c r="VTA153" s="1011"/>
      <c r="VTB153" s="1011"/>
      <c r="VTC153" s="1011"/>
      <c r="VTD153" s="1011"/>
      <c r="VTE153" s="1011"/>
      <c r="VTF153" s="1011"/>
      <c r="VTG153" s="1011"/>
      <c r="VTH153" s="1011"/>
      <c r="VTI153" s="1011"/>
      <c r="VTJ153" s="1011"/>
      <c r="VTK153" s="1011"/>
      <c r="VTL153" s="1011"/>
      <c r="VTM153" s="1011"/>
      <c r="VTN153" s="1011"/>
      <c r="VTO153" s="1011"/>
      <c r="VTP153" s="1011"/>
      <c r="VTQ153" s="1011"/>
      <c r="VTR153" s="1011"/>
      <c r="VTS153" s="1011"/>
      <c r="VTT153" s="1011"/>
      <c r="VTU153" s="1011"/>
      <c r="VTV153" s="1011"/>
      <c r="VTW153" s="1011"/>
      <c r="VTX153" s="1011"/>
      <c r="VTY153" s="1011"/>
      <c r="VTZ153" s="1011"/>
      <c r="VUA153" s="1011"/>
      <c r="VUB153" s="1011"/>
      <c r="VUC153" s="1011"/>
      <c r="VUD153" s="1011"/>
      <c r="VUE153" s="1011"/>
      <c r="VUF153" s="1011"/>
      <c r="VUG153" s="1011"/>
      <c r="VUH153" s="1011"/>
      <c r="VUI153" s="1011"/>
      <c r="VUJ153" s="1011"/>
      <c r="VUK153" s="1011"/>
      <c r="VUL153" s="1011"/>
      <c r="VUM153" s="1011"/>
      <c r="VUN153" s="1011"/>
      <c r="VUO153" s="1011"/>
      <c r="VUP153" s="1011"/>
      <c r="VUQ153" s="1011"/>
      <c r="VUR153" s="1011"/>
      <c r="VUS153" s="1011"/>
      <c r="VUT153" s="1011"/>
      <c r="VUU153" s="1011"/>
      <c r="VUV153" s="1011"/>
      <c r="VUW153" s="1011"/>
      <c r="VUX153" s="1011"/>
      <c r="VUY153" s="1011"/>
      <c r="VUZ153" s="1011"/>
      <c r="VVA153" s="1011"/>
      <c r="VVB153" s="1011"/>
      <c r="VVC153" s="1011"/>
      <c r="VVD153" s="1011"/>
      <c r="VVE153" s="1011"/>
      <c r="VVF153" s="1011"/>
      <c r="VVG153" s="1011"/>
      <c r="VVH153" s="1011"/>
      <c r="VVI153" s="1011"/>
      <c r="VVJ153" s="1011"/>
      <c r="VVK153" s="1011"/>
      <c r="VVL153" s="1011"/>
      <c r="VVM153" s="1011"/>
      <c r="VVN153" s="1011"/>
      <c r="VVO153" s="1011"/>
      <c r="VVP153" s="1011"/>
      <c r="VVQ153" s="1011"/>
      <c r="VVR153" s="1011"/>
      <c r="VVS153" s="1011"/>
      <c r="VVT153" s="1011"/>
      <c r="VVU153" s="1011"/>
      <c r="VVV153" s="1011"/>
      <c r="VVW153" s="1011"/>
      <c r="VVX153" s="1011"/>
      <c r="VVY153" s="1011"/>
      <c r="VVZ153" s="1011"/>
      <c r="VWA153" s="1011"/>
      <c r="VWB153" s="1011"/>
      <c r="VWC153" s="1011"/>
      <c r="VWD153" s="1011"/>
      <c r="VWE153" s="1011"/>
      <c r="VWF153" s="1011"/>
      <c r="VWG153" s="1011"/>
      <c r="VWH153" s="1011"/>
      <c r="VWI153" s="1011"/>
      <c r="VWJ153" s="1011"/>
      <c r="VWK153" s="1011"/>
      <c r="VWL153" s="1011"/>
      <c r="VWM153" s="1011"/>
      <c r="VWN153" s="1011"/>
      <c r="VWO153" s="1011"/>
      <c r="VWP153" s="1011"/>
      <c r="VWQ153" s="1011"/>
      <c r="VWR153" s="1011"/>
      <c r="VWS153" s="1011"/>
      <c r="VWT153" s="1011"/>
      <c r="VWU153" s="1011"/>
      <c r="VWV153" s="1011"/>
      <c r="VWW153" s="1011"/>
      <c r="VWX153" s="1011"/>
      <c r="VWY153" s="1011"/>
      <c r="VWZ153" s="1011"/>
      <c r="VXA153" s="1011"/>
      <c r="VXB153" s="1011"/>
      <c r="VXC153" s="1011"/>
      <c r="VXD153" s="1011"/>
      <c r="VXE153" s="1011"/>
      <c r="VXF153" s="1011"/>
      <c r="VXG153" s="1011"/>
      <c r="VXH153" s="1011"/>
      <c r="VXI153" s="1011"/>
      <c r="VXJ153" s="1011"/>
      <c r="VXK153" s="1011"/>
      <c r="VXL153" s="1011"/>
      <c r="VXM153" s="1011"/>
      <c r="VXN153" s="1011"/>
      <c r="VXO153" s="1011"/>
      <c r="VXP153" s="1011"/>
      <c r="VXQ153" s="1011"/>
      <c r="VXR153" s="1011"/>
      <c r="VXS153" s="1011"/>
      <c r="VXT153" s="1011"/>
      <c r="VXU153" s="1011"/>
      <c r="VXV153" s="1011"/>
      <c r="VXW153" s="1011"/>
      <c r="VXX153" s="1011"/>
      <c r="VXY153" s="1011"/>
      <c r="VXZ153" s="1011"/>
      <c r="VYA153" s="1011"/>
      <c r="VYB153" s="1011"/>
      <c r="VYC153" s="1011"/>
      <c r="VYD153" s="1011"/>
      <c r="VYE153" s="1011"/>
      <c r="VYF153" s="1011"/>
      <c r="VYG153" s="1011"/>
      <c r="VYH153" s="1011"/>
      <c r="VYI153" s="1011"/>
      <c r="VYJ153" s="1011"/>
      <c r="VYK153" s="1011"/>
      <c r="VYL153" s="1011"/>
      <c r="VYM153" s="1011"/>
      <c r="VYN153" s="1011"/>
      <c r="VYO153" s="1011"/>
      <c r="VYP153" s="1011"/>
      <c r="VYQ153" s="1011"/>
      <c r="VYR153" s="1011"/>
      <c r="VYS153" s="1011"/>
      <c r="VYT153" s="1011"/>
      <c r="VYU153" s="1011"/>
      <c r="VYV153" s="1011"/>
      <c r="VYW153" s="1011"/>
      <c r="VYX153" s="1011"/>
      <c r="VYY153" s="1011"/>
      <c r="VYZ153" s="1011"/>
      <c r="VZA153" s="1011"/>
      <c r="VZB153" s="1011"/>
      <c r="VZC153" s="1011"/>
      <c r="VZD153" s="1011"/>
      <c r="VZE153" s="1011"/>
      <c r="VZF153" s="1011"/>
      <c r="VZG153" s="1011"/>
      <c r="VZH153" s="1011"/>
      <c r="VZI153" s="1011"/>
      <c r="VZJ153" s="1011"/>
      <c r="VZK153" s="1011"/>
      <c r="VZL153" s="1011"/>
      <c r="VZM153" s="1011"/>
      <c r="VZN153" s="1011"/>
      <c r="VZO153" s="1011"/>
      <c r="VZP153" s="1011"/>
      <c r="VZQ153" s="1011"/>
      <c r="VZR153" s="1011"/>
      <c r="VZS153" s="1011"/>
      <c r="VZT153" s="1011"/>
      <c r="VZU153" s="1011"/>
      <c r="VZV153" s="1011"/>
      <c r="VZW153" s="1011"/>
      <c r="VZX153" s="1011"/>
      <c r="VZY153" s="1011"/>
      <c r="VZZ153" s="1011"/>
      <c r="WAA153" s="1011"/>
      <c r="WAB153" s="1011"/>
      <c r="WAC153" s="1011"/>
      <c r="WAD153" s="1011"/>
      <c r="WAE153" s="1011"/>
      <c r="WAF153" s="1011"/>
      <c r="WAG153" s="1011"/>
      <c r="WAH153" s="1011"/>
      <c r="WAI153" s="1011"/>
      <c r="WAJ153" s="1011"/>
      <c r="WAK153" s="1011"/>
      <c r="WAL153" s="1011"/>
      <c r="WAM153" s="1011"/>
      <c r="WAN153" s="1011"/>
      <c r="WAO153" s="1011"/>
      <c r="WAP153" s="1011"/>
      <c r="WAQ153" s="1011"/>
      <c r="WAR153" s="1011"/>
      <c r="WAS153" s="1011"/>
      <c r="WAT153" s="1011"/>
      <c r="WAU153" s="1011"/>
      <c r="WAV153" s="1011"/>
      <c r="WAW153" s="1011"/>
      <c r="WAX153" s="1011"/>
      <c r="WAY153" s="1011"/>
      <c r="WAZ153" s="1011"/>
      <c r="WBA153" s="1011"/>
      <c r="WBB153" s="1011"/>
      <c r="WBC153" s="1011"/>
      <c r="WBD153" s="1011"/>
      <c r="WBE153" s="1011"/>
      <c r="WBF153" s="1011"/>
      <c r="WBG153" s="1011"/>
      <c r="WBH153" s="1011"/>
      <c r="WBI153" s="1011"/>
      <c r="WBJ153" s="1011"/>
      <c r="WBK153" s="1011"/>
      <c r="WBL153" s="1011"/>
      <c r="WBM153" s="1011"/>
      <c r="WBN153" s="1011"/>
      <c r="WBO153" s="1011"/>
      <c r="WBP153" s="1011"/>
      <c r="WBQ153" s="1011"/>
      <c r="WBR153" s="1011"/>
      <c r="WBS153" s="1011"/>
      <c r="WBT153" s="1011"/>
      <c r="WBU153" s="1011"/>
      <c r="WBV153" s="1011"/>
      <c r="WBW153" s="1011"/>
      <c r="WBX153" s="1011"/>
      <c r="WBY153" s="1011"/>
      <c r="WBZ153" s="1011"/>
      <c r="WCA153" s="1011"/>
      <c r="WCB153" s="1011"/>
      <c r="WCC153" s="1011"/>
      <c r="WCD153" s="1011"/>
      <c r="WCE153" s="1011"/>
      <c r="WCF153" s="1011"/>
      <c r="WCG153" s="1011"/>
      <c r="WCH153" s="1011"/>
      <c r="WCI153" s="1011"/>
      <c r="WCJ153" s="1011"/>
      <c r="WCK153" s="1011"/>
      <c r="WCL153" s="1011"/>
      <c r="WCM153" s="1011"/>
      <c r="WCN153" s="1011"/>
      <c r="WCO153" s="1011"/>
      <c r="WCP153" s="1011"/>
      <c r="WCQ153" s="1011"/>
      <c r="WCR153" s="1011"/>
      <c r="WCS153" s="1011"/>
      <c r="WCT153" s="1011"/>
      <c r="WCU153" s="1011"/>
      <c r="WCV153" s="1011"/>
      <c r="WCW153" s="1011"/>
      <c r="WCX153" s="1011"/>
      <c r="WCY153" s="1011"/>
      <c r="WCZ153" s="1011"/>
      <c r="WDA153" s="1011"/>
      <c r="WDB153" s="1011"/>
      <c r="WDC153" s="1011"/>
      <c r="WDD153" s="1011"/>
      <c r="WDE153" s="1011"/>
      <c r="WDF153" s="1011"/>
      <c r="WDG153" s="1011"/>
      <c r="WDH153" s="1011"/>
      <c r="WDI153" s="1011"/>
      <c r="WDJ153" s="1011"/>
      <c r="WDK153" s="1011"/>
      <c r="WDL153" s="1011"/>
      <c r="WDM153" s="1011"/>
      <c r="WDN153" s="1011"/>
      <c r="WDO153" s="1011"/>
      <c r="WDP153" s="1011"/>
      <c r="WDQ153" s="1011"/>
      <c r="WDR153" s="1011"/>
      <c r="WDS153" s="1011"/>
      <c r="WDT153" s="1011"/>
      <c r="WDU153" s="1011"/>
      <c r="WDV153" s="1011"/>
      <c r="WDW153" s="1011"/>
      <c r="WDX153" s="1011"/>
      <c r="WDY153" s="1011"/>
      <c r="WDZ153" s="1011"/>
      <c r="WEA153" s="1011"/>
      <c r="WEB153" s="1011"/>
      <c r="WEC153" s="1011"/>
      <c r="WED153" s="1011"/>
      <c r="WEE153" s="1011"/>
      <c r="WEF153" s="1011"/>
      <c r="WEG153" s="1011"/>
      <c r="WEH153" s="1011"/>
      <c r="WEI153" s="1011"/>
      <c r="WEJ153" s="1011"/>
      <c r="WEK153" s="1011"/>
      <c r="WEL153" s="1011"/>
      <c r="WEM153" s="1011"/>
      <c r="WEN153" s="1011"/>
      <c r="WEO153" s="1011"/>
      <c r="WEP153" s="1011"/>
      <c r="WEQ153" s="1011"/>
      <c r="WER153" s="1011"/>
      <c r="WES153" s="1011"/>
      <c r="WET153" s="1011"/>
      <c r="WEU153" s="1011"/>
      <c r="WEV153" s="1011"/>
      <c r="WEW153" s="1011"/>
      <c r="WEX153" s="1011"/>
      <c r="WEY153" s="1011"/>
      <c r="WEZ153" s="1011"/>
      <c r="WFA153" s="1011"/>
      <c r="WFB153" s="1011"/>
      <c r="WFC153" s="1011"/>
      <c r="WFD153" s="1011"/>
      <c r="WFE153" s="1011"/>
      <c r="WFF153" s="1011"/>
      <c r="WFG153" s="1011"/>
      <c r="WFH153" s="1011"/>
      <c r="WFI153" s="1011"/>
      <c r="WFJ153" s="1011"/>
      <c r="WFK153" s="1011"/>
      <c r="WFL153" s="1011"/>
      <c r="WFM153" s="1011"/>
      <c r="WFN153" s="1011"/>
      <c r="WFO153" s="1011"/>
      <c r="WFP153" s="1011"/>
      <c r="WFQ153" s="1011"/>
      <c r="WFR153" s="1011"/>
      <c r="WFS153" s="1011"/>
      <c r="WFT153" s="1011"/>
      <c r="WFU153" s="1011"/>
      <c r="WFV153" s="1011"/>
      <c r="WFW153" s="1011"/>
      <c r="WFX153" s="1011"/>
      <c r="WFY153" s="1011"/>
      <c r="WFZ153" s="1011"/>
      <c r="WGA153" s="1011"/>
      <c r="WGB153" s="1011"/>
      <c r="WGC153" s="1011"/>
      <c r="WGD153" s="1011"/>
      <c r="WGE153" s="1011"/>
      <c r="WGF153" s="1011"/>
      <c r="WGG153" s="1011"/>
      <c r="WGH153" s="1011"/>
      <c r="WGI153" s="1011"/>
      <c r="WGJ153" s="1011"/>
      <c r="WGK153" s="1011"/>
      <c r="WGL153" s="1011"/>
      <c r="WGM153" s="1011"/>
      <c r="WGN153" s="1011"/>
      <c r="WGO153" s="1011"/>
      <c r="WGP153" s="1011"/>
      <c r="WGQ153" s="1011"/>
      <c r="WGR153" s="1011"/>
      <c r="WGS153" s="1011"/>
      <c r="WGT153" s="1011"/>
      <c r="WGU153" s="1011"/>
      <c r="WGV153" s="1011"/>
      <c r="WGW153" s="1011"/>
      <c r="WGX153" s="1011"/>
      <c r="WGY153" s="1011"/>
      <c r="WGZ153" s="1011"/>
      <c r="WHA153" s="1011"/>
      <c r="WHB153" s="1011"/>
      <c r="WHC153" s="1011"/>
      <c r="WHD153" s="1011"/>
      <c r="WHE153" s="1011"/>
      <c r="WHF153" s="1011"/>
      <c r="WHG153" s="1011"/>
      <c r="WHH153" s="1011"/>
      <c r="WHI153" s="1011"/>
      <c r="WHJ153" s="1011"/>
      <c r="WHK153" s="1011"/>
      <c r="WHL153" s="1011"/>
      <c r="WHM153" s="1011"/>
      <c r="WHN153" s="1011"/>
      <c r="WHO153" s="1011"/>
      <c r="WHP153" s="1011"/>
      <c r="WHQ153" s="1011"/>
      <c r="WHR153" s="1011"/>
      <c r="WHS153" s="1011"/>
      <c r="WHT153" s="1011"/>
      <c r="WHU153" s="1011"/>
      <c r="WHV153" s="1011"/>
      <c r="WHW153" s="1011"/>
      <c r="WHX153" s="1011"/>
      <c r="WHY153" s="1011"/>
      <c r="WHZ153" s="1011"/>
      <c r="WIA153" s="1011"/>
      <c r="WIB153" s="1011"/>
      <c r="WIC153" s="1011"/>
      <c r="WID153" s="1011"/>
      <c r="WIE153" s="1011"/>
      <c r="WIF153" s="1011"/>
      <c r="WIG153" s="1011"/>
      <c r="WIH153" s="1011"/>
      <c r="WII153" s="1011"/>
      <c r="WIJ153" s="1011"/>
      <c r="WIK153" s="1011"/>
      <c r="WIL153" s="1011"/>
      <c r="WIM153" s="1011"/>
      <c r="WIN153" s="1011"/>
      <c r="WIO153" s="1011"/>
      <c r="WIP153" s="1011"/>
      <c r="WIQ153" s="1011"/>
      <c r="WIR153" s="1011"/>
      <c r="WIS153" s="1011"/>
      <c r="WIT153" s="1011"/>
      <c r="WIU153" s="1011"/>
      <c r="WIV153" s="1011"/>
      <c r="WIW153" s="1011"/>
      <c r="WIX153" s="1011"/>
      <c r="WIY153" s="1011"/>
      <c r="WIZ153" s="1011"/>
      <c r="WJA153" s="1011"/>
      <c r="WJB153" s="1011"/>
      <c r="WJC153" s="1011"/>
      <c r="WJD153" s="1011"/>
      <c r="WJE153" s="1011"/>
      <c r="WJF153" s="1011"/>
      <c r="WJG153" s="1011"/>
      <c r="WJH153" s="1011"/>
      <c r="WJI153" s="1011"/>
      <c r="WJJ153" s="1011"/>
      <c r="WJK153" s="1011"/>
      <c r="WJL153" s="1011"/>
      <c r="WJM153" s="1011"/>
      <c r="WJN153" s="1011"/>
      <c r="WJO153" s="1011"/>
      <c r="WJP153" s="1011"/>
      <c r="WJQ153" s="1011"/>
      <c r="WJR153" s="1011"/>
      <c r="WJS153" s="1011"/>
      <c r="WJT153" s="1011"/>
      <c r="WJU153" s="1011"/>
      <c r="WJV153" s="1011"/>
      <c r="WJW153" s="1011"/>
      <c r="WJX153" s="1011"/>
      <c r="WJY153" s="1011"/>
      <c r="WJZ153" s="1011"/>
      <c r="WKA153" s="1011"/>
      <c r="WKB153" s="1011"/>
      <c r="WKC153" s="1011"/>
      <c r="WKD153" s="1011"/>
      <c r="WKE153" s="1011"/>
      <c r="WKF153" s="1011"/>
      <c r="WKG153" s="1011"/>
      <c r="WKH153" s="1011"/>
      <c r="WKI153" s="1011"/>
      <c r="WKJ153" s="1011"/>
      <c r="WKK153" s="1011"/>
      <c r="WKL153" s="1011"/>
      <c r="WKM153" s="1011"/>
      <c r="WKN153" s="1011"/>
      <c r="WKO153" s="1011"/>
      <c r="WKP153" s="1011"/>
      <c r="WKQ153" s="1011"/>
      <c r="WKR153" s="1011"/>
      <c r="WKS153" s="1011"/>
      <c r="WKT153" s="1011"/>
      <c r="WKU153" s="1011"/>
      <c r="WKV153" s="1011"/>
      <c r="WKW153" s="1011"/>
      <c r="WKX153" s="1011"/>
      <c r="WKY153" s="1011"/>
      <c r="WKZ153" s="1011"/>
      <c r="WLA153" s="1011"/>
      <c r="WLB153" s="1011"/>
      <c r="WLC153" s="1011"/>
      <c r="WLD153" s="1011"/>
      <c r="WLE153" s="1011"/>
      <c r="WLF153" s="1011"/>
      <c r="WLG153" s="1011"/>
      <c r="WLH153" s="1011"/>
      <c r="WLI153" s="1011"/>
      <c r="WLJ153" s="1011"/>
      <c r="WLK153" s="1011"/>
      <c r="WLL153" s="1011"/>
      <c r="WLM153" s="1011"/>
      <c r="WLN153" s="1011"/>
      <c r="WLO153" s="1011"/>
      <c r="WLP153" s="1011"/>
      <c r="WLQ153" s="1011"/>
      <c r="WLR153" s="1011"/>
      <c r="WLS153" s="1011"/>
      <c r="WLT153" s="1011"/>
      <c r="WLU153" s="1011"/>
      <c r="WLV153" s="1011"/>
      <c r="WLW153" s="1011"/>
      <c r="WLX153" s="1011"/>
      <c r="WLY153" s="1011"/>
      <c r="WLZ153" s="1011"/>
      <c r="WMA153" s="1011"/>
      <c r="WMB153" s="1011"/>
      <c r="WMC153" s="1011"/>
      <c r="WMD153" s="1011"/>
      <c r="WME153" s="1011"/>
      <c r="WMF153" s="1011"/>
      <c r="WMG153" s="1011"/>
      <c r="WMH153" s="1011"/>
      <c r="WMI153" s="1011"/>
      <c r="WMJ153" s="1011"/>
      <c r="WMK153" s="1011"/>
      <c r="WML153" s="1011"/>
      <c r="WMM153" s="1011"/>
      <c r="WMN153" s="1011"/>
      <c r="WMO153" s="1011"/>
      <c r="WMP153" s="1011"/>
      <c r="WMQ153" s="1011"/>
      <c r="WMR153" s="1011"/>
      <c r="WMS153" s="1011"/>
      <c r="WMT153" s="1011"/>
      <c r="WMU153" s="1011"/>
      <c r="WMV153" s="1011"/>
      <c r="WMW153" s="1011"/>
      <c r="WMX153" s="1011"/>
      <c r="WMY153" s="1011"/>
      <c r="WMZ153" s="1011"/>
      <c r="WNA153" s="1011"/>
      <c r="WNB153" s="1011"/>
      <c r="WNC153" s="1011"/>
      <c r="WND153" s="1011"/>
      <c r="WNE153" s="1011"/>
      <c r="WNF153" s="1011"/>
      <c r="WNG153" s="1011"/>
      <c r="WNH153" s="1011"/>
      <c r="WNI153" s="1011"/>
      <c r="WNJ153" s="1011"/>
      <c r="WNK153" s="1011"/>
      <c r="WNL153" s="1011"/>
      <c r="WNM153" s="1011"/>
      <c r="WNN153" s="1011"/>
      <c r="WNO153" s="1011"/>
      <c r="WNP153" s="1011"/>
      <c r="WNQ153" s="1011"/>
      <c r="WNR153" s="1011"/>
      <c r="WNS153" s="1011"/>
      <c r="WNT153" s="1011"/>
      <c r="WNU153" s="1011"/>
      <c r="WNV153" s="1011"/>
      <c r="WNW153" s="1011"/>
      <c r="WNX153" s="1011"/>
      <c r="WNY153" s="1011"/>
      <c r="WNZ153" s="1011"/>
      <c r="WOA153" s="1011"/>
      <c r="WOB153" s="1011"/>
      <c r="WOC153" s="1011"/>
      <c r="WOD153" s="1011"/>
      <c r="WOE153" s="1011"/>
      <c r="WOF153" s="1011"/>
      <c r="WOG153" s="1011"/>
      <c r="WOH153" s="1011"/>
      <c r="WOI153" s="1011"/>
      <c r="WOJ153" s="1011"/>
      <c r="WOK153" s="1011"/>
      <c r="WOL153" s="1011"/>
      <c r="WOM153" s="1011"/>
      <c r="WON153" s="1011"/>
      <c r="WOO153" s="1011"/>
      <c r="WOP153" s="1011"/>
      <c r="WOQ153" s="1011"/>
      <c r="WOR153" s="1011"/>
      <c r="WOS153" s="1011"/>
      <c r="WOT153" s="1011"/>
      <c r="WOU153" s="1011"/>
      <c r="WOV153" s="1011"/>
      <c r="WOW153" s="1011"/>
      <c r="WOX153" s="1011"/>
      <c r="WOY153" s="1011"/>
      <c r="WOZ153" s="1011"/>
      <c r="WPA153" s="1011"/>
      <c r="WPB153" s="1011"/>
      <c r="WPC153" s="1011"/>
      <c r="WPD153" s="1011"/>
      <c r="WPE153" s="1011"/>
      <c r="WPF153" s="1011"/>
      <c r="WPG153" s="1011"/>
      <c r="WPH153" s="1011"/>
      <c r="WPI153" s="1011"/>
      <c r="WPJ153" s="1011"/>
      <c r="WPK153" s="1011"/>
      <c r="WPL153" s="1011"/>
      <c r="WPM153" s="1011"/>
      <c r="WPN153" s="1011"/>
      <c r="WPO153" s="1011"/>
      <c r="WPP153" s="1011"/>
      <c r="WPQ153" s="1011"/>
      <c r="WPR153" s="1011"/>
      <c r="WPS153" s="1011"/>
      <c r="WPT153" s="1011"/>
      <c r="WPU153" s="1011"/>
      <c r="WPV153" s="1011"/>
      <c r="WPW153" s="1011"/>
      <c r="WPX153" s="1011"/>
      <c r="WPY153" s="1011"/>
      <c r="WPZ153" s="1011"/>
      <c r="WQA153" s="1011"/>
      <c r="WQB153" s="1011"/>
      <c r="WQC153" s="1011"/>
      <c r="WQD153" s="1011"/>
      <c r="WQE153" s="1011"/>
      <c r="WQF153" s="1011"/>
      <c r="WQG153" s="1011"/>
      <c r="WQH153" s="1011"/>
      <c r="WQI153" s="1011"/>
      <c r="WQJ153" s="1011"/>
      <c r="WQK153" s="1011"/>
      <c r="WQL153" s="1011"/>
      <c r="WQM153" s="1011"/>
      <c r="WQN153" s="1011"/>
      <c r="WQO153" s="1011"/>
      <c r="WQP153" s="1011"/>
      <c r="WQQ153" s="1011"/>
      <c r="WQR153" s="1011"/>
      <c r="WQS153" s="1011"/>
      <c r="WQT153" s="1011"/>
      <c r="WQU153" s="1011"/>
      <c r="WQV153" s="1011"/>
      <c r="WQW153" s="1011"/>
      <c r="WQX153" s="1011"/>
      <c r="WQY153" s="1011"/>
      <c r="WQZ153" s="1011"/>
      <c r="WRA153" s="1011"/>
      <c r="WRB153" s="1011"/>
      <c r="WRC153" s="1011"/>
      <c r="WRD153" s="1011"/>
      <c r="WRE153" s="1011"/>
      <c r="WRF153" s="1011"/>
      <c r="WRG153" s="1011"/>
      <c r="WRH153" s="1011"/>
      <c r="WRI153" s="1011"/>
      <c r="WRJ153" s="1011"/>
      <c r="WRK153" s="1011"/>
      <c r="WRL153" s="1011"/>
      <c r="WRM153" s="1011"/>
      <c r="WRN153" s="1011"/>
      <c r="WRO153" s="1011"/>
      <c r="WRP153" s="1011"/>
      <c r="WRQ153" s="1011"/>
      <c r="WRR153" s="1011"/>
      <c r="WRS153" s="1011"/>
      <c r="WRT153" s="1011"/>
      <c r="WRU153" s="1011"/>
      <c r="WRV153" s="1011"/>
      <c r="WRW153" s="1011"/>
      <c r="WRX153" s="1011"/>
      <c r="WRY153" s="1011"/>
      <c r="WRZ153" s="1011"/>
      <c r="WSA153" s="1011"/>
      <c r="WSB153" s="1011"/>
      <c r="WSC153" s="1011"/>
      <c r="WSD153" s="1011"/>
      <c r="WSE153" s="1011"/>
      <c r="WSF153" s="1011"/>
      <c r="WSG153" s="1011"/>
      <c r="WSH153" s="1011"/>
      <c r="WSI153" s="1011"/>
      <c r="WSJ153" s="1011"/>
      <c r="WSK153" s="1011"/>
      <c r="WSL153" s="1011"/>
      <c r="WSM153" s="1011"/>
      <c r="WSN153" s="1011"/>
      <c r="WSO153" s="1011"/>
      <c r="WSP153" s="1011"/>
      <c r="WSQ153" s="1011"/>
      <c r="WSR153" s="1011"/>
      <c r="WSS153" s="1011"/>
      <c r="WST153" s="1011"/>
      <c r="WSU153" s="1011"/>
      <c r="WSV153" s="1011"/>
      <c r="WSW153" s="1011"/>
      <c r="WSX153" s="1011"/>
      <c r="WSY153" s="1011"/>
      <c r="WSZ153" s="1011"/>
      <c r="WTA153" s="1011"/>
      <c r="WTB153" s="1011"/>
      <c r="WTC153" s="1011"/>
      <c r="WTD153" s="1011"/>
      <c r="WTE153" s="1011"/>
      <c r="WTF153" s="1011"/>
      <c r="WTG153" s="1011"/>
      <c r="WTH153" s="1011"/>
      <c r="WTI153" s="1011"/>
      <c r="WTJ153" s="1011"/>
      <c r="WTK153" s="1011"/>
      <c r="WTL153" s="1011"/>
      <c r="WTM153" s="1011"/>
      <c r="WTN153" s="1011"/>
      <c r="WTO153" s="1011"/>
      <c r="WTP153" s="1011"/>
      <c r="WTQ153" s="1011"/>
      <c r="WTR153" s="1011"/>
      <c r="WTS153" s="1011"/>
      <c r="WTT153" s="1011"/>
      <c r="WTU153" s="1011"/>
      <c r="WTV153" s="1011"/>
      <c r="WTW153" s="1011"/>
      <c r="WTX153" s="1011"/>
      <c r="WTY153" s="1011"/>
      <c r="WTZ153" s="1011"/>
      <c r="WUA153" s="1011"/>
      <c r="WUB153" s="1011"/>
      <c r="WUC153" s="1011"/>
      <c r="WUD153" s="1011"/>
      <c r="WUE153" s="1011"/>
      <c r="WUF153" s="1011"/>
      <c r="WUG153" s="1011"/>
      <c r="WUH153" s="1011"/>
      <c r="WUI153" s="1011"/>
      <c r="WUJ153" s="1011"/>
      <c r="WUK153" s="1011"/>
      <c r="WUL153" s="1011"/>
      <c r="WUM153" s="1011"/>
      <c r="WUN153" s="1011"/>
      <c r="WUO153" s="1011"/>
      <c r="WUP153" s="1011"/>
      <c r="WUQ153" s="1011"/>
      <c r="WUR153" s="1011"/>
      <c r="WUS153" s="1011"/>
      <c r="WUT153" s="1011"/>
      <c r="WUU153" s="1011"/>
      <c r="WUV153" s="1011"/>
      <c r="WUW153" s="1011"/>
      <c r="WUX153" s="1011"/>
      <c r="WUY153" s="1011"/>
      <c r="WUZ153" s="1011"/>
      <c r="WVA153" s="1011"/>
      <c r="WVB153" s="1011"/>
      <c r="WVC153" s="1011"/>
      <c r="WVD153" s="1011"/>
      <c r="WVE153" s="1011"/>
      <c r="WVF153" s="1011"/>
      <c r="WVG153" s="1011"/>
      <c r="WVH153" s="1011"/>
      <c r="WVI153" s="1011"/>
      <c r="WVJ153" s="1011"/>
      <c r="WVK153" s="1011"/>
      <c r="WVL153" s="1011"/>
      <c r="WVM153" s="1011"/>
      <c r="WVN153" s="1011"/>
      <c r="WVO153" s="1011"/>
      <c r="WVP153" s="1011"/>
      <c r="WVQ153" s="1011"/>
      <c r="WVR153" s="1011"/>
      <c r="WVS153" s="1011"/>
      <c r="WVT153" s="1011"/>
      <c r="WVU153" s="1011"/>
      <c r="WVV153" s="1011"/>
      <c r="WVW153" s="1011"/>
      <c r="WVX153" s="1011"/>
      <c r="WVY153" s="1011"/>
      <c r="WVZ153" s="1011"/>
      <c r="WWA153" s="1011"/>
      <c r="WWB153" s="1011"/>
      <c r="WWC153" s="1011"/>
      <c r="WWD153" s="1011"/>
      <c r="WWE153" s="1011"/>
      <c r="WWF153" s="1011"/>
      <c r="WWG153" s="1011"/>
      <c r="WWH153" s="1011"/>
      <c r="WWI153" s="1011"/>
      <c r="WWJ153" s="1011"/>
      <c r="WWK153" s="1011"/>
      <c r="WWL153" s="1011"/>
      <c r="WWM153" s="1011"/>
      <c r="WWN153" s="1011"/>
      <c r="WWO153" s="1011"/>
      <c r="WWP153" s="1011"/>
      <c r="WWQ153" s="1011"/>
      <c r="WWR153" s="1011"/>
      <c r="WWS153" s="1011"/>
      <c r="WWT153" s="1011"/>
      <c r="WWU153" s="1011"/>
      <c r="WWV153" s="1011"/>
      <c r="WWW153" s="1011"/>
      <c r="WWX153" s="1011"/>
      <c r="WWY153" s="1011"/>
      <c r="WWZ153" s="1011"/>
      <c r="WXA153" s="1011"/>
      <c r="WXB153" s="1011"/>
      <c r="WXC153" s="1011"/>
      <c r="WXD153" s="1011"/>
      <c r="WXE153" s="1011"/>
      <c r="WXF153" s="1011"/>
      <c r="WXG153" s="1011"/>
      <c r="WXH153" s="1011"/>
      <c r="WXI153" s="1011"/>
      <c r="WXJ153" s="1011"/>
      <c r="WXK153" s="1011"/>
      <c r="WXL153" s="1011"/>
      <c r="WXM153" s="1011"/>
      <c r="WXN153" s="1011"/>
      <c r="WXO153" s="1011"/>
      <c r="WXP153" s="1011"/>
      <c r="WXQ153" s="1011"/>
      <c r="WXR153" s="1011"/>
      <c r="WXS153" s="1011"/>
      <c r="WXT153" s="1011"/>
      <c r="WXU153" s="1011"/>
      <c r="WXV153" s="1011"/>
      <c r="WXW153" s="1011"/>
      <c r="WXX153" s="1011"/>
      <c r="WXY153" s="1011"/>
      <c r="WXZ153" s="1011"/>
      <c r="WYA153" s="1011"/>
      <c r="WYB153" s="1011"/>
      <c r="WYC153" s="1011"/>
      <c r="WYD153" s="1011"/>
      <c r="WYE153" s="1011"/>
      <c r="WYF153" s="1011"/>
      <c r="WYG153" s="1011"/>
      <c r="WYH153" s="1011"/>
      <c r="WYI153" s="1011"/>
      <c r="WYJ153" s="1011"/>
      <c r="WYK153" s="1011"/>
      <c r="WYL153" s="1011"/>
      <c r="WYM153" s="1011"/>
      <c r="WYN153" s="1011"/>
      <c r="WYO153" s="1011"/>
      <c r="WYP153" s="1011"/>
      <c r="WYQ153" s="1011"/>
      <c r="WYR153" s="1011"/>
      <c r="WYS153" s="1011"/>
      <c r="WYT153" s="1011"/>
      <c r="WYU153" s="1011"/>
      <c r="WYV153" s="1011"/>
      <c r="WYW153" s="1011"/>
      <c r="WYX153" s="1011"/>
      <c r="WYY153" s="1011"/>
      <c r="WYZ153" s="1011"/>
      <c r="WZA153" s="1011"/>
      <c r="WZB153" s="1011"/>
      <c r="WZC153" s="1011"/>
      <c r="WZD153" s="1011"/>
      <c r="WZE153" s="1011"/>
      <c r="WZF153" s="1011"/>
      <c r="WZG153" s="1011"/>
      <c r="WZH153" s="1011"/>
      <c r="WZI153" s="1011"/>
      <c r="WZJ153" s="1011"/>
      <c r="WZK153" s="1011"/>
      <c r="WZL153" s="1011"/>
      <c r="WZM153" s="1011"/>
      <c r="WZN153" s="1011"/>
      <c r="WZO153" s="1011"/>
      <c r="WZP153" s="1011"/>
      <c r="WZQ153" s="1011"/>
      <c r="WZR153" s="1011"/>
      <c r="WZS153" s="1011"/>
      <c r="WZT153" s="1011"/>
      <c r="WZU153" s="1011"/>
      <c r="WZV153" s="1011"/>
      <c r="WZW153" s="1011"/>
      <c r="WZX153" s="1011"/>
      <c r="WZY153" s="1011"/>
      <c r="WZZ153" s="1011"/>
      <c r="XAA153" s="1011"/>
      <c r="XAB153" s="1011"/>
      <c r="XAC153" s="1011"/>
      <c r="XAD153" s="1011"/>
      <c r="XAE153" s="1011"/>
      <c r="XAF153" s="1011"/>
      <c r="XAG153" s="1011"/>
      <c r="XAH153" s="1011"/>
      <c r="XAI153" s="1011"/>
      <c r="XAJ153" s="1011"/>
      <c r="XAK153" s="1011"/>
      <c r="XAL153" s="1011"/>
      <c r="XAM153" s="1011"/>
      <c r="XAN153" s="1011"/>
      <c r="XAO153" s="1011"/>
      <c r="XAP153" s="1011"/>
      <c r="XAQ153" s="1011"/>
      <c r="XAR153" s="1011"/>
      <c r="XAS153" s="1011"/>
      <c r="XAT153" s="1011"/>
      <c r="XAU153" s="1011"/>
      <c r="XAV153" s="1011"/>
      <c r="XAW153" s="1011"/>
      <c r="XAX153" s="1011"/>
      <c r="XAY153" s="1011"/>
      <c r="XAZ153" s="1011"/>
      <c r="XBA153" s="1011"/>
      <c r="XBB153" s="1011"/>
      <c r="XBC153" s="1011"/>
      <c r="XBD153" s="1011"/>
      <c r="XBE153" s="1011"/>
      <c r="XBF153" s="1011"/>
      <c r="XBG153" s="1011"/>
      <c r="XBH153" s="1011"/>
      <c r="XBI153" s="1011"/>
      <c r="XBJ153" s="1011"/>
      <c r="XBK153" s="1011"/>
      <c r="XBL153" s="1011"/>
      <c r="XBM153" s="1011"/>
      <c r="XBN153" s="1011"/>
      <c r="XBO153" s="1011"/>
      <c r="XBP153" s="1011"/>
      <c r="XBQ153" s="1011"/>
      <c r="XBR153" s="1011"/>
      <c r="XBS153" s="1011"/>
      <c r="XBT153" s="1011"/>
      <c r="XBU153" s="1011"/>
      <c r="XBV153" s="1011"/>
      <c r="XBW153" s="1011"/>
      <c r="XBX153" s="1011"/>
      <c r="XBY153" s="1011"/>
      <c r="XBZ153" s="1011"/>
      <c r="XCA153" s="1011"/>
      <c r="XCB153" s="1011"/>
      <c r="XCC153" s="1011"/>
      <c r="XCD153" s="1011"/>
      <c r="XCE153" s="1011"/>
      <c r="XCF153" s="1011"/>
      <c r="XCG153" s="1011"/>
      <c r="XCH153" s="1011"/>
      <c r="XCI153" s="1011"/>
      <c r="XCJ153" s="1011"/>
      <c r="XCK153" s="1011"/>
      <c r="XCL153" s="1011"/>
      <c r="XCM153" s="1011"/>
      <c r="XCN153" s="1011"/>
      <c r="XCO153" s="1011"/>
      <c r="XCP153" s="1011"/>
      <c r="XCQ153" s="1011"/>
      <c r="XCR153" s="1011"/>
      <c r="XCS153" s="1011"/>
      <c r="XCT153" s="1011"/>
      <c r="XCU153" s="1011"/>
      <c r="XCV153" s="1011"/>
      <c r="XCW153" s="1011"/>
      <c r="XCX153" s="1011"/>
      <c r="XCY153" s="1011"/>
      <c r="XCZ153" s="1011"/>
      <c r="XDA153" s="1011"/>
      <c r="XDB153" s="1011"/>
      <c r="XDC153" s="1011"/>
      <c r="XDD153" s="1011"/>
      <c r="XDE153" s="1011"/>
      <c r="XDF153" s="1011"/>
      <c r="XDG153" s="1011"/>
      <c r="XDH153" s="1011"/>
      <c r="XDI153" s="1011"/>
      <c r="XDJ153" s="1011"/>
      <c r="XDK153" s="1011"/>
      <c r="XDL153" s="1011"/>
      <c r="XDM153" s="1011"/>
      <c r="XDN153" s="1011"/>
      <c r="XDO153" s="1011"/>
      <c r="XDP153" s="1011"/>
      <c r="XDQ153" s="1011"/>
      <c r="XDR153" s="1011"/>
      <c r="XDS153" s="1011"/>
      <c r="XDT153" s="1011"/>
      <c r="XDU153" s="1011"/>
      <c r="XDV153" s="1011"/>
      <c r="XDW153" s="1011"/>
      <c r="XDX153" s="1011"/>
      <c r="XDY153" s="1011"/>
      <c r="XDZ153" s="1011"/>
      <c r="XEA153" s="1011"/>
      <c r="XEB153" s="1011"/>
      <c r="XEC153" s="1011"/>
      <c r="XED153" s="1011"/>
      <c r="XEE153" s="1011"/>
      <c r="XEF153" s="1011"/>
      <c r="XEG153" s="1011"/>
      <c r="XEH153" s="1011"/>
      <c r="XEI153" s="1011"/>
      <c r="XEJ153" s="1011"/>
      <c r="XEK153" s="1011"/>
      <c r="XEL153" s="1011"/>
      <c r="XEM153" s="1011"/>
      <c r="XEN153" s="1011"/>
      <c r="XEO153" s="1011"/>
      <c r="XEP153" s="1011"/>
      <c r="XEQ153" s="1011"/>
      <c r="XER153" s="1011"/>
      <c r="XES153" s="1011"/>
      <c r="XET153" s="1011"/>
      <c r="XEU153" s="1011"/>
      <c r="XEV153" s="1011"/>
      <c r="XEW153" s="1011"/>
      <c r="XEX153" s="1011"/>
      <c r="XEY153" s="1011"/>
      <c r="XEZ153" s="1011"/>
      <c r="XFA153" s="1011"/>
      <c r="XFB153" s="1011"/>
      <c r="XFC153" s="1011"/>
    </row>
    <row r="154" spans="1:16383" x14ac:dyDescent="0.25">
      <c r="A154" s="1195" t="s">
        <v>97</v>
      </c>
      <c r="B154" s="1195">
        <v>40700007</v>
      </c>
      <c r="C154" s="1195">
        <v>26</v>
      </c>
      <c r="D154" s="1195" t="s">
        <v>194</v>
      </c>
      <c r="E154" s="1195" t="s">
        <v>155</v>
      </c>
      <c r="F154" s="1196" t="s">
        <v>1289</v>
      </c>
      <c r="G154" s="550">
        <v>2941967.12</v>
      </c>
      <c r="H154" s="550">
        <v>0</v>
      </c>
      <c r="I154" s="1201">
        <f t="shared" si="9"/>
        <v>2941967.12</v>
      </c>
      <c r="J154" s="1197">
        <v>0</v>
      </c>
      <c r="K154" s="550">
        <v>0</v>
      </c>
      <c r="L154" s="550">
        <v>0</v>
      </c>
    </row>
    <row r="155" spans="1:16383" x14ac:dyDescent="0.25">
      <c r="A155" s="1195" t="s">
        <v>97</v>
      </c>
      <c r="B155" s="1195">
        <v>40700008</v>
      </c>
      <c r="C155" s="1195">
        <v>26</v>
      </c>
      <c r="D155" s="1195" t="s">
        <v>194</v>
      </c>
      <c r="E155" s="1195" t="s">
        <v>138</v>
      </c>
      <c r="F155" s="1196" t="s">
        <v>511</v>
      </c>
      <c r="G155" s="550">
        <v>555235.06000000006</v>
      </c>
      <c r="H155" s="550">
        <v>0</v>
      </c>
      <c r="I155" s="1201">
        <f t="shared" si="9"/>
        <v>555235.06000000006</v>
      </c>
      <c r="J155" s="1197">
        <v>0</v>
      </c>
      <c r="K155" s="550">
        <v>0</v>
      </c>
      <c r="L155" s="550">
        <v>0</v>
      </c>
    </row>
    <row r="156" spans="1:16383" x14ac:dyDescent="0.25">
      <c r="A156" s="1195" t="s">
        <v>97</v>
      </c>
      <c r="B156" s="1195">
        <v>40700014</v>
      </c>
      <c r="C156" s="1195">
        <v>26</v>
      </c>
      <c r="D156" s="1195" t="s">
        <v>194</v>
      </c>
      <c r="E156" s="1195" t="s">
        <v>771</v>
      </c>
      <c r="F156" s="1196" t="s">
        <v>772</v>
      </c>
      <c r="G156" s="550">
        <v>1105604.24</v>
      </c>
      <c r="H156" s="550">
        <v>0</v>
      </c>
      <c r="I156" s="1201">
        <f t="shared" si="9"/>
        <v>1105604.24</v>
      </c>
      <c r="J156" s="1197">
        <v>0</v>
      </c>
      <c r="K156" s="550">
        <v>0</v>
      </c>
      <c r="L156" s="550">
        <v>0</v>
      </c>
    </row>
    <row r="157" spans="1:16383" x14ac:dyDescent="0.25">
      <c r="A157" s="1195" t="s">
        <v>97</v>
      </c>
      <c r="B157" s="1195">
        <v>40700015</v>
      </c>
      <c r="C157" s="1195">
        <v>26</v>
      </c>
      <c r="D157" s="1195" t="s">
        <v>194</v>
      </c>
      <c r="E157" s="1195" t="s">
        <v>197</v>
      </c>
      <c r="F157" s="1196" t="s">
        <v>700</v>
      </c>
      <c r="G157" s="550">
        <v>0</v>
      </c>
      <c r="H157" s="550">
        <v>-547.41999999999905</v>
      </c>
      <c r="I157" s="1201">
        <f t="shared" si="9"/>
        <v>-547.41999999999905</v>
      </c>
      <c r="J157" s="1197">
        <v>0</v>
      </c>
      <c r="K157" s="550">
        <v>0</v>
      </c>
      <c r="L157" s="550">
        <v>0</v>
      </c>
      <c r="M157" s="542"/>
    </row>
    <row r="158" spans="1:16383" x14ac:dyDescent="0.25">
      <c r="A158" s="1195" t="s">
        <v>97</v>
      </c>
      <c r="B158" s="1195">
        <v>40700022</v>
      </c>
      <c r="C158" s="1195">
        <v>26</v>
      </c>
      <c r="D158" s="1195" t="s">
        <v>194</v>
      </c>
      <c r="E158" s="1195" t="s">
        <v>769</v>
      </c>
      <c r="F158" s="1196" t="s">
        <v>773</v>
      </c>
      <c r="G158" s="550">
        <v>2022522.1699999899</v>
      </c>
      <c r="H158" s="550">
        <v>0</v>
      </c>
      <c r="I158" s="1201">
        <f t="shared" si="9"/>
        <v>2022522.1699999899</v>
      </c>
      <c r="J158" s="1197">
        <v>0</v>
      </c>
      <c r="K158" s="550">
        <v>0</v>
      </c>
      <c r="L158" s="550">
        <v>0</v>
      </c>
    </row>
    <row r="159" spans="1:16383" x14ac:dyDescent="0.25">
      <c r="A159" s="1195" t="s">
        <v>97</v>
      </c>
      <c r="B159" s="1195">
        <v>40700025</v>
      </c>
      <c r="C159" s="1195">
        <v>26</v>
      </c>
      <c r="D159" s="1195" t="s">
        <v>194</v>
      </c>
      <c r="E159" s="1195" t="s">
        <v>197</v>
      </c>
      <c r="F159" s="1196" t="s">
        <v>774</v>
      </c>
      <c r="G159" s="550">
        <v>216090</v>
      </c>
      <c r="H159" s="550">
        <v>0</v>
      </c>
      <c r="I159" s="1201">
        <f t="shared" si="9"/>
        <v>216090</v>
      </c>
      <c r="J159" s="1197">
        <v>0</v>
      </c>
      <c r="K159" s="550">
        <v>0</v>
      </c>
      <c r="L159" s="550">
        <v>0</v>
      </c>
    </row>
    <row r="160" spans="1:16383" x14ac:dyDescent="0.25">
      <c r="A160" s="1195" t="s">
        <v>97</v>
      </c>
      <c r="B160" s="1195">
        <v>40700040</v>
      </c>
      <c r="C160" s="1195">
        <v>26</v>
      </c>
      <c r="D160" s="1195" t="s">
        <v>194</v>
      </c>
      <c r="E160" s="1195" t="s">
        <v>588</v>
      </c>
      <c r="F160" s="1196" t="s">
        <v>1186</v>
      </c>
      <c r="G160" s="550">
        <v>0</v>
      </c>
      <c r="H160" s="550">
        <v>0</v>
      </c>
      <c r="I160" s="1201">
        <f t="shared" si="9"/>
        <v>0</v>
      </c>
      <c r="J160" s="1197">
        <v>0</v>
      </c>
      <c r="K160" s="550">
        <v>0</v>
      </c>
      <c r="L160" s="550">
        <v>0</v>
      </c>
    </row>
    <row r="161" spans="1:19" x14ac:dyDescent="0.25">
      <c r="A161" s="1195" t="s">
        <v>97</v>
      </c>
      <c r="B161" s="1195">
        <v>40500000</v>
      </c>
      <c r="C161" s="1195">
        <v>3</v>
      </c>
      <c r="D161" s="1195" t="s">
        <v>589</v>
      </c>
      <c r="E161" s="1196" t="s">
        <v>589</v>
      </c>
      <c r="F161" s="1196" t="s">
        <v>1152</v>
      </c>
      <c r="G161" s="550">
        <v>22880378.75</v>
      </c>
      <c r="H161" s="550">
        <v>0</v>
      </c>
      <c r="I161" s="1201">
        <f>G161+H161</f>
        <v>22880378.75</v>
      </c>
      <c r="J161" s="1197">
        <v>0</v>
      </c>
      <c r="K161" s="550">
        <v>0</v>
      </c>
      <c r="L161" s="550">
        <v>0</v>
      </c>
      <c r="S161" s="1068">
        <v>54406622.420000002</v>
      </c>
    </row>
    <row r="162" spans="1:19" x14ac:dyDescent="0.25">
      <c r="A162" s="1195" t="s">
        <v>97</v>
      </c>
      <c r="B162" s="1195">
        <v>40500001</v>
      </c>
      <c r="C162" s="1195">
        <v>3</v>
      </c>
      <c r="D162" s="1195" t="s">
        <v>589</v>
      </c>
      <c r="E162" s="1196" t="s">
        <v>589</v>
      </c>
      <c r="F162" s="1196" t="s">
        <v>1252</v>
      </c>
      <c r="G162" s="550">
        <v>95748628.150000006</v>
      </c>
      <c r="H162" s="550">
        <v>0</v>
      </c>
      <c r="I162" s="1201">
        <f t="shared" si="9"/>
        <v>95748628.150000006</v>
      </c>
      <c r="J162" s="1197">
        <v>0</v>
      </c>
      <c r="K162" s="550">
        <v>0</v>
      </c>
      <c r="L162" s="550">
        <v>0</v>
      </c>
      <c r="S162" s="1068"/>
    </row>
    <row r="163" spans="1:19" x14ac:dyDescent="0.25">
      <c r="A163" s="1195" t="s">
        <v>97</v>
      </c>
      <c r="B163" s="1195">
        <v>40500003</v>
      </c>
      <c r="C163" s="1195">
        <v>3</v>
      </c>
      <c r="D163" s="1195" t="s">
        <v>589</v>
      </c>
      <c r="E163" s="1196" t="s">
        <v>589</v>
      </c>
      <c r="F163" s="1196" t="s">
        <v>893</v>
      </c>
      <c r="G163" s="550">
        <v>1467688.55</v>
      </c>
      <c r="H163" s="550">
        <v>0</v>
      </c>
      <c r="I163" s="1201">
        <f t="shared" si="9"/>
        <v>1467688.55</v>
      </c>
      <c r="J163" s="1197">
        <v>0</v>
      </c>
      <c r="K163" s="550">
        <v>0</v>
      </c>
      <c r="L163" s="550">
        <v>0</v>
      </c>
      <c r="S163" s="1068">
        <v>149817084.53999999</v>
      </c>
    </row>
    <row r="164" spans="1:19" x14ac:dyDescent="0.25">
      <c r="A164" s="1195" t="s">
        <v>97</v>
      </c>
      <c r="B164" s="1195">
        <v>40500008</v>
      </c>
      <c r="C164" s="1195">
        <v>3</v>
      </c>
      <c r="D164" s="1195" t="s">
        <v>589</v>
      </c>
      <c r="E164" s="1196" t="s">
        <v>589</v>
      </c>
      <c r="F164" s="1196" t="s">
        <v>1290</v>
      </c>
      <c r="G164" s="550">
        <v>3467334.25</v>
      </c>
      <c r="H164" s="550">
        <v>0</v>
      </c>
      <c r="I164" s="1201">
        <f t="shared" si="9"/>
        <v>3467334.25</v>
      </c>
      <c r="J164" s="1197">
        <v>0</v>
      </c>
      <c r="K164" s="550">
        <v>0</v>
      </c>
      <c r="L164" s="550">
        <v>0</v>
      </c>
    </row>
    <row r="165" spans="1:19" x14ac:dyDescent="0.25">
      <c r="A165" s="1195" t="s">
        <v>97</v>
      </c>
      <c r="B165" s="1195">
        <v>40500002</v>
      </c>
      <c r="C165" s="1195">
        <v>3</v>
      </c>
      <c r="D165" s="1195" t="s">
        <v>589</v>
      </c>
      <c r="E165" s="1196" t="s">
        <v>589</v>
      </c>
      <c r="F165" s="1196" t="s">
        <v>1329</v>
      </c>
      <c r="G165" s="550">
        <v>1127057.1200000001</v>
      </c>
      <c r="H165" s="550">
        <v>0</v>
      </c>
      <c r="I165" s="1201">
        <f t="shared" si="9"/>
        <v>1127057.1200000001</v>
      </c>
      <c r="J165" s="1197">
        <v>0</v>
      </c>
      <c r="K165" s="550">
        <v>0</v>
      </c>
      <c r="L165" s="550">
        <v>0</v>
      </c>
    </row>
    <row r="166" spans="1:19" x14ac:dyDescent="0.25">
      <c r="A166" s="1195" t="s">
        <v>97</v>
      </c>
      <c r="B166" s="1195">
        <v>40500004</v>
      </c>
      <c r="C166" s="1195">
        <v>3</v>
      </c>
      <c r="D166" s="1195" t="s">
        <v>589</v>
      </c>
      <c r="E166" s="1196" t="s">
        <v>589</v>
      </c>
      <c r="F166" s="1196" t="s">
        <v>1330</v>
      </c>
      <c r="G166" s="550">
        <v>594660.09999999905</v>
      </c>
      <c r="H166" s="550">
        <v>0</v>
      </c>
      <c r="I166" s="1201">
        <f t="shared" si="9"/>
        <v>594660.09999999905</v>
      </c>
      <c r="J166" s="1197">
        <v>0</v>
      </c>
      <c r="K166" s="550">
        <v>0</v>
      </c>
      <c r="L166" s="550">
        <v>0</v>
      </c>
    </row>
    <row r="167" spans="1:19" x14ac:dyDescent="0.25">
      <c r="A167" s="1195" t="s">
        <v>97</v>
      </c>
      <c r="B167" s="1195">
        <v>40500005</v>
      </c>
      <c r="C167" s="1195">
        <v>3</v>
      </c>
      <c r="D167" s="1195" t="s">
        <v>589</v>
      </c>
      <c r="E167" s="1196" t="s">
        <v>589</v>
      </c>
      <c r="F167" s="1196" t="s">
        <v>1331</v>
      </c>
      <c r="G167" s="550">
        <v>3890620.1499999901</v>
      </c>
      <c r="H167" s="550">
        <v>0</v>
      </c>
      <c r="I167" s="1201">
        <f t="shared" si="9"/>
        <v>3890620.1499999901</v>
      </c>
      <c r="J167" s="1197">
        <v>0</v>
      </c>
      <c r="K167" s="550">
        <v>0</v>
      </c>
      <c r="L167" s="550">
        <v>0</v>
      </c>
    </row>
    <row r="168" spans="1:19" x14ac:dyDescent="0.25">
      <c r="A168" s="1195" t="s">
        <v>97</v>
      </c>
      <c r="B168" s="1195">
        <v>40500007</v>
      </c>
      <c r="C168" s="1195">
        <v>3</v>
      </c>
      <c r="D168" s="1195" t="s">
        <v>589</v>
      </c>
      <c r="E168" s="1196" t="s">
        <v>589</v>
      </c>
      <c r="F168" s="1196" t="s">
        <v>1332</v>
      </c>
      <c r="G168" s="550">
        <v>314295.84999999899</v>
      </c>
      <c r="H168" s="550">
        <v>0</v>
      </c>
      <c r="I168" s="1201">
        <f t="shared" si="9"/>
        <v>314295.84999999899</v>
      </c>
      <c r="J168" s="1197">
        <v>0</v>
      </c>
      <c r="K168" s="550">
        <v>0</v>
      </c>
      <c r="L168" s="550">
        <v>0</v>
      </c>
    </row>
    <row r="169" spans="1:19" x14ac:dyDescent="0.25">
      <c r="A169" s="1195" t="s">
        <v>97</v>
      </c>
      <c r="B169" s="1199">
        <v>40700041</v>
      </c>
      <c r="C169" s="1199" t="s">
        <v>928</v>
      </c>
      <c r="D169" s="1199" t="s">
        <v>1123</v>
      </c>
      <c r="E169" s="1199" t="s">
        <v>59</v>
      </c>
      <c r="F169" s="1196" t="s">
        <v>1188</v>
      </c>
      <c r="G169" s="550">
        <v>0</v>
      </c>
      <c r="H169" s="550">
        <v>0</v>
      </c>
      <c r="I169" s="1201">
        <f t="shared" si="9"/>
        <v>0</v>
      </c>
      <c r="J169" s="1197">
        <v>0</v>
      </c>
      <c r="K169" s="550">
        <v>0</v>
      </c>
      <c r="L169" s="550">
        <v>0</v>
      </c>
    </row>
    <row r="170" spans="1:19" x14ac:dyDescent="0.25">
      <c r="A170" s="1199" t="s">
        <v>97</v>
      </c>
      <c r="B170" s="1199">
        <v>40300000</v>
      </c>
      <c r="C170" s="1195">
        <v>24</v>
      </c>
      <c r="D170" s="1199" t="s">
        <v>198</v>
      </c>
      <c r="E170" s="1199" t="s">
        <v>199</v>
      </c>
      <c r="F170" s="1196" t="s">
        <v>836</v>
      </c>
      <c r="G170" s="550">
        <v>352846.7</v>
      </c>
      <c r="H170" s="550">
        <v>0</v>
      </c>
      <c r="I170" s="1201">
        <f t="shared" si="9"/>
        <v>352846.7</v>
      </c>
      <c r="J170" s="1197">
        <v>0</v>
      </c>
      <c r="K170" s="550">
        <v>0</v>
      </c>
      <c r="L170" s="550">
        <v>0</v>
      </c>
    </row>
    <row r="171" spans="1:19" x14ac:dyDescent="0.25">
      <c r="A171" s="1199" t="s">
        <v>97</v>
      </c>
      <c r="B171" s="1199">
        <v>40300002</v>
      </c>
      <c r="C171" s="1195">
        <v>24</v>
      </c>
      <c r="D171" s="1199" t="s">
        <v>198</v>
      </c>
      <c r="E171" s="1199" t="s">
        <v>199</v>
      </c>
      <c r="F171" s="1196" t="s">
        <v>1196</v>
      </c>
      <c r="G171" s="550">
        <v>3015834.6699999901</v>
      </c>
      <c r="H171" s="550">
        <v>0</v>
      </c>
      <c r="I171" s="1201">
        <f t="shared" si="9"/>
        <v>3015834.6699999901</v>
      </c>
      <c r="J171" s="1197">
        <v>0</v>
      </c>
      <c r="K171" s="550">
        <v>0</v>
      </c>
      <c r="L171" s="550">
        <v>0</v>
      </c>
    </row>
    <row r="172" spans="1:19" x14ac:dyDescent="0.25">
      <c r="A172" s="1199" t="s">
        <v>97</v>
      </c>
      <c r="B172" s="1199">
        <v>40300012</v>
      </c>
      <c r="C172" s="1195">
        <v>24</v>
      </c>
      <c r="D172" s="1199" t="s">
        <v>198</v>
      </c>
      <c r="E172" s="1199" t="s">
        <v>767</v>
      </c>
      <c r="F172" s="1196" t="s">
        <v>1189</v>
      </c>
      <c r="G172" s="550">
        <v>0</v>
      </c>
      <c r="H172" s="550">
        <v>-888759</v>
      </c>
      <c r="I172" s="1201">
        <f t="shared" si="9"/>
        <v>-888759</v>
      </c>
      <c r="J172" s="1197">
        <v>0</v>
      </c>
      <c r="K172" s="550">
        <v>0</v>
      </c>
      <c r="L172" s="550">
        <v>0</v>
      </c>
    </row>
    <row r="173" spans="1:19" x14ac:dyDescent="0.25">
      <c r="A173" s="1199" t="s">
        <v>97</v>
      </c>
      <c r="B173" s="1199">
        <v>40300010</v>
      </c>
      <c r="C173" s="1195">
        <v>24</v>
      </c>
      <c r="D173" s="1199" t="s">
        <v>198</v>
      </c>
      <c r="E173" s="1199" t="s">
        <v>767</v>
      </c>
      <c r="F173" s="1196" t="s">
        <v>1126</v>
      </c>
      <c r="G173" s="550">
        <v>0</v>
      </c>
      <c r="H173" s="550">
        <v>-1178846</v>
      </c>
      <c r="I173" s="1201">
        <f t="shared" si="9"/>
        <v>-1178846</v>
      </c>
      <c r="J173" s="1197">
        <v>0</v>
      </c>
      <c r="K173" s="550">
        <v>0</v>
      </c>
      <c r="L173" s="550">
        <v>0</v>
      </c>
    </row>
    <row r="174" spans="1:19" x14ac:dyDescent="0.25">
      <c r="A174" s="1199" t="s">
        <v>26</v>
      </c>
      <c r="B174" s="1199">
        <v>10900017</v>
      </c>
      <c r="C174" s="1195">
        <v>18</v>
      </c>
      <c r="D174" s="1199" t="s">
        <v>169</v>
      </c>
      <c r="E174" s="1199" t="s">
        <v>168</v>
      </c>
      <c r="F174" s="1196" t="s">
        <v>1295</v>
      </c>
      <c r="G174" s="550">
        <v>0</v>
      </c>
      <c r="H174" s="550">
        <v>-1443331.5</v>
      </c>
      <c r="I174" s="1201">
        <f t="shared" si="9"/>
        <v>-1443331.5</v>
      </c>
      <c r="J174" s="1197">
        <v>-1443331.5</v>
      </c>
      <c r="K174" s="550">
        <v>0</v>
      </c>
      <c r="L174" s="550">
        <v>0</v>
      </c>
    </row>
    <row r="175" spans="1:19" x14ac:dyDescent="0.25">
      <c r="A175" s="1199" t="s">
        <v>26</v>
      </c>
      <c r="B175" s="1199">
        <v>11100000</v>
      </c>
      <c r="C175" s="1195">
        <v>15</v>
      </c>
      <c r="D175" s="1199" t="s">
        <v>83</v>
      </c>
      <c r="E175" s="1199" t="s">
        <v>1318</v>
      </c>
      <c r="F175" s="1196" t="s">
        <v>1296</v>
      </c>
      <c r="G175" s="550">
        <v>0</v>
      </c>
      <c r="H175" s="550">
        <v>-1683162</v>
      </c>
      <c r="I175" s="1201">
        <f t="shared" si="9"/>
        <v>-1683162</v>
      </c>
      <c r="J175" s="1197">
        <v>-1683162</v>
      </c>
      <c r="K175" s="550">
        <v>0</v>
      </c>
      <c r="L175" s="550">
        <v>0</v>
      </c>
    </row>
    <row r="176" spans="1:19" x14ac:dyDescent="0.25">
      <c r="A176" s="1199" t="s">
        <v>154</v>
      </c>
      <c r="B176" s="1199">
        <v>21100003</v>
      </c>
      <c r="C176" s="1195">
        <f>VLOOKUP(D176,[4]Input!C:D,2,0)</f>
        <v>6</v>
      </c>
      <c r="D176" s="1199" t="s">
        <v>152</v>
      </c>
      <c r="E176" s="1199" t="s">
        <v>1319</v>
      </c>
      <c r="F176" s="1196" t="s">
        <v>1297</v>
      </c>
      <c r="G176" s="550">
        <v>1538643.27</v>
      </c>
      <c r="H176" s="550">
        <v>0</v>
      </c>
      <c r="I176" s="1201">
        <f t="shared" si="9"/>
        <v>1538643.27</v>
      </c>
      <c r="J176" s="1197">
        <v>1538643.27</v>
      </c>
      <c r="K176" s="550">
        <v>0</v>
      </c>
      <c r="L176" s="550">
        <v>0</v>
      </c>
    </row>
    <row r="177" spans="1:12" x14ac:dyDescent="0.25">
      <c r="A177" s="1199" t="s">
        <v>717</v>
      </c>
      <c r="B177" s="1199">
        <v>30000009</v>
      </c>
      <c r="C177" s="1195">
        <v>20</v>
      </c>
      <c r="D177" s="1199" t="s">
        <v>754</v>
      </c>
      <c r="E177" s="1199" t="s">
        <v>755</v>
      </c>
      <c r="F177" s="1196" t="s">
        <v>1298</v>
      </c>
      <c r="G177" s="550">
        <v>4811525</v>
      </c>
      <c r="H177" s="550">
        <v>0</v>
      </c>
      <c r="I177" s="1201">
        <f t="shared" si="9"/>
        <v>4811525</v>
      </c>
      <c r="J177" s="1197">
        <v>0</v>
      </c>
      <c r="K177" s="550">
        <v>0</v>
      </c>
      <c r="L177" s="550">
        <v>0</v>
      </c>
    </row>
    <row r="178" spans="1:12" x14ac:dyDescent="0.25">
      <c r="A178" s="1199" t="s">
        <v>717</v>
      </c>
      <c r="B178" s="1199">
        <v>30100003</v>
      </c>
      <c r="C178" s="1195">
        <v>21</v>
      </c>
      <c r="D178" s="1199" t="s">
        <v>45</v>
      </c>
      <c r="E178" s="1199" t="s">
        <v>759</v>
      </c>
      <c r="F178" s="1196" t="s">
        <v>1299</v>
      </c>
      <c r="G178" s="550">
        <v>0</v>
      </c>
      <c r="H178" s="550">
        <v>-1538643.27</v>
      </c>
      <c r="I178" s="1201">
        <f t="shared" si="9"/>
        <v>-1538643.27</v>
      </c>
      <c r="J178" s="1197">
        <v>0</v>
      </c>
      <c r="K178" s="550">
        <v>0</v>
      </c>
      <c r="L178" s="550">
        <v>0</v>
      </c>
    </row>
    <row r="179" spans="1:12" x14ac:dyDescent="0.25">
      <c r="A179" s="1199" t="s">
        <v>717</v>
      </c>
      <c r="B179" s="1199">
        <v>30100008</v>
      </c>
      <c r="C179" s="1195">
        <v>21</v>
      </c>
      <c r="D179" s="1199" t="s">
        <v>45</v>
      </c>
      <c r="E179" s="1199" t="s">
        <v>760</v>
      </c>
      <c r="F179" s="1196" t="s">
        <v>1300</v>
      </c>
      <c r="G179" s="550">
        <v>0</v>
      </c>
      <c r="H179" s="550">
        <v>-59812</v>
      </c>
      <c r="I179" s="1201">
        <f t="shared" si="9"/>
        <v>-59812</v>
      </c>
      <c r="J179" s="1197">
        <v>0</v>
      </c>
      <c r="K179" s="550">
        <v>0</v>
      </c>
      <c r="L179" s="550">
        <v>0</v>
      </c>
    </row>
    <row r="180" spans="1:12" x14ac:dyDescent="0.25">
      <c r="A180" s="1199" t="s">
        <v>97</v>
      </c>
      <c r="B180" s="1199">
        <v>40100012</v>
      </c>
      <c r="C180" s="1195">
        <v>22</v>
      </c>
      <c r="D180" s="1199" t="s">
        <v>160</v>
      </c>
      <c r="E180" s="1199" t="s">
        <v>761</v>
      </c>
      <c r="F180" s="1196" t="s">
        <v>1301</v>
      </c>
      <c r="G180" s="550">
        <v>177795</v>
      </c>
      <c r="H180" s="550">
        <v>0</v>
      </c>
      <c r="I180" s="1201">
        <f t="shared" si="9"/>
        <v>177795</v>
      </c>
      <c r="J180" s="1197">
        <v>0</v>
      </c>
      <c r="K180" s="550">
        <v>0</v>
      </c>
      <c r="L180" s="550">
        <v>0</v>
      </c>
    </row>
    <row r="181" spans="1:12" x14ac:dyDescent="0.25">
      <c r="A181" s="1199" t="s">
        <v>97</v>
      </c>
      <c r="B181" s="1199">
        <v>40100014</v>
      </c>
      <c r="C181" s="1195">
        <v>22</v>
      </c>
      <c r="D181" s="1199" t="s">
        <v>160</v>
      </c>
      <c r="E181" s="1199" t="s">
        <v>761</v>
      </c>
      <c r="F181" s="1196" t="s">
        <v>1302</v>
      </c>
      <c r="G181" s="550">
        <v>727168</v>
      </c>
      <c r="H181" s="550">
        <v>0</v>
      </c>
      <c r="I181" s="1201">
        <f t="shared" si="9"/>
        <v>727168</v>
      </c>
      <c r="J181" s="1197">
        <v>0</v>
      </c>
      <c r="K181" s="550">
        <v>0</v>
      </c>
      <c r="L181" s="550">
        <v>0</v>
      </c>
    </row>
    <row r="182" spans="1:12" x14ac:dyDescent="0.25">
      <c r="A182" s="1199" t="s">
        <v>97</v>
      </c>
      <c r="B182" s="1199">
        <v>40300003</v>
      </c>
      <c r="C182" s="1195">
        <v>24</v>
      </c>
      <c r="D182" s="1199" t="s">
        <v>198</v>
      </c>
      <c r="E182" s="1199" t="s">
        <v>833</v>
      </c>
      <c r="F182" s="1196" t="s">
        <v>1303</v>
      </c>
      <c r="G182" s="550">
        <v>23295</v>
      </c>
      <c r="H182" s="550">
        <v>0</v>
      </c>
      <c r="I182" s="1201">
        <f t="shared" si="9"/>
        <v>23295</v>
      </c>
      <c r="J182" s="1197">
        <v>0</v>
      </c>
      <c r="K182" s="550">
        <v>0</v>
      </c>
      <c r="L182" s="550">
        <v>0</v>
      </c>
    </row>
    <row r="183" spans="1:12" x14ac:dyDescent="0.25">
      <c r="A183" s="1199" t="s">
        <v>97</v>
      </c>
      <c r="B183" s="1199">
        <v>40300005</v>
      </c>
      <c r="C183" s="1195">
        <v>24</v>
      </c>
      <c r="D183" s="1199" t="s">
        <v>198</v>
      </c>
      <c r="E183" s="1199" t="s">
        <v>767</v>
      </c>
      <c r="F183" s="1196" t="s">
        <v>1304</v>
      </c>
      <c r="G183" s="1261">
        <v>62292</v>
      </c>
      <c r="H183" s="550">
        <v>0</v>
      </c>
      <c r="I183" s="1201">
        <f t="shared" si="9"/>
        <v>62292</v>
      </c>
      <c r="J183" s="1197">
        <v>0</v>
      </c>
      <c r="K183" s="550">
        <v>0</v>
      </c>
      <c r="L183" s="550">
        <v>0</v>
      </c>
    </row>
    <row r="184" spans="1:12" x14ac:dyDescent="0.25">
      <c r="A184" s="1199" t="s">
        <v>97</v>
      </c>
      <c r="B184" s="1199">
        <v>40300006</v>
      </c>
      <c r="C184" s="1195">
        <v>24</v>
      </c>
      <c r="D184" s="1199" t="s">
        <v>198</v>
      </c>
      <c r="E184" s="1199" t="s">
        <v>833</v>
      </c>
      <c r="F184" s="1196" t="s">
        <v>1305</v>
      </c>
      <c r="G184" s="550">
        <v>579629</v>
      </c>
      <c r="H184" s="550">
        <v>0</v>
      </c>
      <c r="I184" s="1201">
        <f t="shared" si="9"/>
        <v>579629</v>
      </c>
      <c r="J184" s="1197">
        <v>0</v>
      </c>
      <c r="K184" s="550">
        <v>0</v>
      </c>
      <c r="L184" s="550">
        <v>0</v>
      </c>
    </row>
    <row r="185" spans="1:12" x14ac:dyDescent="0.25">
      <c r="A185" s="1199" t="s">
        <v>97</v>
      </c>
      <c r="B185" s="1199">
        <v>40300008</v>
      </c>
      <c r="C185" s="1195">
        <v>24</v>
      </c>
      <c r="D185" s="1199" t="s">
        <v>198</v>
      </c>
      <c r="E185" s="1199" t="s">
        <v>767</v>
      </c>
      <c r="F185" s="1196" t="s">
        <v>1306</v>
      </c>
      <c r="G185" s="1261">
        <v>2632.26</v>
      </c>
      <c r="H185" s="550">
        <v>0</v>
      </c>
      <c r="I185" s="1201">
        <f t="shared" si="9"/>
        <v>2632.26</v>
      </c>
      <c r="J185" s="1197">
        <v>0</v>
      </c>
      <c r="K185" s="550">
        <v>0</v>
      </c>
      <c r="L185" s="550">
        <v>0</v>
      </c>
    </row>
    <row r="186" spans="1:12" x14ac:dyDescent="0.25">
      <c r="A186" s="1199" t="s">
        <v>97</v>
      </c>
      <c r="B186" s="1199">
        <v>40300011</v>
      </c>
      <c r="C186" s="1195">
        <v>24</v>
      </c>
      <c r="D186" s="1199" t="s">
        <v>198</v>
      </c>
      <c r="E186" s="1199" t="s">
        <v>767</v>
      </c>
      <c r="F186" s="1196" t="s">
        <v>1307</v>
      </c>
      <c r="G186" s="1261">
        <v>1240563.73</v>
      </c>
      <c r="H186" s="550">
        <v>0</v>
      </c>
      <c r="I186" s="1201">
        <f t="shared" si="9"/>
        <v>1240563.73</v>
      </c>
      <c r="J186" s="1197">
        <v>0</v>
      </c>
      <c r="K186" s="550">
        <v>0</v>
      </c>
      <c r="L186" s="550">
        <v>0</v>
      </c>
    </row>
    <row r="187" spans="1:12" x14ac:dyDescent="0.25">
      <c r="A187" s="1199" t="s">
        <v>97</v>
      </c>
      <c r="B187" s="1199">
        <v>40300015</v>
      </c>
      <c r="C187" s="1195">
        <v>24</v>
      </c>
      <c r="D187" s="1199" t="s">
        <v>198</v>
      </c>
      <c r="E187" s="1199" t="s">
        <v>199</v>
      </c>
      <c r="F187" s="1196" t="s">
        <v>1308</v>
      </c>
      <c r="G187" s="550">
        <v>9500</v>
      </c>
      <c r="H187" s="550">
        <v>0</v>
      </c>
      <c r="I187" s="1201">
        <f t="shared" si="9"/>
        <v>9500</v>
      </c>
      <c r="J187" s="1197">
        <v>0</v>
      </c>
      <c r="K187" s="550">
        <v>0</v>
      </c>
      <c r="L187" s="550">
        <v>0</v>
      </c>
    </row>
    <row r="188" spans="1:12" x14ac:dyDescent="0.25">
      <c r="A188" s="1199" t="s">
        <v>97</v>
      </c>
      <c r="B188" s="1199">
        <v>40300016</v>
      </c>
      <c r="C188" s="1195">
        <v>24</v>
      </c>
      <c r="D188" s="1199" t="s">
        <v>198</v>
      </c>
      <c r="E188" s="1199" t="s">
        <v>767</v>
      </c>
      <c r="F188" s="1196" t="s">
        <v>1309</v>
      </c>
      <c r="G188" s="1261">
        <v>1534987.98</v>
      </c>
      <c r="H188" s="550">
        <v>0</v>
      </c>
      <c r="I188" s="1201">
        <f t="shared" si="9"/>
        <v>1534987.98</v>
      </c>
      <c r="J188" s="1197">
        <v>0</v>
      </c>
      <c r="K188" s="550">
        <v>0</v>
      </c>
      <c r="L188" s="550">
        <v>0</v>
      </c>
    </row>
    <row r="189" spans="1:12" x14ac:dyDescent="0.25">
      <c r="A189" s="1199" t="s">
        <v>97</v>
      </c>
      <c r="B189" s="1199">
        <v>40300019</v>
      </c>
      <c r="C189" s="1195">
        <v>24</v>
      </c>
      <c r="D189" s="1199" t="s">
        <v>198</v>
      </c>
      <c r="E189" s="1199" t="s">
        <v>767</v>
      </c>
      <c r="F189" s="1196" t="s">
        <v>1310</v>
      </c>
      <c r="G189" s="1261">
        <v>8000</v>
      </c>
      <c r="H189" s="550">
        <v>0</v>
      </c>
      <c r="I189" s="1201">
        <f t="shared" si="9"/>
        <v>8000</v>
      </c>
      <c r="J189" s="1197">
        <v>0</v>
      </c>
      <c r="K189" s="550">
        <v>0</v>
      </c>
      <c r="L189" s="550">
        <v>0</v>
      </c>
    </row>
    <row r="190" spans="1:12" x14ac:dyDescent="0.25">
      <c r="A190" s="1199" t="s">
        <v>97</v>
      </c>
      <c r="B190" s="1199">
        <v>40300024</v>
      </c>
      <c r="C190" s="1195">
        <v>24</v>
      </c>
      <c r="D190" s="1199" t="s">
        <v>198</v>
      </c>
      <c r="E190" s="1199" t="s">
        <v>767</v>
      </c>
      <c r="F190" s="1196" t="s">
        <v>1311</v>
      </c>
      <c r="G190" s="1261">
        <v>273238</v>
      </c>
      <c r="H190" s="550">
        <v>0</v>
      </c>
      <c r="I190" s="1201">
        <f t="shared" si="9"/>
        <v>273238</v>
      </c>
      <c r="J190" s="1197">
        <v>0</v>
      </c>
      <c r="K190" s="550">
        <v>0</v>
      </c>
      <c r="L190" s="550">
        <v>0</v>
      </c>
    </row>
    <row r="191" spans="1:12" x14ac:dyDescent="0.25">
      <c r="A191" s="1199" t="s">
        <v>97</v>
      </c>
      <c r="B191" s="1199">
        <v>40400001</v>
      </c>
      <c r="C191" s="1195">
        <v>26</v>
      </c>
      <c r="D191" s="1199" t="s">
        <v>194</v>
      </c>
      <c r="E191" s="1199" t="s">
        <v>203</v>
      </c>
      <c r="F191" s="1196" t="s">
        <v>512</v>
      </c>
      <c r="G191" s="550">
        <v>10135.67</v>
      </c>
      <c r="H191" s="550">
        <v>0</v>
      </c>
      <c r="I191" s="1201">
        <f t="shared" si="9"/>
        <v>10135.67</v>
      </c>
      <c r="J191" s="1197">
        <v>0</v>
      </c>
      <c r="K191" s="550">
        <v>0</v>
      </c>
      <c r="L191" s="550">
        <v>0</v>
      </c>
    </row>
    <row r="192" spans="1:12" x14ac:dyDescent="0.25">
      <c r="A192" s="1199" t="s">
        <v>97</v>
      </c>
      <c r="B192" s="1199">
        <v>40400008</v>
      </c>
      <c r="C192" s="1195">
        <v>25</v>
      </c>
      <c r="D192" s="1199" t="s">
        <v>202</v>
      </c>
      <c r="E192" s="1199" t="s">
        <v>151</v>
      </c>
      <c r="F192" s="1196" t="s">
        <v>1312</v>
      </c>
      <c r="G192" s="550">
        <v>1192</v>
      </c>
      <c r="H192" s="550">
        <v>0</v>
      </c>
      <c r="I192" s="1201">
        <f t="shared" si="9"/>
        <v>1192</v>
      </c>
      <c r="J192" s="1197">
        <v>0</v>
      </c>
      <c r="K192" s="550">
        <v>0</v>
      </c>
      <c r="L192" s="550">
        <v>0</v>
      </c>
    </row>
    <row r="193" spans="1:15" x14ac:dyDescent="0.25">
      <c r="A193" s="1199" t="s">
        <v>97</v>
      </c>
      <c r="B193" s="1199">
        <v>40700000</v>
      </c>
      <c r="C193" s="1195">
        <v>26</v>
      </c>
      <c r="D193" s="1199" t="s">
        <v>194</v>
      </c>
      <c r="E193" s="1199" t="s">
        <v>1320</v>
      </c>
      <c r="F193" s="1196" t="s">
        <v>516</v>
      </c>
      <c r="G193" s="550">
        <v>1011893.11</v>
      </c>
      <c r="H193" s="550">
        <v>0</v>
      </c>
      <c r="I193" s="1201">
        <f t="shared" si="9"/>
        <v>1011893.11</v>
      </c>
      <c r="J193" s="1197">
        <v>0</v>
      </c>
      <c r="K193" s="550">
        <v>0</v>
      </c>
      <c r="L193" s="550">
        <v>0</v>
      </c>
    </row>
    <row r="194" spans="1:15" x14ac:dyDescent="0.25">
      <c r="A194" s="1199" t="s">
        <v>97</v>
      </c>
      <c r="B194" s="1199">
        <v>40700009</v>
      </c>
      <c r="C194" s="1195">
        <v>26</v>
      </c>
      <c r="D194" s="1199" t="s">
        <v>194</v>
      </c>
      <c r="E194" s="1199" t="s">
        <v>1206</v>
      </c>
      <c r="F194" s="1196" t="s">
        <v>1313</v>
      </c>
      <c r="G194" s="550">
        <v>120000</v>
      </c>
      <c r="H194" s="550">
        <v>0</v>
      </c>
      <c r="I194" s="1201">
        <f t="shared" si="9"/>
        <v>120000</v>
      </c>
      <c r="J194" s="1197">
        <v>0</v>
      </c>
      <c r="K194" s="550">
        <v>0</v>
      </c>
      <c r="L194" s="550">
        <v>0</v>
      </c>
    </row>
    <row r="195" spans="1:15" x14ac:dyDescent="0.25">
      <c r="A195" s="1199" t="s">
        <v>97</v>
      </c>
      <c r="B195" s="1199">
        <v>40700018</v>
      </c>
      <c r="C195" s="1195">
        <v>26</v>
      </c>
      <c r="D195" s="1199" t="s">
        <v>194</v>
      </c>
      <c r="E195" s="1199" t="s">
        <v>1711</v>
      </c>
      <c r="F195" s="1196" t="s">
        <v>1314</v>
      </c>
      <c r="G195" s="550">
        <v>512193</v>
      </c>
      <c r="H195" s="550">
        <v>0</v>
      </c>
      <c r="I195" s="1201">
        <f t="shared" si="9"/>
        <v>512193</v>
      </c>
      <c r="J195" s="1197">
        <v>0</v>
      </c>
      <c r="K195" s="550">
        <v>0</v>
      </c>
      <c r="L195" s="550">
        <v>0</v>
      </c>
    </row>
    <row r="196" spans="1:15" x14ac:dyDescent="0.25">
      <c r="A196" s="1199" t="s">
        <v>97</v>
      </c>
      <c r="B196" s="1199">
        <v>40700020</v>
      </c>
      <c r="C196" s="1195">
        <v>26</v>
      </c>
      <c r="D196" s="1199" t="s">
        <v>194</v>
      </c>
      <c r="E196" s="1199" t="s">
        <v>196</v>
      </c>
      <c r="F196" s="1196" t="s">
        <v>1315</v>
      </c>
      <c r="G196" s="550">
        <v>5000</v>
      </c>
      <c r="H196" s="550">
        <v>0</v>
      </c>
      <c r="I196" s="1201">
        <f t="shared" si="9"/>
        <v>5000</v>
      </c>
      <c r="J196" s="1197">
        <v>0</v>
      </c>
      <c r="K196" s="550">
        <v>0</v>
      </c>
      <c r="L196" s="550">
        <v>0</v>
      </c>
    </row>
    <row r="197" spans="1:15" x14ac:dyDescent="0.25">
      <c r="A197" s="1199" t="s">
        <v>97</v>
      </c>
      <c r="B197" s="1199">
        <v>40700027</v>
      </c>
      <c r="C197" s="1195">
        <v>26</v>
      </c>
      <c r="D197" s="1199" t="s">
        <v>194</v>
      </c>
      <c r="E197" s="1199" t="s">
        <v>200</v>
      </c>
      <c r="F197" s="1196" t="s">
        <v>1316</v>
      </c>
      <c r="G197" s="550">
        <v>221276</v>
      </c>
      <c r="H197" s="550">
        <v>0</v>
      </c>
      <c r="I197" s="1201">
        <f t="shared" si="9"/>
        <v>221276</v>
      </c>
      <c r="J197" s="1197">
        <v>0</v>
      </c>
      <c r="K197" s="550">
        <v>0</v>
      </c>
      <c r="L197" s="550">
        <v>0</v>
      </c>
    </row>
    <row r="198" spans="1:15" x14ac:dyDescent="0.25">
      <c r="A198" s="1199" t="s">
        <v>97</v>
      </c>
      <c r="B198" s="1199">
        <v>40700032</v>
      </c>
      <c r="C198" s="1195">
        <v>26</v>
      </c>
      <c r="D198" s="1199" t="s">
        <v>194</v>
      </c>
      <c r="E198" s="1199" t="s">
        <v>197</v>
      </c>
      <c r="F198" s="1196" t="s">
        <v>194</v>
      </c>
      <c r="G198" s="550">
        <v>651224.57999999903</v>
      </c>
      <c r="H198" s="550">
        <v>0</v>
      </c>
      <c r="I198" s="1201">
        <f t="shared" si="9"/>
        <v>651224.57999999903</v>
      </c>
      <c r="J198" s="1197">
        <v>0</v>
      </c>
      <c r="K198" s="550">
        <v>0</v>
      </c>
      <c r="L198" s="550">
        <v>0</v>
      </c>
    </row>
    <row r="199" spans="1:15" x14ac:dyDescent="0.25">
      <c r="A199" s="1199" t="s">
        <v>97</v>
      </c>
      <c r="B199" s="1199">
        <v>40700035</v>
      </c>
      <c r="C199" s="1195">
        <v>22</v>
      </c>
      <c r="D199" s="1199" t="s">
        <v>160</v>
      </c>
      <c r="E199" s="1199" t="s">
        <v>761</v>
      </c>
      <c r="F199" s="1196" t="s">
        <v>1317</v>
      </c>
      <c r="G199" s="550">
        <v>27726.13</v>
      </c>
      <c r="H199" s="550">
        <v>0</v>
      </c>
      <c r="I199" s="1201">
        <f t="shared" si="9"/>
        <v>27726.13</v>
      </c>
      <c r="J199" s="1197">
        <v>0</v>
      </c>
      <c r="K199" s="550">
        <v>0</v>
      </c>
      <c r="L199" s="550">
        <v>0</v>
      </c>
    </row>
    <row r="200" spans="1:15" x14ac:dyDescent="0.25">
      <c r="A200" s="1199" t="s">
        <v>683</v>
      </c>
      <c r="B200" s="1199">
        <v>20100001</v>
      </c>
      <c r="C200" s="1199">
        <v>8</v>
      </c>
      <c r="D200" s="1199" t="s">
        <v>4</v>
      </c>
      <c r="E200" s="1199" t="s">
        <v>921</v>
      </c>
      <c r="F200" s="1196" t="s">
        <v>730</v>
      </c>
      <c r="G200" s="545">
        <v>16081726.229999999</v>
      </c>
      <c r="H200" s="545">
        <v>0</v>
      </c>
      <c r="I200" s="550">
        <f t="shared" ref="I200:I225" si="10">G200+H200</f>
        <v>16081726.229999999</v>
      </c>
      <c r="J200" s="545">
        <v>0</v>
      </c>
      <c r="K200" s="550">
        <f t="shared" ref="K200:K208" si="11">I200-J200</f>
        <v>16081726.229999999</v>
      </c>
      <c r="L200" s="550">
        <f t="shared" ref="L200:L208" si="12">I200-J200-K200</f>
        <v>0</v>
      </c>
    </row>
    <row r="201" spans="1:15" x14ac:dyDescent="0.25">
      <c r="A201" s="1195" t="s">
        <v>26</v>
      </c>
      <c r="B201" s="1199" t="s">
        <v>922</v>
      </c>
      <c r="C201" s="1195">
        <v>17</v>
      </c>
      <c r="D201" s="1195" t="s">
        <v>153</v>
      </c>
      <c r="E201" s="1195" t="s">
        <v>134</v>
      </c>
      <c r="F201" s="1195" t="s">
        <v>134</v>
      </c>
      <c r="G201" s="550">
        <v>0</v>
      </c>
      <c r="H201" s="550">
        <v>-16081726.229999999</v>
      </c>
      <c r="I201" s="1201">
        <f t="shared" si="10"/>
        <v>-16081726.229999999</v>
      </c>
      <c r="J201" s="550">
        <f>I201</f>
        <v>-16081726.229999999</v>
      </c>
      <c r="K201" s="550">
        <f t="shared" si="11"/>
        <v>0</v>
      </c>
      <c r="L201" s="550">
        <f t="shared" si="12"/>
        <v>0</v>
      </c>
    </row>
    <row r="202" spans="1:15" x14ac:dyDescent="0.25">
      <c r="A202" s="1195" t="s">
        <v>26</v>
      </c>
      <c r="B202" s="1195">
        <v>21100011</v>
      </c>
      <c r="C202" s="1195">
        <v>17</v>
      </c>
      <c r="D202" s="1195" t="s">
        <v>17</v>
      </c>
      <c r="E202" s="1195" t="s">
        <v>1343</v>
      </c>
      <c r="F202" s="1196" t="s">
        <v>752</v>
      </c>
      <c r="G202" s="550">
        <v>1469425.22</v>
      </c>
      <c r="H202" s="550">
        <v>0</v>
      </c>
      <c r="I202" s="1201">
        <f t="shared" si="10"/>
        <v>1469425.22</v>
      </c>
      <c r="J202" s="1197">
        <f>I202</f>
        <v>1469425.22</v>
      </c>
      <c r="K202" s="550">
        <f t="shared" si="11"/>
        <v>0</v>
      </c>
      <c r="L202" s="550">
        <f t="shared" si="12"/>
        <v>0</v>
      </c>
    </row>
    <row r="203" spans="1:15" x14ac:dyDescent="0.25">
      <c r="A203" s="1195" t="s">
        <v>26</v>
      </c>
      <c r="B203" s="1199" t="s">
        <v>922</v>
      </c>
      <c r="C203" s="1195">
        <v>17</v>
      </c>
      <c r="D203" s="1195" t="s">
        <v>153</v>
      </c>
      <c r="E203" s="1195" t="s">
        <v>134</v>
      </c>
      <c r="F203" s="1195" t="s">
        <v>134</v>
      </c>
      <c r="G203" s="550">
        <v>0</v>
      </c>
      <c r="H203" s="550">
        <v>-1469425.22</v>
      </c>
      <c r="I203" s="1201">
        <f t="shared" si="10"/>
        <v>-1469425.22</v>
      </c>
      <c r="J203" s="550">
        <f>I203</f>
        <v>-1469425.22</v>
      </c>
      <c r="K203" s="550">
        <f t="shared" si="11"/>
        <v>0</v>
      </c>
      <c r="L203" s="550">
        <f t="shared" si="12"/>
        <v>0</v>
      </c>
    </row>
    <row r="204" spans="1:15" x14ac:dyDescent="0.25">
      <c r="A204" s="1195" t="s">
        <v>26</v>
      </c>
      <c r="B204" s="1199" t="s">
        <v>922</v>
      </c>
      <c r="C204" s="1195">
        <v>17</v>
      </c>
      <c r="D204" s="1195" t="s">
        <v>153</v>
      </c>
      <c r="E204" s="1195" t="s">
        <v>134</v>
      </c>
      <c r="F204" s="1195" t="s">
        <v>134</v>
      </c>
      <c r="G204" s="550">
        <v>144265801.37</v>
      </c>
      <c r="H204" s="550">
        <v>0</v>
      </c>
      <c r="I204" s="1201">
        <f t="shared" si="10"/>
        <v>144265801.37</v>
      </c>
      <c r="J204" s="550">
        <f>I204</f>
        <v>144265801.37</v>
      </c>
      <c r="K204" s="550">
        <f t="shared" si="11"/>
        <v>0</v>
      </c>
      <c r="L204" s="550">
        <f t="shared" si="12"/>
        <v>0</v>
      </c>
    </row>
    <row r="205" spans="1:15" x14ac:dyDescent="0.25">
      <c r="A205" s="1195" t="s">
        <v>26</v>
      </c>
      <c r="B205" s="1195">
        <v>11100002</v>
      </c>
      <c r="C205" s="1195">
        <v>18</v>
      </c>
      <c r="D205" s="1195" t="s">
        <v>169</v>
      </c>
      <c r="E205" s="1195" t="s">
        <v>1604</v>
      </c>
      <c r="F205" s="1196" t="s">
        <v>726</v>
      </c>
      <c r="G205" s="550">
        <v>0</v>
      </c>
      <c r="H205" s="550">
        <v>-144265801.37</v>
      </c>
      <c r="I205" s="1201">
        <f t="shared" si="10"/>
        <v>-144265801.37</v>
      </c>
      <c r="J205" s="1197">
        <f t="shared" ref="J205" si="13">I205</f>
        <v>-144265801.37</v>
      </c>
      <c r="K205" s="550">
        <f t="shared" si="11"/>
        <v>0</v>
      </c>
      <c r="L205" s="550">
        <f t="shared" si="12"/>
        <v>0</v>
      </c>
    </row>
    <row r="206" spans="1:15" s="1382" customFormat="1" x14ac:dyDescent="0.25">
      <c r="A206" s="1375" t="s">
        <v>21</v>
      </c>
      <c r="B206" s="1375">
        <v>10000004</v>
      </c>
      <c r="C206" s="1375">
        <v>13</v>
      </c>
      <c r="D206" s="1375" t="s">
        <v>163</v>
      </c>
      <c r="E206" s="1376" t="s">
        <v>851</v>
      </c>
      <c r="F206" s="1376" t="s">
        <v>1209</v>
      </c>
      <c r="G206" s="1377">
        <v>868680</v>
      </c>
      <c r="H206" s="1377">
        <v>0</v>
      </c>
      <c r="I206" s="1378">
        <f t="shared" si="10"/>
        <v>868680</v>
      </c>
      <c r="J206" s="1387">
        <v>0</v>
      </c>
      <c r="K206" s="1377">
        <f t="shared" si="11"/>
        <v>868680</v>
      </c>
      <c r="L206" s="1377">
        <f t="shared" si="12"/>
        <v>0</v>
      </c>
      <c r="N206" s="1388"/>
      <c r="O206" s="1381"/>
    </row>
    <row r="207" spans="1:15" s="1382" customFormat="1" x14ac:dyDescent="0.25">
      <c r="A207" s="1375" t="s">
        <v>21</v>
      </c>
      <c r="B207" s="1375">
        <v>10100000</v>
      </c>
      <c r="C207" s="1375">
        <v>14</v>
      </c>
      <c r="D207" s="1375" t="s">
        <v>164</v>
      </c>
      <c r="E207" s="1375" t="s">
        <v>719</v>
      </c>
      <c r="F207" s="1376" t="s">
        <v>1236</v>
      </c>
      <c r="G207" s="1377">
        <v>1999104969</v>
      </c>
      <c r="H207" s="1377">
        <v>0</v>
      </c>
      <c r="I207" s="1378">
        <f t="shared" si="10"/>
        <v>1999104969</v>
      </c>
      <c r="J207" s="1387">
        <v>0</v>
      </c>
      <c r="K207" s="1377">
        <f t="shared" si="11"/>
        <v>1999104969</v>
      </c>
      <c r="L207" s="1377">
        <f t="shared" si="12"/>
        <v>0</v>
      </c>
      <c r="N207" s="1388"/>
      <c r="O207" s="1381"/>
    </row>
    <row r="208" spans="1:15" s="1382" customFormat="1" x14ac:dyDescent="0.25">
      <c r="A208" s="1375" t="s">
        <v>21</v>
      </c>
      <c r="B208" s="1375">
        <v>10000004</v>
      </c>
      <c r="C208" s="1375">
        <f>VLOOKUP(D208,[4]Input!C:D,2,0)</f>
        <v>13</v>
      </c>
      <c r="D208" s="1375" t="s">
        <v>164</v>
      </c>
      <c r="E208" s="1375" t="s">
        <v>1064</v>
      </c>
      <c r="F208" s="1376" t="s">
        <v>1209</v>
      </c>
      <c r="G208" s="1377">
        <v>0</v>
      </c>
      <c r="H208" s="1377">
        <v>-1999973649</v>
      </c>
      <c r="I208" s="1378">
        <f t="shared" si="10"/>
        <v>-1999973649</v>
      </c>
      <c r="J208" s="1387">
        <v>0</v>
      </c>
      <c r="K208" s="1377">
        <f t="shared" si="11"/>
        <v>-1999973649</v>
      </c>
      <c r="L208" s="1377">
        <f t="shared" si="12"/>
        <v>0</v>
      </c>
      <c r="N208" s="1388"/>
      <c r="O208" s="1381"/>
    </row>
    <row r="209" spans="1:15" x14ac:dyDescent="0.25">
      <c r="A209" s="1195" t="s">
        <v>97</v>
      </c>
      <c r="B209" s="1195" t="s">
        <v>220</v>
      </c>
      <c r="C209" s="1195">
        <v>26</v>
      </c>
      <c r="D209" s="1195" t="s">
        <v>194</v>
      </c>
      <c r="E209" s="1195" t="s">
        <v>72</v>
      </c>
      <c r="F209" s="1196" t="s">
        <v>72</v>
      </c>
      <c r="G209" s="550">
        <v>600000</v>
      </c>
      <c r="H209" s="550">
        <v>0</v>
      </c>
      <c r="I209" s="550">
        <f t="shared" si="10"/>
        <v>600000</v>
      </c>
      <c r="J209" s="1197">
        <v>0</v>
      </c>
      <c r="K209" s="550">
        <v>0</v>
      </c>
      <c r="L209" s="550">
        <v>0</v>
      </c>
    </row>
    <row r="210" spans="1:15" x14ac:dyDescent="0.25">
      <c r="A210" s="1195" t="s">
        <v>97</v>
      </c>
      <c r="B210" s="1195" t="s">
        <v>220</v>
      </c>
      <c r="C210" s="1195">
        <v>26</v>
      </c>
      <c r="D210" s="1195" t="s">
        <v>194</v>
      </c>
      <c r="E210" s="1195" t="s">
        <v>155</v>
      </c>
      <c r="F210" s="1196" t="s">
        <v>155</v>
      </c>
      <c r="G210" s="550">
        <v>0</v>
      </c>
      <c r="H210" s="550">
        <v>-600000</v>
      </c>
      <c r="I210" s="550">
        <f t="shared" si="10"/>
        <v>-600000</v>
      </c>
      <c r="J210" s="1197">
        <v>0</v>
      </c>
      <c r="K210" s="550">
        <v>0</v>
      </c>
      <c r="L210" s="550">
        <v>0</v>
      </c>
    </row>
    <row r="211" spans="1:15" x14ac:dyDescent="0.25">
      <c r="A211" s="1195" t="s">
        <v>717</v>
      </c>
      <c r="B211" s="1195">
        <v>30000001</v>
      </c>
      <c r="C211" s="1195">
        <v>20</v>
      </c>
      <c r="D211" s="1195" t="s">
        <v>754</v>
      </c>
      <c r="E211" s="1195" t="s">
        <v>755</v>
      </c>
      <c r="F211" s="1196" t="s">
        <v>757</v>
      </c>
      <c r="G211" s="550">
        <v>39227049.100000009</v>
      </c>
      <c r="H211" s="550">
        <v>0</v>
      </c>
      <c r="I211" s="1232">
        <f t="shared" si="10"/>
        <v>39227049.100000009</v>
      </c>
      <c r="J211" s="1197">
        <v>0</v>
      </c>
      <c r="K211" s="550">
        <v>0</v>
      </c>
      <c r="L211" s="550">
        <v>0</v>
      </c>
    </row>
    <row r="212" spans="1:15" x14ac:dyDescent="0.25">
      <c r="A212" s="1195" t="s">
        <v>717</v>
      </c>
      <c r="B212" s="1195">
        <v>30000001</v>
      </c>
      <c r="C212" s="1195">
        <v>20</v>
      </c>
      <c r="D212" s="1195" t="s">
        <v>754</v>
      </c>
      <c r="E212" s="1195" t="s">
        <v>1344</v>
      </c>
      <c r="F212" s="1196" t="s">
        <v>1344</v>
      </c>
      <c r="G212" s="550">
        <v>0</v>
      </c>
      <c r="H212" s="550">
        <f>-G211</f>
        <v>-39227049.100000009</v>
      </c>
      <c r="I212" s="1232">
        <f t="shared" si="10"/>
        <v>-39227049.100000009</v>
      </c>
      <c r="J212" s="1197">
        <v>0</v>
      </c>
      <c r="K212" s="550">
        <v>0</v>
      </c>
      <c r="L212" s="550">
        <v>0</v>
      </c>
    </row>
    <row r="213" spans="1:15" x14ac:dyDescent="0.25">
      <c r="A213" s="1199" t="s">
        <v>154</v>
      </c>
      <c r="B213" s="1199">
        <v>21100003</v>
      </c>
      <c r="C213" s="1195">
        <f>VLOOKUP(D213,[4]Input!C:D,2,0)</f>
        <v>6</v>
      </c>
      <c r="D213" s="1199" t="s">
        <v>152</v>
      </c>
      <c r="E213" s="1199" t="s">
        <v>1319</v>
      </c>
      <c r="F213" s="1196" t="s">
        <v>1297</v>
      </c>
      <c r="G213" s="550">
        <v>-1538643.27</v>
      </c>
      <c r="H213" s="550">
        <v>0</v>
      </c>
      <c r="I213" s="1201">
        <f t="shared" si="10"/>
        <v>-1538643.27</v>
      </c>
      <c r="J213" s="1197">
        <v>-1538643.27</v>
      </c>
      <c r="K213" s="550">
        <v>0</v>
      </c>
      <c r="L213" s="550">
        <v>0</v>
      </c>
    </row>
    <row r="214" spans="1:15" x14ac:dyDescent="0.25">
      <c r="A214" s="1195" t="s">
        <v>683</v>
      </c>
      <c r="B214" s="1195">
        <v>20300000</v>
      </c>
      <c r="C214" s="1195">
        <f>VLOOKUP(D214,[4]Input!C:D,2,0)</f>
        <v>6</v>
      </c>
      <c r="D214" s="1195" t="s">
        <v>152</v>
      </c>
      <c r="E214" s="1195" t="s">
        <v>175</v>
      </c>
      <c r="F214" s="1196" t="s">
        <v>731</v>
      </c>
      <c r="G214" s="550"/>
      <c r="H214" s="550">
        <f>-G213</f>
        <v>1538643.27</v>
      </c>
      <c r="I214" s="1201">
        <f t="shared" si="10"/>
        <v>1538643.27</v>
      </c>
      <c r="J214" s="550">
        <v>0</v>
      </c>
      <c r="K214" s="550">
        <f t="shared" ref="K214" si="14">I214-J214</f>
        <v>1538643.27</v>
      </c>
      <c r="L214" s="550">
        <f t="shared" ref="L214" si="15">I214-J214-K214</f>
        <v>0</v>
      </c>
    </row>
    <row r="215" spans="1:15" x14ac:dyDescent="0.25">
      <c r="A215" s="1199" t="s">
        <v>683</v>
      </c>
      <c r="B215" s="1199">
        <v>20100001</v>
      </c>
      <c r="C215" s="1199">
        <v>8</v>
      </c>
      <c r="D215" s="1199" t="s">
        <v>4</v>
      </c>
      <c r="E215" s="1199" t="s">
        <v>921</v>
      </c>
      <c r="F215" s="1196" t="s">
        <v>730</v>
      </c>
      <c r="G215" s="545">
        <v>0</v>
      </c>
      <c r="H215" s="545">
        <f>-7702868.4</f>
        <v>-7702868.4000000004</v>
      </c>
      <c r="I215" s="1201">
        <f t="shared" si="10"/>
        <v>-7702868.4000000004</v>
      </c>
      <c r="J215" s="545">
        <v>0</v>
      </c>
      <c r="K215" s="550">
        <f>I215</f>
        <v>-7702868.4000000004</v>
      </c>
      <c r="L215" s="550">
        <v>0</v>
      </c>
    </row>
    <row r="216" spans="1:15" x14ac:dyDescent="0.25">
      <c r="A216" s="1195" t="s">
        <v>26</v>
      </c>
      <c r="B216" s="1195">
        <v>11100002</v>
      </c>
      <c r="C216" s="1195">
        <v>18</v>
      </c>
      <c r="D216" s="1195" t="s">
        <v>169</v>
      </c>
      <c r="E216" s="1195" t="s">
        <v>1604</v>
      </c>
      <c r="F216" s="1196" t="s">
        <v>726</v>
      </c>
      <c r="G216" s="550">
        <f>-H215</f>
        <v>7702868.4000000004</v>
      </c>
      <c r="H216" s="550">
        <v>0</v>
      </c>
      <c r="I216" s="1201">
        <f t="shared" si="10"/>
        <v>7702868.4000000004</v>
      </c>
      <c r="J216" s="1197">
        <f>I216</f>
        <v>7702868.4000000004</v>
      </c>
      <c r="K216" s="550">
        <v>0</v>
      </c>
      <c r="L216" s="550">
        <v>0</v>
      </c>
    </row>
    <row r="217" spans="1:15" x14ac:dyDescent="0.25">
      <c r="A217" s="1195" t="s">
        <v>97</v>
      </c>
      <c r="B217" s="1195">
        <v>40400009</v>
      </c>
      <c r="C217" s="1195">
        <v>25</v>
      </c>
      <c r="D217" s="1195" t="s">
        <v>202</v>
      </c>
      <c r="E217" s="1195" t="s">
        <v>151</v>
      </c>
      <c r="F217" s="1196" t="s">
        <v>1276</v>
      </c>
      <c r="G217" s="550">
        <v>38156077</v>
      </c>
      <c r="H217" s="550">
        <v>0</v>
      </c>
      <c r="I217" s="1201">
        <f t="shared" si="10"/>
        <v>38156077</v>
      </c>
      <c r="J217" s="1197">
        <v>0</v>
      </c>
      <c r="K217" s="550">
        <v>0</v>
      </c>
      <c r="L217" s="550">
        <v>0</v>
      </c>
    </row>
    <row r="218" spans="1:15" x14ac:dyDescent="0.25">
      <c r="A218" s="1195" t="s">
        <v>683</v>
      </c>
      <c r="B218" s="1195">
        <v>20000003</v>
      </c>
      <c r="C218" s="1195">
        <v>3</v>
      </c>
      <c r="D218" s="1195" t="s">
        <v>6</v>
      </c>
      <c r="E218" s="1195" t="s">
        <v>244</v>
      </c>
      <c r="F218" s="1196" t="s">
        <v>728</v>
      </c>
      <c r="G218" s="550">
        <v>0</v>
      </c>
      <c r="H218" s="550">
        <f>-G217</f>
        <v>-38156077</v>
      </c>
      <c r="I218" s="1201">
        <f t="shared" si="10"/>
        <v>-38156077</v>
      </c>
      <c r="J218" s="1197">
        <v>0</v>
      </c>
      <c r="K218" s="550">
        <f t="shared" ref="K218" si="16">I218-J218</f>
        <v>-38156077</v>
      </c>
      <c r="L218" s="550">
        <f t="shared" ref="L218" si="17">I218-J218-K218</f>
        <v>0</v>
      </c>
    </row>
    <row r="219" spans="1:15" x14ac:dyDescent="0.25">
      <c r="A219" s="1199" t="s">
        <v>97</v>
      </c>
      <c r="B219" s="1199">
        <v>40300010</v>
      </c>
      <c r="C219" s="1195">
        <v>24</v>
      </c>
      <c r="D219" s="1199" t="s">
        <v>198</v>
      </c>
      <c r="E219" s="1199" t="s">
        <v>767</v>
      </c>
      <c r="F219" s="1196" t="s">
        <v>1126</v>
      </c>
      <c r="G219" s="550">
        <v>0</v>
      </c>
      <c r="H219" s="550">
        <v>-163445</v>
      </c>
      <c r="I219" s="1201">
        <f t="shared" si="10"/>
        <v>-163445</v>
      </c>
      <c r="J219" s="1197">
        <v>0</v>
      </c>
      <c r="K219" s="550">
        <v>0</v>
      </c>
      <c r="L219" s="550">
        <v>0</v>
      </c>
    </row>
    <row r="220" spans="1:15" x14ac:dyDescent="0.2">
      <c r="A220" s="1260" t="s">
        <v>64</v>
      </c>
      <c r="B220" s="1251" t="s">
        <v>1147</v>
      </c>
      <c r="C220" s="1252"/>
      <c r="D220" s="1253" t="s">
        <v>64</v>
      </c>
      <c r="E220" s="1253" t="s">
        <v>1371</v>
      </c>
      <c r="F220" s="1254" t="s">
        <v>1371</v>
      </c>
      <c r="G220" s="1255">
        <f>-H219</f>
        <v>163445</v>
      </c>
      <c r="H220" s="1255"/>
      <c r="I220" s="1256">
        <f t="shared" si="10"/>
        <v>163445</v>
      </c>
      <c r="J220" s="1197">
        <v>0</v>
      </c>
      <c r="K220" s="550">
        <v>0</v>
      </c>
      <c r="L220" s="550">
        <v>0</v>
      </c>
    </row>
    <row r="221" spans="1:15" x14ac:dyDescent="0.2">
      <c r="A221" s="1260" t="s">
        <v>64</v>
      </c>
      <c r="B221" s="1251" t="s">
        <v>1147</v>
      </c>
      <c r="C221" s="1251"/>
      <c r="D221" s="1257" t="s">
        <v>64</v>
      </c>
      <c r="E221" s="1257" t="s">
        <v>1372</v>
      </c>
      <c r="F221" s="1257" t="s">
        <v>1372</v>
      </c>
      <c r="G221" s="1258">
        <f>G220*25.17%*0</f>
        <v>0</v>
      </c>
      <c r="H221" s="1257"/>
      <c r="I221" s="1256">
        <f t="shared" si="10"/>
        <v>0</v>
      </c>
      <c r="J221" s="1197">
        <v>0</v>
      </c>
      <c r="K221" s="550">
        <v>0</v>
      </c>
      <c r="L221" s="550">
        <v>0</v>
      </c>
    </row>
    <row r="222" spans="1:15" s="1382" customFormat="1" x14ac:dyDescent="0.2">
      <c r="A222" s="1401" t="s">
        <v>21</v>
      </c>
      <c r="B222" s="1402" t="s">
        <v>1147</v>
      </c>
      <c r="C222" s="1402"/>
      <c r="D222" s="1375" t="s">
        <v>164</v>
      </c>
      <c r="E222" s="1403" t="s">
        <v>125</v>
      </c>
      <c r="F222" s="1403" t="s">
        <v>1373</v>
      </c>
      <c r="G222" s="1403"/>
      <c r="H222" s="1404">
        <f>-G221</f>
        <v>0</v>
      </c>
      <c r="I222" s="1405">
        <f t="shared" si="10"/>
        <v>0</v>
      </c>
      <c r="J222" s="1387">
        <v>0</v>
      </c>
      <c r="K222" s="1377">
        <v>0</v>
      </c>
      <c r="L222" s="1377">
        <v>0</v>
      </c>
      <c r="N222" s="1388"/>
      <c r="O222" s="1381"/>
    </row>
    <row r="223" spans="1:15" s="1382" customFormat="1" x14ac:dyDescent="0.25">
      <c r="A223" s="1375" t="s">
        <v>26</v>
      </c>
      <c r="B223" s="1375">
        <v>10400001</v>
      </c>
      <c r="C223" s="1375">
        <v>4</v>
      </c>
      <c r="D223" s="1375" t="s">
        <v>31</v>
      </c>
      <c r="E223" s="1375" t="s">
        <v>76</v>
      </c>
      <c r="F223" s="1376" t="s">
        <v>1138</v>
      </c>
      <c r="G223" s="1377">
        <v>238523.489999999</v>
      </c>
      <c r="H223" s="1377">
        <v>0</v>
      </c>
      <c r="I223" s="1378">
        <f t="shared" si="10"/>
        <v>238523.489999999</v>
      </c>
      <c r="J223" s="1379">
        <f>I223</f>
        <v>238523.489999999</v>
      </c>
      <c r="K223" s="1377">
        <f t="shared" ref="K223:K224" si="18">I223-J223</f>
        <v>0</v>
      </c>
      <c r="L223" s="1377">
        <f t="shared" ref="L223:L224" si="19">I223-J223-K223</f>
        <v>0</v>
      </c>
      <c r="N223" s="1388"/>
      <c r="O223" s="1381"/>
    </row>
    <row r="224" spans="1:15" s="1382" customFormat="1" x14ac:dyDescent="0.25">
      <c r="A224" s="1375" t="s">
        <v>26</v>
      </c>
      <c r="B224" s="1375">
        <v>20400001</v>
      </c>
      <c r="C224" s="1375">
        <f>VLOOKUP(D224,[4]Input!C:D,2,0)</f>
        <v>4</v>
      </c>
      <c r="D224" s="1375" t="s">
        <v>31</v>
      </c>
      <c r="E224" s="1375" t="s">
        <v>31</v>
      </c>
      <c r="F224" s="1376" t="s">
        <v>1255</v>
      </c>
      <c r="G224" s="1377">
        <v>0</v>
      </c>
      <c r="H224" s="1377">
        <v>-95917.279999999897</v>
      </c>
      <c r="I224" s="1378">
        <f t="shared" si="10"/>
        <v>-95917.279999999897</v>
      </c>
      <c r="J224" s="1379">
        <f>I224</f>
        <v>-95917.279999999897</v>
      </c>
      <c r="K224" s="1377">
        <f t="shared" si="18"/>
        <v>0</v>
      </c>
      <c r="L224" s="1377">
        <f t="shared" si="19"/>
        <v>0</v>
      </c>
      <c r="N224" s="1388"/>
      <c r="O224" s="1381"/>
    </row>
    <row r="225" spans="1:12" x14ac:dyDescent="0.25">
      <c r="A225" s="1195" t="s">
        <v>97</v>
      </c>
      <c r="B225" s="1195">
        <v>40700040</v>
      </c>
      <c r="C225" s="1195">
        <v>26</v>
      </c>
      <c r="D225" s="1195" t="s">
        <v>194</v>
      </c>
      <c r="E225" s="1195" t="s">
        <v>588</v>
      </c>
      <c r="F225" s="1196" t="s">
        <v>1186</v>
      </c>
      <c r="G225" s="550">
        <v>0</v>
      </c>
      <c r="H225" s="550">
        <v>-142606.20999999909</v>
      </c>
      <c r="I225" s="1201">
        <f t="shared" si="10"/>
        <v>-142606.20999999909</v>
      </c>
      <c r="J225" s="1197">
        <v>0</v>
      </c>
      <c r="K225" s="550">
        <v>0</v>
      </c>
      <c r="L225" s="550">
        <v>0</v>
      </c>
    </row>
    <row r="226" spans="1:12" x14ac:dyDescent="0.25">
      <c r="A226" s="1195"/>
      <c r="B226" s="1195"/>
      <c r="C226" s="1195"/>
      <c r="D226" s="1195"/>
      <c r="E226" s="1195"/>
      <c r="F226" s="1196"/>
      <c r="G226" s="550"/>
      <c r="H226" s="550"/>
      <c r="I226" s="1390"/>
      <c r="J226" s="545"/>
      <c r="K226" s="550"/>
      <c r="L226" s="550"/>
    </row>
    <row r="228" spans="1:12" x14ac:dyDescent="0.25">
      <c r="B228" s="544">
        <v>10900003</v>
      </c>
      <c r="C228" s="539">
        <v>18</v>
      </c>
      <c r="D228" s="539" t="s">
        <v>169</v>
      </c>
      <c r="E228" s="539" t="s">
        <v>168</v>
      </c>
      <c r="F228" s="539" t="s">
        <v>1333</v>
      </c>
      <c r="G228" s="539">
        <f>311807*0</f>
        <v>0</v>
      </c>
      <c r="I228" s="1201">
        <f t="shared" ref="I228:I229" si="20">G228+H228</f>
        <v>0</v>
      </c>
      <c r="J228" s="1197">
        <f t="shared" ref="J228:J229" si="21">I228</f>
        <v>0</v>
      </c>
    </row>
    <row r="229" spans="1:12" x14ac:dyDescent="0.25">
      <c r="C229" s="539">
        <v>19</v>
      </c>
      <c r="D229" s="539" t="s">
        <v>36</v>
      </c>
      <c r="E229" s="539" t="s">
        <v>131</v>
      </c>
      <c r="F229" s="539" t="s">
        <v>1333</v>
      </c>
      <c r="H229" s="539">
        <f>-G228</f>
        <v>0</v>
      </c>
      <c r="I229" s="1201">
        <f t="shared" si="20"/>
        <v>0</v>
      </c>
      <c r="J229" s="1197">
        <f t="shared" si="21"/>
        <v>0</v>
      </c>
    </row>
    <row r="230" spans="1:12" x14ac:dyDescent="0.25">
      <c r="I230" s="1201">
        <f t="shared" ref="I230:I232" si="22">G230+H230</f>
        <v>0</v>
      </c>
      <c r="J230" s="1197">
        <f t="shared" ref="J230:J232" si="23">I230</f>
        <v>0</v>
      </c>
    </row>
    <row r="231" spans="1:12" x14ac:dyDescent="0.25">
      <c r="B231" s="1434">
        <v>40700032</v>
      </c>
      <c r="C231" s="1435">
        <v>26</v>
      </c>
      <c r="D231" s="1435" t="s">
        <v>194</v>
      </c>
      <c r="E231" s="1435" t="s">
        <v>197</v>
      </c>
      <c r="F231" s="1435" t="s">
        <v>194</v>
      </c>
      <c r="G231" s="1435"/>
      <c r="H231" s="1436">
        <f>-651224.58*0</f>
        <v>0</v>
      </c>
      <c r="I231" s="1201">
        <f t="shared" si="22"/>
        <v>0</v>
      </c>
      <c r="J231" s="1197">
        <f t="shared" si="23"/>
        <v>0</v>
      </c>
    </row>
    <row r="232" spans="1:12" x14ac:dyDescent="0.25">
      <c r="B232" s="1434">
        <v>40300004</v>
      </c>
      <c r="C232" s="1435">
        <v>24</v>
      </c>
      <c r="D232" s="1435" t="s">
        <v>198</v>
      </c>
      <c r="E232" s="1435" t="s">
        <v>767</v>
      </c>
      <c r="F232" s="1435" t="s">
        <v>1547</v>
      </c>
      <c r="G232" s="1436">
        <f>-H231</f>
        <v>0</v>
      </c>
      <c r="H232" s="1435"/>
      <c r="I232" s="1201">
        <f t="shared" si="22"/>
        <v>0</v>
      </c>
      <c r="J232" s="1197">
        <f t="shared" si="23"/>
        <v>0</v>
      </c>
    </row>
  </sheetData>
  <autoFilter ref="A6:XFC232" xr:uid="{4DD2714A-4CA2-48F5-9039-1CF3230F9CA6}"/>
  <mergeCells count="1">
    <mergeCell ref="G5:K5"/>
  </mergeCells>
  <conditionalFormatting sqref="B7:B199">
    <cfRule type="duplicateValues" dxfId="65" priority="40"/>
  </conditionalFormatting>
  <conditionalFormatting sqref="B7:B219">
    <cfRule type="duplicateValues" dxfId="64" priority="30"/>
  </conditionalFormatting>
  <conditionalFormatting sqref="B53 B17">
    <cfRule type="duplicateValues" dxfId="63" priority="38"/>
  </conditionalFormatting>
  <conditionalFormatting sqref="B54">
    <cfRule type="duplicateValues" dxfId="62" priority="37"/>
  </conditionalFormatting>
  <conditionalFormatting sqref="B161">
    <cfRule type="duplicateValues" dxfId="61" priority="36"/>
  </conditionalFormatting>
  <conditionalFormatting sqref="B162:B168 B55:B160 B7:B16 B20:B50 B52">
    <cfRule type="duplicateValues" dxfId="60" priority="39"/>
  </conditionalFormatting>
  <conditionalFormatting sqref="B200:B201 B203:B204">
    <cfRule type="duplicateValues" dxfId="59" priority="35"/>
  </conditionalFormatting>
  <conditionalFormatting sqref="B202">
    <cfRule type="duplicateValues" dxfId="58" priority="28"/>
    <cfRule type="duplicateValues" dxfId="57" priority="29"/>
  </conditionalFormatting>
  <conditionalFormatting sqref="B205">
    <cfRule type="duplicateValues" dxfId="56" priority="27"/>
    <cfRule type="duplicateValues" dxfId="55" priority="26"/>
  </conditionalFormatting>
  <conditionalFormatting sqref="B206:B208">
    <cfRule type="duplicateValues" dxfId="54" priority="34"/>
    <cfRule type="duplicateValues" dxfId="53" priority="33"/>
  </conditionalFormatting>
  <conditionalFormatting sqref="B209:B210">
    <cfRule type="duplicateValues" dxfId="52" priority="32"/>
    <cfRule type="duplicateValues" dxfId="51" priority="31"/>
  </conditionalFormatting>
  <conditionalFormatting sqref="B211:B212">
    <cfRule type="duplicateValues" dxfId="50" priority="25"/>
    <cfRule type="duplicateValues" dxfId="49" priority="24"/>
  </conditionalFormatting>
  <conditionalFormatting sqref="B213">
    <cfRule type="duplicateValues" dxfId="48" priority="23"/>
  </conditionalFormatting>
  <conditionalFormatting sqref="B214">
    <cfRule type="duplicateValues" dxfId="47" priority="22"/>
    <cfRule type="duplicateValues" dxfId="46" priority="21"/>
  </conditionalFormatting>
  <conditionalFormatting sqref="B215">
    <cfRule type="duplicateValues" dxfId="45" priority="20"/>
  </conditionalFormatting>
  <conditionalFormatting sqref="B216">
    <cfRule type="duplicateValues" dxfId="44" priority="19"/>
    <cfRule type="duplicateValues" dxfId="43" priority="18"/>
  </conditionalFormatting>
  <conditionalFormatting sqref="B217">
    <cfRule type="duplicateValues" dxfId="42" priority="17"/>
    <cfRule type="duplicateValues" dxfId="41" priority="16"/>
  </conditionalFormatting>
  <conditionalFormatting sqref="B218">
    <cfRule type="duplicateValues" dxfId="40" priority="15"/>
    <cfRule type="duplicateValues" dxfId="39" priority="14"/>
  </conditionalFormatting>
  <conditionalFormatting sqref="B219">
    <cfRule type="duplicateValues" dxfId="38" priority="13"/>
  </conditionalFormatting>
  <conditionalFormatting sqref="B223">
    <cfRule type="duplicateValues" dxfId="37" priority="11"/>
    <cfRule type="duplicateValues" dxfId="36" priority="12"/>
    <cfRule type="duplicateValues" dxfId="35" priority="10"/>
  </conditionalFormatting>
  <conditionalFormatting sqref="B224">
    <cfRule type="duplicateValues" dxfId="34" priority="9"/>
    <cfRule type="duplicateValues" dxfId="33" priority="8"/>
    <cfRule type="duplicateValues" dxfId="32" priority="7"/>
  </conditionalFormatting>
  <conditionalFormatting sqref="B225">
    <cfRule type="duplicateValues" dxfId="31" priority="4"/>
    <cfRule type="duplicateValues" dxfId="30" priority="5"/>
    <cfRule type="duplicateValues" dxfId="29" priority="6"/>
  </conditionalFormatting>
  <conditionalFormatting sqref="B226">
    <cfRule type="duplicateValues" dxfId="28" priority="2"/>
    <cfRule type="duplicateValues" dxfId="27" priority="3"/>
    <cfRule type="duplicateValues" dxfId="26" priority="1"/>
  </conditionalFormatting>
  <conditionalFormatting sqref="M152">
    <cfRule type="duplicateValues" dxfId="25" priority="43"/>
  </conditionalFormatting>
  <conditionalFormatting sqref="M153">
    <cfRule type="duplicateValues" dxfId="24" priority="41"/>
  </conditionalFormatting>
  <conditionalFormatting sqref="N3:N5 N7:N151 N154:N1048576">
    <cfRule type="duplicateValues" dxfId="23" priority="80"/>
  </conditionalFormatting>
  <conditionalFormatting sqref="N6">
    <cfRule type="duplicateValues" dxfId="22" priority="79"/>
  </conditionalFormatting>
  <pageMargins left="0.7" right="0.7" top="0.75" bottom="0.75" header="0.3" footer="0.3"/>
  <pageSetup orientation="portrait" r:id="rId1"/>
  <headerFooter>
    <oddHeader>&amp;C&amp;G</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2A55-32D0-42BB-804F-64416AE80CAF}">
  <sheetPr filterMode="1"/>
  <dimension ref="A1:XFC300"/>
  <sheetViews>
    <sheetView showGridLines="0" zoomScaleNormal="100" workbookViewId="0">
      <pane xSplit="1" ySplit="6" topLeftCell="B77" activePane="bottomRight" state="frozen"/>
      <selection activeCell="L40" sqref="L40"/>
      <selection pane="topRight" activeCell="L40" sqref="L40"/>
      <selection pane="bottomLeft" activeCell="L40" sqref="L40"/>
      <selection pane="bottomRight" activeCell="E1" sqref="E1:E1048576"/>
    </sheetView>
  </sheetViews>
  <sheetFormatPr defaultColWidth="8.85546875" defaultRowHeight="12" x14ac:dyDescent="0.25"/>
  <cols>
    <col min="1" max="1" width="22.5703125" style="539" bestFit="1" customWidth="1"/>
    <col min="2" max="2" width="18.28515625" style="544" bestFit="1" customWidth="1"/>
    <col min="3" max="3" width="4.28515625" style="539" bestFit="1" customWidth="1"/>
    <col min="4" max="4" width="21.140625" style="539" customWidth="1"/>
    <col min="5" max="5" width="28.28515625" style="539" customWidth="1"/>
    <col min="6" max="6" width="23.42578125" style="539" customWidth="1"/>
    <col min="7" max="7" width="12.140625" style="539" bestFit="1" customWidth="1"/>
    <col min="8" max="8" width="12.5703125" style="539" bestFit="1" customWidth="1"/>
    <col min="9" max="9" width="15.140625" style="539" customWidth="1"/>
    <col min="10" max="10" width="11.85546875" style="539" customWidth="1"/>
    <col min="11" max="11" width="14" style="539" customWidth="1"/>
    <col min="12" max="12" width="11.140625" style="539" customWidth="1"/>
    <col min="13" max="13" width="13.85546875" style="539" hidden="1" customWidth="1"/>
    <col min="14" max="14" width="10.85546875" style="543" hidden="1" customWidth="1"/>
    <col min="15" max="15" width="13.140625" style="544" hidden="1" customWidth="1"/>
    <col min="16" max="16" width="11.28515625" style="539" hidden="1" customWidth="1"/>
    <col min="17" max="17" width="10.5703125" style="539" hidden="1" customWidth="1"/>
    <col min="18" max="18" width="10" style="539" hidden="1" customWidth="1"/>
    <col min="19" max="19" width="14.85546875" style="539" hidden="1" customWidth="1"/>
    <col min="20" max="20" width="18.42578125" style="539" hidden="1" customWidth="1"/>
    <col min="21" max="21" width="17.5703125" style="539" customWidth="1"/>
    <col min="22" max="22" width="8.85546875" style="539" customWidth="1"/>
    <col min="23" max="23" width="10.5703125" style="539" customWidth="1"/>
    <col min="24" max="28" width="8.85546875" style="539" customWidth="1"/>
    <col min="29" max="16384" width="8.85546875" style="539"/>
  </cols>
  <sheetData>
    <row r="1" spans="1:30" x14ac:dyDescent="0.25">
      <c r="G1" s="1064" t="s">
        <v>696</v>
      </c>
      <c r="H1" s="1065" t="s">
        <v>919</v>
      </c>
      <c r="I1" s="540">
        <f>I4/100000</f>
        <v>-23491.91607240001</v>
      </c>
      <c r="J1" s="539">
        <f>+('TB BVS 31.03.26'!I17+'TB BVS 31.03.26'!I76)/1000</f>
        <v>-142.60620999999909</v>
      </c>
    </row>
    <row r="2" spans="1:30" ht="12.75" thickBot="1" x14ac:dyDescent="0.3">
      <c r="G2" s="1066">
        <v>106141.51841999963</v>
      </c>
      <c r="H2" s="1067" t="e">
        <v>#REF!</v>
      </c>
      <c r="I2" s="542">
        <f>I3+I4</f>
        <v>-1396596675.2400012</v>
      </c>
    </row>
    <row r="3" spans="1:30" x14ac:dyDescent="0.25">
      <c r="A3" s="537" t="str">
        <f>Input!B1</f>
        <v>BVC Specialities Private Limited</v>
      </c>
      <c r="B3" s="538"/>
      <c r="F3" s="540"/>
      <c r="I3" s="541">
        <v>952594932</v>
      </c>
      <c r="J3" s="542">
        <v>-19095.660562499899</v>
      </c>
      <c r="K3" s="542"/>
      <c r="L3" s="540"/>
      <c r="AC3" s="540"/>
    </row>
    <row r="4" spans="1:30" x14ac:dyDescent="0.25">
      <c r="A4" s="537" t="s">
        <v>1529</v>
      </c>
      <c r="B4" s="538"/>
      <c r="F4" s="540"/>
      <c r="G4" s="545"/>
      <c r="H4" s="545"/>
      <c r="I4" s="545">
        <f>SUBTOTAL(9,I7:I971)</f>
        <v>-2349191607.2400012</v>
      </c>
      <c r="J4" s="545">
        <f>SUBTOTAL(9,J7:J971)</f>
        <v>0</v>
      </c>
      <c r="K4" s="545">
        <f>SUBTOTAL(9,K7:K971)</f>
        <v>0</v>
      </c>
      <c r="L4" s="545">
        <f>SUBTOTAL(9,L7:L971)</f>
        <v>0</v>
      </c>
      <c r="O4" s="544">
        <f>O5/1000000</f>
        <v>0</v>
      </c>
      <c r="P4" s="544">
        <f>P5/1000000</f>
        <v>0</v>
      </c>
      <c r="AC4" s="540">
        <f>I4/1000000</f>
        <v>-2349.1916072400013</v>
      </c>
      <c r="AD4" s="539">
        <v>3151</v>
      </c>
    </row>
    <row r="5" spans="1:30" x14ac:dyDescent="0.25">
      <c r="A5" s="1419"/>
      <c r="B5" s="1192"/>
      <c r="C5" s="1194" t="s">
        <v>79</v>
      </c>
      <c r="D5" s="1194" t="s">
        <v>79</v>
      </c>
      <c r="E5" s="1194" t="s">
        <v>79</v>
      </c>
      <c r="F5" s="1193"/>
      <c r="G5" s="1193"/>
      <c r="H5" s="1193"/>
      <c r="I5" s="1193"/>
      <c r="J5" s="1193"/>
      <c r="K5" s="1193"/>
      <c r="L5" s="1194"/>
      <c r="O5" s="544">
        <f>SUBTOTAL(9,O130:O217)</f>
        <v>0</v>
      </c>
      <c r="P5" s="544">
        <f>SUBTOTAL(9,P130:P217)</f>
        <v>0</v>
      </c>
      <c r="Q5" s="544"/>
    </row>
    <row r="6" spans="1:30" x14ac:dyDescent="0.25">
      <c r="A6" s="1420" t="s">
        <v>93</v>
      </c>
      <c r="B6" s="1016" t="s">
        <v>162</v>
      </c>
      <c r="C6" s="1016" t="s">
        <v>40</v>
      </c>
      <c r="D6" s="1016" t="s">
        <v>95</v>
      </c>
      <c r="E6" s="1016" t="s">
        <v>96</v>
      </c>
      <c r="F6" s="1017" t="s">
        <v>0</v>
      </c>
      <c r="G6" s="1018" t="s">
        <v>73</v>
      </c>
      <c r="H6" s="1018" t="s">
        <v>74</v>
      </c>
      <c r="I6" s="1018" t="s">
        <v>67</v>
      </c>
      <c r="J6" s="1020" t="s">
        <v>69</v>
      </c>
      <c r="K6" s="1016" t="s">
        <v>84</v>
      </c>
      <c r="L6" s="1016" t="s">
        <v>92</v>
      </c>
      <c r="M6" s="546"/>
      <c r="N6" s="547"/>
      <c r="O6" s="548" t="s">
        <v>1523</v>
      </c>
      <c r="P6" s="549" t="s">
        <v>1515</v>
      </c>
      <c r="S6" s="549"/>
      <c r="T6" s="549"/>
      <c r="U6" s="549"/>
    </row>
    <row r="7" spans="1:30" s="1011" customFormat="1" hidden="1" x14ac:dyDescent="0.25">
      <c r="A7" s="1199" t="s">
        <v>21</v>
      </c>
      <c r="B7" s="1195">
        <v>10000000</v>
      </c>
      <c r="C7" s="1195">
        <v>12</v>
      </c>
      <c r="D7" s="1195" t="s">
        <v>163</v>
      </c>
      <c r="E7" s="1195" t="s">
        <v>718</v>
      </c>
      <c r="F7" s="1196" t="s">
        <v>143</v>
      </c>
      <c r="G7" s="550">
        <f>IFERROR(VLOOKUP(B7,[5]Sheet1!$C:$M,8,0),0)</f>
        <v>0</v>
      </c>
      <c r="H7" s="550">
        <f>IFERROR(VLOOKUP(B7,[5]Sheet1!$C:$M,9,0),0)</f>
        <v>-1597890</v>
      </c>
      <c r="I7" s="1201">
        <f t="shared" ref="I7:I70" si="0">G7+H7</f>
        <v>-1597890</v>
      </c>
      <c r="J7" s="550">
        <v>0</v>
      </c>
      <c r="K7" s="550">
        <v>0</v>
      </c>
      <c r="L7" s="550"/>
      <c r="M7" s="1373">
        <f>VLOOKUP(B7,[6]Sheet1!$D:$M,10,0)</f>
        <v>-1365970</v>
      </c>
      <c r="N7" s="550">
        <f t="shared" ref="N7:N70" si="1">I7-M7</f>
        <v>-231920</v>
      </c>
      <c r="O7" s="1012"/>
      <c r="P7" s="1013"/>
      <c r="S7" s="1013"/>
      <c r="T7" s="1011" t="e">
        <f>VLOOKUP(B7,[7]!Table1[GLAccountNo],1,0)</f>
        <v>#REF!</v>
      </c>
      <c r="U7" s="551"/>
      <c r="V7" s="1013"/>
      <c r="W7" s="1013"/>
    </row>
    <row r="8" spans="1:30" s="1011" customFormat="1" hidden="1" x14ac:dyDescent="0.25">
      <c r="A8" s="1199" t="s">
        <v>21</v>
      </c>
      <c r="B8" s="1195">
        <v>10000004</v>
      </c>
      <c r="C8" s="1195">
        <v>12</v>
      </c>
      <c r="D8" s="1011" t="s">
        <v>164</v>
      </c>
      <c r="E8" s="1196" t="s">
        <v>851</v>
      </c>
      <c r="F8" s="1196" t="s">
        <v>1209</v>
      </c>
      <c r="G8" s="550">
        <f>IFERROR(VLOOKUP(B8,[5]Sheet1!$C:$M,8,0),0)</f>
        <v>0</v>
      </c>
      <c r="H8" s="550">
        <f>IFERROR(VLOOKUP(B8,[5]Sheet1!$C:$M,9,0),0)</f>
        <v>-1999973649</v>
      </c>
      <c r="I8" s="1201">
        <f t="shared" si="0"/>
        <v>-1999973649</v>
      </c>
      <c r="J8" s="550">
        <v>0</v>
      </c>
      <c r="K8" s="550">
        <v>0</v>
      </c>
      <c r="L8" s="550"/>
      <c r="M8" s="1391">
        <f>VLOOKUP(B8,[6]Sheet1!$D:$M,10,0)</f>
        <v>-868680</v>
      </c>
      <c r="N8" s="550">
        <f t="shared" si="1"/>
        <v>-1999104969</v>
      </c>
      <c r="O8" s="1012"/>
      <c r="U8" s="551"/>
      <c r="V8" s="1013"/>
      <c r="W8" s="1013"/>
    </row>
    <row r="9" spans="1:30" s="1011" customFormat="1" hidden="1" x14ac:dyDescent="0.25">
      <c r="A9" s="1199" t="s">
        <v>21</v>
      </c>
      <c r="B9" s="1195">
        <v>10100000</v>
      </c>
      <c r="C9" s="1195">
        <v>13</v>
      </c>
      <c r="D9" s="1195" t="s">
        <v>164</v>
      </c>
      <c r="E9" s="1195" t="s">
        <v>719</v>
      </c>
      <c r="F9" s="1196" t="s">
        <v>1236</v>
      </c>
      <c r="G9" s="550">
        <f>IFERROR(VLOOKUP(B9,[5]Sheet1!$C:$M,8,0),0)</f>
        <v>0</v>
      </c>
      <c r="H9" s="550">
        <f>IFERROR(VLOOKUP(B9,[5]Sheet1!$C:$M,9,0),0)</f>
        <v>-1560237693.96</v>
      </c>
      <c r="I9" s="1201">
        <f t="shared" si="0"/>
        <v>-1560237693.96</v>
      </c>
      <c r="J9" s="550">
        <v>0</v>
      </c>
      <c r="K9" s="550">
        <v>0</v>
      </c>
      <c r="L9" s="550"/>
      <c r="M9" s="1391">
        <f>VLOOKUP(B9,[6]Sheet1!$D:$M,10,0)</f>
        <v>-2888560445.96</v>
      </c>
      <c r="N9" s="550">
        <f t="shared" si="1"/>
        <v>1328322752</v>
      </c>
      <c r="O9" s="1012"/>
      <c r="P9" s="1013" t="s">
        <v>1033</v>
      </c>
      <c r="Q9" s="1011" t="s">
        <v>1034</v>
      </c>
      <c r="R9" s="1011" t="s">
        <v>1035</v>
      </c>
      <c r="U9" s="551"/>
      <c r="V9" s="1013"/>
      <c r="W9" s="1013"/>
    </row>
    <row r="10" spans="1:30" s="1011" customFormat="1" ht="15" hidden="1" x14ac:dyDescent="0.25">
      <c r="A10" s="1199" t="s">
        <v>21</v>
      </c>
      <c r="B10" s="1195">
        <v>10100001</v>
      </c>
      <c r="C10" s="1195">
        <v>13</v>
      </c>
      <c r="D10" s="1195" t="s">
        <v>164</v>
      </c>
      <c r="E10" s="1195" t="s">
        <v>125</v>
      </c>
      <c r="F10" s="1196" t="s">
        <v>116</v>
      </c>
      <c r="G10" s="550">
        <f>IFERROR(VLOOKUP(B10,[5]Sheet1!$C:$M,8,0),0)</f>
        <v>205255407.87</v>
      </c>
      <c r="H10" s="550">
        <f>IFERROR(VLOOKUP(B10,[5]Sheet1!$C:$M,9,0),0)</f>
        <v>0</v>
      </c>
      <c r="I10" s="1201">
        <f t="shared" si="0"/>
        <v>205255407.87</v>
      </c>
      <c r="J10" s="550">
        <v>0</v>
      </c>
      <c r="K10" s="550">
        <v>0</v>
      </c>
      <c r="L10" s="550"/>
      <c r="M10" s="1373">
        <f>VLOOKUP(B10,[6]Sheet1!$D:$M,10,0)</f>
        <v>205255407.87</v>
      </c>
      <c r="N10" s="550">
        <f t="shared" si="1"/>
        <v>0</v>
      </c>
      <c r="O10" s="1012"/>
      <c r="P10" s="1013">
        <f>-'BS  Notes  3-18'!H243*1000</f>
        <v>2029035.1560580817</v>
      </c>
      <c r="Q10" s="1013">
        <v>386615.03</v>
      </c>
      <c r="R10" s="1198">
        <f>SUBTOTAL(9,P10:Q10)</f>
        <v>0</v>
      </c>
      <c r="U10" s="551"/>
      <c r="V10" s="1013"/>
      <c r="W10" s="1013"/>
    </row>
    <row r="11" spans="1:30" s="1011" customFormat="1" ht="15" hidden="1" x14ac:dyDescent="0.25">
      <c r="A11" s="1199" t="s">
        <v>21</v>
      </c>
      <c r="B11" s="1195">
        <v>10100002</v>
      </c>
      <c r="C11" s="1195">
        <v>13</v>
      </c>
      <c r="D11" s="1195" t="s">
        <v>164</v>
      </c>
      <c r="E11" s="1195" t="s">
        <v>125</v>
      </c>
      <c r="F11" s="1196" t="s">
        <v>1237</v>
      </c>
      <c r="G11" s="550">
        <f>IFERROR(VLOOKUP(B11,[5]Sheet1!$C:$M,8,0),0)</f>
        <v>7941080.54</v>
      </c>
      <c r="H11" s="550">
        <f>IFERROR(VLOOKUP(B11,[5]Sheet1!$C:$M,9,0),0)</f>
        <v>0</v>
      </c>
      <c r="I11" s="1201">
        <f t="shared" si="0"/>
        <v>7941080.54</v>
      </c>
      <c r="J11" s="550">
        <v>0</v>
      </c>
      <c r="K11" s="550">
        <v>0</v>
      </c>
      <c r="L11" s="550"/>
      <c r="M11" s="1373">
        <f>VLOOKUP(B11,[6]Sheet1!$D:$M,10,0)</f>
        <v>7941080.54</v>
      </c>
      <c r="N11" s="550">
        <f t="shared" si="1"/>
        <v>0</v>
      </c>
      <c r="O11" s="1012"/>
      <c r="P11" s="1013">
        <f>I11</f>
        <v>7941080.54</v>
      </c>
      <c r="R11" s="1198">
        <f>SUBTOTAL(9,P11:Q11)</f>
        <v>0</v>
      </c>
      <c r="U11" s="551"/>
      <c r="V11" s="1013"/>
      <c r="W11" s="1013"/>
    </row>
    <row r="12" spans="1:30" s="1011" customFormat="1" ht="15" hidden="1" x14ac:dyDescent="0.25">
      <c r="A12" s="1199" t="s">
        <v>21</v>
      </c>
      <c r="B12" s="1195">
        <v>10100009</v>
      </c>
      <c r="C12" s="1195">
        <v>13</v>
      </c>
      <c r="D12" s="1195" t="s">
        <v>164</v>
      </c>
      <c r="E12" s="1195" t="s">
        <v>125</v>
      </c>
      <c r="F12" s="1196" t="s">
        <v>1238</v>
      </c>
      <c r="G12" s="550">
        <f>IFERROR(VLOOKUP(B12,[5]Sheet1!$C:$M,8,0),0)</f>
        <v>0</v>
      </c>
      <c r="H12" s="550">
        <f>IFERROR(VLOOKUP(B12,[5]Sheet1!$C:$M,9,0),0)</f>
        <v>-38668.9</v>
      </c>
      <c r="I12" s="1201">
        <f t="shared" si="0"/>
        <v>-38668.9</v>
      </c>
      <c r="J12" s="550">
        <v>0</v>
      </c>
      <c r="K12" s="550">
        <v>0</v>
      </c>
      <c r="L12" s="550"/>
      <c r="M12" s="1373">
        <f>VLOOKUP(B12,[6]Sheet1!$D:$M,10,0)</f>
        <v>-38668.9</v>
      </c>
      <c r="N12" s="550">
        <f t="shared" si="1"/>
        <v>0</v>
      </c>
      <c r="O12" s="1012"/>
      <c r="P12" s="1013">
        <f>I12</f>
        <v>-38668.9</v>
      </c>
      <c r="Q12" s="1013"/>
      <c r="R12" s="1198">
        <f>SUBTOTAL(9,P12:Q12)</f>
        <v>0</v>
      </c>
      <c r="U12" s="551"/>
      <c r="V12" s="1013"/>
      <c r="W12" s="1013"/>
    </row>
    <row r="13" spans="1:30" s="1011" customFormat="1" hidden="1" x14ac:dyDescent="0.25">
      <c r="A13" s="1199" t="s">
        <v>26</v>
      </c>
      <c r="B13" s="1195">
        <v>10200015</v>
      </c>
      <c r="C13" s="1195">
        <v>14</v>
      </c>
      <c r="D13" s="1195" t="s">
        <v>83</v>
      </c>
      <c r="E13" s="1195" t="s">
        <v>1769</v>
      </c>
      <c r="F13" s="1196" t="s">
        <v>1239</v>
      </c>
      <c r="G13" s="550">
        <f>IFERROR(VLOOKUP(B13,[5]Sheet1!$C:$M,8,0),0)</f>
        <v>2147916.4300000002</v>
      </c>
      <c r="H13" s="550">
        <f>IFERROR(VLOOKUP(B13,[5]Sheet1!$C:$M,9,0),0)</f>
        <v>0</v>
      </c>
      <c r="I13" s="1201">
        <f t="shared" si="0"/>
        <v>2147916.4300000002</v>
      </c>
      <c r="J13" s="1197">
        <v>0</v>
      </c>
      <c r="K13" s="550">
        <f t="shared" ref="K13:K19" si="2">I13-J13</f>
        <v>2147916.4300000002</v>
      </c>
      <c r="L13" s="550">
        <f t="shared" ref="L13:L19" si="3">I13-J13-K13</f>
        <v>0</v>
      </c>
      <c r="M13" s="1373">
        <f>VLOOKUP(B13,[6]Sheet1!$D:$M,10,0)</f>
        <v>1223808.4299999899</v>
      </c>
      <c r="N13" s="550">
        <f t="shared" si="1"/>
        <v>924108.00000001024</v>
      </c>
      <c r="O13" s="1012"/>
      <c r="P13" s="1013"/>
      <c r="U13" s="551"/>
      <c r="V13" s="1013"/>
      <c r="W13" s="1013"/>
    </row>
    <row r="14" spans="1:30" s="1011" customFormat="1" hidden="1" x14ac:dyDescent="0.25">
      <c r="A14" s="1199" t="s">
        <v>26</v>
      </c>
      <c r="B14" s="1195">
        <v>10200016</v>
      </c>
      <c r="C14" s="1195">
        <v>14</v>
      </c>
      <c r="D14" s="1195" t="s">
        <v>83</v>
      </c>
      <c r="E14" s="1195" t="s">
        <v>1769</v>
      </c>
      <c r="F14" s="1196" t="s">
        <v>1240</v>
      </c>
      <c r="G14" s="550">
        <f>IFERROR(VLOOKUP(B14,[5]Sheet1!$C:$M,8,0),0)</f>
        <v>0</v>
      </c>
      <c r="H14" s="550">
        <f>IFERROR(VLOOKUP(B14,[5]Sheet1!$C:$M,9,0),0)</f>
        <v>-1766899999.1199901</v>
      </c>
      <c r="I14" s="1201">
        <f t="shared" si="0"/>
        <v>-1766899999.1199901</v>
      </c>
      <c r="J14" s="1197">
        <v>-399600000</v>
      </c>
      <c r="K14" s="550">
        <f t="shared" si="2"/>
        <v>-1367299999.1199901</v>
      </c>
      <c r="L14" s="550">
        <f t="shared" si="3"/>
        <v>0</v>
      </c>
      <c r="M14" s="1373">
        <f>VLOOKUP(B14,[6]Sheet1!$D:$M,10,0)</f>
        <v>-2000000000</v>
      </c>
      <c r="N14" s="550">
        <f t="shared" si="1"/>
        <v>233100000.88000989</v>
      </c>
      <c r="O14" s="1012"/>
      <c r="P14" s="1013"/>
      <c r="U14" s="551"/>
      <c r="V14" s="1013"/>
      <c r="W14" s="1013"/>
    </row>
    <row r="15" spans="1:30" s="1011" customFormat="1" hidden="1" x14ac:dyDescent="0.25">
      <c r="A15" s="1199" t="s">
        <v>26</v>
      </c>
      <c r="B15" s="1195">
        <v>10200018</v>
      </c>
      <c r="C15" s="1195">
        <v>14</v>
      </c>
      <c r="D15" s="1195" t="s">
        <v>83</v>
      </c>
      <c r="E15" s="1195" t="s">
        <v>1769</v>
      </c>
      <c r="F15" s="1196" t="s">
        <v>1241</v>
      </c>
      <c r="G15" s="550">
        <f>IFERROR(VLOOKUP(B15,[5]Sheet1!$C:$M,8,0),0)</f>
        <v>0</v>
      </c>
      <c r="H15" s="550">
        <f>IFERROR(VLOOKUP(B15,[5]Sheet1!$C:$M,9,0),0)</f>
        <v>-362015481</v>
      </c>
      <c r="I15" s="1201">
        <f t="shared" si="0"/>
        <v>-362015481</v>
      </c>
      <c r="J15" s="1197">
        <v>-80400000</v>
      </c>
      <c r="K15" s="550">
        <f t="shared" si="2"/>
        <v>-281615481</v>
      </c>
      <c r="L15" s="550">
        <f t="shared" si="3"/>
        <v>0</v>
      </c>
      <c r="M15" s="1373">
        <f>VLOOKUP(B15,[6]Sheet1!$D:$M,10,0)</f>
        <v>-400000000</v>
      </c>
      <c r="N15" s="550">
        <f t="shared" si="1"/>
        <v>37984519</v>
      </c>
      <c r="O15" s="1012"/>
      <c r="P15" s="1013"/>
      <c r="U15" s="551"/>
      <c r="V15" s="1013"/>
      <c r="W15" s="1013"/>
    </row>
    <row r="16" spans="1:30" s="1011" customFormat="1" hidden="1" x14ac:dyDescent="0.25">
      <c r="A16" s="1199" t="s">
        <v>26</v>
      </c>
      <c r="B16" s="1195">
        <v>10300002</v>
      </c>
      <c r="C16" s="1195">
        <v>14</v>
      </c>
      <c r="D16" s="1195" t="s">
        <v>83</v>
      </c>
      <c r="E16" s="1195" t="s">
        <v>1769</v>
      </c>
      <c r="F16" s="1196" t="s">
        <v>1242</v>
      </c>
      <c r="G16" s="550">
        <f>IFERROR(VLOOKUP(B16,[5]Sheet1!$C:$M,8,0),0)</f>
        <v>0</v>
      </c>
      <c r="H16" s="550">
        <f>IFERROR(VLOOKUP(B16,[5]Sheet1!$C:$M,9,0),0)</f>
        <v>-349999163.35000002</v>
      </c>
      <c r="I16" s="1201">
        <f t="shared" si="0"/>
        <v>-349999163.35000002</v>
      </c>
      <c r="J16" s="1197">
        <v>-99999761</v>
      </c>
      <c r="K16" s="550">
        <f t="shared" si="2"/>
        <v>-249999402.35000002</v>
      </c>
      <c r="L16" s="550">
        <f t="shared" si="3"/>
        <v>0</v>
      </c>
      <c r="M16" s="1373">
        <f>VLOOKUP(B16,[6]Sheet1!$D:$M,10,0)</f>
        <v>-399999043.79000002</v>
      </c>
      <c r="N16" s="550">
        <f t="shared" si="1"/>
        <v>49999880.439999998</v>
      </c>
      <c r="O16" s="1012"/>
      <c r="P16" s="1013"/>
      <c r="U16" s="551"/>
      <c r="V16" s="1013"/>
      <c r="W16" s="1013"/>
    </row>
    <row r="17" spans="1:31" s="1382" customFormat="1" hidden="1" x14ac:dyDescent="0.25">
      <c r="A17" s="1421" t="s">
        <v>26</v>
      </c>
      <c r="B17" s="1375">
        <v>10400001</v>
      </c>
      <c r="C17" s="1375">
        <v>16</v>
      </c>
      <c r="D17" s="1375" t="s">
        <v>31</v>
      </c>
      <c r="E17" s="1375" t="s">
        <v>76</v>
      </c>
      <c r="F17" s="1376" t="s">
        <v>1138</v>
      </c>
      <c r="G17" s="1377">
        <v>0</v>
      </c>
      <c r="H17" s="1377">
        <v>-238523.489999999</v>
      </c>
      <c r="I17" s="1378">
        <f t="shared" si="0"/>
        <v>-238523.489999999</v>
      </c>
      <c r="J17" s="1379"/>
      <c r="K17" s="1377">
        <f t="shared" si="2"/>
        <v>-238523.489999999</v>
      </c>
      <c r="L17" s="1377">
        <f t="shared" si="3"/>
        <v>0</v>
      </c>
      <c r="M17" s="1380">
        <f>VLOOKUP(B17,[6]Sheet1!$D:$M,10,0)</f>
        <v>-238523.489999999</v>
      </c>
      <c r="N17" s="1377">
        <f t="shared" si="1"/>
        <v>0</v>
      </c>
      <c r="O17" s="1381"/>
      <c r="U17" s="551"/>
      <c r="V17" s="1013"/>
    </row>
    <row r="18" spans="1:31" hidden="1" x14ac:dyDescent="0.25">
      <c r="A18" s="1199" t="s">
        <v>26</v>
      </c>
      <c r="B18" s="1199">
        <v>10500000</v>
      </c>
      <c r="C18" s="1199">
        <v>15</v>
      </c>
      <c r="D18" s="1199" t="s">
        <v>30</v>
      </c>
      <c r="E18" s="1199" t="s">
        <v>1045</v>
      </c>
      <c r="F18" s="1196" t="s">
        <v>1243</v>
      </c>
      <c r="G18" s="550">
        <f>IFERROR(VLOOKUP(B18,[5]Sheet1!$C:$M,8,0),0)</f>
        <v>0</v>
      </c>
      <c r="H18" s="550">
        <f>IFERROR(VLOOKUP(B18,[5]Sheet1!$C:$M,9,0),0)</f>
        <v>-4499741</v>
      </c>
      <c r="I18" s="1201">
        <f t="shared" si="0"/>
        <v>-4499741</v>
      </c>
      <c r="J18" s="545">
        <v>-443965</v>
      </c>
      <c r="K18" s="550">
        <f t="shared" si="2"/>
        <v>-4055776</v>
      </c>
      <c r="L18" s="550">
        <f t="shared" si="3"/>
        <v>0</v>
      </c>
      <c r="M18" s="1373">
        <f>VLOOKUP(B18,[6]Sheet1!$D:$M,10,0)</f>
        <v>-2120219</v>
      </c>
      <c r="N18" s="550">
        <f t="shared" si="1"/>
        <v>-2379522</v>
      </c>
      <c r="U18" s="551"/>
      <c r="V18" s="1013"/>
    </row>
    <row r="19" spans="1:31" hidden="1" x14ac:dyDescent="0.25">
      <c r="A19" s="1199" t="s">
        <v>26</v>
      </c>
      <c r="B19" s="1199">
        <v>10500001</v>
      </c>
      <c r="C19" s="1199">
        <v>15</v>
      </c>
      <c r="D19" s="1199" t="s">
        <v>30</v>
      </c>
      <c r="E19" s="1199" t="s">
        <v>1044</v>
      </c>
      <c r="F19" s="1196" t="s">
        <v>1244</v>
      </c>
      <c r="G19" s="550">
        <f>IFERROR(VLOOKUP(B19,[5]Sheet1!$C:$M,8,0),0)</f>
        <v>0</v>
      </c>
      <c r="H19" s="550">
        <f>IFERROR(VLOOKUP(B19,[5]Sheet1!$C:$M,9,0),0)</f>
        <v>-4772879</v>
      </c>
      <c r="I19" s="1201">
        <f t="shared" si="0"/>
        <v>-4772879</v>
      </c>
      <c r="J19" s="545">
        <v>-824137</v>
      </c>
      <c r="K19" s="550">
        <f t="shared" si="2"/>
        <v>-3948742</v>
      </c>
      <c r="L19" s="550">
        <f t="shared" si="3"/>
        <v>0</v>
      </c>
      <c r="M19" s="1373">
        <f>VLOOKUP(B19,[6]Sheet1!$D:$M,10,0)</f>
        <v>-2607951</v>
      </c>
      <c r="N19" s="550">
        <f t="shared" si="1"/>
        <v>-2164928</v>
      </c>
      <c r="U19" s="551"/>
      <c r="V19" s="1013"/>
    </row>
    <row r="20" spans="1:31" s="1011" customFormat="1" hidden="1" x14ac:dyDescent="0.25">
      <c r="A20" s="1199" t="s">
        <v>26</v>
      </c>
      <c r="B20" s="1195">
        <v>10600010</v>
      </c>
      <c r="C20" s="1195">
        <v>14</v>
      </c>
      <c r="D20" s="1195" t="s">
        <v>83</v>
      </c>
      <c r="E20" s="1195" t="s">
        <v>445</v>
      </c>
      <c r="F20" s="1196" t="s">
        <v>450</v>
      </c>
      <c r="G20" s="550">
        <f>IFERROR(VLOOKUP(B20,[5]Sheet1!$C:$M,8,0),0)</f>
        <v>0</v>
      </c>
      <c r="H20" s="550">
        <f>IFERROR(VLOOKUP(B20,[5]Sheet1!$C:$M,9,0),0)</f>
        <v>-0.40999999999999898</v>
      </c>
      <c r="I20" s="1201">
        <f t="shared" si="0"/>
        <v>-0.40999999999999898</v>
      </c>
      <c r="J20" s="550">
        <v>0</v>
      </c>
      <c r="K20" s="550">
        <v>0</v>
      </c>
      <c r="L20" s="550"/>
      <c r="M20" s="1373">
        <f>VLOOKUP(B20,[6]Sheet1!$D:$M,10,0)</f>
        <v>-265968343.41</v>
      </c>
      <c r="N20" s="550">
        <f t="shared" si="1"/>
        <v>265968343</v>
      </c>
      <c r="O20" s="1012"/>
      <c r="P20" s="1013"/>
      <c r="U20" s="551"/>
      <c r="V20" s="1013"/>
      <c r="W20" s="1013"/>
    </row>
    <row r="21" spans="1:31" s="1011" customFormat="1" hidden="1" x14ac:dyDescent="0.25">
      <c r="A21" s="1199" t="s">
        <v>26</v>
      </c>
      <c r="B21" s="1195">
        <v>10800000</v>
      </c>
      <c r="C21" s="1195">
        <v>17</v>
      </c>
      <c r="D21" s="1195" t="s">
        <v>153</v>
      </c>
      <c r="E21" s="1195" t="s">
        <v>134</v>
      </c>
      <c r="F21" s="1196" t="s">
        <v>1245</v>
      </c>
      <c r="G21" s="550">
        <f>IFERROR(VLOOKUP(B21,[5]Sheet1!$C:$M,8,0),0)</f>
        <v>0</v>
      </c>
      <c r="H21" s="550">
        <f>IFERROR(VLOOKUP(B21,[5]Sheet1!$C:$M,9,0),0)</f>
        <v>-126396503.68000001</v>
      </c>
      <c r="I21" s="1423">
        <f t="shared" si="0"/>
        <v>-126396503.68000001</v>
      </c>
      <c r="J21" s="550">
        <v>0</v>
      </c>
      <c r="K21" s="550">
        <v>0</v>
      </c>
      <c r="L21" s="550"/>
      <c r="M21" s="1373">
        <f>VLOOKUP(B21,[6]Sheet1!$D:$M,10,0)</f>
        <v>-84434755.430000007</v>
      </c>
      <c r="N21" s="550">
        <f t="shared" si="1"/>
        <v>-41961748.25</v>
      </c>
      <c r="O21" s="1012"/>
      <c r="P21" s="1013"/>
      <c r="U21" s="551"/>
      <c r="V21" s="1013"/>
      <c r="W21" s="1013"/>
    </row>
    <row r="22" spans="1:31" s="1011" customFormat="1" hidden="1" x14ac:dyDescent="0.25">
      <c r="A22" s="1199" t="s">
        <v>26</v>
      </c>
      <c r="B22" s="1195">
        <v>10800001</v>
      </c>
      <c r="C22" s="1195">
        <v>17</v>
      </c>
      <c r="D22" s="1195" t="s">
        <v>153</v>
      </c>
      <c r="E22" s="1195" t="s">
        <v>134</v>
      </c>
      <c r="F22" s="1196" t="s">
        <v>1246</v>
      </c>
      <c r="G22" s="550">
        <f>IFERROR(VLOOKUP(B22,[5]Sheet1!$C:$M,8,0),0)</f>
        <v>0</v>
      </c>
      <c r="H22" s="550">
        <f>IFERROR(VLOOKUP(B22,[5]Sheet1!$C:$M,9,0),0)</f>
        <v>-154331338.31</v>
      </c>
      <c r="I22" s="1423">
        <f t="shared" si="0"/>
        <v>-154331338.31</v>
      </c>
      <c r="J22" s="550">
        <v>0</v>
      </c>
      <c r="K22" s="550">
        <v>0</v>
      </c>
      <c r="L22" s="550"/>
      <c r="M22" s="1373">
        <f>VLOOKUP(B22,[6]Sheet1!$D:$M,10,0)</f>
        <v>-99935998.950000003</v>
      </c>
      <c r="N22" s="550">
        <f t="shared" si="1"/>
        <v>-54395339.359999999</v>
      </c>
      <c r="O22" s="1012"/>
      <c r="P22" s="1013"/>
      <c r="Q22" s="1011">
        <f>'[8]BVC Sale'!$D$272*0</f>
        <v>0</v>
      </c>
      <c r="U22" s="551"/>
      <c r="V22" s="1013"/>
      <c r="W22" s="1013"/>
    </row>
    <row r="23" spans="1:31" s="1011" customFormat="1" hidden="1" x14ac:dyDescent="0.25">
      <c r="A23" s="1199" t="s">
        <v>26</v>
      </c>
      <c r="B23" s="1195">
        <v>10800002</v>
      </c>
      <c r="C23" s="1195">
        <v>17</v>
      </c>
      <c r="D23" s="1195" t="s">
        <v>153</v>
      </c>
      <c r="E23" s="1195" t="s">
        <v>134</v>
      </c>
      <c r="F23" s="1196" t="s">
        <v>1247</v>
      </c>
      <c r="G23" s="550">
        <f>IFERROR(VLOOKUP(B23,[5]Sheet1!$C:$M,8,0),0)</f>
        <v>0</v>
      </c>
      <c r="H23" s="550">
        <f>IFERROR(VLOOKUP(B23,[5]Sheet1!$C:$M,9,0),0)</f>
        <v>-14985765.310000001</v>
      </c>
      <c r="I23" s="1423">
        <f t="shared" si="0"/>
        <v>-14985765.310000001</v>
      </c>
      <c r="J23" s="550">
        <v>0</v>
      </c>
      <c r="K23" s="550">
        <v>0</v>
      </c>
      <c r="L23" s="550"/>
      <c r="M23" s="1373">
        <f>VLOOKUP(B23,[6]Sheet1!$D:$M,10,0)</f>
        <v>-7862613.2000000002</v>
      </c>
      <c r="N23" s="550">
        <f t="shared" si="1"/>
        <v>-7123152.1100000003</v>
      </c>
      <c r="O23" s="1012"/>
      <c r="P23" s="1013"/>
      <c r="U23" s="551"/>
      <c r="V23" s="1013"/>
      <c r="W23" s="1013"/>
      <c r="AD23" s="1011">
        <v>6106184</v>
      </c>
      <c r="AE23" s="1011" t="s">
        <v>1520</v>
      </c>
    </row>
    <row r="24" spans="1:31" s="1011" customFormat="1" hidden="1" x14ac:dyDescent="0.25">
      <c r="A24" s="1199" t="s">
        <v>26</v>
      </c>
      <c r="B24" s="1195">
        <v>10800003</v>
      </c>
      <c r="C24" s="1195">
        <v>17</v>
      </c>
      <c r="D24" s="1195" t="s">
        <v>153</v>
      </c>
      <c r="E24" s="1195" t="s">
        <v>134</v>
      </c>
      <c r="F24" s="1196" t="s">
        <v>1190</v>
      </c>
      <c r="G24" s="550">
        <f>IFERROR(VLOOKUP(B24,[5]Sheet1!$C:$M,8,0),0)</f>
        <v>0</v>
      </c>
      <c r="H24" s="550">
        <f>IFERROR(VLOOKUP(B24,[5]Sheet1!$C:$M,9,0),0)</f>
        <v>-18468224.010000002</v>
      </c>
      <c r="I24" s="1423">
        <f t="shared" si="0"/>
        <v>-18468224.010000002</v>
      </c>
      <c r="J24" s="550">
        <v>0</v>
      </c>
      <c r="K24" s="550">
        <v>0</v>
      </c>
      <c r="L24" s="550"/>
      <c r="M24" s="1373">
        <f>VLOOKUP(B24,[6]Sheet1!$D:$M,10,0)</f>
        <v>-7541013.46</v>
      </c>
      <c r="N24" s="550">
        <f t="shared" si="1"/>
        <v>-10927210.550000001</v>
      </c>
      <c r="O24" s="1012"/>
      <c r="P24" s="1013"/>
      <c r="U24" s="551"/>
      <c r="V24" s="1013"/>
      <c r="W24" s="1013"/>
    </row>
    <row r="25" spans="1:31" s="1011" customFormat="1" hidden="1" x14ac:dyDescent="0.25">
      <c r="A25" s="1199" t="s">
        <v>26</v>
      </c>
      <c r="B25" s="1195">
        <v>10800004</v>
      </c>
      <c r="C25" s="1195">
        <v>17</v>
      </c>
      <c r="D25" s="1195" t="s">
        <v>153</v>
      </c>
      <c r="E25" s="1195" t="s">
        <v>134</v>
      </c>
      <c r="F25" s="1196" t="s">
        <v>227</v>
      </c>
      <c r="G25" s="550">
        <f>IFERROR(VLOOKUP(B25,[5]Sheet1!$C:$M,8,0),0)</f>
        <v>0</v>
      </c>
      <c r="H25" s="550">
        <f>IFERROR(VLOOKUP(B25,[5]Sheet1!$C:$M,9,0),0)</f>
        <v>-674663057.30999899</v>
      </c>
      <c r="I25" s="1423">
        <f t="shared" si="0"/>
        <v>-674663057.30999899</v>
      </c>
      <c r="J25" s="550">
        <v>0</v>
      </c>
      <c r="K25" s="550">
        <v>0</v>
      </c>
      <c r="L25" s="550"/>
      <c r="M25" s="1373">
        <f>VLOOKUP(B25,[6]Sheet1!$D:$M,10,0)</f>
        <v>-316992962.81</v>
      </c>
      <c r="N25" s="550">
        <f t="shared" si="1"/>
        <v>-357670094.49999899</v>
      </c>
      <c r="O25" s="1012"/>
      <c r="P25" s="1013"/>
      <c r="U25" s="551"/>
      <c r="V25" s="1013"/>
      <c r="W25" s="1013"/>
    </row>
    <row r="26" spans="1:31" s="1011" customFormat="1" hidden="1" x14ac:dyDescent="0.25">
      <c r="A26" s="1199" t="s">
        <v>26</v>
      </c>
      <c r="B26" s="1195">
        <v>10800005</v>
      </c>
      <c r="C26" s="1195">
        <v>18</v>
      </c>
      <c r="D26" s="1195" t="s">
        <v>169</v>
      </c>
      <c r="E26" s="1195" t="s">
        <v>168</v>
      </c>
      <c r="F26" s="1196" t="s">
        <v>1191</v>
      </c>
      <c r="G26" s="550">
        <f>IFERROR(VLOOKUP(B26,[5]Sheet1!$C:$M,8,0),0)</f>
        <v>42051.22</v>
      </c>
      <c r="H26" s="550">
        <f>IFERROR(VLOOKUP(B26,[5]Sheet1!$C:$M,9,0),0)</f>
        <v>0</v>
      </c>
      <c r="I26" s="1201">
        <f t="shared" si="0"/>
        <v>42051.22</v>
      </c>
      <c r="J26" s="550">
        <v>0</v>
      </c>
      <c r="K26" s="550">
        <v>0</v>
      </c>
      <c r="L26" s="550"/>
      <c r="M26" s="1373">
        <f>VLOOKUP(B26,[6]Sheet1!$D:$M,10,0)</f>
        <v>35924.22</v>
      </c>
      <c r="N26" s="550">
        <f t="shared" si="1"/>
        <v>6127</v>
      </c>
      <c r="O26" s="1012"/>
      <c r="P26" s="1013"/>
      <c r="U26" s="551"/>
      <c r="V26" s="1013"/>
      <c r="W26" s="1013"/>
    </row>
    <row r="27" spans="1:31" s="1011" customFormat="1" hidden="1" x14ac:dyDescent="0.25">
      <c r="A27" s="1199" t="s">
        <v>26</v>
      </c>
      <c r="B27" s="1195">
        <v>10900000</v>
      </c>
      <c r="C27" s="1195">
        <v>17</v>
      </c>
      <c r="D27" s="1195" t="s">
        <v>153</v>
      </c>
      <c r="E27" s="1195" t="s">
        <v>134</v>
      </c>
      <c r="F27" s="1196" t="s">
        <v>1124</v>
      </c>
      <c r="G27" s="550">
        <f>IFERROR(VLOOKUP(B27,[5]Sheet1!$C:$M,8,0),0)</f>
        <v>0</v>
      </c>
      <c r="H27" s="550">
        <f>IFERROR(VLOOKUP(B27,[5]Sheet1!$C:$M,9,0),0)</f>
        <v>-6785728.2599999905</v>
      </c>
      <c r="I27" s="1201">
        <f t="shared" si="0"/>
        <v>-6785728.2599999905</v>
      </c>
      <c r="J27" s="550">
        <v>0</v>
      </c>
      <c r="K27" s="550">
        <v>0</v>
      </c>
      <c r="L27" s="550"/>
      <c r="M27" s="1391">
        <f>VLOOKUP(B27,[6]Sheet1!$D:$M,10,0)</f>
        <v>-8925974</v>
      </c>
      <c r="N27" s="550">
        <f t="shared" si="1"/>
        <v>2140245.7400000095</v>
      </c>
      <c r="O27" s="1012"/>
      <c r="P27" s="1013"/>
      <c r="U27" s="551"/>
      <c r="V27" s="1013"/>
      <c r="W27" s="1013"/>
    </row>
    <row r="28" spans="1:31" s="1011" customFormat="1" hidden="1" x14ac:dyDescent="0.25">
      <c r="A28" s="1199" t="s">
        <v>26</v>
      </c>
      <c r="B28" s="1195">
        <v>20100001</v>
      </c>
      <c r="C28" s="1195">
        <v>17</v>
      </c>
      <c r="D28" s="1195" t="s">
        <v>153</v>
      </c>
      <c r="E28" s="1195" t="s">
        <v>134</v>
      </c>
      <c r="F28" s="1196" t="s">
        <v>730</v>
      </c>
      <c r="G28" s="550">
        <f>IFERROR(VLOOKUP(B28,[5]Sheet1!$C:$M,8,0),0)</f>
        <v>1224019.3799999901</v>
      </c>
      <c r="H28" s="550">
        <f>IFERROR(VLOOKUP(B28,[5]Sheet1!$C:$M,9,0),0)</f>
        <v>0</v>
      </c>
      <c r="I28" s="1423">
        <f t="shared" si="0"/>
        <v>1224019.3799999901</v>
      </c>
      <c r="J28" s="550">
        <v>0</v>
      </c>
      <c r="K28" s="550">
        <v>0</v>
      </c>
      <c r="L28" s="550"/>
      <c r="M28" s="1373">
        <f>VLOOKUP(B28,[6]Sheet1!$D:$M,10,0)</f>
        <v>8778689.9600000009</v>
      </c>
      <c r="N28" s="550">
        <f t="shared" si="1"/>
        <v>-7554670.5800000113</v>
      </c>
      <c r="O28" s="1012"/>
      <c r="P28" s="1013"/>
      <c r="U28" s="551"/>
      <c r="V28" s="1013"/>
      <c r="W28" s="1013"/>
    </row>
    <row r="29" spans="1:31" s="1011" customFormat="1" hidden="1" x14ac:dyDescent="0.25">
      <c r="A29" s="1199" t="s">
        <v>26</v>
      </c>
      <c r="B29" s="1195">
        <v>10900003</v>
      </c>
      <c r="C29" s="1195">
        <v>19</v>
      </c>
      <c r="D29" s="1195" t="s">
        <v>36</v>
      </c>
      <c r="E29" s="1195" t="s">
        <v>131</v>
      </c>
      <c r="F29" s="1196" t="s">
        <v>1333</v>
      </c>
      <c r="G29" s="550">
        <f>IFERROR(VLOOKUP(B29,[5]Sheet1!$C:$M,8,0),0)</f>
        <v>0</v>
      </c>
      <c r="H29" s="550">
        <f>IFERROR(VLOOKUP(B29,[5]Sheet1!$C:$M,9,0),0)</f>
        <v>-461147</v>
      </c>
      <c r="I29" s="1201">
        <f t="shared" si="0"/>
        <v>-461147</v>
      </c>
      <c r="J29" s="550">
        <v>0</v>
      </c>
      <c r="K29" s="550">
        <v>0</v>
      </c>
      <c r="L29" s="550"/>
      <c r="M29" s="1373">
        <f>VLOOKUP(B29,[6]Sheet1!$D:$M,10,0)</f>
        <v>-311807</v>
      </c>
      <c r="N29" s="550">
        <f t="shared" si="1"/>
        <v>-149340</v>
      </c>
      <c r="O29" s="1012"/>
      <c r="P29" s="1013"/>
      <c r="U29" s="551"/>
      <c r="V29" s="1013"/>
      <c r="W29" s="1013"/>
    </row>
    <row r="30" spans="1:31" s="1011" customFormat="1" hidden="1" x14ac:dyDescent="0.25">
      <c r="A30" s="1199" t="s">
        <v>26</v>
      </c>
      <c r="B30" s="1195">
        <v>10900018</v>
      </c>
      <c r="C30" s="1195">
        <v>18</v>
      </c>
      <c r="D30" s="1195" t="s">
        <v>169</v>
      </c>
      <c r="E30" s="1195" t="s">
        <v>168</v>
      </c>
      <c r="F30" s="1196" t="s">
        <v>721</v>
      </c>
      <c r="G30" s="550">
        <f>IFERROR(VLOOKUP(B30,[5]Sheet1!$C:$M,8,0),0)</f>
        <v>0</v>
      </c>
      <c r="H30" s="550">
        <f>IFERROR(VLOOKUP(B30,[5]Sheet1!$C:$M,9,0),0)</f>
        <v>-119680.00999999901</v>
      </c>
      <c r="I30" s="1201">
        <f t="shared" si="0"/>
        <v>-119680.00999999901</v>
      </c>
      <c r="J30" s="550">
        <v>0</v>
      </c>
      <c r="K30" s="550">
        <v>0</v>
      </c>
      <c r="L30" s="550"/>
      <c r="M30" s="1373">
        <f>VLOOKUP(B30,[6]Sheet1!$D:$M,10,0)</f>
        <v>-9835879.1999999899</v>
      </c>
      <c r="N30" s="550">
        <f t="shared" si="1"/>
        <v>9716199.1899999902</v>
      </c>
      <c r="O30" s="1012"/>
      <c r="P30" s="1013"/>
      <c r="U30" s="551"/>
      <c r="V30" s="1013"/>
      <c r="W30" s="1013"/>
    </row>
    <row r="31" spans="1:31" s="1011" customFormat="1" hidden="1" x14ac:dyDescent="0.25">
      <c r="A31" s="1199" t="s">
        <v>26</v>
      </c>
      <c r="B31" s="1195">
        <v>11000001</v>
      </c>
      <c r="C31" s="1195">
        <v>19</v>
      </c>
      <c r="D31" s="1195" t="s">
        <v>36</v>
      </c>
      <c r="E31" s="1195" t="s">
        <v>131</v>
      </c>
      <c r="F31" s="1196" t="s">
        <v>1248</v>
      </c>
      <c r="G31" s="550">
        <f>IFERROR(VLOOKUP(B31,[5]Sheet1!$C:$M,8,0),0)</f>
        <v>0</v>
      </c>
      <c r="H31" s="550">
        <f>IFERROR(VLOOKUP(B31,[5]Sheet1!$C:$M,9,0),0)</f>
        <v>-382362.06</v>
      </c>
      <c r="I31" s="1201">
        <f t="shared" si="0"/>
        <v>-382362.06</v>
      </c>
      <c r="J31" s="550">
        <v>0</v>
      </c>
      <c r="K31" s="550">
        <v>0</v>
      </c>
      <c r="L31" s="550"/>
      <c r="M31" s="1373">
        <f>VLOOKUP(B31,[6]Sheet1!$D:$M,10,0)</f>
        <v>53941.440000000002</v>
      </c>
      <c r="N31" s="550">
        <f t="shared" si="1"/>
        <v>-436303.5</v>
      </c>
      <c r="O31" s="1012"/>
      <c r="P31" s="1013"/>
      <c r="U31" s="551"/>
      <c r="V31" s="1013"/>
      <c r="W31" s="1013"/>
    </row>
    <row r="32" spans="1:31" s="1011" customFormat="1" hidden="1" x14ac:dyDescent="0.25">
      <c r="A32" s="1199" t="s">
        <v>26</v>
      </c>
      <c r="B32" s="1195">
        <v>11000002</v>
      </c>
      <c r="C32" s="1195">
        <v>19</v>
      </c>
      <c r="D32" s="1195" t="s">
        <v>36</v>
      </c>
      <c r="E32" s="1195" t="s">
        <v>131</v>
      </c>
      <c r="F32" s="1196" t="s">
        <v>722</v>
      </c>
      <c r="G32" s="550">
        <f>IFERROR(VLOOKUP(B32,[5]Sheet1!$C:$M,8,0),0)</f>
        <v>0</v>
      </c>
      <c r="H32" s="550">
        <f>IFERROR(VLOOKUP(B32,[5]Sheet1!$C:$M,9,0),0)</f>
        <v>-3257917.48</v>
      </c>
      <c r="I32" s="1201">
        <f t="shared" si="0"/>
        <v>-3257917.48</v>
      </c>
      <c r="J32" s="550">
        <v>0</v>
      </c>
      <c r="K32" s="550">
        <v>0</v>
      </c>
      <c r="L32" s="550"/>
      <c r="M32" s="1373">
        <f>VLOOKUP(B32,[6]Sheet1!$D:$M,10,0)</f>
        <v>-336176.31</v>
      </c>
      <c r="N32" s="550">
        <f t="shared" si="1"/>
        <v>-2921741.17</v>
      </c>
      <c r="O32" s="1012"/>
      <c r="P32" s="1013"/>
      <c r="U32" s="551"/>
      <c r="V32" s="1013"/>
      <c r="W32" s="1013"/>
    </row>
    <row r="33" spans="1:23" s="1011" customFormat="1" hidden="1" x14ac:dyDescent="0.25">
      <c r="A33" s="1199" t="s">
        <v>26</v>
      </c>
      <c r="B33" s="1195">
        <v>11000003</v>
      </c>
      <c r="C33" s="1195">
        <v>19</v>
      </c>
      <c r="D33" s="1195" t="s">
        <v>36</v>
      </c>
      <c r="E33" s="1195" t="s">
        <v>131</v>
      </c>
      <c r="F33" s="1196" t="s">
        <v>1249</v>
      </c>
      <c r="G33" s="550">
        <f>IFERROR(VLOOKUP(B33,[5]Sheet1!$C:$M,8,0),0)</f>
        <v>0</v>
      </c>
      <c r="H33" s="550">
        <f>IFERROR(VLOOKUP(B33,[5]Sheet1!$C:$M,9,0),0)</f>
        <v>-0.17</v>
      </c>
      <c r="I33" s="1201">
        <f t="shared" si="0"/>
        <v>-0.17</v>
      </c>
      <c r="J33" s="550">
        <v>0</v>
      </c>
      <c r="K33" s="550">
        <v>0</v>
      </c>
      <c r="L33" s="550"/>
      <c r="M33" s="1373">
        <f>VLOOKUP(B33,[6]Sheet1!$D:$M,10,0)</f>
        <v>501331.83</v>
      </c>
      <c r="N33" s="550">
        <f t="shared" si="1"/>
        <v>-501332</v>
      </c>
      <c r="O33" s="1012"/>
      <c r="P33" s="1013"/>
      <c r="U33" s="551"/>
      <c r="V33" s="1013"/>
      <c r="W33" s="1013"/>
    </row>
    <row r="34" spans="1:23" s="1011" customFormat="1" hidden="1" x14ac:dyDescent="0.25">
      <c r="A34" s="1199" t="s">
        <v>26</v>
      </c>
      <c r="B34" s="1195">
        <v>11000005</v>
      </c>
      <c r="C34" s="1195">
        <v>19</v>
      </c>
      <c r="D34" s="1195" t="s">
        <v>36</v>
      </c>
      <c r="E34" s="1195" t="s">
        <v>131</v>
      </c>
      <c r="F34" s="1196" t="s">
        <v>723</v>
      </c>
      <c r="G34" s="550">
        <f>IFERROR(VLOOKUP(B34,[5]Sheet1!$C:$M,8,0),0)</f>
        <v>0</v>
      </c>
      <c r="H34" s="550">
        <f>IFERROR(VLOOKUP(B34,[5]Sheet1!$C:$M,9,0),0)</f>
        <v>-75369</v>
      </c>
      <c r="I34" s="1201">
        <f t="shared" si="0"/>
        <v>-75369</v>
      </c>
      <c r="J34" s="550">
        <v>0</v>
      </c>
      <c r="K34" s="550">
        <v>0</v>
      </c>
      <c r="L34" s="550"/>
      <c r="M34" s="1373">
        <f>VLOOKUP(B34,[6]Sheet1!$D:$M,10,0)</f>
        <v>9503</v>
      </c>
      <c r="N34" s="550">
        <f t="shared" si="1"/>
        <v>-84872</v>
      </c>
      <c r="O34" s="1012"/>
      <c r="P34" s="1013"/>
      <c r="U34" s="551"/>
      <c r="V34" s="1013"/>
      <c r="W34" s="1013"/>
    </row>
    <row r="35" spans="1:23" s="1011" customFormat="1" hidden="1" x14ac:dyDescent="0.25">
      <c r="A35" s="1199" t="s">
        <v>26</v>
      </c>
      <c r="B35" s="1195">
        <v>11000006</v>
      </c>
      <c r="C35" s="1195">
        <v>19</v>
      </c>
      <c r="D35" s="1195" t="s">
        <v>36</v>
      </c>
      <c r="E35" s="1195" t="s">
        <v>131</v>
      </c>
      <c r="F35" s="1196" t="s">
        <v>1250</v>
      </c>
      <c r="G35" s="550">
        <f>IFERROR(VLOOKUP(B35,[5]Sheet1!$C:$M,8,0),0)</f>
        <v>0</v>
      </c>
      <c r="H35" s="550">
        <f>IFERROR(VLOOKUP(B35,[5]Sheet1!$C:$M,9,0),0)</f>
        <v>-224723.73</v>
      </c>
      <c r="I35" s="1201">
        <f t="shared" si="0"/>
        <v>-224723.73</v>
      </c>
      <c r="J35" s="550">
        <v>0</v>
      </c>
      <c r="K35" s="550">
        <v>0</v>
      </c>
      <c r="L35" s="550"/>
      <c r="M35" s="1373">
        <f>VLOOKUP(B35,[6]Sheet1!$D:$M,10,0)</f>
        <v>-63397.5</v>
      </c>
      <c r="N35" s="550">
        <f t="shared" si="1"/>
        <v>-161326.23000000001</v>
      </c>
      <c r="O35" s="1012"/>
      <c r="P35" s="1013"/>
      <c r="U35" s="551"/>
      <c r="V35" s="1013"/>
      <c r="W35" s="1013"/>
    </row>
    <row r="36" spans="1:23" s="1011" customFormat="1" hidden="1" x14ac:dyDescent="0.25">
      <c r="A36" s="1199" t="s">
        <v>26</v>
      </c>
      <c r="B36" s="1195">
        <v>11000007</v>
      </c>
      <c r="C36" s="1195">
        <v>19</v>
      </c>
      <c r="D36" s="1195" t="s">
        <v>36</v>
      </c>
      <c r="E36" s="1195" t="s">
        <v>131</v>
      </c>
      <c r="F36" s="1196" t="s">
        <v>724</v>
      </c>
      <c r="G36" s="550">
        <f>IFERROR(VLOOKUP(B36,[5]Sheet1!$C:$M,8,0),0)</f>
        <v>0</v>
      </c>
      <c r="H36" s="550">
        <f>IFERROR(VLOOKUP(B36,[5]Sheet1!$C:$M,9,0),0)</f>
        <v>-608661</v>
      </c>
      <c r="I36" s="1201">
        <f t="shared" si="0"/>
        <v>-608661</v>
      </c>
      <c r="J36" s="550">
        <v>0</v>
      </c>
      <c r="K36" s="550">
        <v>0</v>
      </c>
      <c r="L36" s="550"/>
      <c r="M36" s="1373">
        <f>VLOOKUP(B36,[6]Sheet1!$D:$M,10,0)</f>
        <v>-384318</v>
      </c>
      <c r="N36" s="550">
        <f t="shared" si="1"/>
        <v>-224343</v>
      </c>
      <c r="O36" s="1012"/>
      <c r="P36" s="1013"/>
      <c r="U36" s="551"/>
      <c r="V36" s="1013"/>
      <c r="W36" s="1013"/>
    </row>
    <row r="37" spans="1:23" s="1011" customFormat="1" hidden="1" x14ac:dyDescent="0.25">
      <c r="A37" s="1199" t="s">
        <v>26</v>
      </c>
      <c r="B37" s="1195">
        <v>11000011</v>
      </c>
      <c r="C37" s="1195">
        <v>19</v>
      </c>
      <c r="D37" s="1195" t="s">
        <v>36</v>
      </c>
      <c r="E37" s="1195" t="s">
        <v>131</v>
      </c>
      <c r="F37" s="1196" t="s">
        <v>1251</v>
      </c>
      <c r="G37" s="550">
        <f>IFERROR(VLOOKUP(B37,[5]Sheet1!$C:$M,8,0),0)</f>
        <v>0</v>
      </c>
      <c r="H37" s="550">
        <f>IFERROR(VLOOKUP(B37,[5]Sheet1!$C:$M,9,0),0)</f>
        <v>-430291</v>
      </c>
      <c r="I37" s="1201">
        <f t="shared" si="0"/>
        <v>-430291</v>
      </c>
      <c r="J37" s="550">
        <v>0</v>
      </c>
      <c r="K37" s="550">
        <v>0</v>
      </c>
      <c r="L37" s="550"/>
      <c r="M37" s="1373">
        <f>VLOOKUP(B37,[6]Sheet1!$D:$M,10,0)</f>
        <v>-348863</v>
      </c>
      <c r="N37" s="550">
        <f t="shared" si="1"/>
        <v>-81428</v>
      </c>
      <c r="O37" s="1012"/>
      <c r="P37" s="1013"/>
      <c r="U37" s="551"/>
      <c r="V37" s="1013"/>
      <c r="W37" s="1013"/>
    </row>
    <row r="38" spans="1:23" s="1011" customFormat="1" hidden="1" x14ac:dyDescent="0.25">
      <c r="A38" s="1199" t="s">
        <v>26</v>
      </c>
      <c r="B38" s="1195">
        <v>11000012</v>
      </c>
      <c r="C38" s="1195">
        <v>19</v>
      </c>
      <c r="D38" s="1195" t="s">
        <v>36</v>
      </c>
      <c r="E38" s="1195" t="s">
        <v>131</v>
      </c>
      <c r="F38" s="1196" t="s">
        <v>725</v>
      </c>
      <c r="G38" s="550">
        <f>IFERROR(VLOOKUP(B38,[5]Sheet1!$C:$M,8,0),0)</f>
        <v>0</v>
      </c>
      <c r="H38" s="550">
        <f>IFERROR(VLOOKUP(B38,[5]Sheet1!$C:$M,9,0),0)</f>
        <v>-36800</v>
      </c>
      <c r="I38" s="1201">
        <f t="shared" si="0"/>
        <v>-36800</v>
      </c>
      <c r="J38" s="550">
        <v>0</v>
      </c>
      <c r="K38" s="550">
        <v>0</v>
      </c>
      <c r="L38" s="550"/>
      <c r="M38" s="1373">
        <f>VLOOKUP(B38,[6]Sheet1!$D:$M,10,0)</f>
        <v>-34000</v>
      </c>
      <c r="N38" s="550">
        <f t="shared" si="1"/>
        <v>-2800</v>
      </c>
      <c r="O38" s="1012"/>
      <c r="P38" s="1013"/>
      <c r="U38" s="551"/>
      <c r="V38" s="1013"/>
      <c r="W38" s="1013"/>
    </row>
    <row r="39" spans="1:23" s="1011" customFormat="1" hidden="1" x14ac:dyDescent="0.25">
      <c r="A39" s="1199" t="s">
        <v>26</v>
      </c>
      <c r="B39" s="1195">
        <v>11100002</v>
      </c>
      <c r="C39" s="1195">
        <v>18</v>
      </c>
      <c r="D39" s="1195" t="s">
        <v>169</v>
      </c>
      <c r="E39" s="1195" t="s">
        <v>1604</v>
      </c>
      <c r="F39" s="1196" t="s">
        <v>727</v>
      </c>
      <c r="G39" s="550">
        <f>IFERROR(VLOOKUP(B39,[5]Sheet1!$C:$M,8,0),0)</f>
        <v>0</v>
      </c>
      <c r="H39" s="550">
        <f>IFERROR(VLOOKUP(B39,[5]Sheet1!$C:$M,9,0),0)</f>
        <v>-176543.07</v>
      </c>
      <c r="I39" s="1201">
        <f t="shared" si="0"/>
        <v>-176543.07</v>
      </c>
      <c r="J39" s="550">
        <v>0</v>
      </c>
      <c r="K39" s="550">
        <v>0</v>
      </c>
      <c r="L39" s="550"/>
      <c r="M39" s="1373">
        <f>VLOOKUP(B39,[6]Sheet1!$D:$M,10,0)</f>
        <v>-86083192.260000005</v>
      </c>
      <c r="N39" s="550">
        <f t="shared" si="1"/>
        <v>85906649.190000013</v>
      </c>
      <c r="O39" s="1012"/>
      <c r="P39" s="1013"/>
      <c r="U39" s="551"/>
      <c r="V39" s="1013"/>
      <c r="W39" s="1013"/>
    </row>
    <row r="40" spans="1:23" s="1011" customFormat="1" hidden="1" x14ac:dyDescent="0.25">
      <c r="A40" s="1199" t="s">
        <v>26</v>
      </c>
      <c r="B40" s="1195">
        <v>21000008</v>
      </c>
      <c r="C40" s="1195">
        <v>19</v>
      </c>
      <c r="D40" s="1195" t="s">
        <v>36</v>
      </c>
      <c r="E40" s="1195" t="s">
        <v>131</v>
      </c>
      <c r="F40" s="1196" t="s">
        <v>746</v>
      </c>
      <c r="G40" s="550">
        <f>IFERROR(VLOOKUP(B40,[5]Sheet1!$C:$M,8,0),0)</f>
        <v>0</v>
      </c>
      <c r="H40" s="550">
        <f>IFERROR(VLOOKUP(B40,[5]Sheet1!$C:$M,9,0),0)</f>
        <v>-56666.529999999897</v>
      </c>
      <c r="I40" s="1201">
        <f t="shared" si="0"/>
        <v>-56666.529999999897</v>
      </c>
      <c r="J40" s="550">
        <v>0</v>
      </c>
      <c r="K40" s="550">
        <v>0</v>
      </c>
      <c r="L40" s="550"/>
      <c r="M40" s="1373">
        <f>VLOOKUP(B40,[6]Sheet1!$D:$M,10,0)</f>
        <v>-6856990.8499999903</v>
      </c>
      <c r="N40" s="550">
        <f t="shared" si="1"/>
        <v>6800324.3199999901</v>
      </c>
      <c r="O40" s="1012"/>
      <c r="P40" s="1013"/>
      <c r="U40" s="551"/>
      <c r="V40" s="1013"/>
      <c r="W40" s="1013"/>
    </row>
    <row r="41" spans="1:23" s="1011" customFormat="1" hidden="1" x14ac:dyDescent="0.25">
      <c r="A41" s="1199" t="s">
        <v>26</v>
      </c>
      <c r="B41" s="1195">
        <v>21000009</v>
      </c>
      <c r="C41" s="1195">
        <v>19</v>
      </c>
      <c r="D41" s="1195" t="s">
        <v>36</v>
      </c>
      <c r="E41" s="1195" t="s">
        <v>131</v>
      </c>
      <c r="F41" s="1196" t="s">
        <v>747</v>
      </c>
      <c r="G41" s="550">
        <f>IFERROR(VLOOKUP(B41,[5]Sheet1!$C:$M,8,0),0)</f>
        <v>0</v>
      </c>
      <c r="H41" s="550">
        <f>IFERROR(VLOOKUP(B41,[5]Sheet1!$C:$M,9,0),0)</f>
        <v>-56666.529999999897</v>
      </c>
      <c r="I41" s="1201">
        <f t="shared" si="0"/>
        <v>-56666.529999999897</v>
      </c>
      <c r="J41" s="550">
        <v>0</v>
      </c>
      <c r="K41" s="550">
        <v>0</v>
      </c>
      <c r="L41" s="550"/>
      <c r="M41" s="1373">
        <f>VLOOKUP(B41,[6]Sheet1!$D:$M,10,0)</f>
        <v>-6856990.8499999903</v>
      </c>
      <c r="N41" s="550">
        <f t="shared" si="1"/>
        <v>6800324.3199999901</v>
      </c>
      <c r="O41" s="1012"/>
      <c r="P41" s="1013"/>
      <c r="U41" s="551"/>
      <c r="V41" s="1013"/>
      <c r="W41" s="1013"/>
    </row>
    <row r="42" spans="1:23" s="1011" customFormat="1" hidden="1" x14ac:dyDescent="0.25">
      <c r="A42" s="1199" t="s">
        <v>26</v>
      </c>
      <c r="B42" s="1195">
        <v>21000010</v>
      </c>
      <c r="C42" s="1195">
        <v>19</v>
      </c>
      <c r="D42" s="1195" t="s">
        <v>36</v>
      </c>
      <c r="E42" s="1195" t="s">
        <v>131</v>
      </c>
      <c r="F42" s="1196" t="s">
        <v>748</v>
      </c>
      <c r="G42" s="550">
        <f>IFERROR(VLOOKUP(B42,[5]Sheet1!$C:$M,8,0),0)</f>
        <v>0</v>
      </c>
      <c r="H42" s="550">
        <f>IFERROR(VLOOKUP(B42,[5]Sheet1!$C:$M,9,0),0)</f>
        <v>-18474.82</v>
      </c>
      <c r="I42" s="1201">
        <f t="shared" si="0"/>
        <v>-18474.82</v>
      </c>
      <c r="J42" s="550">
        <v>0</v>
      </c>
      <c r="K42" s="550">
        <v>0</v>
      </c>
      <c r="L42" s="550"/>
      <c r="M42" s="1373">
        <f>VLOOKUP(B42,[6]Sheet1!$D:$M,10,0)</f>
        <v>-7704337.71</v>
      </c>
      <c r="N42" s="550">
        <f t="shared" si="1"/>
        <v>7685862.8899999997</v>
      </c>
      <c r="O42" s="1012"/>
      <c r="P42" s="1013"/>
      <c r="U42" s="551"/>
      <c r="V42" s="1013"/>
      <c r="W42" s="1013"/>
    </row>
    <row r="43" spans="1:23" s="1011" customFormat="1" hidden="1" x14ac:dyDescent="0.25">
      <c r="A43" s="1199" t="s">
        <v>26</v>
      </c>
      <c r="B43" s="1195">
        <v>80000000</v>
      </c>
      <c r="C43" s="1195">
        <v>17</v>
      </c>
      <c r="D43" s="1195" t="s">
        <v>153</v>
      </c>
      <c r="E43" s="1195" t="s">
        <v>134</v>
      </c>
      <c r="F43" s="1196" t="s">
        <v>1205</v>
      </c>
      <c r="G43" s="550">
        <f>IFERROR(VLOOKUP(B43,[5]Sheet1!$C:$M,8,0),0)</f>
        <v>0</v>
      </c>
      <c r="H43" s="550">
        <f>IFERROR(VLOOKUP(B43,[5]Sheet1!$C:$M,9,0),0)</f>
        <v>-9589348.1999999899</v>
      </c>
      <c r="I43" s="1201">
        <f t="shared" si="0"/>
        <v>-9589348.1999999899</v>
      </c>
      <c r="J43" s="550">
        <v>0</v>
      </c>
      <c r="K43" s="550">
        <v>0</v>
      </c>
      <c r="L43" s="550"/>
      <c r="M43" s="1373">
        <f>VLOOKUP(B43,[6]Sheet1!$D:$M,10,0)</f>
        <v>-11415016.460000001</v>
      </c>
      <c r="N43" s="550">
        <f t="shared" si="1"/>
        <v>1825668.260000011</v>
      </c>
      <c r="O43" s="1012"/>
      <c r="P43" s="1013"/>
      <c r="U43" s="551"/>
      <c r="V43" s="1013"/>
      <c r="W43" s="1013"/>
    </row>
    <row r="44" spans="1:23" s="1011" customFormat="1" hidden="1" x14ac:dyDescent="0.25">
      <c r="A44" s="1199" t="s">
        <v>26</v>
      </c>
      <c r="B44" s="1195">
        <v>80000002</v>
      </c>
      <c r="C44" s="1195">
        <v>17</v>
      </c>
      <c r="D44" s="1195" t="s">
        <v>153</v>
      </c>
      <c r="E44" s="1195" t="s">
        <v>134</v>
      </c>
      <c r="F44" s="1196" t="s">
        <v>775</v>
      </c>
      <c r="G44" s="550">
        <f>IFERROR(VLOOKUP(B44,[5]Sheet1!$C:$M,8,0),0)</f>
        <v>0</v>
      </c>
      <c r="H44" s="550">
        <f>IFERROR(VLOOKUP(B44,[5]Sheet1!$C:$M,9,0),0)</f>
        <v>-1339733.6399999899</v>
      </c>
      <c r="I44" s="1201">
        <f t="shared" si="0"/>
        <v>-1339733.6399999899</v>
      </c>
      <c r="J44" s="550">
        <v>0</v>
      </c>
      <c r="K44" s="550">
        <v>0</v>
      </c>
      <c r="L44" s="550"/>
      <c r="M44" s="1373">
        <f>VLOOKUP(B44,[6]Sheet1!$D:$M,10,0)</f>
        <v>-1558366.4399999899</v>
      </c>
      <c r="N44" s="550">
        <f t="shared" si="1"/>
        <v>218632.80000000005</v>
      </c>
      <c r="O44" s="1012"/>
      <c r="P44" s="1013"/>
      <c r="U44" s="551"/>
      <c r="V44" s="1013"/>
      <c r="W44" s="1013"/>
    </row>
    <row r="45" spans="1:23" s="1011" customFormat="1" hidden="1" x14ac:dyDescent="0.25">
      <c r="A45" s="1199" t="s">
        <v>26</v>
      </c>
      <c r="B45" s="1195">
        <v>80000003</v>
      </c>
      <c r="C45" s="1195">
        <v>17</v>
      </c>
      <c r="D45" s="1195" t="s">
        <v>153</v>
      </c>
      <c r="E45" s="1195" t="s">
        <v>134</v>
      </c>
      <c r="F45" s="1196" t="s">
        <v>780</v>
      </c>
      <c r="G45" s="550">
        <f>IFERROR(VLOOKUP(B45,[5]Sheet1!$C:$M,8,0),0)</f>
        <v>0</v>
      </c>
      <c r="H45" s="550">
        <f>IFERROR(VLOOKUP(B45,[5]Sheet1!$C:$M,9,0),0)</f>
        <v>0</v>
      </c>
      <c r="I45" s="1201">
        <f t="shared" si="0"/>
        <v>0</v>
      </c>
      <c r="J45" s="550">
        <v>0</v>
      </c>
      <c r="K45" s="550">
        <v>0</v>
      </c>
      <c r="L45" s="550"/>
      <c r="M45" s="1373">
        <f>VLOOKUP(B45,[6]Sheet1!$D:$M,10,0)</f>
        <v>0</v>
      </c>
      <c r="N45" s="550">
        <f t="shared" si="1"/>
        <v>0</v>
      </c>
      <c r="O45" s="1012"/>
      <c r="P45" s="1013"/>
      <c r="U45" s="551"/>
      <c r="V45" s="1013"/>
      <c r="W45" s="1013"/>
    </row>
    <row r="46" spans="1:23" s="1011" customFormat="1" hidden="1" x14ac:dyDescent="0.25">
      <c r="A46" s="1199" t="s">
        <v>26</v>
      </c>
      <c r="B46" s="1195">
        <v>80000008</v>
      </c>
      <c r="C46" s="1195">
        <v>17</v>
      </c>
      <c r="D46" s="1195" t="s">
        <v>153</v>
      </c>
      <c r="E46" s="1195" t="s">
        <v>134</v>
      </c>
      <c r="F46" s="1196" t="s">
        <v>776</v>
      </c>
      <c r="G46" s="550">
        <f>IFERROR(VLOOKUP(B46,[5]Sheet1!$C:$M,8,0),0)</f>
        <v>0</v>
      </c>
      <c r="H46" s="550">
        <f>IFERROR(VLOOKUP(B46,[5]Sheet1!$C:$M,9,0),0)</f>
        <v>-2897539.6499999901</v>
      </c>
      <c r="I46" s="1201">
        <f t="shared" si="0"/>
        <v>-2897539.6499999901</v>
      </c>
      <c r="J46" s="550">
        <v>0</v>
      </c>
      <c r="K46" s="550">
        <v>0</v>
      </c>
      <c r="L46" s="550"/>
      <c r="M46" s="1373">
        <f>VLOOKUP(B46,[6]Sheet1!$D:$M,10,0)</f>
        <v>-4930772.3600000003</v>
      </c>
      <c r="N46" s="550">
        <f t="shared" si="1"/>
        <v>2033232.7100000102</v>
      </c>
      <c r="O46" s="1012"/>
      <c r="P46" s="1013"/>
      <c r="U46" s="551"/>
      <c r="V46" s="1013"/>
      <c r="W46" s="1013"/>
    </row>
    <row r="47" spans="1:23" s="1011" customFormat="1" hidden="1" x14ac:dyDescent="0.25">
      <c r="A47" s="1199" t="s">
        <v>26</v>
      </c>
      <c r="B47" s="1195">
        <v>80000022</v>
      </c>
      <c r="C47" s="1195">
        <v>17</v>
      </c>
      <c r="D47" s="1195" t="s">
        <v>153</v>
      </c>
      <c r="E47" s="1195" t="s">
        <v>134</v>
      </c>
      <c r="F47" s="1196" t="s">
        <v>781</v>
      </c>
      <c r="G47" s="550">
        <f>IFERROR(VLOOKUP(B47,[5]Sheet1!$C:$M,8,0),0)</f>
        <v>0</v>
      </c>
      <c r="H47" s="550">
        <f>IFERROR(VLOOKUP(B47,[5]Sheet1!$C:$M,9,0),0)</f>
        <v>0</v>
      </c>
      <c r="I47" s="1201">
        <f t="shared" si="0"/>
        <v>0</v>
      </c>
      <c r="J47" s="550">
        <v>0</v>
      </c>
      <c r="K47" s="550">
        <v>0</v>
      </c>
      <c r="L47" s="550"/>
      <c r="M47" s="1373" t="e">
        <f>VLOOKUP(B47,[6]Sheet1!$D:$M,10,0)</f>
        <v>#N/A</v>
      </c>
      <c r="N47" s="550" t="e">
        <f t="shared" si="1"/>
        <v>#N/A</v>
      </c>
      <c r="O47" s="1012"/>
      <c r="P47" s="1013"/>
      <c r="U47" s="551"/>
      <c r="V47" s="1013"/>
      <c r="W47" s="1013"/>
    </row>
    <row r="48" spans="1:23" s="1011" customFormat="1" hidden="1" x14ac:dyDescent="0.25">
      <c r="A48" s="1199" t="s">
        <v>26</v>
      </c>
      <c r="B48" s="1195">
        <v>10800007</v>
      </c>
      <c r="C48" s="1195">
        <v>17</v>
      </c>
      <c r="D48" s="1195" t="s">
        <v>153</v>
      </c>
      <c r="E48" s="1195" t="s">
        <v>134</v>
      </c>
      <c r="F48" s="1196" t="s">
        <v>896</v>
      </c>
      <c r="G48" s="550">
        <f>IFERROR(VLOOKUP(B48,[5]Sheet1!$C:$M,8,0),0)</f>
        <v>0</v>
      </c>
      <c r="H48" s="550">
        <f>IFERROR(VLOOKUP(B48,[5]Sheet1!$C:$M,9,0),0)</f>
        <v>-2836222.46</v>
      </c>
      <c r="I48" s="1201">
        <f t="shared" si="0"/>
        <v>-2836222.46</v>
      </c>
      <c r="J48" s="550">
        <v>0</v>
      </c>
      <c r="K48" s="550">
        <v>0</v>
      </c>
      <c r="L48" s="550"/>
      <c r="M48" s="1373">
        <f>VLOOKUP(B48,[6]Sheet1!$D:$M,10,0)</f>
        <v>983116.42</v>
      </c>
      <c r="N48" s="550">
        <f t="shared" si="1"/>
        <v>-3819338.88</v>
      </c>
      <c r="O48" s="1012"/>
      <c r="P48" s="1013"/>
      <c r="U48" s="551"/>
      <c r="V48" s="1013"/>
      <c r="W48" s="1013"/>
    </row>
    <row r="49" spans="1:16383" s="1011" customFormat="1" hidden="1" x14ac:dyDescent="0.25">
      <c r="A49" s="1199" t="s">
        <v>26</v>
      </c>
      <c r="B49" s="1195">
        <v>10900016</v>
      </c>
      <c r="C49" s="1195">
        <v>18</v>
      </c>
      <c r="D49" s="1195" t="s">
        <v>169</v>
      </c>
      <c r="E49" s="1195" t="s">
        <v>168</v>
      </c>
      <c r="F49" s="1196" t="s">
        <v>898</v>
      </c>
      <c r="G49" s="550">
        <f>IFERROR(VLOOKUP(B49,[5]Sheet1!$C:$M,8,0),0)</f>
        <v>0</v>
      </c>
      <c r="H49" s="550">
        <f>IFERROR(VLOOKUP(B49,[5]Sheet1!$C:$M,9,0),0)</f>
        <v>-4000000</v>
      </c>
      <c r="I49" s="1201">
        <f t="shared" si="0"/>
        <v>-4000000</v>
      </c>
      <c r="J49" s="550">
        <v>0</v>
      </c>
      <c r="K49" s="550">
        <v>0</v>
      </c>
      <c r="L49" s="550"/>
      <c r="M49" s="1373">
        <f>VLOOKUP(B49,[6]Sheet1!$D:$M,10,0)</f>
        <v>-105000</v>
      </c>
      <c r="N49" s="550">
        <f t="shared" si="1"/>
        <v>-3895000</v>
      </c>
      <c r="O49" s="1012"/>
      <c r="P49" s="1013"/>
      <c r="U49" s="551"/>
      <c r="V49" s="1013"/>
      <c r="W49" s="1013"/>
    </row>
    <row r="50" spans="1:16383" hidden="1" x14ac:dyDescent="0.25">
      <c r="A50" s="1199" t="s">
        <v>26</v>
      </c>
      <c r="B50" s="1199">
        <v>10900013</v>
      </c>
      <c r="C50" s="1195">
        <v>17</v>
      </c>
      <c r="D50" s="1195" t="s">
        <v>153</v>
      </c>
      <c r="E50" s="1195" t="s">
        <v>134</v>
      </c>
      <c r="F50" s="1196" t="s">
        <v>1122</v>
      </c>
      <c r="G50" s="550">
        <f>IFERROR(VLOOKUP(B50,[5]Sheet1!$C:$M,8,0),0)</f>
        <v>0</v>
      </c>
      <c r="H50" s="550">
        <f>IFERROR(VLOOKUP(B50,[5]Sheet1!$C:$M,9,0),0)</f>
        <v>-6369417.54</v>
      </c>
      <c r="I50" s="1201">
        <f t="shared" si="0"/>
        <v>-6369417.54</v>
      </c>
      <c r="J50" s="550">
        <v>0</v>
      </c>
      <c r="K50" s="550">
        <v>0</v>
      </c>
      <c r="L50" s="550"/>
      <c r="M50" s="1373">
        <f>VLOOKUP(B50,[6]Sheet1!$D:$M,10,0)</f>
        <v>-6369417.54</v>
      </c>
      <c r="N50" s="550">
        <f t="shared" si="1"/>
        <v>0</v>
      </c>
      <c r="U50" s="551"/>
      <c r="V50" s="1013"/>
    </row>
    <row r="51" spans="1:16383" hidden="1" x14ac:dyDescent="0.25">
      <c r="A51" s="1199" t="s">
        <v>26</v>
      </c>
      <c r="B51" s="1199">
        <v>10900015</v>
      </c>
      <c r="C51" s="1199">
        <v>6</v>
      </c>
      <c r="D51" s="1195" t="s">
        <v>927</v>
      </c>
      <c r="E51" s="1199" t="s">
        <v>1128</v>
      </c>
      <c r="F51" s="1196" t="s">
        <v>1149</v>
      </c>
      <c r="G51" s="550">
        <f>IFERROR(VLOOKUP(B51,[5]Sheet1!$C:$M,8,0),0)</f>
        <v>0</v>
      </c>
      <c r="H51" s="550">
        <f>IFERROR(VLOOKUP(B51,[5]Sheet1!$C:$M,9,0),0)</f>
        <v>0</v>
      </c>
      <c r="I51" s="1201">
        <f t="shared" si="0"/>
        <v>0</v>
      </c>
      <c r="J51" s="550">
        <v>0</v>
      </c>
      <c r="K51" s="550">
        <v>0</v>
      </c>
      <c r="L51" s="1200"/>
      <c r="M51" s="1373">
        <f>VLOOKUP(B51,[6]Sheet1!$D:$M,10,0)</f>
        <v>0</v>
      </c>
      <c r="N51" s="550">
        <f t="shared" si="1"/>
        <v>0</v>
      </c>
      <c r="U51" s="551"/>
      <c r="V51" s="1013"/>
    </row>
    <row r="52" spans="1:16383" s="1011" customFormat="1" hidden="1" x14ac:dyDescent="0.25">
      <c r="A52" s="1199" t="s">
        <v>683</v>
      </c>
      <c r="B52" s="1195">
        <v>20000000</v>
      </c>
      <c r="C52" s="1195">
        <v>3</v>
      </c>
      <c r="D52" s="1195" t="s">
        <v>6</v>
      </c>
      <c r="E52" s="1195" t="s">
        <v>244</v>
      </c>
      <c r="F52" s="1196" t="s">
        <v>498</v>
      </c>
      <c r="G52" s="550">
        <f>IFERROR(VLOOKUP(B52,[5]Sheet1!$C:$M,8,0),0)</f>
        <v>93599471</v>
      </c>
      <c r="H52" s="550">
        <f>IFERROR(VLOOKUP(B52,[5]Sheet1!$C:$M,9,0),0)</f>
        <v>0</v>
      </c>
      <c r="I52" s="1201">
        <f t="shared" si="0"/>
        <v>93599471</v>
      </c>
      <c r="J52" s="550">
        <v>0</v>
      </c>
      <c r="K52" s="550">
        <v>0</v>
      </c>
      <c r="L52" s="550"/>
      <c r="M52" s="1373">
        <f>VLOOKUP(B52,[6]Sheet1!$D:$M,10,0)</f>
        <v>93599471</v>
      </c>
      <c r="N52" s="550">
        <f t="shared" si="1"/>
        <v>0</v>
      </c>
      <c r="O52" s="1012"/>
      <c r="P52" s="1013"/>
      <c r="U52" s="551"/>
      <c r="V52" s="1013"/>
      <c r="W52" s="1013"/>
    </row>
    <row r="53" spans="1:16383" hidden="1" x14ac:dyDescent="0.25">
      <c r="A53" s="1199" t="s">
        <v>683</v>
      </c>
      <c r="B53" s="1195">
        <v>20000001</v>
      </c>
      <c r="C53" s="1195">
        <v>3</v>
      </c>
      <c r="D53" s="1195" t="s">
        <v>6</v>
      </c>
      <c r="E53" s="1195" t="s">
        <v>1151</v>
      </c>
      <c r="F53" s="1196" t="s">
        <v>1151</v>
      </c>
      <c r="G53" s="550">
        <f>IFERROR(VLOOKUP(B53,[5]Sheet1!$C:$M,8,0),0)</f>
        <v>1479712802.52</v>
      </c>
      <c r="H53" s="550">
        <f>IFERROR(VLOOKUP(B53,[5]Sheet1!$C:$M,9,0),0)</f>
        <v>0</v>
      </c>
      <c r="I53" s="1201">
        <f t="shared" si="0"/>
        <v>1479712802.52</v>
      </c>
      <c r="J53" s="550">
        <v>0</v>
      </c>
      <c r="K53" s="550">
        <v>0</v>
      </c>
      <c r="L53" s="545"/>
      <c r="M53" s="1373">
        <f>VLOOKUP(B53,[6]Sheet1!$D:$M,10,0)</f>
        <v>1479119263.8</v>
      </c>
      <c r="N53" s="550">
        <f t="shared" si="1"/>
        <v>593538.72000002861</v>
      </c>
      <c r="U53" s="551"/>
      <c r="V53" s="1013"/>
    </row>
    <row r="54" spans="1:16383" hidden="1" x14ac:dyDescent="0.25">
      <c r="A54" s="1199" t="s">
        <v>683</v>
      </c>
      <c r="B54" s="1195">
        <v>20000002</v>
      </c>
      <c r="C54" s="1195">
        <v>3</v>
      </c>
      <c r="D54" s="1195" t="s">
        <v>6</v>
      </c>
      <c r="E54" s="1195" t="s">
        <v>1151</v>
      </c>
      <c r="F54" s="1413" t="s">
        <v>1152</v>
      </c>
      <c r="G54" s="550">
        <f>IFERROR(VLOOKUP(B54,[5]Sheet1!$C:$M,8,0),0)</f>
        <v>0</v>
      </c>
      <c r="H54" s="550">
        <f>IFERROR(VLOOKUP(B54,[5]Sheet1!$C:$M,9,0),0)</f>
        <v>-80613681.620000005</v>
      </c>
      <c r="I54" s="1201">
        <f t="shared" si="0"/>
        <v>-80613681.620000005</v>
      </c>
      <c r="J54" s="550">
        <v>0</v>
      </c>
      <c r="K54" s="550">
        <v>0</v>
      </c>
      <c r="L54" s="550"/>
      <c r="M54" s="1373">
        <f>VLOOKUP(B54,[6]Sheet1!$D:$M,10,0)</f>
        <v>-23521985.120000001</v>
      </c>
      <c r="N54" s="550">
        <f t="shared" si="1"/>
        <v>-57091696.5</v>
      </c>
      <c r="O54" s="1013"/>
      <c r="P54" s="1011"/>
      <c r="Q54" s="1011"/>
      <c r="R54" s="1011"/>
      <c r="S54" s="1011"/>
      <c r="T54" s="551"/>
      <c r="U54" s="551"/>
      <c r="V54" s="1013"/>
      <c r="W54" s="1011"/>
      <c r="X54" s="1011"/>
      <c r="Y54" s="1011"/>
      <c r="Z54" s="1011"/>
      <c r="AA54" s="1011"/>
      <c r="AB54" s="1011"/>
      <c r="AC54" s="1011"/>
      <c r="AD54" s="1011"/>
      <c r="AE54" s="1011"/>
      <c r="AF54" s="1011"/>
      <c r="AG54" s="1011"/>
      <c r="AH54" s="1011"/>
      <c r="AI54" s="1011"/>
      <c r="AJ54" s="1011"/>
      <c r="AK54" s="1011"/>
      <c r="AL54" s="1011"/>
      <c r="AM54" s="1011"/>
      <c r="AN54" s="1011"/>
      <c r="AO54" s="1011"/>
      <c r="AP54" s="1011"/>
      <c r="AQ54" s="1011"/>
      <c r="AR54" s="1011"/>
      <c r="AS54" s="1011"/>
      <c r="AT54" s="1011"/>
      <c r="AU54" s="1011"/>
      <c r="AV54" s="1011"/>
      <c r="AW54" s="1011"/>
      <c r="AX54" s="1011"/>
      <c r="AY54" s="1011"/>
      <c r="AZ54" s="1011"/>
      <c r="BA54" s="1011"/>
      <c r="BB54" s="1011"/>
      <c r="BC54" s="1011"/>
      <c r="BD54" s="1011"/>
      <c r="BE54" s="1011"/>
      <c r="BF54" s="1011"/>
      <c r="BG54" s="1011"/>
      <c r="BH54" s="1011"/>
      <c r="BI54" s="1011"/>
      <c r="BJ54" s="1011"/>
      <c r="BK54" s="1011"/>
      <c r="BL54" s="1011"/>
      <c r="BM54" s="1011"/>
      <c r="BN54" s="1011"/>
      <c r="BO54" s="1011"/>
      <c r="BP54" s="1011"/>
      <c r="BQ54" s="1011"/>
      <c r="BR54" s="1011"/>
      <c r="BS54" s="1011"/>
      <c r="BT54" s="1011"/>
      <c r="BU54" s="1011"/>
      <c r="BV54" s="1011"/>
      <c r="BW54" s="1011"/>
      <c r="BX54" s="1011"/>
      <c r="BY54" s="1011"/>
      <c r="BZ54" s="1011"/>
      <c r="CA54" s="1011"/>
      <c r="CB54" s="1011"/>
      <c r="CC54" s="1011"/>
      <c r="CD54" s="1011"/>
      <c r="CE54" s="1011"/>
      <c r="CF54" s="1011"/>
      <c r="CG54" s="1011"/>
      <c r="CH54" s="1011"/>
      <c r="CI54" s="1011"/>
      <c r="CJ54" s="1011"/>
      <c r="CK54" s="1011"/>
      <c r="CL54" s="1011"/>
      <c r="CM54" s="1011"/>
      <c r="CN54" s="1011"/>
      <c r="CO54" s="1011"/>
      <c r="CP54" s="1011"/>
      <c r="CQ54" s="1011"/>
      <c r="CR54" s="1011"/>
      <c r="CS54" s="1011"/>
      <c r="CT54" s="1011"/>
      <c r="CU54" s="1011"/>
      <c r="CV54" s="1011"/>
      <c r="CW54" s="1011"/>
      <c r="CX54" s="1011"/>
      <c r="CY54" s="1011"/>
      <c r="CZ54" s="1011"/>
      <c r="DA54" s="1011"/>
      <c r="DB54" s="1011"/>
      <c r="DC54" s="1011"/>
      <c r="DD54" s="1011"/>
      <c r="DE54" s="1011"/>
      <c r="DF54" s="1011"/>
      <c r="DG54" s="1011"/>
      <c r="DH54" s="1011"/>
      <c r="DI54" s="1011"/>
      <c r="DJ54" s="1011"/>
      <c r="DK54" s="1011"/>
      <c r="DL54" s="1011"/>
      <c r="DM54" s="1011"/>
      <c r="DN54" s="1011"/>
      <c r="DO54" s="1011"/>
      <c r="DP54" s="1011"/>
      <c r="DQ54" s="1011"/>
      <c r="DR54" s="1011"/>
      <c r="DS54" s="1011"/>
      <c r="DT54" s="1011"/>
      <c r="DU54" s="1011"/>
      <c r="DV54" s="1011"/>
      <c r="DW54" s="1011"/>
      <c r="DX54" s="1011"/>
      <c r="DY54" s="1011"/>
      <c r="DZ54" s="1011"/>
      <c r="EA54" s="1011"/>
      <c r="EB54" s="1011"/>
      <c r="EC54" s="1011"/>
      <c r="ED54" s="1011"/>
      <c r="EE54" s="1011"/>
      <c r="EF54" s="1011"/>
      <c r="EG54" s="1011"/>
      <c r="EH54" s="1011"/>
      <c r="EI54" s="1011"/>
      <c r="EJ54" s="1011"/>
      <c r="EK54" s="1011"/>
      <c r="EL54" s="1011"/>
      <c r="EM54" s="1011"/>
      <c r="EN54" s="1011"/>
      <c r="EO54" s="1011"/>
      <c r="EP54" s="1011"/>
      <c r="EQ54" s="1011"/>
      <c r="ER54" s="1011"/>
      <c r="ES54" s="1011"/>
      <c r="ET54" s="1011"/>
      <c r="EU54" s="1011"/>
      <c r="EV54" s="1011"/>
      <c r="EW54" s="1011"/>
      <c r="EX54" s="1011"/>
      <c r="EY54" s="1011"/>
      <c r="EZ54" s="1011"/>
      <c r="FA54" s="1011"/>
      <c r="FB54" s="1011"/>
      <c r="FC54" s="1011"/>
      <c r="FD54" s="1011"/>
      <c r="FE54" s="1011"/>
      <c r="FF54" s="1011"/>
      <c r="FG54" s="1011"/>
      <c r="FH54" s="1011"/>
      <c r="FI54" s="1011"/>
      <c r="FJ54" s="1011"/>
      <c r="FK54" s="1011"/>
      <c r="FL54" s="1011"/>
      <c r="FM54" s="1011"/>
      <c r="FN54" s="1011"/>
      <c r="FO54" s="1011"/>
      <c r="FP54" s="1011"/>
      <c r="FQ54" s="1011"/>
      <c r="FR54" s="1011"/>
      <c r="FS54" s="1011"/>
      <c r="FT54" s="1011"/>
      <c r="FU54" s="1011"/>
      <c r="FV54" s="1011"/>
      <c r="FW54" s="1011"/>
      <c r="FX54" s="1011"/>
      <c r="FY54" s="1011"/>
      <c r="FZ54" s="1011"/>
      <c r="GA54" s="1011"/>
      <c r="GB54" s="1011"/>
      <c r="GC54" s="1011"/>
      <c r="GD54" s="1011"/>
      <c r="GE54" s="1011"/>
      <c r="GF54" s="1011"/>
      <c r="GG54" s="1011"/>
      <c r="GH54" s="1011"/>
      <c r="GI54" s="1011"/>
      <c r="GJ54" s="1011"/>
      <c r="GK54" s="1011"/>
      <c r="GL54" s="1011"/>
      <c r="GM54" s="1011"/>
      <c r="GN54" s="1011"/>
      <c r="GO54" s="1011"/>
      <c r="GP54" s="1011"/>
      <c r="GQ54" s="1011"/>
      <c r="GR54" s="1011"/>
      <c r="GS54" s="1011"/>
      <c r="GT54" s="1011"/>
      <c r="GU54" s="1011"/>
      <c r="GV54" s="1011"/>
      <c r="GW54" s="1011"/>
      <c r="GX54" s="1011"/>
      <c r="GY54" s="1011"/>
      <c r="GZ54" s="1011"/>
      <c r="HA54" s="1011"/>
      <c r="HB54" s="1011"/>
      <c r="HC54" s="1011"/>
      <c r="HD54" s="1011"/>
      <c r="HE54" s="1011"/>
      <c r="HF54" s="1011"/>
      <c r="HG54" s="1011"/>
      <c r="HH54" s="1011"/>
      <c r="HI54" s="1011"/>
      <c r="HJ54" s="1011"/>
      <c r="HK54" s="1011"/>
      <c r="HL54" s="1011"/>
      <c r="HM54" s="1011"/>
      <c r="HN54" s="1011"/>
      <c r="HO54" s="1011"/>
      <c r="HP54" s="1011"/>
      <c r="HQ54" s="1011"/>
      <c r="HR54" s="1011"/>
      <c r="HS54" s="1011"/>
      <c r="HT54" s="1011"/>
      <c r="HU54" s="1011"/>
      <c r="HV54" s="1011"/>
      <c r="HW54" s="1011"/>
      <c r="HX54" s="1011"/>
      <c r="HY54" s="1011"/>
      <c r="HZ54" s="1011"/>
      <c r="IA54" s="1011"/>
      <c r="IB54" s="1011"/>
      <c r="IC54" s="1011"/>
      <c r="ID54" s="1011"/>
      <c r="IE54" s="1011"/>
      <c r="IF54" s="1011"/>
      <c r="IG54" s="1011"/>
      <c r="IH54" s="1011"/>
      <c r="II54" s="1011"/>
      <c r="IJ54" s="1011"/>
      <c r="IK54" s="1011"/>
      <c r="IL54" s="1011"/>
      <c r="IM54" s="1011"/>
      <c r="IN54" s="1011"/>
      <c r="IO54" s="1011"/>
      <c r="IP54" s="1011"/>
      <c r="IQ54" s="1011"/>
      <c r="IR54" s="1011"/>
      <c r="IS54" s="1011"/>
      <c r="IT54" s="1011"/>
      <c r="IU54" s="1011"/>
      <c r="IV54" s="1011"/>
      <c r="IW54" s="1011"/>
      <c r="IX54" s="1011"/>
      <c r="IY54" s="1011"/>
      <c r="IZ54" s="1011"/>
      <c r="JA54" s="1011"/>
      <c r="JB54" s="1011"/>
      <c r="JC54" s="1011"/>
      <c r="JD54" s="1011"/>
      <c r="JE54" s="1011"/>
      <c r="JF54" s="1011"/>
      <c r="JG54" s="1011"/>
      <c r="JH54" s="1011"/>
      <c r="JI54" s="1011"/>
      <c r="JJ54" s="1011"/>
      <c r="JK54" s="1011"/>
      <c r="JL54" s="1011"/>
      <c r="JM54" s="1011"/>
      <c r="JN54" s="1011"/>
      <c r="JO54" s="1011"/>
      <c r="JP54" s="1011"/>
      <c r="JQ54" s="1011"/>
      <c r="JR54" s="1011"/>
      <c r="JS54" s="1011"/>
      <c r="JT54" s="1011"/>
      <c r="JU54" s="1011"/>
      <c r="JV54" s="1011"/>
      <c r="JW54" s="1011"/>
      <c r="JX54" s="1011"/>
      <c r="JY54" s="1011"/>
      <c r="JZ54" s="1011"/>
      <c r="KA54" s="1011"/>
      <c r="KB54" s="1011"/>
      <c r="KC54" s="1011"/>
      <c r="KD54" s="1011"/>
      <c r="KE54" s="1011"/>
      <c r="KF54" s="1011"/>
      <c r="KG54" s="1011"/>
      <c r="KH54" s="1011"/>
      <c r="KI54" s="1011"/>
      <c r="KJ54" s="1011"/>
      <c r="KK54" s="1011"/>
      <c r="KL54" s="1011"/>
      <c r="KM54" s="1011"/>
      <c r="KN54" s="1011"/>
      <c r="KO54" s="1011"/>
      <c r="KP54" s="1011"/>
      <c r="KQ54" s="1011"/>
      <c r="KR54" s="1011"/>
      <c r="KS54" s="1011"/>
      <c r="KT54" s="1011"/>
      <c r="KU54" s="1011"/>
      <c r="KV54" s="1011"/>
      <c r="KW54" s="1011"/>
      <c r="KX54" s="1011"/>
      <c r="KY54" s="1011"/>
      <c r="KZ54" s="1011"/>
      <c r="LA54" s="1011"/>
      <c r="LB54" s="1011"/>
      <c r="LC54" s="1011"/>
      <c r="LD54" s="1011"/>
      <c r="LE54" s="1011"/>
      <c r="LF54" s="1011"/>
      <c r="LG54" s="1011"/>
      <c r="LH54" s="1011"/>
      <c r="LI54" s="1011"/>
      <c r="LJ54" s="1011"/>
      <c r="LK54" s="1011"/>
      <c r="LL54" s="1011"/>
      <c r="LM54" s="1011"/>
      <c r="LN54" s="1011"/>
      <c r="LO54" s="1011"/>
      <c r="LP54" s="1011"/>
      <c r="LQ54" s="1011"/>
      <c r="LR54" s="1011"/>
      <c r="LS54" s="1011"/>
      <c r="LT54" s="1011"/>
      <c r="LU54" s="1011"/>
      <c r="LV54" s="1011"/>
      <c r="LW54" s="1011"/>
      <c r="LX54" s="1011"/>
      <c r="LY54" s="1011"/>
      <c r="LZ54" s="1011"/>
      <c r="MA54" s="1011"/>
      <c r="MB54" s="1011"/>
      <c r="MC54" s="1011"/>
      <c r="MD54" s="1011"/>
      <c r="ME54" s="1011"/>
      <c r="MF54" s="1011"/>
      <c r="MG54" s="1011"/>
      <c r="MH54" s="1011"/>
      <c r="MI54" s="1011"/>
      <c r="MJ54" s="1011"/>
      <c r="MK54" s="1011"/>
      <c r="ML54" s="1011"/>
      <c r="MM54" s="1011"/>
      <c r="MN54" s="1011"/>
      <c r="MO54" s="1011"/>
      <c r="MP54" s="1011"/>
      <c r="MQ54" s="1011"/>
      <c r="MR54" s="1011"/>
      <c r="MS54" s="1011"/>
      <c r="MT54" s="1011"/>
      <c r="MU54" s="1011"/>
      <c r="MV54" s="1011"/>
      <c r="MW54" s="1011"/>
      <c r="MX54" s="1011"/>
      <c r="MY54" s="1011"/>
      <c r="MZ54" s="1011"/>
      <c r="NA54" s="1011"/>
      <c r="NB54" s="1011"/>
      <c r="NC54" s="1011"/>
      <c r="ND54" s="1011"/>
      <c r="NE54" s="1011"/>
      <c r="NF54" s="1011"/>
      <c r="NG54" s="1011"/>
      <c r="NH54" s="1011"/>
      <c r="NI54" s="1011"/>
      <c r="NJ54" s="1011"/>
      <c r="NK54" s="1011"/>
      <c r="NL54" s="1011"/>
      <c r="NM54" s="1011"/>
      <c r="NN54" s="1011"/>
      <c r="NO54" s="1011"/>
      <c r="NP54" s="1011"/>
      <c r="NQ54" s="1011"/>
      <c r="NR54" s="1011"/>
      <c r="NS54" s="1011"/>
      <c r="NT54" s="1011"/>
      <c r="NU54" s="1011"/>
      <c r="NV54" s="1011"/>
      <c r="NW54" s="1011"/>
      <c r="NX54" s="1011"/>
      <c r="NY54" s="1011"/>
      <c r="NZ54" s="1011"/>
      <c r="OA54" s="1011"/>
      <c r="OB54" s="1011"/>
      <c r="OC54" s="1011"/>
      <c r="OD54" s="1011"/>
      <c r="OE54" s="1011"/>
      <c r="OF54" s="1011"/>
      <c r="OG54" s="1011"/>
      <c r="OH54" s="1011"/>
      <c r="OI54" s="1011"/>
      <c r="OJ54" s="1011"/>
      <c r="OK54" s="1011"/>
      <c r="OL54" s="1011"/>
      <c r="OM54" s="1011"/>
      <c r="ON54" s="1011"/>
      <c r="OO54" s="1011"/>
      <c r="OP54" s="1011"/>
      <c r="OQ54" s="1011"/>
      <c r="OR54" s="1011"/>
      <c r="OS54" s="1011"/>
      <c r="OT54" s="1011"/>
      <c r="OU54" s="1011"/>
      <c r="OV54" s="1011"/>
      <c r="OW54" s="1011"/>
      <c r="OX54" s="1011"/>
      <c r="OY54" s="1011"/>
      <c r="OZ54" s="1011"/>
      <c r="PA54" s="1011"/>
      <c r="PB54" s="1011"/>
      <c r="PC54" s="1011"/>
      <c r="PD54" s="1011"/>
      <c r="PE54" s="1011"/>
      <c r="PF54" s="1011"/>
      <c r="PG54" s="1011"/>
      <c r="PH54" s="1011"/>
      <c r="PI54" s="1011"/>
      <c r="PJ54" s="1011"/>
      <c r="PK54" s="1011"/>
      <c r="PL54" s="1011"/>
      <c r="PM54" s="1011"/>
      <c r="PN54" s="1011"/>
      <c r="PO54" s="1011"/>
      <c r="PP54" s="1011"/>
      <c r="PQ54" s="1011"/>
      <c r="PR54" s="1011"/>
      <c r="PS54" s="1011"/>
      <c r="PT54" s="1011"/>
      <c r="PU54" s="1011"/>
      <c r="PV54" s="1011"/>
      <c r="PW54" s="1011"/>
      <c r="PX54" s="1011"/>
      <c r="PY54" s="1011"/>
      <c r="PZ54" s="1011"/>
      <c r="QA54" s="1011"/>
      <c r="QB54" s="1011"/>
      <c r="QC54" s="1011"/>
      <c r="QD54" s="1011"/>
      <c r="QE54" s="1011"/>
      <c r="QF54" s="1011"/>
      <c r="QG54" s="1011"/>
      <c r="QH54" s="1011"/>
      <c r="QI54" s="1011"/>
      <c r="QJ54" s="1011"/>
      <c r="QK54" s="1011"/>
      <c r="QL54" s="1011"/>
      <c r="QM54" s="1011"/>
      <c r="QN54" s="1011"/>
      <c r="QO54" s="1011"/>
      <c r="QP54" s="1011"/>
      <c r="QQ54" s="1011"/>
      <c r="QR54" s="1011"/>
      <c r="QS54" s="1011"/>
      <c r="QT54" s="1011"/>
      <c r="QU54" s="1011"/>
      <c r="QV54" s="1011"/>
      <c r="QW54" s="1011"/>
      <c r="QX54" s="1011"/>
      <c r="QY54" s="1011"/>
      <c r="QZ54" s="1011"/>
      <c r="RA54" s="1011"/>
      <c r="RB54" s="1011"/>
      <c r="RC54" s="1011"/>
      <c r="RD54" s="1011"/>
      <c r="RE54" s="1011"/>
      <c r="RF54" s="1011"/>
      <c r="RG54" s="1011"/>
      <c r="RH54" s="1011"/>
      <c r="RI54" s="1011"/>
      <c r="RJ54" s="1011"/>
      <c r="RK54" s="1011"/>
      <c r="RL54" s="1011"/>
      <c r="RM54" s="1011"/>
      <c r="RN54" s="1011"/>
      <c r="RO54" s="1011"/>
      <c r="RP54" s="1011"/>
      <c r="RQ54" s="1011"/>
      <c r="RR54" s="1011"/>
      <c r="RS54" s="1011"/>
      <c r="RT54" s="1011"/>
      <c r="RU54" s="1011"/>
      <c r="RV54" s="1011"/>
      <c r="RW54" s="1011"/>
      <c r="RX54" s="1011"/>
      <c r="RY54" s="1011"/>
      <c r="RZ54" s="1011"/>
      <c r="SA54" s="1011"/>
      <c r="SB54" s="1011"/>
      <c r="SC54" s="1011"/>
      <c r="SD54" s="1011"/>
      <c r="SE54" s="1011"/>
      <c r="SF54" s="1011"/>
      <c r="SG54" s="1011"/>
      <c r="SH54" s="1011"/>
      <c r="SI54" s="1011"/>
      <c r="SJ54" s="1011"/>
      <c r="SK54" s="1011"/>
      <c r="SL54" s="1011"/>
      <c r="SM54" s="1011"/>
      <c r="SN54" s="1011"/>
      <c r="SO54" s="1011"/>
      <c r="SP54" s="1011"/>
      <c r="SQ54" s="1011"/>
      <c r="SR54" s="1011"/>
      <c r="SS54" s="1011"/>
      <c r="ST54" s="1011"/>
      <c r="SU54" s="1011"/>
      <c r="SV54" s="1011"/>
      <c r="SW54" s="1011"/>
      <c r="SX54" s="1011"/>
      <c r="SY54" s="1011"/>
      <c r="SZ54" s="1011"/>
      <c r="TA54" s="1011"/>
      <c r="TB54" s="1011"/>
      <c r="TC54" s="1011"/>
      <c r="TD54" s="1011"/>
      <c r="TE54" s="1011"/>
      <c r="TF54" s="1011"/>
      <c r="TG54" s="1011"/>
      <c r="TH54" s="1011"/>
      <c r="TI54" s="1011"/>
      <c r="TJ54" s="1011"/>
      <c r="TK54" s="1011"/>
      <c r="TL54" s="1011"/>
      <c r="TM54" s="1011"/>
      <c r="TN54" s="1011"/>
      <c r="TO54" s="1011"/>
      <c r="TP54" s="1011"/>
      <c r="TQ54" s="1011"/>
      <c r="TR54" s="1011"/>
      <c r="TS54" s="1011"/>
      <c r="TT54" s="1011"/>
      <c r="TU54" s="1011"/>
      <c r="TV54" s="1011"/>
      <c r="TW54" s="1011"/>
      <c r="TX54" s="1011"/>
      <c r="TY54" s="1011"/>
      <c r="TZ54" s="1011"/>
      <c r="UA54" s="1011"/>
      <c r="UB54" s="1011"/>
      <c r="UC54" s="1011"/>
      <c r="UD54" s="1011"/>
      <c r="UE54" s="1011"/>
      <c r="UF54" s="1011"/>
      <c r="UG54" s="1011"/>
      <c r="UH54" s="1011"/>
      <c r="UI54" s="1011"/>
      <c r="UJ54" s="1011"/>
      <c r="UK54" s="1011"/>
      <c r="UL54" s="1011"/>
      <c r="UM54" s="1011"/>
      <c r="UN54" s="1011"/>
      <c r="UO54" s="1011"/>
      <c r="UP54" s="1011"/>
      <c r="UQ54" s="1011"/>
      <c r="UR54" s="1011"/>
      <c r="US54" s="1011"/>
      <c r="UT54" s="1011"/>
      <c r="UU54" s="1011"/>
      <c r="UV54" s="1011"/>
      <c r="UW54" s="1011"/>
      <c r="UX54" s="1011"/>
      <c r="UY54" s="1011"/>
      <c r="UZ54" s="1011"/>
      <c r="VA54" s="1011"/>
      <c r="VB54" s="1011"/>
      <c r="VC54" s="1011"/>
      <c r="VD54" s="1011"/>
      <c r="VE54" s="1011"/>
      <c r="VF54" s="1011"/>
      <c r="VG54" s="1011"/>
      <c r="VH54" s="1011"/>
      <c r="VI54" s="1011"/>
      <c r="VJ54" s="1011"/>
      <c r="VK54" s="1011"/>
      <c r="VL54" s="1011"/>
      <c r="VM54" s="1011"/>
      <c r="VN54" s="1011"/>
      <c r="VO54" s="1011"/>
      <c r="VP54" s="1011"/>
      <c r="VQ54" s="1011"/>
      <c r="VR54" s="1011"/>
      <c r="VS54" s="1011"/>
      <c r="VT54" s="1011"/>
      <c r="VU54" s="1011"/>
      <c r="VV54" s="1011"/>
      <c r="VW54" s="1011"/>
      <c r="VX54" s="1011"/>
      <c r="VY54" s="1011"/>
      <c r="VZ54" s="1011"/>
      <c r="WA54" s="1011"/>
      <c r="WB54" s="1011"/>
      <c r="WC54" s="1011"/>
      <c r="WD54" s="1011"/>
      <c r="WE54" s="1011"/>
      <c r="WF54" s="1011"/>
      <c r="WG54" s="1011"/>
      <c r="WH54" s="1011"/>
      <c r="WI54" s="1011"/>
      <c r="WJ54" s="1011"/>
      <c r="WK54" s="1011"/>
      <c r="WL54" s="1011"/>
      <c r="WM54" s="1011"/>
      <c r="WN54" s="1011"/>
      <c r="WO54" s="1011"/>
      <c r="WP54" s="1011"/>
      <c r="WQ54" s="1011"/>
      <c r="WR54" s="1011"/>
      <c r="WS54" s="1011"/>
      <c r="WT54" s="1011"/>
      <c r="WU54" s="1011"/>
      <c r="WV54" s="1011"/>
      <c r="WW54" s="1011"/>
      <c r="WX54" s="1011"/>
      <c r="WY54" s="1011"/>
      <c r="WZ54" s="1011"/>
      <c r="XA54" s="1011"/>
      <c r="XB54" s="1011"/>
      <c r="XC54" s="1011"/>
      <c r="XD54" s="1011"/>
      <c r="XE54" s="1011"/>
      <c r="XF54" s="1011"/>
      <c r="XG54" s="1011"/>
      <c r="XH54" s="1011"/>
      <c r="XI54" s="1011"/>
      <c r="XJ54" s="1011"/>
      <c r="XK54" s="1011"/>
      <c r="XL54" s="1011"/>
      <c r="XM54" s="1011"/>
      <c r="XN54" s="1011"/>
      <c r="XO54" s="1011"/>
      <c r="XP54" s="1011"/>
      <c r="XQ54" s="1011"/>
      <c r="XR54" s="1011"/>
      <c r="XS54" s="1011"/>
      <c r="XT54" s="1011"/>
      <c r="XU54" s="1011"/>
      <c r="XV54" s="1011"/>
      <c r="XW54" s="1011"/>
      <c r="XX54" s="1011"/>
      <c r="XY54" s="1011"/>
      <c r="XZ54" s="1011"/>
      <c r="YA54" s="1011"/>
      <c r="YB54" s="1011"/>
      <c r="YC54" s="1011"/>
      <c r="YD54" s="1011"/>
      <c r="YE54" s="1011"/>
      <c r="YF54" s="1011"/>
      <c r="YG54" s="1011"/>
      <c r="YH54" s="1011"/>
      <c r="YI54" s="1011"/>
      <c r="YJ54" s="1011"/>
      <c r="YK54" s="1011"/>
      <c r="YL54" s="1011"/>
      <c r="YM54" s="1011"/>
      <c r="YN54" s="1011"/>
      <c r="YO54" s="1011"/>
      <c r="YP54" s="1011"/>
      <c r="YQ54" s="1011"/>
      <c r="YR54" s="1011"/>
      <c r="YS54" s="1011"/>
      <c r="YT54" s="1011"/>
      <c r="YU54" s="1011"/>
      <c r="YV54" s="1011"/>
      <c r="YW54" s="1011"/>
      <c r="YX54" s="1011"/>
      <c r="YY54" s="1011"/>
      <c r="YZ54" s="1011"/>
      <c r="ZA54" s="1011"/>
      <c r="ZB54" s="1011"/>
      <c r="ZC54" s="1011"/>
      <c r="ZD54" s="1011"/>
      <c r="ZE54" s="1011"/>
      <c r="ZF54" s="1011"/>
      <c r="ZG54" s="1011"/>
      <c r="ZH54" s="1011"/>
      <c r="ZI54" s="1011"/>
      <c r="ZJ54" s="1011"/>
      <c r="ZK54" s="1011"/>
      <c r="ZL54" s="1011"/>
      <c r="ZM54" s="1011"/>
      <c r="ZN54" s="1011"/>
      <c r="ZO54" s="1011"/>
      <c r="ZP54" s="1011"/>
      <c r="ZQ54" s="1011"/>
      <c r="ZR54" s="1011"/>
      <c r="ZS54" s="1011"/>
      <c r="ZT54" s="1011"/>
      <c r="ZU54" s="1011"/>
      <c r="ZV54" s="1011"/>
      <c r="ZW54" s="1011"/>
      <c r="ZX54" s="1011"/>
      <c r="ZY54" s="1011"/>
      <c r="ZZ54" s="1011"/>
      <c r="AAA54" s="1011"/>
      <c r="AAB54" s="1011"/>
      <c r="AAC54" s="1011"/>
      <c r="AAD54" s="1011"/>
      <c r="AAE54" s="1011"/>
      <c r="AAF54" s="1011"/>
      <c r="AAG54" s="1011"/>
      <c r="AAH54" s="1011"/>
      <c r="AAI54" s="1011"/>
      <c r="AAJ54" s="1011"/>
      <c r="AAK54" s="1011"/>
      <c r="AAL54" s="1011"/>
      <c r="AAM54" s="1011"/>
      <c r="AAN54" s="1011"/>
      <c r="AAO54" s="1011"/>
      <c r="AAP54" s="1011"/>
      <c r="AAQ54" s="1011"/>
      <c r="AAR54" s="1011"/>
      <c r="AAS54" s="1011"/>
      <c r="AAT54" s="1011"/>
      <c r="AAU54" s="1011"/>
      <c r="AAV54" s="1011"/>
      <c r="AAW54" s="1011"/>
      <c r="AAX54" s="1011"/>
      <c r="AAY54" s="1011"/>
      <c r="AAZ54" s="1011"/>
      <c r="ABA54" s="1011"/>
      <c r="ABB54" s="1011"/>
      <c r="ABC54" s="1011"/>
      <c r="ABD54" s="1011"/>
      <c r="ABE54" s="1011"/>
      <c r="ABF54" s="1011"/>
      <c r="ABG54" s="1011"/>
      <c r="ABH54" s="1011"/>
      <c r="ABI54" s="1011"/>
      <c r="ABJ54" s="1011"/>
      <c r="ABK54" s="1011"/>
      <c r="ABL54" s="1011"/>
      <c r="ABM54" s="1011"/>
      <c r="ABN54" s="1011"/>
      <c r="ABO54" s="1011"/>
      <c r="ABP54" s="1011"/>
      <c r="ABQ54" s="1011"/>
      <c r="ABR54" s="1011"/>
      <c r="ABS54" s="1011"/>
      <c r="ABT54" s="1011"/>
      <c r="ABU54" s="1011"/>
      <c r="ABV54" s="1011"/>
      <c r="ABW54" s="1011"/>
      <c r="ABX54" s="1011"/>
      <c r="ABY54" s="1011"/>
      <c r="ABZ54" s="1011"/>
      <c r="ACA54" s="1011"/>
      <c r="ACB54" s="1011"/>
      <c r="ACC54" s="1011"/>
      <c r="ACD54" s="1011"/>
      <c r="ACE54" s="1011"/>
      <c r="ACF54" s="1011"/>
      <c r="ACG54" s="1011"/>
      <c r="ACH54" s="1011"/>
      <c r="ACI54" s="1011"/>
      <c r="ACJ54" s="1011"/>
      <c r="ACK54" s="1011"/>
      <c r="ACL54" s="1011"/>
      <c r="ACM54" s="1011"/>
      <c r="ACN54" s="1011"/>
      <c r="ACO54" s="1011"/>
      <c r="ACP54" s="1011"/>
      <c r="ACQ54" s="1011"/>
      <c r="ACR54" s="1011"/>
      <c r="ACS54" s="1011"/>
      <c r="ACT54" s="1011"/>
      <c r="ACU54" s="1011"/>
      <c r="ACV54" s="1011"/>
      <c r="ACW54" s="1011"/>
      <c r="ACX54" s="1011"/>
      <c r="ACY54" s="1011"/>
      <c r="ACZ54" s="1011"/>
      <c r="ADA54" s="1011"/>
      <c r="ADB54" s="1011"/>
      <c r="ADC54" s="1011"/>
      <c r="ADD54" s="1011"/>
      <c r="ADE54" s="1011"/>
      <c r="ADF54" s="1011"/>
      <c r="ADG54" s="1011"/>
      <c r="ADH54" s="1011"/>
      <c r="ADI54" s="1011"/>
      <c r="ADJ54" s="1011"/>
      <c r="ADK54" s="1011"/>
      <c r="ADL54" s="1011"/>
      <c r="ADM54" s="1011"/>
      <c r="ADN54" s="1011"/>
      <c r="ADO54" s="1011"/>
      <c r="ADP54" s="1011"/>
      <c r="ADQ54" s="1011"/>
      <c r="ADR54" s="1011"/>
      <c r="ADS54" s="1011"/>
      <c r="ADT54" s="1011"/>
      <c r="ADU54" s="1011"/>
      <c r="ADV54" s="1011"/>
      <c r="ADW54" s="1011"/>
      <c r="ADX54" s="1011"/>
      <c r="ADY54" s="1011"/>
      <c r="ADZ54" s="1011"/>
      <c r="AEA54" s="1011"/>
      <c r="AEB54" s="1011"/>
      <c r="AEC54" s="1011"/>
      <c r="AED54" s="1011"/>
      <c r="AEE54" s="1011"/>
      <c r="AEF54" s="1011"/>
      <c r="AEG54" s="1011"/>
      <c r="AEH54" s="1011"/>
      <c r="AEI54" s="1011"/>
      <c r="AEJ54" s="1011"/>
      <c r="AEK54" s="1011"/>
      <c r="AEL54" s="1011"/>
      <c r="AEM54" s="1011"/>
      <c r="AEN54" s="1011"/>
      <c r="AEO54" s="1011"/>
      <c r="AEP54" s="1011"/>
      <c r="AEQ54" s="1011"/>
      <c r="AER54" s="1011"/>
      <c r="AES54" s="1011"/>
      <c r="AET54" s="1011"/>
      <c r="AEU54" s="1011"/>
      <c r="AEV54" s="1011"/>
      <c r="AEW54" s="1011"/>
      <c r="AEX54" s="1011"/>
      <c r="AEY54" s="1011"/>
      <c r="AEZ54" s="1011"/>
      <c r="AFA54" s="1011"/>
      <c r="AFB54" s="1011"/>
      <c r="AFC54" s="1011"/>
      <c r="AFD54" s="1011"/>
      <c r="AFE54" s="1011"/>
      <c r="AFF54" s="1011"/>
      <c r="AFG54" s="1011"/>
      <c r="AFH54" s="1011"/>
      <c r="AFI54" s="1011"/>
      <c r="AFJ54" s="1011"/>
      <c r="AFK54" s="1011"/>
      <c r="AFL54" s="1011"/>
      <c r="AFM54" s="1011"/>
      <c r="AFN54" s="1011"/>
      <c r="AFO54" s="1011"/>
      <c r="AFP54" s="1011"/>
      <c r="AFQ54" s="1011"/>
      <c r="AFR54" s="1011"/>
      <c r="AFS54" s="1011"/>
      <c r="AFT54" s="1011"/>
      <c r="AFU54" s="1011"/>
      <c r="AFV54" s="1011"/>
      <c r="AFW54" s="1011"/>
      <c r="AFX54" s="1011"/>
      <c r="AFY54" s="1011"/>
      <c r="AFZ54" s="1011"/>
      <c r="AGA54" s="1011"/>
      <c r="AGB54" s="1011"/>
      <c r="AGC54" s="1011"/>
      <c r="AGD54" s="1011"/>
      <c r="AGE54" s="1011"/>
      <c r="AGF54" s="1011"/>
      <c r="AGG54" s="1011"/>
      <c r="AGH54" s="1011"/>
      <c r="AGI54" s="1011"/>
      <c r="AGJ54" s="1011"/>
      <c r="AGK54" s="1011"/>
      <c r="AGL54" s="1011"/>
      <c r="AGM54" s="1011"/>
      <c r="AGN54" s="1011"/>
      <c r="AGO54" s="1011"/>
      <c r="AGP54" s="1011"/>
      <c r="AGQ54" s="1011"/>
      <c r="AGR54" s="1011"/>
      <c r="AGS54" s="1011"/>
      <c r="AGT54" s="1011"/>
      <c r="AGU54" s="1011"/>
      <c r="AGV54" s="1011"/>
      <c r="AGW54" s="1011"/>
      <c r="AGX54" s="1011"/>
      <c r="AGY54" s="1011"/>
      <c r="AGZ54" s="1011"/>
      <c r="AHA54" s="1011"/>
      <c r="AHB54" s="1011"/>
      <c r="AHC54" s="1011"/>
      <c r="AHD54" s="1011"/>
      <c r="AHE54" s="1011"/>
      <c r="AHF54" s="1011"/>
      <c r="AHG54" s="1011"/>
      <c r="AHH54" s="1011"/>
      <c r="AHI54" s="1011"/>
      <c r="AHJ54" s="1011"/>
      <c r="AHK54" s="1011"/>
      <c r="AHL54" s="1011"/>
      <c r="AHM54" s="1011"/>
      <c r="AHN54" s="1011"/>
      <c r="AHO54" s="1011"/>
      <c r="AHP54" s="1011"/>
      <c r="AHQ54" s="1011"/>
      <c r="AHR54" s="1011"/>
      <c r="AHS54" s="1011"/>
      <c r="AHT54" s="1011"/>
      <c r="AHU54" s="1011"/>
      <c r="AHV54" s="1011"/>
      <c r="AHW54" s="1011"/>
      <c r="AHX54" s="1011"/>
      <c r="AHY54" s="1011"/>
      <c r="AHZ54" s="1011"/>
      <c r="AIA54" s="1011"/>
      <c r="AIB54" s="1011"/>
      <c r="AIC54" s="1011"/>
      <c r="AID54" s="1011"/>
      <c r="AIE54" s="1011"/>
      <c r="AIF54" s="1011"/>
      <c r="AIG54" s="1011"/>
      <c r="AIH54" s="1011"/>
      <c r="AII54" s="1011"/>
      <c r="AIJ54" s="1011"/>
      <c r="AIK54" s="1011"/>
      <c r="AIL54" s="1011"/>
      <c r="AIM54" s="1011"/>
      <c r="AIN54" s="1011"/>
      <c r="AIO54" s="1011"/>
      <c r="AIP54" s="1011"/>
      <c r="AIQ54" s="1011"/>
      <c r="AIR54" s="1011"/>
      <c r="AIS54" s="1011"/>
      <c r="AIT54" s="1011"/>
      <c r="AIU54" s="1011"/>
      <c r="AIV54" s="1011"/>
      <c r="AIW54" s="1011"/>
      <c r="AIX54" s="1011"/>
      <c r="AIY54" s="1011"/>
      <c r="AIZ54" s="1011"/>
      <c r="AJA54" s="1011"/>
      <c r="AJB54" s="1011"/>
      <c r="AJC54" s="1011"/>
      <c r="AJD54" s="1011"/>
      <c r="AJE54" s="1011"/>
      <c r="AJF54" s="1011"/>
      <c r="AJG54" s="1011"/>
      <c r="AJH54" s="1011"/>
      <c r="AJI54" s="1011"/>
      <c r="AJJ54" s="1011"/>
      <c r="AJK54" s="1011"/>
      <c r="AJL54" s="1011"/>
      <c r="AJM54" s="1011"/>
      <c r="AJN54" s="1011"/>
      <c r="AJO54" s="1011"/>
      <c r="AJP54" s="1011"/>
      <c r="AJQ54" s="1011"/>
      <c r="AJR54" s="1011"/>
      <c r="AJS54" s="1011"/>
      <c r="AJT54" s="1011"/>
      <c r="AJU54" s="1011"/>
      <c r="AJV54" s="1011"/>
      <c r="AJW54" s="1011"/>
      <c r="AJX54" s="1011"/>
      <c r="AJY54" s="1011"/>
      <c r="AJZ54" s="1011"/>
      <c r="AKA54" s="1011"/>
      <c r="AKB54" s="1011"/>
      <c r="AKC54" s="1011"/>
      <c r="AKD54" s="1011"/>
      <c r="AKE54" s="1011"/>
      <c r="AKF54" s="1011"/>
      <c r="AKG54" s="1011"/>
      <c r="AKH54" s="1011"/>
      <c r="AKI54" s="1011"/>
      <c r="AKJ54" s="1011"/>
      <c r="AKK54" s="1011"/>
      <c r="AKL54" s="1011"/>
      <c r="AKM54" s="1011"/>
      <c r="AKN54" s="1011"/>
      <c r="AKO54" s="1011"/>
      <c r="AKP54" s="1011"/>
      <c r="AKQ54" s="1011"/>
      <c r="AKR54" s="1011"/>
      <c r="AKS54" s="1011"/>
      <c r="AKT54" s="1011"/>
      <c r="AKU54" s="1011"/>
      <c r="AKV54" s="1011"/>
      <c r="AKW54" s="1011"/>
      <c r="AKX54" s="1011"/>
      <c r="AKY54" s="1011"/>
      <c r="AKZ54" s="1011"/>
      <c r="ALA54" s="1011"/>
      <c r="ALB54" s="1011"/>
      <c r="ALC54" s="1011"/>
      <c r="ALD54" s="1011"/>
      <c r="ALE54" s="1011"/>
      <c r="ALF54" s="1011"/>
      <c r="ALG54" s="1011"/>
      <c r="ALH54" s="1011"/>
      <c r="ALI54" s="1011"/>
      <c r="ALJ54" s="1011"/>
      <c r="ALK54" s="1011"/>
      <c r="ALL54" s="1011"/>
      <c r="ALM54" s="1011"/>
      <c r="ALN54" s="1011"/>
      <c r="ALO54" s="1011"/>
      <c r="ALP54" s="1011"/>
      <c r="ALQ54" s="1011"/>
      <c r="ALR54" s="1011"/>
      <c r="ALS54" s="1011"/>
      <c r="ALT54" s="1011"/>
      <c r="ALU54" s="1011"/>
      <c r="ALV54" s="1011"/>
      <c r="ALW54" s="1011"/>
      <c r="ALX54" s="1011"/>
      <c r="ALY54" s="1011"/>
      <c r="ALZ54" s="1011"/>
      <c r="AMA54" s="1011"/>
      <c r="AMB54" s="1011"/>
      <c r="AMC54" s="1011"/>
      <c r="AMD54" s="1011"/>
      <c r="AME54" s="1011"/>
      <c r="AMF54" s="1011"/>
      <c r="AMG54" s="1011"/>
      <c r="AMH54" s="1011"/>
      <c r="AMI54" s="1011"/>
      <c r="AMJ54" s="1011"/>
      <c r="AMK54" s="1011"/>
      <c r="AML54" s="1011"/>
      <c r="AMM54" s="1011"/>
      <c r="AMN54" s="1011"/>
      <c r="AMO54" s="1011"/>
      <c r="AMP54" s="1011"/>
      <c r="AMQ54" s="1011"/>
      <c r="AMR54" s="1011"/>
      <c r="AMS54" s="1011"/>
      <c r="AMT54" s="1011"/>
      <c r="AMU54" s="1011"/>
      <c r="AMV54" s="1011"/>
      <c r="AMW54" s="1011"/>
      <c r="AMX54" s="1011"/>
      <c r="AMY54" s="1011"/>
      <c r="AMZ54" s="1011"/>
      <c r="ANA54" s="1011"/>
      <c r="ANB54" s="1011"/>
      <c r="ANC54" s="1011"/>
      <c r="AND54" s="1011"/>
      <c r="ANE54" s="1011"/>
      <c r="ANF54" s="1011"/>
      <c r="ANG54" s="1011"/>
      <c r="ANH54" s="1011"/>
      <c r="ANI54" s="1011"/>
      <c r="ANJ54" s="1011"/>
      <c r="ANK54" s="1011"/>
      <c r="ANL54" s="1011"/>
      <c r="ANM54" s="1011"/>
      <c r="ANN54" s="1011"/>
      <c r="ANO54" s="1011"/>
      <c r="ANP54" s="1011"/>
      <c r="ANQ54" s="1011"/>
      <c r="ANR54" s="1011"/>
      <c r="ANS54" s="1011"/>
      <c r="ANT54" s="1011"/>
      <c r="ANU54" s="1011"/>
      <c r="ANV54" s="1011"/>
      <c r="ANW54" s="1011"/>
      <c r="ANX54" s="1011"/>
      <c r="ANY54" s="1011"/>
      <c r="ANZ54" s="1011"/>
      <c r="AOA54" s="1011"/>
      <c r="AOB54" s="1011"/>
      <c r="AOC54" s="1011"/>
      <c r="AOD54" s="1011"/>
      <c r="AOE54" s="1011"/>
      <c r="AOF54" s="1011"/>
      <c r="AOG54" s="1011"/>
      <c r="AOH54" s="1011"/>
      <c r="AOI54" s="1011"/>
      <c r="AOJ54" s="1011"/>
      <c r="AOK54" s="1011"/>
      <c r="AOL54" s="1011"/>
      <c r="AOM54" s="1011"/>
      <c r="AON54" s="1011"/>
      <c r="AOO54" s="1011"/>
      <c r="AOP54" s="1011"/>
      <c r="AOQ54" s="1011"/>
      <c r="AOR54" s="1011"/>
      <c r="AOS54" s="1011"/>
      <c r="AOT54" s="1011"/>
      <c r="AOU54" s="1011"/>
      <c r="AOV54" s="1011"/>
      <c r="AOW54" s="1011"/>
      <c r="AOX54" s="1011"/>
      <c r="AOY54" s="1011"/>
      <c r="AOZ54" s="1011"/>
      <c r="APA54" s="1011"/>
      <c r="APB54" s="1011"/>
      <c r="APC54" s="1011"/>
      <c r="APD54" s="1011"/>
      <c r="APE54" s="1011"/>
      <c r="APF54" s="1011"/>
      <c r="APG54" s="1011"/>
      <c r="APH54" s="1011"/>
      <c r="API54" s="1011"/>
      <c r="APJ54" s="1011"/>
      <c r="APK54" s="1011"/>
      <c r="APL54" s="1011"/>
      <c r="APM54" s="1011"/>
      <c r="APN54" s="1011"/>
      <c r="APO54" s="1011"/>
      <c r="APP54" s="1011"/>
      <c r="APQ54" s="1011"/>
      <c r="APR54" s="1011"/>
      <c r="APS54" s="1011"/>
      <c r="APT54" s="1011"/>
      <c r="APU54" s="1011"/>
      <c r="APV54" s="1011"/>
      <c r="APW54" s="1011"/>
      <c r="APX54" s="1011"/>
      <c r="APY54" s="1011"/>
      <c r="APZ54" s="1011"/>
      <c r="AQA54" s="1011"/>
      <c r="AQB54" s="1011"/>
      <c r="AQC54" s="1011"/>
      <c r="AQD54" s="1011"/>
      <c r="AQE54" s="1011"/>
      <c r="AQF54" s="1011"/>
      <c r="AQG54" s="1011"/>
      <c r="AQH54" s="1011"/>
      <c r="AQI54" s="1011"/>
      <c r="AQJ54" s="1011"/>
      <c r="AQK54" s="1011"/>
      <c r="AQL54" s="1011"/>
      <c r="AQM54" s="1011"/>
      <c r="AQN54" s="1011"/>
      <c r="AQO54" s="1011"/>
      <c r="AQP54" s="1011"/>
      <c r="AQQ54" s="1011"/>
      <c r="AQR54" s="1011"/>
      <c r="AQS54" s="1011"/>
      <c r="AQT54" s="1011"/>
      <c r="AQU54" s="1011"/>
      <c r="AQV54" s="1011"/>
      <c r="AQW54" s="1011"/>
      <c r="AQX54" s="1011"/>
      <c r="AQY54" s="1011"/>
      <c r="AQZ54" s="1011"/>
      <c r="ARA54" s="1011"/>
      <c r="ARB54" s="1011"/>
      <c r="ARC54" s="1011"/>
      <c r="ARD54" s="1011"/>
      <c r="ARE54" s="1011"/>
      <c r="ARF54" s="1011"/>
      <c r="ARG54" s="1011"/>
      <c r="ARH54" s="1011"/>
      <c r="ARI54" s="1011"/>
      <c r="ARJ54" s="1011"/>
      <c r="ARK54" s="1011"/>
      <c r="ARL54" s="1011"/>
      <c r="ARM54" s="1011"/>
      <c r="ARN54" s="1011"/>
      <c r="ARO54" s="1011"/>
      <c r="ARP54" s="1011"/>
      <c r="ARQ54" s="1011"/>
      <c r="ARR54" s="1011"/>
      <c r="ARS54" s="1011"/>
      <c r="ART54" s="1011"/>
      <c r="ARU54" s="1011"/>
      <c r="ARV54" s="1011"/>
      <c r="ARW54" s="1011"/>
      <c r="ARX54" s="1011"/>
      <c r="ARY54" s="1011"/>
      <c r="ARZ54" s="1011"/>
      <c r="ASA54" s="1011"/>
      <c r="ASB54" s="1011"/>
      <c r="ASC54" s="1011"/>
      <c r="ASD54" s="1011"/>
      <c r="ASE54" s="1011"/>
      <c r="ASF54" s="1011"/>
      <c r="ASG54" s="1011"/>
      <c r="ASH54" s="1011"/>
      <c r="ASI54" s="1011"/>
      <c r="ASJ54" s="1011"/>
      <c r="ASK54" s="1011"/>
      <c r="ASL54" s="1011"/>
      <c r="ASM54" s="1011"/>
      <c r="ASN54" s="1011"/>
      <c r="ASO54" s="1011"/>
      <c r="ASP54" s="1011"/>
      <c r="ASQ54" s="1011"/>
      <c r="ASR54" s="1011"/>
      <c r="ASS54" s="1011"/>
      <c r="AST54" s="1011"/>
      <c r="ASU54" s="1011"/>
      <c r="ASV54" s="1011"/>
      <c r="ASW54" s="1011"/>
      <c r="ASX54" s="1011"/>
      <c r="ASY54" s="1011"/>
      <c r="ASZ54" s="1011"/>
      <c r="ATA54" s="1011"/>
      <c r="ATB54" s="1011"/>
      <c r="ATC54" s="1011"/>
      <c r="ATD54" s="1011"/>
      <c r="ATE54" s="1011"/>
      <c r="ATF54" s="1011"/>
      <c r="ATG54" s="1011"/>
      <c r="ATH54" s="1011"/>
      <c r="ATI54" s="1011"/>
      <c r="ATJ54" s="1011"/>
      <c r="ATK54" s="1011"/>
      <c r="ATL54" s="1011"/>
      <c r="ATM54" s="1011"/>
      <c r="ATN54" s="1011"/>
      <c r="ATO54" s="1011"/>
      <c r="ATP54" s="1011"/>
      <c r="ATQ54" s="1011"/>
      <c r="ATR54" s="1011"/>
      <c r="ATS54" s="1011"/>
      <c r="ATT54" s="1011"/>
      <c r="ATU54" s="1011"/>
      <c r="ATV54" s="1011"/>
      <c r="ATW54" s="1011"/>
      <c r="ATX54" s="1011"/>
      <c r="ATY54" s="1011"/>
      <c r="ATZ54" s="1011"/>
      <c r="AUA54" s="1011"/>
      <c r="AUB54" s="1011"/>
      <c r="AUC54" s="1011"/>
      <c r="AUD54" s="1011"/>
      <c r="AUE54" s="1011"/>
      <c r="AUF54" s="1011"/>
      <c r="AUG54" s="1011"/>
      <c r="AUH54" s="1011"/>
      <c r="AUI54" s="1011"/>
      <c r="AUJ54" s="1011"/>
      <c r="AUK54" s="1011"/>
      <c r="AUL54" s="1011"/>
      <c r="AUM54" s="1011"/>
      <c r="AUN54" s="1011"/>
      <c r="AUO54" s="1011"/>
      <c r="AUP54" s="1011"/>
      <c r="AUQ54" s="1011"/>
      <c r="AUR54" s="1011"/>
      <c r="AUS54" s="1011"/>
      <c r="AUT54" s="1011"/>
      <c r="AUU54" s="1011"/>
      <c r="AUV54" s="1011"/>
      <c r="AUW54" s="1011"/>
      <c r="AUX54" s="1011"/>
      <c r="AUY54" s="1011"/>
      <c r="AUZ54" s="1011"/>
      <c r="AVA54" s="1011"/>
      <c r="AVB54" s="1011"/>
      <c r="AVC54" s="1011"/>
      <c r="AVD54" s="1011"/>
      <c r="AVE54" s="1011"/>
      <c r="AVF54" s="1011"/>
      <c r="AVG54" s="1011"/>
      <c r="AVH54" s="1011"/>
      <c r="AVI54" s="1011"/>
      <c r="AVJ54" s="1011"/>
      <c r="AVK54" s="1011"/>
      <c r="AVL54" s="1011"/>
      <c r="AVM54" s="1011"/>
      <c r="AVN54" s="1011"/>
      <c r="AVO54" s="1011"/>
      <c r="AVP54" s="1011"/>
      <c r="AVQ54" s="1011"/>
      <c r="AVR54" s="1011"/>
      <c r="AVS54" s="1011"/>
      <c r="AVT54" s="1011"/>
      <c r="AVU54" s="1011"/>
      <c r="AVV54" s="1011"/>
      <c r="AVW54" s="1011"/>
      <c r="AVX54" s="1011"/>
      <c r="AVY54" s="1011"/>
      <c r="AVZ54" s="1011"/>
      <c r="AWA54" s="1011"/>
      <c r="AWB54" s="1011"/>
      <c r="AWC54" s="1011"/>
      <c r="AWD54" s="1011"/>
      <c r="AWE54" s="1011"/>
      <c r="AWF54" s="1011"/>
      <c r="AWG54" s="1011"/>
      <c r="AWH54" s="1011"/>
      <c r="AWI54" s="1011"/>
      <c r="AWJ54" s="1011"/>
      <c r="AWK54" s="1011"/>
      <c r="AWL54" s="1011"/>
      <c r="AWM54" s="1011"/>
      <c r="AWN54" s="1011"/>
      <c r="AWO54" s="1011"/>
      <c r="AWP54" s="1011"/>
      <c r="AWQ54" s="1011"/>
      <c r="AWR54" s="1011"/>
      <c r="AWS54" s="1011"/>
      <c r="AWT54" s="1011"/>
      <c r="AWU54" s="1011"/>
      <c r="AWV54" s="1011"/>
      <c r="AWW54" s="1011"/>
      <c r="AWX54" s="1011"/>
      <c r="AWY54" s="1011"/>
      <c r="AWZ54" s="1011"/>
      <c r="AXA54" s="1011"/>
      <c r="AXB54" s="1011"/>
      <c r="AXC54" s="1011"/>
      <c r="AXD54" s="1011"/>
      <c r="AXE54" s="1011"/>
      <c r="AXF54" s="1011"/>
      <c r="AXG54" s="1011"/>
      <c r="AXH54" s="1011"/>
      <c r="AXI54" s="1011"/>
      <c r="AXJ54" s="1011"/>
      <c r="AXK54" s="1011"/>
      <c r="AXL54" s="1011"/>
      <c r="AXM54" s="1011"/>
      <c r="AXN54" s="1011"/>
      <c r="AXO54" s="1011"/>
      <c r="AXP54" s="1011"/>
      <c r="AXQ54" s="1011"/>
      <c r="AXR54" s="1011"/>
      <c r="AXS54" s="1011"/>
      <c r="AXT54" s="1011"/>
      <c r="AXU54" s="1011"/>
      <c r="AXV54" s="1011"/>
      <c r="AXW54" s="1011"/>
      <c r="AXX54" s="1011"/>
      <c r="AXY54" s="1011"/>
      <c r="AXZ54" s="1011"/>
      <c r="AYA54" s="1011"/>
      <c r="AYB54" s="1011"/>
      <c r="AYC54" s="1011"/>
      <c r="AYD54" s="1011"/>
      <c r="AYE54" s="1011"/>
      <c r="AYF54" s="1011"/>
      <c r="AYG54" s="1011"/>
      <c r="AYH54" s="1011"/>
      <c r="AYI54" s="1011"/>
      <c r="AYJ54" s="1011"/>
      <c r="AYK54" s="1011"/>
      <c r="AYL54" s="1011"/>
      <c r="AYM54" s="1011"/>
      <c r="AYN54" s="1011"/>
      <c r="AYO54" s="1011"/>
      <c r="AYP54" s="1011"/>
      <c r="AYQ54" s="1011"/>
      <c r="AYR54" s="1011"/>
      <c r="AYS54" s="1011"/>
      <c r="AYT54" s="1011"/>
      <c r="AYU54" s="1011"/>
      <c r="AYV54" s="1011"/>
      <c r="AYW54" s="1011"/>
      <c r="AYX54" s="1011"/>
      <c r="AYY54" s="1011"/>
      <c r="AYZ54" s="1011"/>
      <c r="AZA54" s="1011"/>
      <c r="AZB54" s="1011"/>
      <c r="AZC54" s="1011"/>
      <c r="AZD54" s="1011"/>
      <c r="AZE54" s="1011"/>
      <c r="AZF54" s="1011"/>
      <c r="AZG54" s="1011"/>
      <c r="AZH54" s="1011"/>
      <c r="AZI54" s="1011"/>
      <c r="AZJ54" s="1011"/>
      <c r="AZK54" s="1011"/>
      <c r="AZL54" s="1011"/>
      <c r="AZM54" s="1011"/>
      <c r="AZN54" s="1011"/>
      <c r="AZO54" s="1011"/>
      <c r="AZP54" s="1011"/>
      <c r="AZQ54" s="1011"/>
      <c r="AZR54" s="1011"/>
      <c r="AZS54" s="1011"/>
      <c r="AZT54" s="1011"/>
      <c r="AZU54" s="1011"/>
      <c r="AZV54" s="1011"/>
      <c r="AZW54" s="1011"/>
      <c r="AZX54" s="1011"/>
      <c r="AZY54" s="1011"/>
      <c r="AZZ54" s="1011"/>
      <c r="BAA54" s="1011"/>
      <c r="BAB54" s="1011"/>
      <c r="BAC54" s="1011"/>
      <c r="BAD54" s="1011"/>
      <c r="BAE54" s="1011"/>
      <c r="BAF54" s="1011"/>
      <c r="BAG54" s="1011"/>
      <c r="BAH54" s="1011"/>
      <c r="BAI54" s="1011"/>
      <c r="BAJ54" s="1011"/>
      <c r="BAK54" s="1011"/>
      <c r="BAL54" s="1011"/>
      <c r="BAM54" s="1011"/>
      <c r="BAN54" s="1011"/>
      <c r="BAO54" s="1011"/>
      <c r="BAP54" s="1011"/>
      <c r="BAQ54" s="1011"/>
      <c r="BAR54" s="1011"/>
      <c r="BAS54" s="1011"/>
      <c r="BAT54" s="1011"/>
      <c r="BAU54" s="1011"/>
      <c r="BAV54" s="1011"/>
      <c r="BAW54" s="1011"/>
      <c r="BAX54" s="1011"/>
      <c r="BAY54" s="1011"/>
      <c r="BAZ54" s="1011"/>
      <c r="BBA54" s="1011"/>
      <c r="BBB54" s="1011"/>
      <c r="BBC54" s="1011"/>
      <c r="BBD54" s="1011"/>
      <c r="BBE54" s="1011"/>
      <c r="BBF54" s="1011"/>
      <c r="BBG54" s="1011"/>
      <c r="BBH54" s="1011"/>
      <c r="BBI54" s="1011"/>
      <c r="BBJ54" s="1011"/>
      <c r="BBK54" s="1011"/>
      <c r="BBL54" s="1011"/>
      <c r="BBM54" s="1011"/>
      <c r="BBN54" s="1011"/>
      <c r="BBO54" s="1011"/>
      <c r="BBP54" s="1011"/>
      <c r="BBQ54" s="1011"/>
      <c r="BBR54" s="1011"/>
      <c r="BBS54" s="1011"/>
      <c r="BBT54" s="1011"/>
      <c r="BBU54" s="1011"/>
      <c r="BBV54" s="1011"/>
      <c r="BBW54" s="1011"/>
      <c r="BBX54" s="1011"/>
      <c r="BBY54" s="1011"/>
      <c r="BBZ54" s="1011"/>
      <c r="BCA54" s="1011"/>
      <c r="BCB54" s="1011"/>
      <c r="BCC54" s="1011"/>
      <c r="BCD54" s="1011"/>
      <c r="BCE54" s="1011"/>
      <c r="BCF54" s="1011"/>
      <c r="BCG54" s="1011"/>
      <c r="BCH54" s="1011"/>
      <c r="BCI54" s="1011"/>
      <c r="BCJ54" s="1011"/>
      <c r="BCK54" s="1011"/>
      <c r="BCL54" s="1011"/>
      <c r="BCM54" s="1011"/>
      <c r="BCN54" s="1011"/>
      <c r="BCO54" s="1011"/>
      <c r="BCP54" s="1011"/>
      <c r="BCQ54" s="1011"/>
      <c r="BCR54" s="1011"/>
      <c r="BCS54" s="1011"/>
      <c r="BCT54" s="1011"/>
      <c r="BCU54" s="1011"/>
      <c r="BCV54" s="1011"/>
      <c r="BCW54" s="1011"/>
      <c r="BCX54" s="1011"/>
      <c r="BCY54" s="1011"/>
      <c r="BCZ54" s="1011"/>
      <c r="BDA54" s="1011"/>
      <c r="BDB54" s="1011"/>
      <c r="BDC54" s="1011"/>
      <c r="BDD54" s="1011"/>
      <c r="BDE54" s="1011"/>
      <c r="BDF54" s="1011"/>
      <c r="BDG54" s="1011"/>
      <c r="BDH54" s="1011"/>
      <c r="BDI54" s="1011"/>
      <c r="BDJ54" s="1011"/>
      <c r="BDK54" s="1011"/>
      <c r="BDL54" s="1011"/>
      <c r="BDM54" s="1011"/>
      <c r="BDN54" s="1011"/>
      <c r="BDO54" s="1011"/>
      <c r="BDP54" s="1011"/>
      <c r="BDQ54" s="1011"/>
      <c r="BDR54" s="1011"/>
      <c r="BDS54" s="1011"/>
      <c r="BDT54" s="1011"/>
      <c r="BDU54" s="1011"/>
      <c r="BDV54" s="1011"/>
      <c r="BDW54" s="1011"/>
      <c r="BDX54" s="1011"/>
      <c r="BDY54" s="1011"/>
      <c r="BDZ54" s="1011"/>
      <c r="BEA54" s="1011"/>
      <c r="BEB54" s="1011"/>
      <c r="BEC54" s="1011"/>
      <c r="BED54" s="1011"/>
      <c r="BEE54" s="1011"/>
      <c r="BEF54" s="1011"/>
      <c r="BEG54" s="1011"/>
      <c r="BEH54" s="1011"/>
      <c r="BEI54" s="1011"/>
      <c r="BEJ54" s="1011"/>
      <c r="BEK54" s="1011"/>
      <c r="BEL54" s="1011"/>
      <c r="BEM54" s="1011"/>
      <c r="BEN54" s="1011"/>
      <c r="BEO54" s="1011"/>
      <c r="BEP54" s="1011"/>
      <c r="BEQ54" s="1011"/>
      <c r="BER54" s="1011"/>
      <c r="BES54" s="1011"/>
      <c r="BET54" s="1011"/>
      <c r="BEU54" s="1011"/>
      <c r="BEV54" s="1011"/>
      <c r="BEW54" s="1011"/>
      <c r="BEX54" s="1011"/>
      <c r="BEY54" s="1011"/>
      <c r="BEZ54" s="1011"/>
      <c r="BFA54" s="1011"/>
      <c r="BFB54" s="1011"/>
      <c r="BFC54" s="1011"/>
      <c r="BFD54" s="1011"/>
      <c r="BFE54" s="1011"/>
      <c r="BFF54" s="1011"/>
      <c r="BFG54" s="1011"/>
      <c r="BFH54" s="1011"/>
      <c r="BFI54" s="1011"/>
      <c r="BFJ54" s="1011"/>
      <c r="BFK54" s="1011"/>
      <c r="BFL54" s="1011"/>
      <c r="BFM54" s="1011"/>
      <c r="BFN54" s="1011"/>
      <c r="BFO54" s="1011"/>
      <c r="BFP54" s="1011"/>
      <c r="BFQ54" s="1011"/>
      <c r="BFR54" s="1011"/>
      <c r="BFS54" s="1011"/>
      <c r="BFT54" s="1011"/>
      <c r="BFU54" s="1011"/>
      <c r="BFV54" s="1011"/>
      <c r="BFW54" s="1011"/>
      <c r="BFX54" s="1011"/>
      <c r="BFY54" s="1011"/>
      <c r="BFZ54" s="1011"/>
      <c r="BGA54" s="1011"/>
      <c r="BGB54" s="1011"/>
      <c r="BGC54" s="1011"/>
      <c r="BGD54" s="1011"/>
      <c r="BGE54" s="1011"/>
      <c r="BGF54" s="1011"/>
      <c r="BGG54" s="1011"/>
      <c r="BGH54" s="1011"/>
      <c r="BGI54" s="1011"/>
      <c r="BGJ54" s="1011"/>
      <c r="BGK54" s="1011"/>
      <c r="BGL54" s="1011"/>
      <c r="BGM54" s="1011"/>
      <c r="BGN54" s="1011"/>
      <c r="BGO54" s="1011"/>
      <c r="BGP54" s="1011"/>
      <c r="BGQ54" s="1011"/>
      <c r="BGR54" s="1011"/>
      <c r="BGS54" s="1011"/>
      <c r="BGT54" s="1011"/>
      <c r="BGU54" s="1011"/>
      <c r="BGV54" s="1011"/>
      <c r="BGW54" s="1011"/>
      <c r="BGX54" s="1011"/>
      <c r="BGY54" s="1011"/>
      <c r="BGZ54" s="1011"/>
      <c r="BHA54" s="1011"/>
      <c r="BHB54" s="1011"/>
      <c r="BHC54" s="1011"/>
      <c r="BHD54" s="1011"/>
      <c r="BHE54" s="1011"/>
      <c r="BHF54" s="1011"/>
      <c r="BHG54" s="1011"/>
      <c r="BHH54" s="1011"/>
      <c r="BHI54" s="1011"/>
      <c r="BHJ54" s="1011"/>
      <c r="BHK54" s="1011"/>
      <c r="BHL54" s="1011"/>
      <c r="BHM54" s="1011"/>
      <c r="BHN54" s="1011"/>
      <c r="BHO54" s="1011"/>
      <c r="BHP54" s="1011"/>
      <c r="BHQ54" s="1011"/>
      <c r="BHR54" s="1011"/>
      <c r="BHS54" s="1011"/>
      <c r="BHT54" s="1011"/>
      <c r="BHU54" s="1011"/>
      <c r="BHV54" s="1011"/>
      <c r="BHW54" s="1011"/>
      <c r="BHX54" s="1011"/>
      <c r="BHY54" s="1011"/>
      <c r="BHZ54" s="1011"/>
      <c r="BIA54" s="1011"/>
      <c r="BIB54" s="1011"/>
      <c r="BIC54" s="1011"/>
      <c r="BID54" s="1011"/>
      <c r="BIE54" s="1011"/>
      <c r="BIF54" s="1011"/>
      <c r="BIG54" s="1011"/>
      <c r="BIH54" s="1011"/>
      <c r="BII54" s="1011"/>
      <c r="BIJ54" s="1011"/>
      <c r="BIK54" s="1011"/>
      <c r="BIL54" s="1011"/>
      <c r="BIM54" s="1011"/>
      <c r="BIN54" s="1011"/>
      <c r="BIO54" s="1011"/>
      <c r="BIP54" s="1011"/>
      <c r="BIQ54" s="1011"/>
      <c r="BIR54" s="1011"/>
      <c r="BIS54" s="1011"/>
      <c r="BIT54" s="1011"/>
      <c r="BIU54" s="1011"/>
      <c r="BIV54" s="1011"/>
      <c r="BIW54" s="1011"/>
      <c r="BIX54" s="1011"/>
      <c r="BIY54" s="1011"/>
      <c r="BIZ54" s="1011"/>
      <c r="BJA54" s="1011"/>
      <c r="BJB54" s="1011"/>
      <c r="BJC54" s="1011"/>
      <c r="BJD54" s="1011"/>
      <c r="BJE54" s="1011"/>
      <c r="BJF54" s="1011"/>
      <c r="BJG54" s="1011"/>
      <c r="BJH54" s="1011"/>
      <c r="BJI54" s="1011"/>
      <c r="BJJ54" s="1011"/>
      <c r="BJK54" s="1011"/>
      <c r="BJL54" s="1011"/>
      <c r="BJM54" s="1011"/>
      <c r="BJN54" s="1011"/>
      <c r="BJO54" s="1011"/>
      <c r="BJP54" s="1011"/>
      <c r="BJQ54" s="1011"/>
      <c r="BJR54" s="1011"/>
      <c r="BJS54" s="1011"/>
      <c r="BJT54" s="1011"/>
      <c r="BJU54" s="1011"/>
      <c r="BJV54" s="1011"/>
      <c r="BJW54" s="1011"/>
      <c r="BJX54" s="1011"/>
      <c r="BJY54" s="1011"/>
      <c r="BJZ54" s="1011"/>
      <c r="BKA54" s="1011"/>
      <c r="BKB54" s="1011"/>
      <c r="BKC54" s="1011"/>
      <c r="BKD54" s="1011"/>
      <c r="BKE54" s="1011"/>
      <c r="BKF54" s="1011"/>
      <c r="BKG54" s="1011"/>
      <c r="BKH54" s="1011"/>
      <c r="BKI54" s="1011"/>
      <c r="BKJ54" s="1011"/>
      <c r="BKK54" s="1011"/>
      <c r="BKL54" s="1011"/>
      <c r="BKM54" s="1011"/>
      <c r="BKN54" s="1011"/>
      <c r="BKO54" s="1011"/>
      <c r="BKP54" s="1011"/>
      <c r="BKQ54" s="1011"/>
      <c r="BKR54" s="1011"/>
      <c r="BKS54" s="1011"/>
      <c r="BKT54" s="1011"/>
      <c r="BKU54" s="1011"/>
      <c r="BKV54" s="1011"/>
      <c r="BKW54" s="1011"/>
      <c r="BKX54" s="1011"/>
      <c r="BKY54" s="1011"/>
      <c r="BKZ54" s="1011"/>
      <c r="BLA54" s="1011"/>
      <c r="BLB54" s="1011"/>
      <c r="BLC54" s="1011"/>
      <c r="BLD54" s="1011"/>
      <c r="BLE54" s="1011"/>
      <c r="BLF54" s="1011"/>
      <c r="BLG54" s="1011"/>
      <c r="BLH54" s="1011"/>
      <c r="BLI54" s="1011"/>
      <c r="BLJ54" s="1011"/>
      <c r="BLK54" s="1011"/>
      <c r="BLL54" s="1011"/>
      <c r="BLM54" s="1011"/>
      <c r="BLN54" s="1011"/>
      <c r="BLO54" s="1011"/>
      <c r="BLP54" s="1011"/>
      <c r="BLQ54" s="1011"/>
      <c r="BLR54" s="1011"/>
      <c r="BLS54" s="1011"/>
      <c r="BLT54" s="1011"/>
      <c r="BLU54" s="1011"/>
      <c r="BLV54" s="1011"/>
      <c r="BLW54" s="1011"/>
      <c r="BLX54" s="1011"/>
      <c r="BLY54" s="1011"/>
      <c r="BLZ54" s="1011"/>
      <c r="BMA54" s="1011"/>
      <c r="BMB54" s="1011"/>
      <c r="BMC54" s="1011"/>
      <c r="BMD54" s="1011"/>
      <c r="BME54" s="1011"/>
      <c r="BMF54" s="1011"/>
      <c r="BMG54" s="1011"/>
      <c r="BMH54" s="1011"/>
      <c r="BMI54" s="1011"/>
      <c r="BMJ54" s="1011"/>
      <c r="BMK54" s="1011"/>
      <c r="BML54" s="1011"/>
      <c r="BMM54" s="1011"/>
      <c r="BMN54" s="1011"/>
      <c r="BMO54" s="1011"/>
      <c r="BMP54" s="1011"/>
      <c r="BMQ54" s="1011"/>
      <c r="BMR54" s="1011"/>
      <c r="BMS54" s="1011"/>
      <c r="BMT54" s="1011"/>
      <c r="BMU54" s="1011"/>
      <c r="BMV54" s="1011"/>
      <c r="BMW54" s="1011"/>
      <c r="BMX54" s="1011"/>
      <c r="BMY54" s="1011"/>
      <c r="BMZ54" s="1011"/>
      <c r="BNA54" s="1011"/>
      <c r="BNB54" s="1011"/>
      <c r="BNC54" s="1011"/>
      <c r="BND54" s="1011"/>
      <c r="BNE54" s="1011"/>
      <c r="BNF54" s="1011"/>
      <c r="BNG54" s="1011"/>
      <c r="BNH54" s="1011"/>
      <c r="BNI54" s="1011"/>
      <c r="BNJ54" s="1011"/>
      <c r="BNK54" s="1011"/>
      <c r="BNL54" s="1011"/>
      <c r="BNM54" s="1011"/>
      <c r="BNN54" s="1011"/>
      <c r="BNO54" s="1011"/>
      <c r="BNP54" s="1011"/>
      <c r="BNQ54" s="1011"/>
      <c r="BNR54" s="1011"/>
      <c r="BNS54" s="1011"/>
      <c r="BNT54" s="1011"/>
      <c r="BNU54" s="1011"/>
      <c r="BNV54" s="1011"/>
      <c r="BNW54" s="1011"/>
      <c r="BNX54" s="1011"/>
      <c r="BNY54" s="1011"/>
      <c r="BNZ54" s="1011"/>
      <c r="BOA54" s="1011"/>
      <c r="BOB54" s="1011"/>
      <c r="BOC54" s="1011"/>
      <c r="BOD54" s="1011"/>
      <c r="BOE54" s="1011"/>
      <c r="BOF54" s="1011"/>
      <c r="BOG54" s="1011"/>
      <c r="BOH54" s="1011"/>
      <c r="BOI54" s="1011"/>
      <c r="BOJ54" s="1011"/>
      <c r="BOK54" s="1011"/>
      <c r="BOL54" s="1011"/>
      <c r="BOM54" s="1011"/>
      <c r="BON54" s="1011"/>
      <c r="BOO54" s="1011"/>
      <c r="BOP54" s="1011"/>
      <c r="BOQ54" s="1011"/>
      <c r="BOR54" s="1011"/>
      <c r="BOS54" s="1011"/>
      <c r="BOT54" s="1011"/>
      <c r="BOU54" s="1011"/>
      <c r="BOV54" s="1011"/>
      <c r="BOW54" s="1011"/>
      <c r="BOX54" s="1011"/>
      <c r="BOY54" s="1011"/>
      <c r="BOZ54" s="1011"/>
      <c r="BPA54" s="1011"/>
      <c r="BPB54" s="1011"/>
      <c r="BPC54" s="1011"/>
      <c r="BPD54" s="1011"/>
      <c r="BPE54" s="1011"/>
      <c r="BPF54" s="1011"/>
      <c r="BPG54" s="1011"/>
      <c r="BPH54" s="1011"/>
      <c r="BPI54" s="1011"/>
      <c r="BPJ54" s="1011"/>
      <c r="BPK54" s="1011"/>
      <c r="BPL54" s="1011"/>
      <c r="BPM54" s="1011"/>
      <c r="BPN54" s="1011"/>
      <c r="BPO54" s="1011"/>
      <c r="BPP54" s="1011"/>
      <c r="BPQ54" s="1011"/>
      <c r="BPR54" s="1011"/>
      <c r="BPS54" s="1011"/>
      <c r="BPT54" s="1011"/>
      <c r="BPU54" s="1011"/>
      <c r="BPV54" s="1011"/>
      <c r="BPW54" s="1011"/>
      <c r="BPX54" s="1011"/>
      <c r="BPY54" s="1011"/>
      <c r="BPZ54" s="1011"/>
      <c r="BQA54" s="1011"/>
      <c r="BQB54" s="1011"/>
      <c r="BQC54" s="1011"/>
      <c r="BQD54" s="1011"/>
      <c r="BQE54" s="1011"/>
      <c r="BQF54" s="1011"/>
      <c r="BQG54" s="1011"/>
      <c r="BQH54" s="1011"/>
      <c r="BQI54" s="1011"/>
      <c r="BQJ54" s="1011"/>
      <c r="BQK54" s="1011"/>
      <c r="BQL54" s="1011"/>
      <c r="BQM54" s="1011"/>
      <c r="BQN54" s="1011"/>
      <c r="BQO54" s="1011"/>
      <c r="BQP54" s="1011"/>
      <c r="BQQ54" s="1011"/>
      <c r="BQR54" s="1011"/>
      <c r="BQS54" s="1011"/>
      <c r="BQT54" s="1011"/>
      <c r="BQU54" s="1011"/>
      <c r="BQV54" s="1011"/>
      <c r="BQW54" s="1011"/>
      <c r="BQX54" s="1011"/>
      <c r="BQY54" s="1011"/>
      <c r="BQZ54" s="1011"/>
      <c r="BRA54" s="1011"/>
      <c r="BRB54" s="1011"/>
      <c r="BRC54" s="1011"/>
      <c r="BRD54" s="1011"/>
      <c r="BRE54" s="1011"/>
      <c r="BRF54" s="1011"/>
      <c r="BRG54" s="1011"/>
      <c r="BRH54" s="1011"/>
      <c r="BRI54" s="1011"/>
      <c r="BRJ54" s="1011"/>
      <c r="BRK54" s="1011"/>
      <c r="BRL54" s="1011"/>
      <c r="BRM54" s="1011"/>
      <c r="BRN54" s="1011"/>
      <c r="BRO54" s="1011"/>
      <c r="BRP54" s="1011"/>
      <c r="BRQ54" s="1011"/>
      <c r="BRR54" s="1011"/>
      <c r="BRS54" s="1011"/>
      <c r="BRT54" s="1011"/>
      <c r="BRU54" s="1011"/>
      <c r="BRV54" s="1011"/>
      <c r="BRW54" s="1011"/>
      <c r="BRX54" s="1011"/>
      <c r="BRY54" s="1011"/>
      <c r="BRZ54" s="1011"/>
      <c r="BSA54" s="1011"/>
      <c r="BSB54" s="1011"/>
      <c r="BSC54" s="1011"/>
      <c r="BSD54" s="1011"/>
      <c r="BSE54" s="1011"/>
      <c r="BSF54" s="1011"/>
      <c r="BSG54" s="1011"/>
      <c r="BSH54" s="1011"/>
      <c r="BSI54" s="1011"/>
      <c r="BSJ54" s="1011"/>
      <c r="BSK54" s="1011"/>
      <c r="BSL54" s="1011"/>
      <c r="BSM54" s="1011"/>
      <c r="BSN54" s="1011"/>
      <c r="BSO54" s="1011"/>
      <c r="BSP54" s="1011"/>
      <c r="BSQ54" s="1011"/>
      <c r="BSR54" s="1011"/>
      <c r="BSS54" s="1011"/>
      <c r="BST54" s="1011"/>
      <c r="BSU54" s="1011"/>
      <c r="BSV54" s="1011"/>
      <c r="BSW54" s="1011"/>
      <c r="BSX54" s="1011"/>
      <c r="BSY54" s="1011"/>
      <c r="BSZ54" s="1011"/>
      <c r="BTA54" s="1011"/>
      <c r="BTB54" s="1011"/>
      <c r="BTC54" s="1011"/>
      <c r="BTD54" s="1011"/>
      <c r="BTE54" s="1011"/>
      <c r="BTF54" s="1011"/>
      <c r="BTG54" s="1011"/>
      <c r="BTH54" s="1011"/>
      <c r="BTI54" s="1011"/>
      <c r="BTJ54" s="1011"/>
      <c r="BTK54" s="1011"/>
      <c r="BTL54" s="1011"/>
      <c r="BTM54" s="1011"/>
      <c r="BTN54" s="1011"/>
      <c r="BTO54" s="1011"/>
      <c r="BTP54" s="1011"/>
      <c r="BTQ54" s="1011"/>
      <c r="BTR54" s="1011"/>
      <c r="BTS54" s="1011"/>
      <c r="BTT54" s="1011"/>
      <c r="BTU54" s="1011"/>
      <c r="BTV54" s="1011"/>
      <c r="BTW54" s="1011"/>
      <c r="BTX54" s="1011"/>
      <c r="BTY54" s="1011"/>
      <c r="BTZ54" s="1011"/>
      <c r="BUA54" s="1011"/>
      <c r="BUB54" s="1011"/>
      <c r="BUC54" s="1011"/>
      <c r="BUD54" s="1011"/>
      <c r="BUE54" s="1011"/>
      <c r="BUF54" s="1011"/>
      <c r="BUG54" s="1011"/>
      <c r="BUH54" s="1011"/>
      <c r="BUI54" s="1011"/>
      <c r="BUJ54" s="1011"/>
      <c r="BUK54" s="1011"/>
      <c r="BUL54" s="1011"/>
      <c r="BUM54" s="1011"/>
      <c r="BUN54" s="1011"/>
      <c r="BUO54" s="1011"/>
      <c r="BUP54" s="1011"/>
      <c r="BUQ54" s="1011"/>
      <c r="BUR54" s="1011"/>
      <c r="BUS54" s="1011"/>
      <c r="BUT54" s="1011"/>
      <c r="BUU54" s="1011"/>
      <c r="BUV54" s="1011"/>
      <c r="BUW54" s="1011"/>
      <c r="BUX54" s="1011"/>
      <c r="BUY54" s="1011"/>
      <c r="BUZ54" s="1011"/>
      <c r="BVA54" s="1011"/>
      <c r="BVB54" s="1011"/>
      <c r="BVC54" s="1011"/>
      <c r="BVD54" s="1011"/>
      <c r="BVE54" s="1011"/>
      <c r="BVF54" s="1011"/>
      <c r="BVG54" s="1011"/>
      <c r="BVH54" s="1011"/>
      <c r="BVI54" s="1011"/>
      <c r="BVJ54" s="1011"/>
      <c r="BVK54" s="1011"/>
      <c r="BVL54" s="1011"/>
      <c r="BVM54" s="1011"/>
      <c r="BVN54" s="1011"/>
      <c r="BVO54" s="1011"/>
      <c r="BVP54" s="1011"/>
      <c r="BVQ54" s="1011"/>
      <c r="BVR54" s="1011"/>
      <c r="BVS54" s="1011"/>
      <c r="BVT54" s="1011"/>
      <c r="BVU54" s="1011"/>
      <c r="BVV54" s="1011"/>
      <c r="BVW54" s="1011"/>
      <c r="BVX54" s="1011"/>
      <c r="BVY54" s="1011"/>
      <c r="BVZ54" s="1011"/>
      <c r="BWA54" s="1011"/>
      <c r="BWB54" s="1011"/>
      <c r="BWC54" s="1011"/>
      <c r="BWD54" s="1011"/>
      <c r="BWE54" s="1011"/>
      <c r="BWF54" s="1011"/>
      <c r="BWG54" s="1011"/>
      <c r="BWH54" s="1011"/>
      <c r="BWI54" s="1011"/>
      <c r="BWJ54" s="1011"/>
      <c r="BWK54" s="1011"/>
      <c r="BWL54" s="1011"/>
      <c r="BWM54" s="1011"/>
      <c r="BWN54" s="1011"/>
      <c r="BWO54" s="1011"/>
      <c r="BWP54" s="1011"/>
      <c r="BWQ54" s="1011"/>
      <c r="BWR54" s="1011"/>
      <c r="BWS54" s="1011"/>
      <c r="BWT54" s="1011"/>
      <c r="BWU54" s="1011"/>
      <c r="BWV54" s="1011"/>
      <c r="BWW54" s="1011"/>
      <c r="BWX54" s="1011"/>
      <c r="BWY54" s="1011"/>
      <c r="BWZ54" s="1011"/>
      <c r="BXA54" s="1011"/>
      <c r="BXB54" s="1011"/>
      <c r="BXC54" s="1011"/>
      <c r="BXD54" s="1011"/>
      <c r="BXE54" s="1011"/>
      <c r="BXF54" s="1011"/>
      <c r="BXG54" s="1011"/>
      <c r="BXH54" s="1011"/>
      <c r="BXI54" s="1011"/>
      <c r="BXJ54" s="1011"/>
      <c r="BXK54" s="1011"/>
      <c r="BXL54" s="1011"/>
      <c r="BXM54" s="1011"/>
      <c r="BXN54" s="1011"/>
      <c r="BXO54" s="1011"/>
      <c r="BXP54" s="1011"/>
      <c r="BXQ54" s="1011"/>
      <c r="BXR54" s="1011"/>
      <c r="BXS54" s="1011"/>
      <c r="BXT54" s="1011"/>
      <c r="BXU54" s="1011"/>
      <c r="BXV54" s="1011"/>
      <c r="BXW54" s="1011"/>
      <c r="BXX54" s="1011"/>
      <c r="BXY54" s="1011"/>
      <c r="BXZ54" s="1011"/>
      <c r="BYA54" s="1011"/>
      <c r="BYB54" s="1011"/>
      <c r="BYC54" s="1011"/>
      <c r="BYD54" s="1011"/>
      <c r="BYE54" s="1011"/>
      <c r="BYF54" s="1011"/>
      <c r="BYG54" s="1011"/>
      <c r="BYH54" s="1011"/>
      <c r="BYI54" s="1011"/>
      <c r="BYJ54" s="1011"/>
      <c r="BYK54" s="1011"/>
      <c r="BYL54" s="1011"/>
      <c r="BYM54" s="1011"/>
      <c r="BYN54" s="1011"/>
      <c r="BYO54" s="1011"/>
      <c r="BYP54" s="1011"/>
      <c r="BYQ54" s="1011"/>
      <c r="BYR54" s="1011"/>
      <c r="BYS54" s="1011"/>
      <c r="BYT54" s="1011"/>
      <c r="BYU54" s="1011"/>
      <c r="BYV54" s="1011"/>
      <c r="BYW54" s="1011"/>
      <c r="BYX54" s="1011"/>
      <c r="BYY54" s="1011"/>
      <c r="BYZ54" s="1011"/>
      <c r="BZA54" s="1011"/>
      <c r="BZB54" s="1011"/>
      <c r="BZC54" s="1011"/>
      <c r="BZD54" s="1011"/>
      <c r="BZE54" s="1011"/>
      <c r="BZF54" s="1011"/>
      <c r="BZG54" s="1011"/>
      <c r="BZH54" s="1011"/>
      <c r="BZI54" s="1011"/>
      <c r="BZJ54" s="1011"/>
      <c r="BZK54" s="1011"/>
      <c r="BZL54" s="1011"/>
      <c r="BZM54" s="1011"/>
      <c r="BZN54" s="1011"/>
      <c r="BZO54" s="1011"/>
      <c r="BZP54" s="1011"/>
      <c r="BZQ54" s="1011"/>
      <c r="BZR54" s="1011"/>
      <c r="BZS54" s="1011"/>
      <c r="BZT54" s="1011"/>
      <c r="BZU54" s="1011"/>
      <c r="BZV54" s="1011"/>
      <c r="BZW54" s="1011"/>
      <c r="BZX54" s="1011"/>
      <c r="BZY54" s="1011"/>
      <c r="BZZ54" s="1011"/>
      <c r="CAA54" s="1011"/>
      <c r="CAB54" s="1011"/>
      <c r="CAC54" s="1011"/>
      <c r="CAD54" s="1011"/>
      <c r="CAE54" s="1011"/>
      <c r="CAF54" s="1011"/>
      <c r="CAG54" s="1011"/>
      <c r="CAH54" s="1011"/>
      <c r="CAI54" s="1011"/>
      <c r="CAJ54" s="1011"/>
      <c r="CAK54" s="1011"/>
      <c r="CAL54" s="1011"/>
      <c r="CAM54" s="1011"/>
      <c r="CAN54" s="1011"/>
      <c r="CAO54" s="1011"/>
      <c r="CAP54" s="1011"/>
      <c r="CAQ54" s="1011"/>
      <c r="CAR54" s="1011"/>
      <c r="CAS54" s="1011"/>
      <c r="CAT54" s="1011"/>
      <c r="CAU54" s="1011"/>
      <c r="CAV54" s="1011"/>
      <c r="CAW54" s="1011"/>
      <c r="CAX54" s="1011"/>
      <c r="CAY54" s="1011"/>
      <c r="CAZ54" s="1011"/>
      <c r="CBA54" s="1011"/>
      <c r="CBB54" s="1011"/>
      <c r="CBC54" s="1011"/>
      <c r="CBD54" s="1011"/>
      <c r="CBE54" s="1011"/>
      <c r="CBF54" s="1011"/>
      <c r="CBG54" s="1011"/>
      <c r="CBH54" s="1011"/>
      <c r="CBI54" s="1011"/>
      <c r="CBJ54" s="1011"/>
      <c r="CBK54" s="1011"/>
      <c r="CBL54" s="1011"/>
      <c r="CBM54" s="1011"/>
      <c r="CBN54" s="1011"/>
      <c r="CBO54" s="1011"/>
      <c r="CBP54" s="1011"/>
      <c r="CBQ54" s="1011"/>
      <c r="CBR54" s="1011"/>
      <c r="CBS54" s="1011"/>
      <c r="CBT54" s="1011"/>
      <c r="CBU54" s="1011"/>
      <c r="CBV54" s="1011"/>
      <c r="CBW54" s="1011"/>
      <c r="CBX54" s="1011"/>
      <c r="CBY54" s="1011"/>
      <c r="CBZ54" s="1011"/>
      <c r="CCA54" s="1011"/>
      <c r="CCB54" s="1011"/>
      <c r="CCC54" s="1011"/>
      <c r="CCD54" s="1011"/>
      <c r="CCE54" s="1011"/>
      <c r="CCF54" s="1011"/>
      <c r="CCG54" s="1011"/>
      <c r="CCH54" s="1011"/>
      <c r="CCI54" s="1011"/>
      <c r="CCJ54" s="1011"/>
      <c r="CCK54" s="1011"/>
      <c r="CCL54" s="1011"/>
      <c r="CCM54" s="1011"/>
      <c r="CCN54" s="1011"/>
      <c r="CCO54" s="1011"/>
      <c r="CCP54" s="1011"/>
      <c r="CCQ54" s="1011"/>
      <c r="CCR54" s="1011"/>
      <c r="CCS54" s="1011"/>
      <c r="CCT54" s="1011"/>
      <c r="CCU54" s="1011"/>
      <c r="CCV54" s="1011"/>
      <c r="CCW54" s="1011"/>
      <c r="CCX54" s="1011"/>
      <c r="CCY54" s="1011"/>
      <c r="CCZ54" s="1011"/>
      <c r="CDA54" s="1011"/>
      <c r="CDB54" s="1011"/>
      <c r="CDC54" s="1011"/>
      <c r="CDD54" s="1011"/>
      <c r="CDE54" s="1011"/>
      <c r="CDF54" s="1011"/>
      <c r="CDG54" s="1011"/>
      <c r="CDH54" s="1011"/>
      <c r="CDI54" s="1011"/>
      <c r="CDJ54" s="1011"/>
      <c r="CDK54" s="1011"/>
      <c r="CDL54" s="1011"/>
      <c r="CDM54" s="1011"/>
      <c r="CDN54" s="1011"/>
      <c r="CDO54" s="1011"/>
      <c r="CDP54" s="1011"/>
      <c r="CDQ54" s="1011"/>
      <c r="CDR54" s="1011"/>
      <c r="CDS54" s="1011"/>
      <c r="CDT54" s="1011"/>
      <c r="CDU54" s="1011"/>
      <c r="CDV54" s="1011"/>
      <c r="CDW54" s="1011"/>
      <c r="CDX54" s="1011"/>
      <c r="CDY54" s="1011"/>
      <c r="CDZ54" s="1011"/>
      <c r="CEA54" s="1011"/>
      <c r="CEB54" s="1011"/>
      <c r="CEC54" s="1011"/>
      <c r="CED54" s="1011"/>
      <c r="CEE54" s="1011"/>
      <c r="CEF54" s="1011"/>
      <c r="CEG54" s="1011"/>
      <c r="CEH54" s="1011"/>
      <c r="CEI54" s="1011"/>
      <c r="CEJ54" s="1011"/>
      <c r="CEK54" s="1011"/>
      <c r="CEL54" s="1011"/>
      <c r="CEM54" s="1011"/>
      <c r="CEN54" s="1011"/>
      <c r="CEO54" s="1011"/>
      <c r="CEP54" s="1011"/>
      <c r="CEQ54" s="1011"/>
      <c r="CER54" s="1011"/>
      <c r="CES54" s="1011"/>
      <c r="CET54" s="1011"/>
      <c r="CEU54" s="1011"/>
      <c r="CEV54" s="1011"/>
      <c r="CEW54" s="1011"/>
      <c r="CEX54" s="1011"/>
      <c r="CEY54" s="1011"/>
      <c r="CEZ54" s="1011"/>
      <c r="CFA54" s="1011"/>
      <c r="CFB54" s="1011"/>
      <c r="CFC54" s="1011"/>
      <c r="CFD54" s="1011"/>
      <c r="CFE54" s="1011"/>
      <c r="CFF54" s="1011"/>
      <c r="CFG54" s="1011"/>
      <c r="CFH54" s="1011"/>
      <c r="CFI54" s="1011"/>
      <c r="CFJ54" s="1011"/>
      <c r="CFK54" s="1011"/>
      <c r="CFL54" s="1011"/>
      <c r="CFM54" s="1011"/>
      <c r="CFN54" s="1011"/>
      <c r="CFO54" s="1011"/>
      <c r="CFP54" s="1011"/>
      <c r="CFQ54" s="1011"/>
      <c r="CFR54" s="1011"/>
      <c r="CFS54" s="1011"/>
      <c r="CFT54" s="1011"/>
      <c r="CFU54" s="1011"/>
      <c r="CFV54" s="1011"/>
      <c r="CFW54" s="1011"/>
      <c r="CFX54" s="1011"/>
      <c r="CFY54" s="1011"/>
      <c r="CFZ54" s="1011"/>
      <c r="CGA54" s="1011"/>
      <c r="CGB54" s="1011"/>
      <c r="CGC54" s="1011"/>
      <c r="CGD54" s="1011"/>
      <c r="CGE54" s="1011"/>
      <c r="CGF54" s="1011"/>
      <c r="CGG54" s="1011"/>
      <c r="CGH54" s="1011"/>
      <c r="CGI54" s="1011"/>
      <c r="CGJ54" s="1011"/>
      <c r="CGK54" s="1011"/>
      <c r="CGL54" s="1011"/>
      <c r="CGM54" s="1011"/>
      <c r="CGN54" s="1011"/>
      <c r="CGO54" s="1011"/>
      <c r="CGP54" s="1011"/>
      <c r="CGQ54" s="1011"/>
      <c r="CGR54" s="1011"/>
      <c r="CGS54" s="1011"/>
      <c r="CGT54" s="1011"/>
      <c r="CGU54" s="1011"/>
      <c r="CGV54" s="1011"/>
      <c r="CGW54" s="1011"/>
      <c r="CGX54" s="1011"/>
      <c r="CGY54" s="1011"/>
      <c r="CGZ54" s="1011"/>
      <c r="CHA54" s="1011"/>
      <c r="CHB54" s="1011"/>
      <c r="CHC54" s="1011"/>
      <c r="CHD54" s="1011"/>
      <c r="CHE54" s="1011"/>
      <c r="CHF54" s="1011"/>
      <c r="CHG54" s="1011"/>
      <c r="CHH54" s="1011"/>
      <c r="CHI54" s="1011"/>
      <c r="CHJ54" s="1011"/>
      <c r="CHK54" s="1011"/>
      <c r="CHL54" s="1011"/>
      <c r="CHM54" s="1011"/>
      <c r="CHN54" s="1011"/>
      <c r="CHO54" s="1011"/>
      <c r="CHP54" s="1011"/>
      <c r="CHQ54" s="1011"/>
      <c r="CHR54" s="1011"/>
      <c r="CHS54" s="1011"/>
      <c r="CHT54" s="1011"/>
      <c r="CHU54" s="1011"/>
      <c r="CHV54" s="1011"/>
      <c r="CHW54" s="1011"/>
      <c r="CHX54" s="1011"/>
      <c r="CHY54" s="1011"/>
      <c r="CHZ54" s="1011"/>
      <c r="CIA54" s="1011"/>
      <c r="CIB54" s="1011"/>
      <c r="CIC54" s="1011"/>
      <c r="CID54" s="1011"/>
      <c r="CIE54" s="1011"/>
      <c r="CIF54" s="1011"/>
      <c r="CIG54" s="1011"/>
      <c r="CIH54" s="1011"/>
      <c r="CII54" s="1011"/>
      <c r="CIJ54" s="1011"/>
      <c r="CIK54" s="1011"/>
      <c r="CIL54" s="1011"/>
      <c r="CIM54" s="1011"/>
      <c r="CIN54" s="1011"/>
      <c r="CIO54" s="1011"/>
      <c r="CIP54" s="1011"/>
      <c r="CIQ54" s="1011"/>
      <c r="CIR54" s="1011"/>
      <c r="CIS54" s="1011"/>
      <c r="CIT54" s="1011"/>
      <c r="CIU54" s="1011"/>
      <c r="CIV54" s="1011"/>
      <c r="CIW54" s="1011"/>
      <c r="CIX54" s="1011"/>
      <c r="CIY54" s="1011"/>
      <c r="CIZ54" s="1011"/>
      <c r="CJA54" s="1011"/>
      <c r="CJB54" s="1011"/>
      <c r="CJC54" s="1011"/>
      <c r="CJD54" s="1011"/>
      <c r="CJE54" s="1011"/>
      <c r="CJF54" s="1011"/>
      <c r="CJG54" s="1011"/>
      <c r="CJH54" s="1011"/>
      <c r="CJI54" s="1011"/>
      <c r="CJJ54" s="1011"/>
      <c r="CJK54" s="1011"/>
      <c r="CJL54" s="1011"/>
      <c r="CJM54" s="1011"/>
      <c r="CJN54" s="1011"/>
      <c r="CJO54" s="1011"/>
      <c r="CJP54" s="1011"/>
      <c r="CJQ54" s="1011"/>
      <c r="CJR54" s="1011"/>
      <c r="CJS54" s="1011"/>
      <c r="CJT54" s="1011"/>
      <c r="CJU54" s="1011"/>
      <c r="CJV54" s="1011"/>
      <c r="CJW54" s="1011"/>
      <c r="CJX54" s="1011"/>
      <c r="CJY54" s="1011"/>
      <c r="CJZ54" s="1011"/>
      <c r="CKA54" s="1011"/>
      <c r="CKB54" s="1011"/>
      <c r="CKC54" s="1011"/>
      <c r="CKD54" s="1011"/>
      <c r="CKE54" s="1011"/>
      <c r="CKF54" s="1011"/>
      <c r="CKG54" s="1011"/>
      <c r="CKH54" s="1011"/>
      <c r="CKI54" s="1011"/>
      <c r="CKJ54" s="1011"/>
      <c r="CKK54" s="1011"/>
      <c r="CKL54" s="1011"/>
      <c r="CKM54" s="1011"/>
      <c r="CKN54" s="1011"/>
      <c r="CKO54" s="1011"/>
      <c r="CKP54" s="1011"/>
      <c r="CKQ54" s="1011"/>
      <c r="CKR54" s="1011"/>
      <c r="CKS54" s="1011"/>
      <c r="CKT54" s="1011"/>
      <c r="CKU54" s="1011"/>
      <c r="CKV54" s="1011"/>
      <c r="CKW54" s="1011"/>
      <c r="CKX54" s="1011"/>
      <c r="CKY54" s="1011"/>
      <c r="CKZ54" s="1011"/>
      <c r="CLA54" s="1011"/>
      <c r="CLB54" s="1011"/>
      <c r="CLC54" s="1011"/>
      <c r="CLD54" s="1011"/>
      <c r="CLE54" s="1011"/>
      <c r="CLF54" s="1011"/>
      <c r="CLG54" s="1011"/>
      <c r="CLH54" s="1011"/>
      <c r="CLI54" s="1011"/>
      <c r="CLJ54" s="1011"/>
      <c r="CLK54" s="1011"/>
      <c r="CLL54" s="1011"/>
      <c r="CLM54" s="1011"/>
      <c r="CLN54" s="1011"/>
      <c r="CLO54" s="1011"/>
      <c r="CLP54" s="1011"/>
      <c r="CLQ54" s="1011"/>
      <c r="CLR54" s="1011"/>
      <c r="CLS54" s="1011"/>
      <c r="CLT54" s="1011"/>
      <c r="CLU54" s="1011"/>
      <c r="CLV54" s="1011"/>
      <c r="CLW54" s="1011"/>
      <c r="CLX54" s="1011"/>
      <c r="CLY54" s="1011"/>
      <c r="CLZ54" s="1011"/>
      <c r="CMA54" s="1011"/>
      <c r="CMB54" s="1011"/>
      <c r="CMC54" s="1011"/>
      <c r="CMD54" s="1011"/>
      <c r="CME54" s="1011"/>
      <c r="CMF54" s="1011"/>
      <c r="CMG54" s="1011"/>
      <c r="CMH54" s="1011"/>
      <c r="CMI54" s="1011"/>
      <c r="CMJ54" s="1011"/>
      <c r="CMK54" s="1011"/>
      <c r="CML54" s="1011"/>
      <c r="CMM54" s="1011"/>
      <c r="CMN54" s="1011"/>
      <c r="CMO54" s="1011"/>
      <c r="CMP54" s="1011"/>
      <c r="CMQ54" s="1011"/>
      <c r="CMR54" s="1011"/>
      <c r="CMS54" s="1011"/>
      <c r="CMT54" s="1011"/>
      <c r="CMU54" s="1011"/>
      <c r="CMV54" s="1011"/>
      <c r="CMW54" s="1011"/>
      <c r="CMX54" s="1011"/>
      <c r="CMY54" s="1011"/>
      <c r="CMZ54" s="1011"/>
      <c r="CNA54" s="1011"/>
      <c r="CNB54" s="1011"/>
      <c r="CNC54" s="1011"/>
      <c r="CND54" s="1011"/>
      <c r="CNE54" s="1011"/>
      <c r="CNF54" s="1011"/>
      <c r="CNG54" s="1011"/>
      <c r="CNH54" s="1011"/>
      <c r="CNI54" s="1011"/>
      <c r="CNJ54" s="1011"/>
      <c r="CNK54" s="1011"/>
      <c r="CNL54" s="1011"/>
      <c r="CNM54" s="1011"/>
      <c r="CNN54" s="1011"/>
      <c r="CNO54" s="1011"/>
      <c r="CNP54" s="1011"/>
      <c r="CNQ54" s="1011"/>
      <c r="CNR54" s="1011"/>
      <c r="CNS54" s="1011"/>
      <c r="CNT54" s="1011"/>
      <c r="CNU54" s="1011"/>
      <c r="CNV54" s="1011"/>
      <c r="CNW54" s="1011"/>
      <c r="CNX54" s="1011"/>
      <c r="CNY54" s="1011"/>
      <c r="CNZ54" s="1011"/>
      <c r="COA54" s="1011"/>
      <c r="COB54" s="1011"/>
      <c r="COC54" s="1011"/>
      <c r="COD54" s="1011"/>
      <c r="COE54" s="1011"/>
      <c r="COF54" s="1011"/>
      <c r="COG54" s="1011"/>
      <c r="COH54" s="1011"/>
      <c r="COI54" s="1011"/>
      <c r="COJ54" s="1011"/>
      <c r="COK54" s="1011"/>
      <c r="COL54" s="1011"/>
      <c r="COM54" s="1011"/>
      <c r="CON54" s="1011"/>
      <c r="COO54" s="1011"/>
      <c r="COP54" s="1011"/>
      <c r="COQ54" s="1011"/>
      <c r="COR54" s="1011"/>
      <c r="COS54" s="1011"/>
      <c r="COT54" s="1011"/>
      <c r="COU54" s="1011"/>
      <c r="COV54" s="1011"/>
      <c r="COW54" s="1011"/>
      <c r="COX54" s="1011"/>
      <c r="COY54" s="1011"/>
      <c r="COZ54" s="1011"/>
      <c r="CPA54" s="1011"/>
      <c r="CPB54" s="1011"/>
      <c r="CPC54" s="1011"/>
      <c r="CPD54" s="1011"/>
      <c r="CPE54" s="1011"/>
      <c r="CPF54" s="1011"/>
      <c r="CPG54" s="1011"/>
      <c r="CPH54" s="1011"/>
      <c r="CPI54" s="1011"/>
      <c r="CPJ54" s="1011"/>
      <c r="CPK54" s="1011"/>
      <c r="CPL54" s="1011"/>
      <c r="CPM54" s="1011"/>
      <c r="CPN54" s="1011"/>
      <c r="CPO54" s="1011"/>
      <c r="CPP54" s="1011"/>
      <c r="CPQ54" s="1011"/>
      <c r="CPR54" s="1011"/>
      <c r="CPS54" s="1011"/>
      <c r="CPT54" s="1011"/>
      <c r="CPU54" s="1011"/>
      <c r="CPV54" s="1011"/>
      <c r="CPW54" s="1011"/>
      <c r="CPX54" s="1011"/>
      <c r="CPY54" s="1011"/>
      <c r="CPZ54" s="1011"/>
      <c r="CQA54" s="1011"/>
      <c r="CQB54" s="1011"/>
      <c r="CQC54" s="1011"/>
      <c r="CQD54" s="1011"/>
      <c r="CQE54" s="1011"/>
      <c r="CQF54" s="1011"/>
      <c r="CQG54" s="1011"/>
      <c r="CQH54" s="1011"/>
      <c r="CQI54" s="1011"/>
      <c r="CQJ54" s="1011"/>
      <c r="CQK54" s="1011"/>
      <c r="CQL54" s="1011"/>
      <c r="CQM54" s="1011"/>
      <c r="CQN54" s="1011"/>
      <c r="CQO54" s="1011"/>
      <c r="CQP54" s="1011"/>
      <c r="CQQ54" s="1011"/>
      <c r="CQR54" s="1011"/>
      <c r="CQS54" s="1011"/>
      <c r="CQT54" s="1011"/>
      <c r="CQU54" s="1011"/>
      <c r="CQV54" s="1011"/>
      <c r="CQW54" s="1011"/>
      <c r="CQX54" s="1011"/>
      <c r="CQY54" s="1011"/>
      <c r="CQZ54" s="1011"/>
      <c r="CRA54" s="1011"/>
      <c r="CRB54" s="1011"/>
      <c r="CRC54" s="1011"/>
      <c r="CRD54" s="1011"/>
      <c r="CRE54" s="1011"/>
      <c r="CRF54" s="1011"/>
      <c r="CRG54" s="1011"/>
      <c r="CRH54" s="1011"/>
      <c r="CRI54" s="1011"/>
      <c r="CRJ54" s="1011"/>
      <c r="CRK54" s="1011"/>
      <c r="CRL54" s="1011"/>
      <c r="CRM54" s="1011"/>
      <c r="CRN54" s="1011"/>
      <c r="CRO54" s="1011"/>
      <c r="CRP54" s="1011"/>
      <c r="CRQ54" s="1011"/>
      <c r="CRR54" s="1011"/>
      <c r="CRS54" s="1011"/>
      <c r="CRT54" s="1011"/>
      <c r="CRU54" s="1011"/>
      <c r="CRV54" s="1011"/>
      <c r="CRW54" s="1011"/>
      <c r="CRX54" s="1011"/>
      <c r="CRY54" s="1011"/>
      <c r="CRZ54" s="1011"/>
      <c r="CSA54" s="1011"/>
      <c r="CSB54" s="1011"/>
      <c r="CSC54" s="1011"/>
      <c r="CSD54" s="1011"/>
      <c r="CSE54" s="1011"/>
      <c r="CSF54" s="1011"/>
      <c r="CSG54" s="1011"/>
      <c r="CSH54" s="1011"/>
      <c r="CSI54" s="1011"/>
      <c r="CSJ54" s="1011"/>
      <c r="CSK54" s="1011"/>
      <c r="CSL54" s="1011"/>
      <c r="CSM54" s="1011"/>
      <c r="CSN54" s="1011"/>
      <c r="CSO54" s="1011"/>
      <c r="CSP54" s="1011"/>
      <c r="CSQ54" s="1011"/>
      <c r="CSR54" s="1011"/>
      <c r="CSS54" s="1011"/>
      <c r="CST54" s="1011"/>
      <c r="CSU54" s="1011"/>
      <c r="CSV54" s="1011"/>
      <c r="CSW54" s="1011"/>
      <c r="CSX54" s="1011"/>
      <c r="CSY54" s="1011"/>
      <c r="CSZ54" s="1011"/>
      <c r="CTA54" s="1011"/>
      <c r="CTB54" s="1011"/>
      <c r="CTC54" s="1011"/>
      <c r="CTD54" s="1011"/>
      <c r="CTE54" s="1011"/>
      <c r="CTF54" s="1011"/>
      <c r="CTG54" s="1011"/>
      <c r="CTH54" s="1011"/>
      <c r="CTI54" s="1011"/>
      <c r="CTJ54" s="1011"/>
      <c r="CTK54" s="1011"/>
      <c r="CTL54" s="1011"/>
      <c r="CTM54" s="1011"/>
      <c r="CTN54" s="1011"/>
      <c r="CTO54" s="1011"/>
      <c r="CTP54" s="1011"/>
      <c r="CTQ54" s="1011"/>
      <c r="CTR54" s="1011"/>
      <c r="CTS54" s="1011"/>
      <c r="CTT54" s="1011"/>
      <c r="CTU54" s="1011"/>
      <c r="CTV54" s="1011"/>
      <c r="CTW54" s="1011"/>
      <c r="CTX54" s="1011"/>
      <c r="CTY54" s="1011"/>
      <c r="CTZ54" s="1011"/>
      <c r="CUA54" s="1011"/>
      <c r="CUB54" s="1011"/>
      <c r="CUC54" s="1011"/>
      <c r="CUD54" s="1011"/>
      <c r="CUE54" s="1011"/>
      <c r="CUF54" s="1011"/>
      <c r="CUG54" s="1011"/>
      <c r="CUH54" s="1011"/>
      <c r="CUI54" s="1011"/>
      <c r="CUJ54" s="1011"/>
      <c r="CUK54" s="1011"/>
      <c r="CUL54" s="1011"/>
      <c r="CUM54" s="1011"/>
      <c r="CUN54" s="1011"/>
      <c r="CUO54" s="1011"/>
      <c r="CUP54" s="1011"/>
      <c r="CUQ54" s="1011"/>
      <c r="CUR54" s="1011"/>
      <c r="CUS54" s="1011"/>
      <c r="CUT54" s="1011"/>
      <c r="CUU54" s="1011"/>
      <c r="CUV54" s="1011"/>
      <c r="CUW54" s="1011"/>
      <c r="CUX54" s="1011"/>
      <c r="CUY54" s="1011"/>
      <c r="CUZ54" s="1011"/>
      <c r="CVA54" s="1011"/>
      <c r="CVB54" s="1011"/>
      <c r="CVC54" s="1011"/>
      <c r="CVD54" s="1011"/>
      <c r="CVE54" s="1011"/>
      <c r="CVF54" s="1011"/>
      <c r="CVG54" s="1011"/>
      <c r="CVH54" s="1011"/>
      <c r="CVI54" s="1011"/>
      <c r="CVJ54" s="1011"/>
      <c r="CVK54" s="1011"/>
      <c r="CVL54" s="1011"/>
      <c r="CVM54" s="1011"/>
      <c r="CVN54" s="1011"/>
      <c r="CVO54" s="1011"/>
      <c r="CVP54" s="1011"/>
      <c r="CVQ54" s="1011"/>
      <c r="CVR54" s="1011"/>
      <c r="CVS54" s="1011"/>
      <c r="CVT54" s="1011"/>
      <c r="CVU54" s="1011"/>
      <c r="CVV54" s="1011"/>
      <c r="CVW54" s="1011"/>
      <c r="CVX54" s="1011"/>
      <c r="CVY54" s="1011"/>
      <c r="CVZ54" s="1011"/>
      <c r="CWA54" s="1011"/>
      <c r="CWB54" s="1011"/>
      <c r="CWC54" s="1011"/>
      <c r="CWD54" s="1011"/>
      <c r="CWE54" s="1011"/>
      <c r="CWF54" s="1011"/>
      <c r="CWG54" s="1011"/>
      <c r="CWH54" s="1011"/>
      <c r="CWI54" s="1011"/>
      <c r="CWJ54" s="1011"/>
      <c r="CWK54" s="1011"/>
      <c r="CWL54" s="1011"/>
      <c r="CWM54" s="1011"/>
      <c r="CWN54" s="1011"/>
      <c r="CWO54" s="1011"/>
      <c r="CWP54" s="1011"/>
      <c r="CWQ54" s="1011"/>
      <c r="CWR54" s="1011"/>
      <c r="CWS54" s="1011"/>
      <c r="CWT54" s="1011"/>
      <c r="CWU54" s="1011"/>
      <c r="CWV54" s="1011"/>
      <c r="CWW54" s="1011"/>
      <c r="CWX54" s="1011"/>
      <c r="CWY54" s="1011"/>
      <c r="CWZ54" s="1011"/>
      <c r="CXA54" s="1011"/>
      <c r="CXB54" s="1011"/>
      <c r="CXC54" s="1011"/>
      <c r="CXD54" s="1011"/>
      <c r="CXE54" s="1011"/>
      <c r="CXF54" s="1011"/>
      <c r="CXG54" s="1011"/>
      <c r="CXH54" s="1011"/>
      <c r="CXI54" s="1011"/>
      <c r="CXJ54" s="1011"/>
      <c r="CXK54" s="1011"/>
      <c r="CXL54" s="1011"/>
      <c r="CXM54" s="1011"/>
      <c r="CXN54" s="1011"/>
      <c r="CXO54" s="1011"/>
      <c r="CXP54" s="1011"/>
      <c r="CXQ54" s="1011"/>
      <c r="CXR54" s="1011"/>
      <c r="CXS54" s="1011"/>
      <c r="CXT54" s="1011"/>
      <c r="CXU54" s="1011"/>
      <c r="CXV54" s="1011"/>
      <c r="CXW54" s="1011"/>
      <c r="CXX54" s="1011"/>
      <c r="CXY54" s="1011"/>
      <c r="CXZ54" s="1011"/>
      <c r="CYA54" s="1011"/>
      <c r="CYB54" s="1011"/>
      <c r="CYC54" s="1011"/>
      <c r="CYD54" s="1011"/>
      <c r="CYE54" s="1011"/>
      <c r="CYF54" s="1011"/>
      <c r="CYG54" s="1011"/>
      <c r="CYH54" s="1011"/>
      <c r="CYI54" s="1011"/>
      <c r="CYJ54" s="1011"/>
      <c r="CYK54" s="1011"/>
      <c r="CYL54" s="1011"/>
      <c r="CYM54" s="1011"/>
      <c r="CYN54" s="1011"/>
      <c r="CYO54" s="1011"/>
      <c r="CYP54" s="1011"/>
      <c r="CYQ54" s="1011"/>
      <c r="CYR54" s="1011"/>
      <c r="CYS54" s="1011"/>
      <c r="CYT54" s="1011"/>
      <c r="CYU54" s="1011"/>
      <c r="CYV54" s="1011"/>
      <c r="CYW54" s="1011"/>
      <c r="CYX54" s="1011"/>
      <c r="CYY54" s="1011"/>
      <c r="CYZ54" s="1011"/>
      <c r="CZA54" s="1011"/>
      <c r="CZB54" s="1011"/>
      <c r="CZC54" s="1011"/>
      <c r="CZD54" s="1011"/>
      <c r="CZE54" s="1011"/>
      <c r="CZF54" s="1011"/>
      <c r="CZG54" s="1011"/>
      <c r="CZH54" s="1011"/>
      <c r="CZI54" s="1011"/>
      <c r="CZJ54" s="1011"/>
      <c r="CZK54" s="1011"/>
      <c r="CZL54" s="1011"/>
      <c r="CZM54" s="1011"/>
      <c r="CZN54" s="1011"/>
      <c r="CZO54" s="1011"/>
      <c r="CZP54" s="1011"/>
      <c r="CZQ54" s="1011"/>
      <c r="CZR54" s="1011"/>
      <c r="CZS54" s="1011"/>
      <c r="CZT54" s="1011"/>
      <c r="CZU54" s="1011"/>
      <c r="CZV54" s="1011"/>
      <c r="CZW54" s="1011"/>
      <c r="CZX54" s="1011"/>
      <c r="CZY54" s="1011"/>
      <c r="CZZ54" s="1011"/>
      <c r="DAA54" s="1011"/>
      <c r="DAB54" s="1011"/>
      <c r="DAC54" s="1011"/>
      <c r="DAD54" s="1011"/>
      <c r="DAE54" s="1011"/>
      <c r="DAF54" s="1011"/>
      <c r="DAG54" s="1011"/>
      <c r="DAH54" s="1011"/>
      <c r="DAI54" s="1011"/>
      <c r="DAJ54" s="1011"/>
      <c r="DAK54" s="1011"/>
      <c r="DAL54" s="1011"/>
      <c r="DAM54" s="1011"/>
      <c r="DAN54" s="1011"/>
      <c r="DAO54" s="1011"/>
      <c r="DAP54" s="1011"/>
      <c r="DAQ54" s="1011"/>
      <c r="DAR54" s="1011"/>
      <c r="DAS54" s="1011"/>
      <c r="DAT54" s="1011"/>
      <c r="DAU54" s="1011"/>
      <c r="DAV54" s="1011"/>
      <c r="DAW54" s="1011"/>
      <c r="DAX54" s="1011"/>
      <c r="DAY54" s="1011"/>
      <c r="DAZ54" s="1011"/>
      <c r="DBA54" s="1011"/>
      <c r="DBB54" s="1011"/>
      <c r="DBC54" s="1011"/>
      <c r="DBD54" s="1011"/>
      <c r="DBE54" s="1011"/>
      <c r="DBF54" s="1011"/>
      <c r="DBG54" s="1011"/>
      <c r="DBH54" s="1011"/>
      <c r="DBI54" s="1011"/>
      <c r="DBJ54" s="1011"/>
      <c r="DBK54" s="1011"/>
      <c r="DBL54" s="1011"/>
      <c r="DBM54" s="1011"/>
      <c r="DBN54" s="1011"/>
      <c r="DBO54" s="1011"/>
      <c r="DBP54" s="1011"/>
      <c r="DBQ54" s="1011"/>
      <c r="DBR54" s="1011"/>
      <c r="DBS54" s="1011"/>
      <c r="DBT54" s="1011"/>
      <c r="DBU54" s="1011"/>
      <c r="DBV54" s="1011"/>
      <c r="DBW54" s="1011"/>
      <c r="DBX54" s="1011"/>
      <c r="DBY54" s="1011"/>
      <c r="DBZ54" s="1011"/>
      <c r="DCA54" s="1011"/>
      <c r="DCB54" s="1011"/>
      <c r="DCC54" s="1011"/>
      <c r="DCD54" s="1011"/>
      <c r="DCE54" s="1011"/>
      <c r="DCF54" s="1011"/>
      <c r="DCG54" s="1011"/>
      <c r="DCH54" s="1011"/>
      <c r="DCI54" s="1011"/>
      <c r="DCJ54" s="1011"/>
      <c r="DCK54" s="1011"/>
      <c r="DCL54" s="1011"/>
      <c r="DCM54" s="1011"/>
      <c r="DCN54" s="1011"/>
      <c r="DCO54" s="1011"/>
      <c r="DCP54" s="1011"/>
      <c r="DCQ54" s="1011"/>
      <c r="DCR54" s="1011"/>
      <c r="DCS54" s="1011"/>
      <c r="DCT54" s="1011"/>
      <c r="DCU54" s="1011"/>
      <c r="DCV54" s="1011"/>
      <c r="DCW54" s="1011"/>
      <c r="DCX54" s="1011"/>
      <c r="DCY54" s="1011"/>
      <c r="DCZ54" s="1011"/>
      <c r="DDA54" s="1011"/>
      <c r="DDB54" s="1011"/>
      <c r="DDC54" s="1011"/>
      <c r="DDD54" s="1011"/>
      <c r="DDE54" s="1011"/>
      <c r="DDF54" s="1011"/>
      <c r="DDG54" s="1011"/>
      <c r="DDH54" s="1011"/>
      <c r="DDI54" s="1011"/>
      <c r="DDJ54" s="1011"/>
      <c r="DDK54" s="1011"/>
      <c r="DDL54" s="1011"/>
      <c r="DDM54" s="1011"/>
      <c r="DDN54" s="1011"/>
      <c r="DDO54" s="1011"/>
      <c r="DDP54" s="1011"/>
      <c r="DDQ54" s="1011"/>
      <c r="DDR54" s="1011"/>
      <c r="DDS54" s="1011"/>
      <c r="DDT54" s="1011"/>
      <c r="DDU54" s="1011"/>
      <c r="DDV54" s="1011"/>
      <c r="DDW54" s="1011"/>
      <c r="DDX54" s="1011"/>
      <c r="DDY54" s="1011"/>
      <c r="DDZ54" s="1011"/>
      <c r="DEA54" s="1011"/>
      <c r="DEB54" s="1011"/>
      <c r="DEC54" s="1011"/>
      <c r="DED54" s="1011"/>
      <c r="DEE54" s="1011"/>
      <c r="DEF54" s="1011"/>
      <c r="DEG54" s="1011"/>
      <c r="DEH54" s="1011"/>
      <c r="DEI54" s="1011"/>
      <c r="DEJ54" s="1011"/>
      <c r="DEK54" s="1011"/>
      <c r="DEL54" s="1011"/>
      <c r="DEM54" s="1011"/>
      <c r="DEN54" s="1011"/>
      <c r="DEO54" s="1011"/>
      <c r="DEP54" s="1011"/>
      <c r="DEQ54" s="1011"/>
      <c r="DER54" s="1011"/>
      <c r="DES54" s="1011"/>
      <c r="DET54" s="1011"/>
      <c r="DEU54" s="1011"/>
      <c r="DEV54" s="1011"/>
      <c r="DEW54" s="1011"/>
      <c r="DEX54" s="1011"/>
      <c r="DEY54" s="1011"/>
      <c r="DEZ54" s="1011"/>
      <c r="DFA54" s="1011"/>
      <c r="DFB54" s="1011"/>
      <c r="DFC54" s="1011"/>
      <c r="DFD54" s="1011"/>
      <c r="DFE54" s="1011"/>
      <c r="DFF54" s="1011"/>
      <c r="DFG54" s="1011"/>
      <c r="DFH54" s="1011"/>
      <c r="DFI54" s="1011"/>
      <c r="DFJ54" s="1011"/>
      <c r="DFK54" s="1011"/>
      <c r="DFL54" s="1011"/>
      <c r="DFM54" s="1011"/>
      <c r="DFN54" s="1011"/>
      <c r="DFO54" s="1011"/>
      <c r="DFP54" s="1011"/>
      <c r="DFQ54" s="1011"/>
      <c r="DFR54" s="1011"/>
      <c r="DFS54" s="1011"/>
      <c r="DFT54" s="1011"/>
      <c r="DFU54" s="1011"/>
      <c r="DFV54" s="1011"/>
      <c r="DFW54" s="1011"/>
      <c r="DFX54" s="1011"/>
      <c r="DFY54" s="1011"/>
      <c r="DFZ54" s="1011"/>
      <c r="DGA54" s="1011"/>
      <c r="DGB54" s="1011"/>
      <c r="DGC54" s="1011"/>
      <c r="DGD54" s="1011"/>
      <c r="DGE54" s="1011"/>
      <c r="DGF54" s="1011"/>
      <c r="DGG54" s="1011"/>
      <c r="DGH54" s="1011"/>
      <c r="DGI54" s="1011"/>
      <c r="DGJ54" s="1011"/>
      <c r="DGK54" s="1011"/>
      <c r="DGL54" s="1011"/>
      <c r="DGM54" s="1011"/>
      <c r="DGN54" s="1011"/>
      <c r="DGO54" s="1011"/>
      <c r="DGP54" s="1011"/>
      <c r="DGQ54" s="1011"/>
      <c r="DGR54" s="1011"/>
      <c r="DGS54" s="1011"/>
      <c r="DGT54" s="1011"/>
      <c r="DGU54" s="1011"/>
      <c r="DGV54" s="1011"/>
      <c r="DGW54" s="1011"/>
      <c r="DGX54" s="1011"/>
      <c r="DGY54" s="1011"/>
      <c r="DGZ54" s="1011"/>
      <c r="DHA54" s="1011"/>
      <c r="DHB54" s="1011"/>
      <c r="DHC54" s="1011"/>
      <c r="DHD54" s="1011"/>
      <c r="DHE54" s="1011"/>
      <c r="DHF54" s="1011"/>
      <c r="DHG54" s="1011"/>
      <c r="DHH54" s="1011"/>
      <c r="DHI54" s="1011"/>
      <c r="DHJ54" s="1011"/>
      <c r="DHK54" s="1011"/>
      <c r="DHL54" s="1011"/>
      <c r="DHM54" s="1011"/>
      <c r="DHN54" s="1011"/>
      <c r="DHO54" s="1011"/>
      <c r="DHP54" s="1011"/>
      <c r="DHQ54" s="1011"/>
      <c r="DHR54" s="1011"/>
      <c r="DHS54" s="1011"/>
      <c r="DHT54" s="1011"/>
      <c r="DHU54" s="1011"/>
      <c r="DHV54" s="1011"/>
      <c r="DHW54" s="1011"/>
      <c r="DHX54" s="1011"/>
      <c r="DHY54" s="1011"/>
      <c r="DHZ54" s="1011"/>
      <c r="DIA54" s="1011"/>
      <c r="DIB54" s="1011"/>
      <c r="DIC54" s="1011"/>
      <c r="DID54" s="1011"/>
      <c r="DIE54" s="1011"/>
      <c r="DIF54" s="1011"/>
      <c r="DIG54" s="1011"/>
      <c r="DIH54" s="1011"/>
      <c r="DII54" s="1011"/>
      <c r="DIJ54" s="1011"/>
      <c r="DIK54" s="1011"/>
      <c r="DIL54" s="1011"/>
      <c r="DIM54" s="1011"/>
      <c r="DIN54" s="1011"/>
      <c r="DIO54" s="1011"/>
      <c r="DIP54" s="1011"/>
      <c r="DIQ54" s="1011"/>
      <c r="DIR54" s="1011"/>
      <c r="DIS54" s="1011"/>
      <c r="DIT54" s="1011"/>
      <c r="DIU54" s="1011"/>
      <c r="DIV54" s="1011"/>
      <c r="DIW54" s="1011"/>
      <c r="DIX54" s="1011"/>
      <c r="DIY54" s="1011"/>
      <c r="DIZ54" s="1011"/>
      <c r="DJA54" s="1011"/>
      <c r="DJB54" s="1011"/>
      <c r="DJC54" s="1011"/>
      <c r="DJD54" s="1011"/>
      <c r="DJE54" s="1011"/>
      <c r="DJF54" s="1011"/>
      <c r="DJG54" s="1011"/>
      <c r="DJH54" s="1011"/>
      <c r="DJI54" s="1011"/>
      <c r="DJJ54" s="1011"/>
      <c r="DJK54" s="1011"/>
      <c r="DJL54" s="1011"/>
      <c r="DJM54" s="1011"/>
      <c r="DJN54" s="1011"/>
      <c r="DJO54" s="1011"/>
      <c r="DJP54" s="1011"/>
      <c r="DJQ54" s="1011"/>
      <c r="DJR54" s="1011"/>
      <c r="DJS54" s="1011"/>
      <c r="DJT54" s="1011"/>
      <c r="DJU54" s="1011"/>
      <c r="DJV54" s="1011"/>
      <c r="DJW54" s="1011"/>
      <c r="DJX54" s="1011"/>
      <c r="DJY54" s="1011"/>
      <c r="DJZ54" s="1011"/>
      <c r="DKA54" s="1011"/>
      <c r="DKB54" s="1011"/>
      <c r="DKC54" s="1011"/>
      <c r="DKD54" s="1011"/>
      <c r="DKE54" s="1011"/>
      <c r="DKF54" s="1011"/>
      <c r="DKG54" s="1011"/>
      <c r="DKH54" s="1011"/>
      <c r="DKI54" s="1011"/>
      <c r="DKJ54" s="1011"/>
      <c r="DKK54" s="1011"/>
      <c r="DKL54" s="1011"/>
      <c r="DKM54" s="1011"/>
      <c r="DKN54" s="1011"/>
      <c r="DKO54" s="1011"/>
      <c r="DKP54" s="1011"/>
      <c r="DKQ54" s="1011"/>
      <c r="DKR54" s="1011"/>
      <c r="DKS54" s="1011"/>
      <c r="DKT54" s="1011"/>
      <c r="DKU54" s="1011"/>
      <c r="DKV54" s="1011"/>
      <c r="DKW54" s="1011"/>
      <c r="DKX54" s="1011"/>
      <c r="DKY54" s="1011"/>
      <c r="DKZ54" s="1011"/>
      <c r="DLA54" s="1011"/>
      <c r="DLB54" s="1011"/>
      <c r="DLC54" s="1011"/>
      <c r="DLD54" s="1011"/>
      <c r="DLE54" s="1011"/>
      <c r="DLF54" s="1011"/>
      <c r="DLG54" s="1011"/>
      <c r="DLH54" s="1011"/>
      <c r="DLI54" s="1011"/>
      <c r="DLJ54" s="1011"/>
      <c r="DLK54" s="1011"/>
      <c r="DLL54" s="1011"/>
      <c r="DLM54" s="1011"/>
      <c r="DLN54" s="1011"/>
      <c r="DLO54" s="1011"/>
      <c r="DLP54" s="1011"/>
      <c r="DLQ54" s="1011"/>
      <c r="DLR54" s="1011"/>
      <c r="DLS54" s="1011"/>
      <c r="DLT54" s="1011"/>
      <c r="DLU54" s="1011"/>
      <c r="DLV54" s="1011"/>
      <c r="DLW54" s="1011"/>
      <c r="DLX54" s="1011"/>
      <c r="DLY54" s="1011"/>
      <c r="DLZ54" s="1011"/>
      <c r="DMA54" s="1011"/>
      <c r="DMB54" s="1011"/>
      <c r="DMC54" s="1011"/>
      <c r="DMD54" s="1011"/>
      <c r="DME54" s="1011"/>
      <c r="DMF54" s="1011"/>
      <c r="DMG54" s="1011"/>
      <c r="DMH54" s="1011"/>
      <c r="DMI54" s="1011"/>
      <c r="DMJ54" s="1011"/>
      <c r="DMK54" s="1011"/>
      <c r="DML54" s="1011"/>
      <c r="DMM54" s="1011"/>
      <c r="DMN54" s="1011"/>
      <c r="DMO54" s="1011"/>
      <c r="DMP54" s="1011"/>
      <c r="DMQ54" s="1011"/>
      <c r="DMR54" s="1011"/>
      <c r="DMS54" s="1011"/>
      <c r="DMT54" s="1011"/>
      <c r="DMU54" s="1011"/>
      <c r="DMV54" s="1011"/>
      <c r="DMW54" s="1011"/>
      <c r="DMX54" s="1011"/>
      <c r="DMY54" s="1011"/>
      <c r="DMZ54" s="1011"/>
      <c r="DNA54" s="1011"/>
      <c r="DNB54" s="1011"/>
      <c r="DNC54" s="1011"/>
      <c r="DND54" s="1011"/>
      <c r="DNE54" s="1011"/>
      <c r="DNF54" s="1011"/>
      <c r="DNG54" s="1011"/>
      <c r="DNH54" s="1011"/>
      <c r="DNI54" s="1011"/>
      <c r="DNJ54" s="1011"/>
      <c r="DNK54" s="1011"/>
      <c r="DNL54" s="1011"/>
      <c r="DNM54" s="1011"/>
      <c r="DNN54" s="1011"/>
      <c r="DNO54" s="1011"/>
      <c r="DNP54" s="1011"/>
      <c r="DNQ54" s="1011"/>
      <c r="DNR54" s="1011"/>
      <c r="DNS54" s="1011"/>
      <c r="DNT54" s="1011"/>
      <c r="DNU54" s="1011"/>
      <c r="DNV54" s="1011"/>
      <c r="DNW54" s="1011"/>
      <c r="DNX54" s="1011"/>
      <c r="DNY54" s="1011"/>
      <c r="DNZ54" s="1011"/>
      <c r="DOA54" s="1011"/>
      <c r="DOB54" s="1011"/>
      <c r="DOC54" s="1011"/>
      <c r="DOD54" s="1011"/>
      <c r="DOE54" s="1011"/>
      <c r="DOF54" s="1011"/>
      <c r="DOG54" s="1011"/>
      <c r="DOH54" s="1011"/>
      <c r="DOI54" s="1011"/>
      <c r="DOJ54" s="1011"/>
      <c r="DOK54" s="1011"/>
      <c r="DOL54" s="1011"/>
      <c r="DOM54" s="1011"/>
      <c r="DON54" s="1011"/>
      <c r="DOO54" s="1011"/>
      <c r="DOP54" s="1011"/>
      <c r="DOQ54" s="1011"/>
      <c r="DOR54" s="1011"/>
      <c r="DOS54" s="1011"/>
      <c r="DOT54" s="1011"/>
      <c r="DOU54" s="1011"/>
      <c r="DOV54" s="1011"/>
      <c r="DOW54" s="1011"/>
      <c r="DOX54" s="1011"/>
      <c r="DOY54" s="1011"/>
      <c r="DOZ54" s="1011"/>
      <c r="DPA54" s="1011"/>
      <c r="DPB54" s="1011"/>
      <c r="DPC54" s="1011"/>
      <c r="DPD54" s="1011"/>
      <c r="DPE54" s="1011"/>
      <c r="DPF54" s="1011"/>
      <c r="DPG54" s="1011"/>
      <c r="DPH54" s="1011"/>
      <c r="DPI54" s="1011"/>
      <c r="DPJ54" s="1011"/>
      <c r="DPK54" s="1011"/>
      <c r="DPL54" s="1011"/>
      <c r="DPM54" s="1011"/>
      <c r="DPN54" s="1011"/>
      <c r="DPO54" s="1011"/>
      <c r="DPP54" s="1011"/>
      <c r="DPQ54" s="1011"/>
      <c r="DPR54" s="1011"/>
      <c r="DPS54" s="1011"/>
      <c r="DPT54" s="1011"/>
      <c r="DPU54" s="1011"/>
      <c r="DPV54" s="1011"/>
      <c r="DPW54" s="1011"/>
      <c r="DPX54" s="1011"/>
      <c r="DPY54" s="1011"/>
      <c r="DPZ54" s="1011"/>
      <c r="DQA54" s="1011"/>
      <c r="DQB54" s="1011"/>
      <c r="DQC54" s="1011"/>
      <c r="DQD54" s="1011"/>
      <c r="DQE54" s="1011"/>
      <c r="DQF54" s="1011"/>
      <c r="DQG54" s="1011"/>
      <c r="DQH54" s="1011"/>
      <c r="DQI54" s="1011"/>
      <c r="DQJ54" s="1011"/>
      <c r="DQK54" s="1011"/>
      <c r="DQL54" s="1011"/>
      <c r="DQM54" s="1011"/>
      <c r="DQN54" s="1011"/>
      <c r="DQO54" s="1011"/>
      <c r="DQP54" s="1011"/>
      <c r="DQQ54" s="1011"/>
      <c r="DQR54" s="1011"/>
      <c r="DQS54" s="1011"/>
      <c r="DQT54" s="1011"/>
      <c r="DQU54" s="1011"/>
      <c r="DQV54" s="1011"/>
      <c r="DQW54" s="1011"/>
      <c r="DQX54" s="1011"/>
      <c r="DQY54" s="1011"/>
      <c r="DQZ54" s="1011"/>
      <c r="DRA54" s="1011"/>
      <c r="DRB54" s="1011"/>
      <c r="DRC54" s="1011"/>
      <c r="DRD54" s="1011"/>
      <c r="DRE54" s="1011"/>
      <c r="DRF54" s="1011"/>
      <c r="DRG54" s="1011"/>
      <c r="DRH54" s="1011"/>
      <c r="DRI54" s="1011"/>
      <c r="DRJ54" s="1011"/>
      <c r="DRK54" s="1011"/>
      <c r="DRL54" s="1011"/>
      <c r="DRM54" s="1011"/>
      <c r="DRN54" s="1011"/>
      <c r="DRO54" s="1011"/>
      <c r="DRP54" s="1011"/>
      <c r="DRQ54" s="1011"/>
      <c r="DRR54" s="1011"/>
      <c r="DRS54" s="1011"/>
      <c r="DRT54" s="1011"/>
      <c r="DRU54" s="1011"/>
      <c r="DRV54" s="1011"/>
      <c r="DRW54" s="1011"/>
      <c r="DRX54" s="1011"/>
      <c r="DRY54" s="1011"/>
      <c r="DRZ54" s="1011"/>
      <c r="DSA54" s="1011"/>
      <c r="DSB54" s="1011"/>
      <c r="DSC54" s="1011"/>
      <c r="DSD54" s="1011"/>
      <c r="DSE54" s="1011"/>
      <c r="DSF54" s="1011"/>
      <c r="DSG54" s="1011"/>
      <c r="DSH54" s="1011"/>
      <c r="DSI54" s="1011"/>
      <c r="DSJ54" s="1011"/>
      <c r="DSK54" s="1011"/>
      <c r="DSL54" s="1011"/>
      <c r="DSM54" s="1011"/>
      <c r="DSN54" s="1011"/>
      <c r="DSO54" s="1011"/>
      <c r="DSP54" s="1011"/>
      <c r="DSQ54" s="1011"/>
      <c r="DSR54" s="1011"/>
      <c r="DSS54" s="1011"/>
      <c r="DST54" s="1011"/>
      <c r="DSU54" s="1011"/>
      <c r="DSV54" s="1011"/>
      <c r="DSW54" s="1011"/>
      <c r="DSX54" s="1011"/>
      <c r="DSY54" s="1011"/>
      <c r="DSZ54" s="1011"/>
      <c r="DTA54" s="1011"/>
      <c r="DTB54" s="1011"/>
      <c r="DTC54" s="1011"/>
      <c r="DTD54" s="1011"/>
      <c r="DTE54" s="1011"/>
      <c r="DTF54" s="1011"/>
      <c r="DTG54" s="1011"/>
      <c r="DTH54" s="1011"/>
      <c r="DTI54" s="1011"/>
      <c r="DTJ54" s="1011"/>
      <c r="DTK54" s="1011"/>
      <c r="DTL54" s="1011"/>
      <c r="DTM54" s="1011"/>
      <c r="DTN54" s="1011"/>
      <c r="DTO54" s="1011"/>
      <c r="DTP54" s="1011"/>
      <c r="DTQ54" s="1011"/>
      <c r="DTR54" s="1011"/>
      <c r="DTS54" s="1011"/>
      <c r="DTT54" s="1011"/>
      <c r="DTU54" s="1011"/>
      <c r="DTV54" s="1011"/>
      <c r="DTW54" s="1011"/>
      <c r="DTX54" s="1011"/>
      <c r="DTY54" s="1011"/>
      <c r="DTZ54" s="1011"/>
      <c r="DUA54" s="1011"/>
      <c r="DUB54" s="1011"/>
      <c r="DUC54" s="1011"/>
      <c r="DUD54" s="1011"/>
      <c r="DUE54" s="1011"/>
      <c r="DUF54" s="1011"/>
      <c r="DUG54" s="1011"/>
      <c r="DUH54" s="1011"/>
      <c r="DUI54" s="1011"/>
      <c r="DUJ54" s="1011"/>
      <c r="DUK54" s="1011"/>
      <c r="DUL54" s="1011"/>
      <c r="DUM54" s="1011"/>
      <c r="DUN54" s="1011"/>
      <c r="DUO54" s="1011"/>
      <c r="DUP54" s="1011"/>
      <c r="DUQ54" s="1011"/>
      <c r="DUR54" s="1011"/>
      <c r="DUS54" s="1011"/>
      <c r="DUT54" s="1011"/>
      <c r="DUU54" s="1011"/>
      <c r="DUV54" s="1011"/>
      <c r="DUW54" s="1011"/>
      <c r="DUX54" s="1011"/>
      <c r="DUY54" s="1011"/>
      <c r="DUZ54" s="1011"/>
      <c r="DVA54" s="1011"/>
      <c r="DVB54" s="1011"/>
      <c r="DVC54" s="1011"/>
      <c r="DVD54" s="1011"/>
      <c r="DVE54" s="1011"/>
      <c r="DVF54" s="1011"/>
      <c r="DVG54" s="1011"/>
      <c r="DVH54" s="1011"/>
      <c r="DVI54" s="1011"/>
      <c r="DVJ54" s="1011"/>
      <c r="DVK54" s="1011"/>
      <c r="DVL54" s="1011"/>
      <c r="DVM54" s="1011"/>
      <c r="DVN54" s="1011"/>
      <c r="DVO54" s="1011"/>
      <c r="DVP54" s="1011"/>
      <c r="DVQ54" s="1011"/>
      <c r="DVR54" s="1011"/>
      <c r="DVS54" s="1011"/>
      <c r="DVT54" s="1011"/>
      <c r="DVU54" s="1011"/>
      <c r="DVV54" s="1011"/>
      <c r="DVW54" s="1011"/>
      <c r="DVX54" s="1011"/>
      <c r="DVY54" s="1011"/>
      <c r="DVZ54" s="1011"/>
      <c r="DWA54" s="1011"/>
      <c r="DWB54" s="1011"/>
      <c r="DWC54" s="1011"/>
      <c r="DWD54" s="1011"/>
      <c r="DWE54" s="1011"/>
      <c r="DWF54" s="1011"/>
      <c r="DWG54" s="1011"/>
      <c r="DWH54" s="1011"/>
      <c r="DWI54" s="1011"/>
      <c r="DWJ54" s="1011"/>
      <c r="DWK54" s="1011"/>
      <c r="DWL54" s="1011"/>
      <c r="DWM54" s="1011"/>
      <c r="DWN54" s="1011"/>
      <c r="DWO54" s="1011"/>
      <c r="DWP54" s="1011"/>
      <c r="DWQ54" s="1011"/>
      <c r="DWR54" s="1011"/>
      <c r="DWS54" s="1011"/>
      <c r="DWT54" s="1011"/>
      <c r="DWU54" s="1011"/>
      <c r="DWV54" s="1011"/>
      <c r="DWW54" s="1011"/>
      <c r="DWX54" s="1011"/>
      <c r="DWY54" s="1011"/>
      <c r="DWZ54" s="1011"/>
      <c r="DXA54" s="1011"/>
      <c r="DXB54" s="1011"/>
      <c r="DXC54" s="1011"/>
      <c r="DXD54" s="1011"/>
      <c r="DXE54" s="1011"/>
      <c r="DXF54" s="1011"/>
      <c r="DXG54" s="1011"/>
      <c r="DXH54" s="1011"/>
      <c r="DXI54" s="1011"/>
      <c r="DXJ54" s="1011"/>
      <c r="DXK54" s="1011"/>
      <c r="DXL54" s="1011"/>
      <c r="DXM54" s="1011"/>
      <c r="DXN54" s="1011"/>
      <c r="DXO54" s="1011"/>
      <c r="DXP54" s="1011"/>
      <c r="DXQ54" s="1011"/>
      <c r="DXR54" s="1011"/>
      <c r="DXS54" s="1011"/>
      <c r="DXT54" s="1011"/>
      <c r="DXU54" s="1011"/>
      <c r="DXV54" s="1011"/>
      <c r="DXW54" s="1011"/>
      <c r="DXX54" s="1011"/>
      <c r="DXY54" s="1011"/>
      <c r="DXZ54" s="1011"/>
      <c r="DYA54" s="1011"/>
      <c r="DYB54" s="1011"/>
      <c r="DYC54" s="1011"/>
      <c r="DYD54" s="1011"/>
      <c r="DYE54" s="1011"/>
      <c r="DYF54" s="1011"/>
      <c r="DYG54" s="1011"/>
      <c r="DYH54" s="1011"/>
      <c r="DYI54" s="1011"/>
      <c r="DYJ54" s="1011"/>
      <c r="DYK54" s="1011"/>
      <c r="DYL54" s="1011"/>
      <c r="DYM54" s="1011"/>
      <c r="DYN54" s="1011"/>
      <c r="DYO54" s="1011"/>
      <c r="DYP54" s="1011"/>
      <c r="DYQ54" s="1011"/>
      <c r="DYR54" s="1011"/>
      <c r="DYS54" s="1011"/>
      <c r="DYT54" s="1011"/>
      <c r="DYU54" s="1011"/>
      <c r="DYV54" s="1011"/>
      <c r="DYW54" s="1011"/>
      <c r="DYX54" s="1011"/>
      <c r="DYY54" s="1011"/>
      <c r="DYZ54" s="1011"/>
      <c r="DZA54" s="1011"/>
      <c r="DZB54" s="1011"/>
      <c r="DZC54" s="1011"/>
      <c r="DZD54" s="1011"/>
      <c r="DZE54" s="1011"/>
      <c r="DZF54" s="1011"/>
      <c r="DZG54" s="1011"/>
      <c r="DZH54" s="1011"/>
      <c r="DZI54" s="1011"/>
      <c r="DZJ54" s="1011"/>
      <c r="DZK54" s="1011"/>
      <c r="DZL54" s="1011"/>
      <c r="DZM54" s="1011"/>
      <c r="DZN54" s="1011"/>
      <c r="DZO54" s="1011"/>
      <c r="DZP54" s="1011"/>
      <c r="DZQ54" s="1011"/>
      <c r="DZR54" s="1011"/>
      <c r="DZS54" s="1011"/>
      <c r="DZT54" s="1011"/>
      <c r="DZU54" s="1011"/>
      <c r="DZV54" s="1011"/>
      <c r="DZW54" s="1011"/>
      <c r="DZX54" s="1011"/>
      <c r="DZY54" s="1011"/>
      <c r="DZZ54" s="1011"/>
      <c r="EAA54" s="1011"/>
      <c r="EAB54" s="1011"/>
      <c r="EAC54" s="1011"/>
      <c r="EAD54" s="1011"/>
      <c r="EAE54" s="1011"/>
      <c r="EAF54" s="1011"/>
      <c r="EAG54" s="1011"/>
      <c r="EAH54" s="1011"/>
      <c r="EAI54" s="1011"/>
      <c r="EAJ54" s="1011"/>
      <c r="EAK54" s="1011"/>
      <c r="EAL54" s="1011"/>
      <c r="EAM54" s="1011"/>
      <c r="EAN54" s="1011"/>
      <c r="EAO54" s="1011"/>
      <c r="EAP54" s="1011"/>
      <c r="EAQ54" s="1011"/>
      <c r="EAR54" s="1011"/>
      <c r="EAS54" s="1011"/>
      <c r="EAT54" s="1011"/>
      <c r="EAU54" s="1011"/>
      <c r="EAV54" s="1011"/>
      <c r="EAW54" s="1011"/>
      <c r="EAX54" s="1011"/>
      <c r="EAY54" s="1011"/>
      <c r="EAZ54" s="1011"/>
      <c r="EBA54" s="1011"/>
      <c r="EBB54" s="1011"/>
      <c r="EBC54" s="1011"/>
      <c r="EBD54" s="1011"/>
      <c r="EBE54" s="1011"/>
      <c r="EBF54" s="1011"/>
      <c r="EBG54" s="1011"/>
      <c r="EBH54" s="1011"/>
      <c r="EBI54" s="1011"/>
      <c r="EBJ54" s="1011"/>
      <c r="EBK54" s="1011"/>
      <c r="EBL54" s="1011"/>
      <c r="EBM54" s="1011"/>
      <c r="EBN54" s="1011"/>
      <c r="EBO54" s="1011"/>
      <c r="EBP54" s="1011"/>
      <c r="EBQ54" s="1011"/>
      <c r="EBR54" s="1011"/>
      <c r="EBS54" s="1011"/>
      <c r="EBT54" s="1011"/>
      <c r="EBU54" s="1011"/>
      <c r="EBV54" s="1011"/>
      <c r="EBW54" s="1011"/>
      <c r="EBX54" s="1011"/>
      <c r="EBY54" s="1011"/>
      <c r="EBZ54" s="1011"/>
      <c r="ECA54" s="1011"/>
      <c r="ECB54" s="1011"/>
      <c r="ECC54" s="1011"/>
      <c r="ECD54" s="1011"/>
      <c r="ECE54" s="1011"/>
      <c r="ECF54" s="1011"/>
      <c r="ECG54" s="1011"/>
      <c r="ECH54" s="1011"/>
      <c r="ECI54" s="1011"/>
      <c r="ECJ54" s="1011"/>
      <c r="ECK54" s="1011"/>
      <c r="ECL54" s="1011"/>
      <c r="ECM54" s="1011"/>
      <c r="ECN54" s="1011"/>
      <c r="ECO54" s="1011"/>
      <c r="ECP54" s="1011"/>
      <c r="ECQ54" s="1011"/>
      <c r="ECR54" s="1011"/>
      <c r="ECS54" s="1011"/>
      <c r="ECT54" s="1011"/>
      <c r="ECU54" s="1011"/>
      <c r="ECV54" s="1011"/>
      <c r="ECW54" s="1011"/>
      <c r="ECX54" s="1011"/>
      <c r="ECY54" s="1011"/>
      <c r="ECZ54" s="1011"/>
      <c r="EDA54" s="1011"/>
      <c r="EDB54" s="1011"/>
      <c r="EDC54" s="1011"/>
      <c r="EDD54" s="1011"/>
      <c r="EDE54" s="1011"/>
      <c r="EDF54" s="1011"/>
      <c r="EDG54" s="1011"/>
      <c r="EDH54" s="1011"/>
      <c r="EDI54" s="1011"/>
      <c r="EDJ54" s="1011"/>
      <c r="EDK54" s="1011"/>
      <c r="EDL54" s="1011"/>
      <c r="EDM54" s="1011"/>
      <c r="EDN54" s="1011"/>
      <c r="EDO54" s="1011"/>
      <c r="EDP54" s="1011"/>
      <c r="EDQ54" s="1011"/>
      <c r="EDR54" s="1011"/>
      <c r="EDS54" s="1011"/>
      <c r="EDT54" s="1011"/>
      <c r="EDU54" s="1011"/>
      <c r="EDV54" s="1011"/>
      <c r="EDW54" s="1011"/>
      <c r="EDX54" s="1011"/>
      <c r="EDY54" s="1011"/>
      <c r="EDZ54" s="1011"/>
      <c r="EEA54" s="1011"/>
      <c r="EEB54" s="1011"/>
      <c r="EEC54" s="1011"/>
      <c r="EED54" s="1011"/>
      <c r="EEE54" s="1011"/>
      <c r="EEF54" s="1011"/>
      <c r="EEG54" s="1011"/>
      <c r="EEH54" s="1011"/>
      <c r="EEI54" s="1011"/>
      <c r="EEJ54" s="1011"/>
      <c r="EEK54" s="1011"/>
      <c r="EEL54" s="1011"/>
      <c r="EEM54" s="1011"/>
      <c r="EEN54" s="1011"/>
      <c r="EEO54" s="1011"/>
      <c r="EEP54" s="1011"/>
      <c r="EEQ54" s="1011"/>
      <c r="EER54" s="1011"/>
      <c r="EES54" s="1011"/>
      <c r="EET54" s="1011"/>
      <c r="EEU54" s="1011"/>
      <c r="EEV54" s="1011"/>
      <c r="EEW54" s="1011"/>
      <c r="EEX54" s="1011"/>
      <c r="EEY54" s="1011"/>
      <c r="EEZ54" s="1011"/>
      <c r="EFA54" s="1011"/>
      <c r="EFB54" s="1011"/>
      <c r="EFC54" s="1011"/>
      <c r="EFD54" s="1011"/>
      <c r="EFE54" s="1011"/>
      <c r="EFF54" s="1011"/>
      <c r="EFG54" s="1011"/>
      <c r="EFH54" s="1011"/>
      <c r="EFI54" s="1011"/>
      <c r="EFJ54" s="1011"/>
      <c r="EFK54" s="1011"/>
      <c r="EFL54" s="1011"/>
      <c r="EFM54" s="1011"/>
      <c r="EFN54" s="1011"/>
      <c r="EFO54" s="1011"/>
      <c r="EFP54" s="1011"/>
      <c r="EFQ54" s="1011"/>
      <c r="EFR54" s="1011"/>
      <c r="EFS54" s="1011"/>
      <c r="EFT54" s="1011"/>
      <c r="EFU54" s="1011"/>
      <c r="EFV54" s="1011"/>
      <c r="EFW54" s="1011"/>
      <c r="EFX54" s="1011"/>
      <c r="EFY54" s="1011"/>
      <c r="EFZ54" s="1011"/>
      <c r="EGA54" s="1011"/>
      <c r="EGB54" s="1011"/>
      <c r="EGC54" s="1011"/>
      <c r="EGD54" s="1011"/>
      <c r="EGE54" s="1011"/>
      <c r="EGF54" s="1011"/>
      <c r="EGG54" s="1011"/>
      <c r="EGH54" s="1011"/>
      <c r="EGI54" s="1011"/>
      <c r="EGJ54" s="1011"/>
      <c r="EGK54" s="1011"/>
      <c r="EGL54" s="1011"/>
      <c r="EGM54" s="1011"/>
      <c r="EGN54" s="1011"/>
      <c r="EGO54" s="1011"/>
      <c r="EGP54" s="1011"/>
      <c r="EGQ54" s="1011"/>
      <c r="EGR54" s="1011"/>
      <c r="EGS54" s="1011"/>
      <c r="EGT54" s="1011"/>
      <c r="EGU54" s="1011"/>
      <c r="EGV54" s="1011"/>
      <c r="EGW54" s="1011"/>
      <c r="EGX54" s="1011"/>
      <c r="EGY54" s="1011"/>
      <c r="EGZ54" s="1011"/>
      <c r="EHA54" s="1011"/>
      <c r="EHB54" s="1011"/>
      <c r="EHC54" s="1011"/>
      <c r="EHD54" s="1011"/>
      <c r="EHE54" s="1011"/>
      <c r="EHF54" s="1011"/>
      <c r="EHG54" s="1011"/>
      <c r="EHH54" s="1011"/>
      <c r="EHI54" s="1011"/>
      <c r="EHJ54" s="1011"/>
      <c r="EHK54" s="1011"/>
      <c r="EHL54" s="1011"/>
      <c r="EHM54" s="1011"/>
      <c r="EHN54" s="1011"/>
      <c r="EHO54" s="1011"/>
      <c r="EHP54" s="1011"/>
      <c r="EHQ54" s="1011"/>
      <c r="EHR54" s="1011"/>
      <c r="EHS54" s="1011"/>
      <c r="EHT54" s="1011"/>
      <c r="EHU54" s="1011"/>
      <c r="EHV54" s="1011"/>
      <c r="EHW54" s="1011"/>
      <c r="EHX54" s="1011"/>
      <c r="EHY54" s="1011"/>
      <c r="EHZ54" s="1011"/>
      <c r="EIA54" s="1011"/>
      <c r="EIB54" s="1011"/>
      <c r="EIC54" s="1011"/>
      <c r="EID54" s="1011"/>
      <c r="EIE54" s="1011"/>
      <c r="EIF54" s="1011"/>
      <c r="EIG54" s="1011"/>
      <c r="EIH54" s="1011"/>
      <c r="EII54" s="1011"/>
      <c r="EIJ54" s="1011"/>
      <c r="EIK54" s="1011"/>
      <c r="EIL54" s="1011"/>
      <c r="EIM54" s="1011"/>
      <c r="EIN54" s="1011"/>
      <c r="EIO54" s="1011"/>
      <c r="EIP54" s="1011"/>
      <c r="EIQ54" s="1011"/>
      <c r="EIR54" s="1011"/>
      <c r="EIS54" s="1011"/>
      <c r="EIT54" s="1011"/>
      <c r="EIU54" s="1011"/>
      <c r="EIV54" s="1011"/>
      <c r="EIW54" s="1011"/>
      <c r="EIX54" s="1011"/>
      <c r="EIY54" s="1011"/>
      <c r="EIZ54" s="1011"/>
      <c r="EJA54" s="1011"/>
      <c r="EJB54" s="1011"/>
      <c r="EJC54" s="1011"/>
      <c r="EJD54" s="1011"/>
      <c r="EJE54" s="1011"/>
      <c r="EJF54" s="1011"/>
      <c r="EJG54" s="1011"/>
      <c r="EJH54" s="1011"/>
      <c r="EJI54" s="1011"/>
      <c r="EJJ54" s="1011"/>
      <c r="EJK54" s="1011"/>
      <c r="EJL54" s="1011"/>
      <c r="EJM54" s="1011"/>
      <c r="EJN54" s="1011"/>
      <c r="EJO54" s="1011"/>
      <c r="EJP54" s="1011"/>
      <c r="EJQ54" s="1011"/>
      <c r="EJR54" s="1011"/>
      <c r="EJS54" s="1011"/>
      <c r="EJT54" s="1011"/>
      <c r="EJU54" s="1011"/>
      <c r="EJV54" s="1011"/>
      <c r="EJW54" s="1011"/>
      <c r="EJX54" s="1011"/>
      <c r="EJY54" s="1011"/>
      <c r="EJZ54" s="1011"/>
      <c r="EKA54" s="1011"/>
      <c r="EKB54" s="1011"/>
      <c r="EKC54" s="1011"/>
      <c r="EKD54" s="1011"/>
      <c r="EKE54" s="1011"/>
      <c r="EKF54" s="1011"/>
      <c r="EKG54" s="1011"/>
      <c r="EKH54" s="1011"/>
      <c r="EKI54" s="1011"/>
      <c r="EKJ54" s="1011"/>
      <c r="EKK54" s="1011"/>
      <c r="EKL54" s="1011"/>
      <c r="EKM54" s="1011"/>
      <c r="EKN54" s="1011"/>
      <c r="EKO54" s="1011"/>
      <c r="EKP54" s="1011"/>
      <c r="EKQ54" s="1011"/>
      <c r="EKR54" s="1011"/>
      <c r="EKS54" s="1011"/>
      <c r="EKT54" s="1011"/>
      <c r="EKU54" s="1011"/>
      <c r="EKV54" s="1011"/>
      <c r="EKW54" s="1011"/>
      <c r="EKX54" s="1011"/>
      <c r="EKY54" s="1011"/>
      <c r="EKZ54" s="1011"/>
      <c r="ELA54" s="1011"/>
      <c r="ELB54" s="1011"/>
      <c r="ELC54" s="1011"/>
      <c r="ELD54" s="1011"/>
      <c r="ELE54" s="1011"/>
      <c r="ELF54" s="1011"/>
      <c r="ELG54" s="1011"/>
      <c r="ELH54" s="1011"/>
      <c r="ELI54" s="1011"/>
      <c r="ELJ54" s="1011"/>
      <c r="ELK54" s="1011"/>
      <c r="ELL54" s="1011"/>
      <c r="ELM54" s="1011"/>
      <c r="ELN54" s="1011"/>
      <c r="ELO54" s="1011"/>
      <c r="ELP54" s="1011"/>
      <c r="ELQ54" s="1011"/>
      <c r="ELR54" s="1011"/>
      <c r="ELS54" s="1011"/>
      <c r="ELT54" s="1011"/>
      <c r="ELU54" s="1011"/>
      <c r="ELV54" s="1011"/>
      <c r="ELW54" s="1011"/>
      <c r="ELX54" s="1011"/>
      <c r="ELY54" s="1011"/>
      <c r="ELZ54" s="1011"/>
      <c r="EMA54" s="1011"/>
      <c r="EMB54" s="1011"/>
      <c r="EMC54" s="1011"/>
      <c r="EMD54" s="1011"/>
      <c r="EME54" s="1011"/>
      <c r="EMF54" s="1011"/>
      <c r="EMG54" s="1011"/>
      <c r="EMH54" s="1011"/>
      <c r="EMI54" s="1011"/>
      <c r="EMJ54" s="1011"/>
      <c r="EMK54" s="1011"/>
      <c r="EML54" s="1011"/>
      <c r="EMM54" s="1011"/>
      <c r="EMN54" s="1011"/>
      <c r="EMO54" s="1011"/>
      <c r="EMP54" s="1011"/>
      <c r="EMQ54" s="1011"/>
      <c r="EMR54" s="1011"/>
      <c r="EMS54" s="1011"/>
      <c r="EMT54" s="1011"/>
      <c r="EMU54" s="1011"/>
      <c r="EMV54" s="1011"/>
      <c r="EMW54" s="1011"/>
      <c r="EMX54" s="1011"/>
      <c r="EMY54" s="1011"/>
      <c r="EMZ54" s="1011"/>
      <c r="ENA54" s="1011"/>
      <c r="ENB54" s="1011"/>
      <c r="ENC54" s="1011"/>
      <c r="END54" s="1011"/>
      <c r="ENE54" s="1011"/>
      <c r="ENF54" s="1011"/>
      <c r="ENG54" s="1011"/>
      <c r="ENH54" s="1011"/>
      <c r="ENI54" s="1011"/>
      <c r="ENJ54" s="1011"/>
      <c r="ENK54" s="1011"/>
      <c r="ENL54" s="1011"/>
      <c r="ENM54" s="1011"/>
      <c r="ENN54" s="1011"/>
      <c r="ENO54" s="1011"/>
      <c r="ENP54" s="1011"/>
      <c r="ENQ54" s="1011"/>
      <c r="ENR54" s="1011"/>
      <c r="ENS54" s="1011"/>
      <c r="ENT54" s="1011"/>
      <c r="ENU54" s="1011"/>
      <c r="ENV54" s="1011"/>
      <c r="ENW54" s="1011"/>
      <c r="ENX54" s="1011"/>
      <c r="ENY54" s="1011"/>
      <c r="ENZ54" s="1011"/>
      <c r="EOA54" s="1011"/>
      <c r="EOB54" s="1011"/>
      <c r="EOC54" s="1011"/>
      <c r="EOD54" s="1011"/>
      <c r="EOE54" s="1011"/>
      <c r="EOF54" s="1011"/>
      <c r="EOG54" s="1011"/>
      <c r="EOH54" s="1011"/>
      <c r="EOI54" s="1011"/>
      <c r="EOJ54" s="1011"/>
      <c r="EOK54" s="1011"/>
      <c r="EOL54" s="1011"/>
      <c r="EOM54" s="1011"/>
      <c r="EON54" s="1011"/>
      <c r="EOO54" s="1011"/>
      <c r="EOP54" s="1011"/>
      <c r="EOQ54" s="1011"/>
      <c r="EOR54" s="1011"/>
      <c r="EOS54" s="1011"/>
      <c r="EOT54" s="1011"/>
      <c r="EOU54" s="1011"/>
      <c r="EOV54" s="1011"/>
      <c r="EOW54" s="1011"/>
      <c r="EOX54" s="1011"/>
      <c r="EOY54" s="1011"/>
      <c r="EOZ54" s="1011"/>
      <c r="EPA54" s="1011"/>
      <c r="EPB54" s="1011"/>
      <c r="EPC54" s="1011"/>
      <c r="EPD54" s="1011"/>
      <c r="EPE54" s="1011"/>
      <c r="EPF54" s="1011"/>
      <c r="EPG54" s="1011"/>
      <c r="EPH54" s="1011"/>
      <c r="EPI54" s="1011"/>
      <c r="EPJ54" s="1011"/>
      <c r="EPK54" s="1011"/>
      <c r="EPL54" s="1011"/>
      <c r="EPM54" s="1011"/>
      <c r="EPN54" s="1011"/>
      <c r="EPO54" s="1011"/>
      <c r="EPP54" s="1011"/>
      <c r="EPQ54" s="1011"/>
      <c r="EPR54" s="1011"/>
      <c r="EPS54" s="1011"/>
      <c r="EPT54" s="1011"/>
      <c r="EPU54" s="1011"/>
      <c r="EPV54" s="1011"/>
      <c r="EPW54" s="1011"/>
      <c r="EPX54" s="1011"/>
      <c r="EPY54" s="1011"/>
      <c r="EPZ54" s="1011"/>
      <c r="EQA54" s="1011"/>
      <c r="EQB54" s="1011"/>
      <c r="EQC54" s="1011"/>
      <c r="EQD54" s="1011"/>
      <c r="EQE54" s="1011"/>
      <c r="EQF54" s="1011"/>
      <c r="EQG54" s="1011"/>
      <c r="EQH54" s="1011"/>
      <c r="EQI54" s="1011"/>
      <c r="EQJ54" s="1011"/>
      <c r="EQK54" s="1011"/>
      <c r="EQL54" s="1011"/>
      <c r="EQM54" s="1011"/>
      <c r="EQN54" s="1011"/>
      <c r="EQO54" s="1011"/>
      <c r="EQP54" s="1011"/>
      <c r="EQQ54" s="1011"/>
      <c r="EQR54" s="1011"/>
      <c r="EQS54" s="1011"/>
      <c r="EQT54" s="1011"/>
      <c r="EQU54" s="1011"/>
      <c r="EQV54" s="1011"/>
      <c r="EQW54" s="1011"/>
      <c r="EQX54" s="1011"/>
      <c r="EQY54" s="1011"/>
      <c r="EQZ54" s="1011"/>
      <c r="ERA54" s="1011"/>
      <c r="ERB54" s="1011"/>
      <c r="ERC54" s="1011"/>
      <c r="ERD54" s="1011"/>
      <c r="ERE54" s="1011"/>
      <c r="ERF54" s="1011"/>
      <c r="ERG54" s="1011"/>
      <c r="ERH54" s="1011"/>
      <c r="ERI54" s="1011"/>
      <c r="ERJ54" s="1011"/>
      <c r="ERK54" s="1011"/>
      <c r="ERL54" s="1011"/>
      <c r="ERM54" s="1011"/>
      <c r="ERN54" s="1011"/>
      <c r="ERO54" s="1011"/>
      <c r="ERP54" s="1011"/>
      <c r="ERQ54" s="1011"/>
      <c r="ERR54" s="1011"/>
      <c r="ERS54" s="1011"/>
      <c r="ERT54" s="1011"/>
      <c r="ERU54" s="1011"/>
      <c r="ERV54" s="1011"/>
      <c r="ERW54" s="1011"/>
      <c r="ERX54" s="1011"/>
      <c r="ERY54" s="1011"/>
      <c r="ERZ54" s="1011"/>
      <c r="ESA54" s="1011"/>
      <c r="ESB54" s="1011"/>
      <c r="ESC54" s="1011"/>
      <c r="ESD54" s="1011"/>
      <c r="ESE54" s="1011"/>
      <c r="ESF54" s="1011"/>
      <c r="ESG54" s="1011"/>
      <c r="ESH54" s="1011"/>
      <c r="ESI54" s="1011"/>
      <c r="ESJ54" s="1011"/>
      <c r="ESK54" s="1011"/>
      <c r="ESL54" s="1011"/>
      <c r="ESM54" s="1011"/>
      <c r="ESN54" s="1011"/>
      <c r="ESO54" s="1011"/>
      <c r="ESP54" s="1011"/>
      <c r="ESQ54" s="1011"/>
      <c r="ESR54" s="1011"/>
      <c r="ESS54" s="1011"/>
      <c r="EST54" s="1011"/>
      <c r="ESU54" s="1011"/>
      <c r="ESV54" s="1011"/>
      <c r="ESW54" s="1011"/>
      <c r="ESX54" s="1011"/>
      <c r="ESY54" s="1011"/>
      <c r="ESZ54" s="1011"/>
      <c r="ETA54" s="1011"/>
      <c r="ETB54" s="1011"/>
      <c r="ETC54" s="1011"/>
      <c r="ETD54" s="1011"/>
      <c r="ETE54" s="1011"/>
      <c r="ETF54" s="1011"/>
      <c r="ETG54" s="1011"/>
      <c r="ETH54" s="1011"/>
      <c r="ETI54" s="1011"/>
      <c r="ETJ54" s="1011"/>
      <c r="ETK54" s="1011"/>
      <c r="ETL54" s="1011"/>
      <c r="ETM54" s="1011"/>
      <c r="ETN54" s="1011"/>
      <c r="ETO54" s="1011"/>
      <c r="ETP54" s="1011"/>
      <c r="ETQ54" s="1011"/>
      <c r="ETR54" s="1011"/>
      <c r="ETS54" s="1011"/>
      <c r="ETT54" s="1011"/>
      <c r="ETU54" s="1011"/>
      <c r="ETV54" s="1011"/>
      <c r="ETW54" s="1011"/>
      <c r="ETX54" s="1011"/>
      <c r="ETY54" s="1011"/>
      <c r="ETZ54" s="1011"/>
      <c r="EUA54" s="1011"/>
      <c r="EUB54" s="1011"/>
      <c r="EUC54" s="1011"/>
      <c r="EUD54" s="1011"/>
      <c r="EUE54" s="1011"/>
      <c r="EUF54" s="1011"/>
      <c r="EUG54" s="1011"/>
      <c r="EUH54" s="1011"/>
      <c r="EUI54" s="1011"/>
      <c r="EUJ54" s="1011"/>
      <c r="EUK54" s="1011"/>
      <c r="EUL54" s="1011"/>
      <c r="EUM54" s="1011"/>
      <c r="EUN54" s="1011"/>
      <c r="EUO54" s="1011"/>
      <c r="EUP54" s="1011"/>
      <c r="EUQ54" s="1011"/>
      <c r="EUR54" s="1011"/>
      <c r="EUS54" s="1011"/>
      <c r="EUT54" s="1011"/>
      <c r="EUU54" s="1011"/>
      <c r="EUV54" s="1011"/>
      <c r="EUW54" s="1011"/>
      <c r="EUX54" s="1011"/>
      <c r="EUY54" s="1011"/>
      <c r="EUZ54" s="1011"/>
      <c r="EVA54" s="1011"/>
      <c r="EVB54" s="1011"/>
      <c r="EVC54" s="1011"/>
      <c r="EVD54" s="1011"/>
      <c r="EVE54" s="1011"/>
      <c r="EVF54" s="1011"/>
      <c r="EVG54" s="1011"/>
      <c r="EVH54" s="1011"/>
      <c r="EVI54" s="1011"/>
      <c r="EVJ54" s="1011"/>
      <c r="EVK54" s="1011"/>
      <c r="EVL54" s="1011"/>
      <c r="EVM54" s="1011"/>
      <c r="EVN54" s="1011"/>
      <c r="EVO54" s="1011"/>
      <c r="EVP54" s="1011"/>
      <c r="EVQ54" s="1011"/>
      <c r="EVR54" s="1011"/>
      <c r="EVS54" s="1011"/>
      <c r="EVT54" s="1011"/>
      <c r="EVU54" s="1011"/>
      <c r="EVV54" s="1011"/>
      <c r="EVW54" s="1011"/>
      <c r="EVX54" s="1011"/>
      <c r="EVY54" s="1011"/>
      <c r="EVZ54" s="1011"/>
      <c r="EWA54" s="1011"/>
      <c r="EWB54" s="1011"/>
      <c r="EWC54" s="1011"/>
      <c r="EWD54" s="1011"/>
      <c r="EWE54" s="1011"/>
      <c r="EWF54" s="1011"/>
      <c r="EWG54" s="1011"/>
      <c r="EWH54" s="1011"/>
      <c r="EWI54" s="1011"/>
      <c r="EWJ54" s="1011"/>
      <c r="EWK54" s="1011"/>
      <c r="EWL54" s="1011"/>
      <c r="EWM54" s="1011"/>
      <c r="EWN54" s="1011"/>
      <c r="EWO54" s="1011"/>
      <c r="EWP54" s="1011"/>
      <c r="EWQ54" s="1011"/>
      <c r="EWR54" s="1011"/>
      <c r="EWS54" s="1011"/>
      <c r="EWT54" s="1011"/>
      <c r="EWU54" s="1011"/>
      <c r="EWV54" s="1011"/>
      <c r="EWW54" s="1011"/>
      <c r="EWX54" s="1011"/>
      <c r="EWY54" s="1011"/>
      <c r="EWZ54" s="1011"/>
      <c r="EXA54" s="1011"/>
      <c r="EXB54" s="1011"/>
      <c r="EXC54" s="1011"/>
      <c r="EXD54" s="1011"/>
      <c r="EXE54" s="1011"/>
      <c r="EXF54" s="1011"/>
      <c r="EXG54" s="1011"/>
      <c r="EXH54" s="1011"/>
      <c r="EXI54" s="1011"/>
      <c r="EXJ54" s="1011"/>
      <c r="EXK54" s="1011"/>
      <c r="EXL54" s="1011"/>
      <c r="EXM54" s="1011"/>
      <c r="EXN54" s="1011"/>
      <c r="EXO54" s="1011"/>
      <c r="EXP54" s="1011"/>
      <c r="EXQ54" s="1011"/>
      <c r="EXR54" s="1011"/>
      <c r="EXS54" s="1011"/>
      <c r="EXT54" s="1011"/>
      <c r="EXU54" s="1011"/>
      <c r="EXV54" s="1011"/>
      <c r="EXW54" s="1011"/>
      <c r="EXX54" s="1011"/>
      <c r="EXY54" s="1011"/>
      <c r="EXZ54" s="1011"/>
      <c r="EYA54" s="1011"/>
      <c r="EYB54" s="1011"/>
      <c r="EYC54" s="1011"/>
      <c r="EYD54" s="1011"/>
      <c r="EYE54" s="1011"/>
      <c r="EYF54" s="1011"/>
      <c r="EYG54" s="1011"/>
      <c r="EYH54" s="1011"/>
      <c r="EYI54" s="1011"/>
      <c r="EYJ54" s="1011"/>
      <c r="EYK54" s="1011"/>
      <c r="EYL54" s="1011"/>
      <c r="EYM54" s="1011"/>
      <c r="EYN54" s="1011"/>
      <c r="EYO54" s="1011"/>
      <c r="EYP54" s="1011"/>
      <c r="EYQ54" s="1011"/>
      <c r="EYR54" s="1011"/>
      <c r="EYS54" s="1011"/>
      <c r="EYT54" s="1011"/>
      <c r="EYU54" s="1011"/>
      <c r="EYV54" s="1011"/>
      <c r="EYW54" s="1011"/>
      <c r="EYX54" s="1011"/>
      <c r="EYY54" s="1011"/>
      <c r="EYZ54" s="1011"/>
      <c r="EZA54" s="1011"/>
      <c r="EZB54" s="1011"/>
      <c r="EZC54" s="1011"/>
      <c r="EZD54" s="1011"/>
      <c r="EZE54" s="1011"/>
      <c r="EZF54" s="1011"/>
      <c r="EZG54" s="1011"/>
      <c r="EZH54" s="1011"/>
      <c r="EZI54" s="1011"/>
      <c r="EZJ54" s="1011"/>
      <c r="EZK54" s="1011"/>
      <c r="EZL54" s="1011"/>
      <c r="EZM54" s="1011"/>
      <c r="EZN54" s="1011"/>
      <c r="EZO54" s="1011"/>
      <c r="EZP54" s="1011"/>
      <c r="EZQ54" s="1011"/>
      <c r="EZR54" s="1011"/>
      <c r="EZS54" s="1011"/>
      <c r="EZT54" s="1011"/>
      <c r="EZU54" s="1011"/>
      <c r="EZV54" s="1011"/>
      <c r="EZW54" s="1011"/>
      <c r="EZX54" s="1011"/>
      <c r="EZY54" s="1011"/>
      <c r="EZZ54" s="1011"/>
      <c r="FAA54" s="1011"/>
      <c r="FAB54" s="1011"/>
      <c r="FAC54" s="1011"/>
      <c r="FAD54" s="1011"/>
      <c r="FAE54" s="1011"/>
      <c r="FAF54" s="1011"/>
      <c r="FAG54" s="1011"/>
      <c r="FAH54" s="1011"/>
      <c r="FAI54" s="1011"/>
      <c r="FAJ54" s="1011"/>
      <c r="FAK54" s="1011"/>
      <c r="FAL54" s="1011"/>
      <c r="FAM54" s="1011"/>
      <c r="FAN54" s="1011"/>
      <c r="FAO54" s="1011"/>
      <c r="FAP54" s="1011"/>
      <c r="FAQ54" s="1011"/>
      <c r="FAR54" s="1011"/>
      <c r="FAS54" s="1011"/>
      <c r="FAT54" s="1011"/>
      <c r="FAU54" s="1011"/>
      <c r="FAV54" s="1011"/>
      <c r="FAW54" s="1011"/>
      <c r="FAX54" s="1011"/>
      <c r="FAY54" s="1011"/>
      <c r="FAZ54" s="1011"/>
      <c r="FBA54" s="1011"/>
      <c r="FBB54" s="1011"/>
      <c r="FBC54" s="1011"/>
      <c r="FBD54" s="1011"/>
      <c r="FBE54" s="1011"/>
      <c r="FBF54" s="1011"/>
      <c r="FBG54" s="1011"/>
      <c r="FBH54" s="1011"/>
      <c r="FBI54" s="1011"/>
      <c r="FBJ54" s="1011"/>
      <c r="FBK54" s="1011"/>
      <c r="FBL54" s="1011"/>
      <c r="FBM54" s="1011"/>
      <c r="FBN54" s="1011"/>
      <c r="FBO54" s="1011"/>
      <c r="FBP54" s="1011"/>
      <c r="FBQ54" s="1011"/>
      <c r="FBR54" s="1011"/>
      <c r="FBS54" s="1011"/>
      <c r="FBT54" s="1011"/>
      <c r="FBU54" s="1011"/>
      <c r="FBV54" s="1011"/>
      <c r="FBW54" s="1011"/>
      <c r="FBX54" s="1011"/>
      <c r="FBY54" s="1011"/>
      <c r="FBZ54" s="1011"/>
      <c r="FCA54" s="1011"/>
      <c r="FCB54" s="1011"/>
      <c r="FCC54" s="1011"/>
      <c r="FCD54" s="1011"/>
      <c r="FCE54" s="1011"/>
      <c r="FCF54" s="1011"/>
      <c r="FCG54" s="1011"/>
      <c r="FCH54" s="1011"/>
      <c r="FCI54" s="1011"/>
      <c r="FCJ54" s="1011"/>
      <c r="FCK54" s="1011"/>
      <c r="FCL54" s="1011"/>
      <c r="FCM54" s="1011"/>
      <c r="FCN54" s="1011"/>
      <c r="FCO54" s="1011"/>
      <c r="FCP54" s="1011"/>
      <c r="FCQ54" s="1011"/>
      <c r="FCR54" s="1011"/>
      <c r="FCS54" s="1011"/>
      <c r="FCT54" s="1011"/>
      <c r="FCU54" s="1011"/>
      <c r="FCV54" s="1011"/>
      <c r="FCW54" s="1011"/>
      <c r="FCX54" s="1011"/>
      <c r="FCY54" s="1011"/>
      <c r="FCZ54" s="1011"/>
      <c r="FDA54" s="1011"/>
      <c r="FDB54" s="1011"/>
      <c r="FDC54" s="1011"/>
      <c r="FDD54" s="1011"/>
      <c r="FDE54" s="1011"/>
      <c r="FDF54" s="1011"/>
      <c r="FDG54" s="1011"/>
      <c r="FDH54" s="1011"/>
      <c r="FDI54" s="1011"/>
      <c r="FDJ54" s="1011"/>
      <c r="FDK54" s="1011"/>
      <c r="FDL54" s="1011"/>
      <c r="FDM54" s="1011"/>
      <c r="FDN54" s="1011"/>
      <c r="FDO54" s="1011"/>
      <c r="FDP54" s="1011"/>
      <c r="FDQ54" s="1011"/>
      <c r="FDR54" s="1011"/>
      <c r="FDS54" s="1011"/>
      <c r="FDT54" s="1011"/>
      <c r="FDU54" s="1011"/>
      <c r="FDV54" s="1011"/>
      <c r="FDW54" s="1011"/>
      <c r="FDX54" s="1011"/>
      <c r="FDY54" s="1011"/>
      <c r="FDZ54" s="1011"/>
      <c r="FEA54" s="1011"/>
      <c r="FEB54" s="1011"/>
      <c r="FEC54" s="1011"/>
      <c r="FED54" s="1011"/>
      <c r="FEE54" s="1011"/>
      <c r="FEF54" s="1011"/>
      <c r="FEG54" s="1011"/>
      <c r="FEH54" s="1011"/>
      <c r="FEI54" s="1011"/>
      <c r="FEJ54" s="1011"/>
      <c r="FEK54" s="1011"/>
      <c r="FEL54" s="1011"/>
      <c r="FEM54" s="1011"/>
      <c r="FEN54" s="1011"/>
      <c r="FEO54" s="1011"/>
      <c r="FEP54" s="1011"/>
      <c r="FEQ54" s="1011"/>
      <c r="FER54" s="1011"/>
      <c r="FES54" s="1011"/>
      <c r="FET54" s="1011"/>
      <c r="FEU54" s="1011"/>
      <c r="FEV54" s="1011"/>
      <c r="FEW54" s="1011"/>
      <c r="FEX54" s="1011"/>
      <c r="FEY54" s="1011"/>
      <c r="FEZ54" s="1011"/>
      <c r="FFA54" s="1011"/>
      <c r="FFB54" s="1011"/>
      <c r="FFC54" s="1011"/>
      <c r="FFD54" s="1011"/>
      <c r="FFE54" s="1011"/>
      <c r="FFF54" s="1011"/>
      <c r="FFG54" s="1011"/>
      <c r="FFH54" s="1011"/>
      <c r="FFI54" s="1011"/>
      <c r="FFJ54" s="1011"/>
      <c r="FFK54" s="1011"/>
      <c r="FFL54" s="1011"/>
      <c r="FFM54" s="1011"/>
      <c r="FFN54" s="1011"/>
      <c r="FFO54" s="1011"/>
      <c r="FFP54" s="1011"/>
      <c r="FFQ54" s="1011"/>
      <c r="FFR54" s="1011"/>
      <c r="FFS54" s="1011"/>
      <c r="FFT54" s="1011"/>
      <c r="FFU54" s="1011"/>
      <c r="FFV54" s="1011"/>
      <c r="FFW54" s="1011"/>
      <c r="FFX54" s="1011"/>
      <c r="FFY54" s="1011"/>
      <c r="FFZ54" s="1011"/>
      <c r="FGA54" s="1011"/>
      <c r="FGB54" s="1011"/>
      <c r="FGC54" s="1011"/>
      <c r="FGD54" s="1011"/>
      <c r="FGE54" s="1011"/>
      <c r="FGF54" s="1011"/>
      <c r="FGG54" s="1011"/>
      <c r="FGH54" s="1011"/>
      <c r="FGI54" s="1011"/>
      <c r="FGJ54" s="1011"/>
      <c r="FGK54" s="1011"/>
      <c r="FGL54" s="1011"/>
      <c r="FGM54" s="1011"/>
      <c r="FGN54" s="1011"/>
      <c r="FGO54" s="1011"/>
      <c r="FGP54" s="1011"/>
      <c r="FGQ54" s="1011"/>
      <c r="FGR54" s="1011"/>
      <c r="FGS54" s="1011"/>
      <c r="FGT54" s="1011"/>
      <c r="FGU54" s="1011"/>
      <c r="FGV54" s="1011"/>
      <c r="FGW54" s="1011"/>
      <c r="FGX54" s="1011"/>
      <c r="FGY54" s="1011"/>
      <c r="FGZ54" s="1011"/>
      <c r="FHA54" s="1011"/>
      <c r="FHB54" s="1011"/>
      <c r="FHC54" s="1011"/>
      <c r="FHD54" s="1011"/>
      <c r="FHE54" s="1011"/>
      <c r="FHF54" s="1011"/>
      <c r="FHG54" s="1011"/>
      <c r="FHH54" s="1011"/>
      <c r="FHI54" s="1011"/>
      <c r="FHJ54" s="1011"/>
      <c r="FHK54" s="1011"/>
      <c r="FHL54" s="1011"/>
      <c r="FHM54" s="1011"/>
      <c r="FHN54" s="1011"/>
      <c r="FHO54" s="1011"/>
      <c r="FHP54" s="1011"/>
      <c r="FHQ54" s="1011"/>
      <c r="FHR54" s="1011"/>
      <c r="FHS54" s="1011"/>
      <c r="FHT54" s="1011"/>
      <c r="FHU54" s="1011"/>
      <c r="FHV54" s="1011"/>
      <c r="FHW54" s="1011"/>
      <c r="FHX54" s="1011"/>
      <c r="FHY54" s="1011"/>
      <c r="FHZ54" s="1011"/>
      <c r="FIA54" s="1011"/>
      <c r="FIB54" s="1011"/>
      <c r="FIC54" s="1011"/>
      <c r="FID54" s="1011"/>
      <c r="FIE54" s="1011"/>
      <c r="FIF54" s="1011"/>
      <c r="FIG54" s="1011"/>
      <c r="FIH54" s="1011"/>
      <c r="FII54" s="1011"/>
      <c r="FIJ54" s="1011"/>
      <c r="FIK54" s="1011"/>
      <c r="FIL54" s="1011"/>
      <c r="FIM54" s="1011"/>
      <c r="FIN54" s="1011"/>
      <c r="FIO54" s="1011"/>
      <c r="FIP54" s="1011"/>
      <c r="FIQ54" s="1011"/>
      <c r="FIR54" s="1011"/>
      <c r="FIS54" s="1011"/>
      <c r="FIT54" s="1011"/>
      <c r="FIU54" s="1011"/>
      <c r="FIV54" s="1011"/>
      <c r="FIW54" s="1011"/>
      <c r="FIX54" s="1011"/>
      <c r="FIY54" s="1011"/>
      <c r="FIZ54" s="1011"/>
      <c r="FJA54" s="1011"/>
      <c r="FJB54" s="1011"/>
      <c r="FJC54" s="1011"/>
      <c r="FJD54" s="1011"/>
      <c r="FJE54" s="1011"/>
      <c r="FJF54" s="1011"/>
      <c r="FJG54" s="1011"/>
      <c r="FJH54" s="1011"/>
      <c r="FJI54" s="1011"/>
      <c r="FJJ54" s="1011"/>
      <c r="FJK54" s="1011"/>
      <c r="FJL54" s="1011"/>
      <c r="FJM54" s="1011"/>
      <c r="FJN54" s="1011"/>
      <c r="FJO54" s="1011"/>
      <c r="FJP54" s="1011"/>
      <c r="FJQ54" s="1011"/>
      <c r="FJR54" s="1011"/>
      <c r="FJS54" s="1011"/>
      <c r="FJT54" s="1011"/>
      <c r="FJU54" s="1011"/>
      <c r="FJV54" s="1011"/>
      <c r="FJW54" s="1011"/>
      <c r="FJX54" s="1011"/>
      <c r="FJY54" s="1011"/>
      <c r="FJZ54" s="1011"/>
      <c r="FKA54" s="1011"/>
      <c r="FKB54" s="1011"/>
      <c r="FKC54" s="1011"/>
      <c r="FKD54" s="1011"/>
      <c r="FKE54" s="1011"/>
      <c r="FKF54" s="1011"/>
      <c r="FKG54" s="1011"/>
      <c r="FKH54" s="1011"/>
      <c r="FKI54" s="1011"/>
      <c r="FKJ54" s="1011"/>
      <c r="FKK54" s="1011"/>
      <c r="FKL54" s="1011"/>
      <c r="FKM54" s="1011"/>
      <c r="FKN54" s="1011"/>
      <c r="FKO54" s="1011"/>
      <c r="FKP54" s="1011"/>
      <c r="FKQ54" s="1011"/>
      <c r="FKR54" s="1011"/>
      <c r="FKS54" s="1011"/>
      <c r="FKT54" s="1011"/>
      <c r="FKU54" s="1011"/>
      <c r="FKV54" s="1011"/>
      <c r="FKW54" s="1011"/>
      <c r="FKX54" s="1011"/>
      <c r="FKY54" s="1011"/>
      <c r="FKZ54" s="1011"/>
      <c r="FLA54" s="1011"/>
      <c r="FLB54" s="1011"/>
      <c r="FLC54" s="1011"/>
      <c r="FLD54" s="1011"/>
      <c r="FLE54" s="1011"/>
      <c r="FLF54" s="1011"/>
      <c r="FLG54" s="1011"/>
      <c r="FLH54" s="1011"/>
      <c r="FLI54" s="1011"/>
      <c r="FLJ54" s="1011"/>
      <c r="FLK54" s="1011"/>
      <c r="FLL54" s="1011"/>
      <c r="FLM54" s="1011"/>
      <c r="FLN54" s="1011"/>
      <c r="FLO54" s="1011"/>
      <c r="FLP54" s="1011"/>
      <c r="FLQ54" s="1011"/>
      <c r="FLR54" s="1011"/>
      <c r="FLS54" s="1011"/>
      <c r="FLT54" s="1011"/>
      <c r="FLU54" s="1011"/>
      <c r="FLV54" s="1011"/>
      <c r="FLW54" s="1011"/>
      <c r="FLX54" s="1011"/>
      <c r="FLY54" s="1011"/>
      <c r="FLZ54" s="1011"/>
      <c r="FMA54" s="1011"/>
      <c r="FMB54" s="1011"/>
      <c r="FMC54" s="1011"/>
      <c r="FMD54" s="1011"/>
      <c r="FME54" s="1011"/>
      <c r="FMF54" s="1011"/>
      <c r="FMG54" s="1011"/>
      <c r="FMH54" s="1011"/>
      <c r="FMI54" s="1011"/>
      <c r="FMJ54" s="1011"/>
      <c r="FMK54" s="1011"/>
      <c r="FML54" s="1011"/>
      <c r="FMM54" s="1011"/>
      <c r="FMN54" s="1011"/>
      <c r="FMO54" s="1011"/>
      <c r="FMP54" s="1011"/>
      <c r="FMQ54" s="1011"/>
      <c r="FMR54" s="1011"/>
      <c r="FMS54" s="1011"/>
      <c r="FMT54" s="1011"/>
      <c r="FMU54" s="1011"/>
      <c r="FMV54" s="1011"/>
      <c r="FMW54" s="1011"/>
      <c r="FMX54" s="1011"/>
      <c r="FMY54" s="1011"/>
      <c r="FMZ54" s="1011"/>
      <c r="FNA54" s="1011"/>
      <c r="FNB54" s="1011"/>
      <c r="FNC54" s="1011"/>
      <c r="FND54" s="1011"/>
      <c r="FNE54" s="1011"/>
      <c r="FNF54" s="1011"/>
      <c r="FNG54" s="1011"/>
      <c r="FNH54" s="1011"/>
      <c r="FNI54" s="1011"/>
      <c r="FNJ54" s="1011"/>
      <c r="FNK54" s="1011"/>
      <c r="FNL54" s="1011"/>
      <c r="FNM54" s="1011"/>
      <c r="FNN54" s="1011"/>
      <c r="FNO54" s="1011"/>
      <c r="FNP54" s="1011"/>
      <c r="FNQ54" s="1011"/>
      <c r="FNR54" s="1011"/>
      <c r="FNS54" s="1011"/>
      <c r="FNT54" s="1011"/>
      <c r="FNU54" s="1011"/>
      <c r="FNV54" s="1011"/>
      <c r="FNW54" s="1011"/>
      <c r="FNX54" s="1011"/>
      <c r="FNY54" s="1011"/>
      <c r="FNZ54" s="1011"/>
      <c r="FOA54" s="1011"/>
      <c r="FOB54" s="1011"/>
      <c r="FOC54" s="1011"/>
      <c r="FOD54" s="1011"/>
      <c r="FOE54" s="1011"/>
      <c r="FOF54" s="1011"/>
      <c r="FOG54" s="1011"/>
      <c r="FOH54" s="1011"/>
      <c r="FOI54" s="1011"/>
      <c r="FOJ54" s="1011"/>
      <c r="FOK54" s="1011"/>
      <c r="FOL54" s="1011"/>
      <c r="FOM54" s="1011"/>
      <c r="FON54" s="1011"/>
      <c r="FOO54" s="1011"/>
      <c r="FOP54" s="1011"/>
      <c r="FOQ54" s="1011"/>
      <c r="FOR54" s="1011"/>
      <c r="FOS54" s="1011"/>
      <c r="FOT54" s="1011"/>
      <c r="FOU54" s="1011"/>
      <c r="FOV54" s="1011"/>
      <c r="FOW54" s="1011"/>
      <c r="FOX54" s="1011"/>
      <c r="FOY54" s="1011"/>
      <c r="FOZ54" s="1011"/>
      <c r="FPA54" s="1011"/>
      <c r="FPB54" s="1011"/>
      <c r="FPC54" s="1011"/>
      <c r="FPD54" s="1011"/>
      <c r="FPE54" s="1011"/>
      <c r="FPF54" s="1011"/>
      <c r="FPG54" s="1011"/>
      <c r="FPH54" s="1011"/>
      <c r="FPI54" s="1011"/>
      <c r="FPJ54" s="1011"/>
      <c r="FPK54" s="1011"/>
      <c r="FPL54" s="1011"/>
      <c r="FPM54" s="1011"/>
      <c r="FPN54" s="1011"/>
      <c r="FPO54" s="1011"/>
      <c r="FPP54" s="1011"/>
      <c r="FPQ54" s="1011"/>
      <c r="FPR54" s="1011"/>
      <c r="FPS54" s="1011"/>
      <c r="FPT54" s="1011"/>
      <c r="FPU54" s="1011"/>
      <c r="FPV54" s="1011"/>
      <c r="FPW54" s="1011"/>
      <c r="FPX54" s="1011"/>
      <c r="FPY54" s="1011"/>
      <c r="FPZ54" s="1011"/>
      <c r="FQA54" s="1011"/>
      <c r="FQB54" s="1011"/>
      <c r="FQC54" s="1011"/>
      <c r="FQD54" s="1011"/>
      <c r="FQE54" s="1011"/>
      <c r="FQF54" s="1011"/>
      <c r="FQG54" s="1011"/>
      <c r="FQH54" s="1011"/>
      <c r="FQI54" s="1011"/>
      <c r="FQJ54" s="1011"/>
      <c r="FQK54" s="1011"/>
      <c r="FQL54" s="1011"/>
      <c r="FQM54" s="1011"/>
      <c r="FQN54" s="1011"/>
      <c r="FQO54" s="1011"/>
      <c r="FQP54" s="1011"/>
      <c r="FQQ54" s="1011"/>
      <c r="FQR54" s="1011"/>
      <c r="FQS54" s="1011"/>
      <c r="FQT54" s="1011"/>
      <c r="FQU54" s="1011"/>
      <c r="FQV54" s="1011"/>
      <c r="FQW54" s="1011"/>
      <c r="FQX54" s="1011"/>
      <c r="FQY54" s="1011"/>
      <c r="FQZ54" s="1011"/>
      <c r="FRA54" s="1011"/>
      <c r="FRB54" s="1011"/>
      <c r="FRC54" s="1011"/>
      <c r="FRD54" s="1011"/>
      <c r="FRE54" s="1011"/>
      <c r="FRF54" s="1011"/>
      <c r="FRG54" s="1011"/>
      <c r="FRH54" s="1011"/>
      <c r="FRI54" s="1011"/>
      <c r="FRJ54" s="1011"/>
      <c r="FRK54" s="1011"/>
      <c r="FRL54" s="1011"/>
      <c r="FRM54" s="1011"/>
      <c r="FRN54" s="1011"/>
      <c r="FRO54" s="1011"/>
      <c r="FRP54" s="1011"/>
      <c r="FRQ54" s="1011"/>
      <c r="FRR54" s="1011"/>
      <c r="FRS54" s="1011"/>
      <c r="FRT54" s="1011"/>
      <c r="FRU54" s="1011"/>
      <c r="FRV54" s="1011"/>
      <c r="FRW54" s="1011"/>
      <c r="FRX54" s="1011"/>
      <c r="FRY54" s="1011"/>
      <c r="FRZ54" s="1011"/>
      <c r="FSA54" s="1011"/>
      <c r="FSB54" s="1011"/>
      <c r="FSC54" s="1011"/>
      <c r="FSD54" s="1011"/>
      <c r="FSE54" s="1011"/>
      <c r="FSF54" s="1011"/>
      <c r="FSG54" s="1011"/>
      <c r="FSH54" s="1011"/>
      <c r="FSI54" s="1011"/>
      <c r="FSJ54" s="1011"/>
      <c r="FSK54" s="1011"/>
      <c r="FSL54" s="1011"/>
      <c r="FSM54" s="1011"/>
      <c r="FSN54" s="1011"/>
      <c r="FSO54" s="1011"/>
      <c r="FSP54" s="1011"/>
      <c r="FSQ54" s="1011"/>
      <c r="FSR54" s="1011"/>
      <c r="FSS54" s="1011"/>
      <c r="FST54" s="1011"/>
      <c r="FSU54" s="1011"/>
      <c r="FSV54" s="1011"/>
      <c r="FSW54" s="1011"/>
      <c r="FSX54" s="1011"/>
      <c r="FSY54" s="1011"/>
      <c r="FSZ54" s="1011"/>
      <c r="FTA54" s="1011"/>
      <c r="FTB54" s="1011"/>
      <c r="FTC54" s="1011"/>
      <c r="FTD54" s="1011"/>
      <c r="FTE54" s="1011"/>
      <c r="FTF54" s="1011"/>
      <c r="FTG54" s="1011"/>
      <c r="FTH54" s="1011"/>
      <c r="FTI54" s="1011"/>
      <c r="FTJ54" s="1011"/>
      <c r="FTK54" s="1011"/>
      <c r="FTL54" s="1011"/>
      <c r="FTM54" s="1011"/>
      <c r="FTN54" s="1011"/>
      <c r="FTO54" s="1011"/>
      <c r="FTP54" s="1011"/>
      <c r="FTQ54" s="1011"/>
      <c r="FTR54" s="1011"/>
      <c r="FTS54" s="1011"/>
      <c r="FTT54" s="1011"/>
      <c r="FTU54" s="1011"/>
      <c r="FTV54" s="1011"/>
      <c r="FTW54" s="1011"/>
      <c r="FTX54" s="1011"/>
      <c r="FTY54" s="1011"/>
      <c r="FTZ54" s="1011"/>
      <c r="FUA54" s="1011"/>
      <c r="FUB54" s="1011"/>
      <c r="FUC54" s="1011"/>
      <c r="FUD54" s="1011"/>
      <c r="FUE54" s="1011"/>
      <c r="FUF54" s="1011"/>
      <c r="FUG54" s="1011"/>
      <c r="FUH54" s="1011"/>
      <c r="FUI54" s="1011"/>
      <c r="FUJ54" s="1011"/>
      <c r="FUK54" s="1011"/>
      <c r="FUL54" s="1011"/>
      <c r="FUM54" s="1011"/>
      <c r="FUN54" s="1011"/>
      <c r="FUO54" s="1011"/>
      <c r="FUP54" s="1011"/>
      <c r="FUQ54" s="1011"/>
      <c r="FUR54" s="1011"/>
      <c r="FUS54" s="1011"/>
      <c r="FUT54" s="1011"/>
      <c r="FUU54" s="1011"/>
      <c r="FUV54" s="1011"/>
      <c r="FUW54" s="1011"/>
      <c r="FUX54" s="1011"/>
      <c r="FUY54" s="1011"/>
      <c r="FUZ54" s="1011"/>
      <c r="FVA54" s="1011"/>
      <c r="FVB54" s="1011"/>
      <c r="FVC54" s="1011"/>
      <c r="FVD54" s="1011"/>
      <c r="FVE54" s="1011"/>
      <c r="FVF54" s="1011"/>
      <c r="FVG54" s="1011"/>
      <c r="FVH54" s="1011"/>
      <c r="FVI54" s="1011"/>
      <c r="FVJ54" s="1011"/>
      <c r="FVK54" s="1011"/>
      <c r="FVL54" s="1011"/>
      <c r="FVM54" s="1011"/>
      <c r="FVN54" s="1011"/>
      <c r="FVO54" s="1011"/>
      <c r="FVP54" s="1011"/>
      <c r="FVQ54" s="1011"/>
      <c r="FVR54" s="1011"/>
      <c r="FVS54" s="1011"/>
      <c r="FVT54" s="1011"/>
      <c r="FVU54" s="1011"/>
      <c r="FVV54" s="1011"/>
      <c r="FVW54" s="1011"/>
      <c r="FVX54" s="1011"/>
      <c r="FVY54" s="1011"/>
      <c r="FVZ54" s="1011"/>
      <c r="FWA54" s="1011"/>
      <c r="FWB54" s="1011"/>
      <c r="FWC54" s="1011"/>
      <c r="FWD54" s="1011"/>
      <c r="FWE54" s="1011"/>
      <c r="FWF54" s="1011"/>
      <c r="FWG54" s="1011"/>
      <c r="FWH54" s="1011"/>
      <c r="FWI54" s="1011"/>
      <c r="FWJ54" s="1011"/>
      <c r="FWK54" s="1011"/>
      <c r="FWL54" s="1011"/>
      <c r="FWM54" s="1011"/>
      <c r="FWN54" s="1011"/>
      <c r="FWO54" s="1011"/>
      <c r="FWP54" s="1011"/>
      <c r="FWQ54" s="1011"/>
      <c r="FWR54" s="1011"/>
      <c r="FWS54" s="1011"/>
      <c r="FWT54" s="1011"/>
      <c r="FWU54" s="1011"/>
      <c r="FWV54" s="1011"/>
      <c r="FWW54" s="1011"/>
      <c r="FWX54" s="1011"/>
      <c r="FWY54" s="1011"/>
      <c r="FWZ54" s="1011"/>
      <c r="FXA54" s="1011"/>
      <c r="FXB54" s="1011"/>
      <c r="FXC54" s="1011"/>
      <c r="FXD54" s="1011"/>
      <c r="FXE54" s="1011"/>
      <c r="FXF54" s="1011"/>
      <c r="FXG54" s="1011"/>
      <c r="FXH54" s="1011"/>
      <c r="FXI54" s="1011"/>
      <c r="FXJ54" s="1011"/>
      <c r="FXK54" s="1011"/>
      <c r="FXL54" s="1011"/>
      <c r="FXM54" s="1011"/>
      <c r="FXN54" s="1011"/>
      <c r="FXO54" s="1011"/>
      <c r="FXP54" s="1011"/>
      <c r="FXQ54" s="1011"/>
      <c r="FXR54" s="1011"/>
      <c r="FXS54" s="1011"/>
      <c r="FXT54" s="1011"/>
      <c r="FXU54" s="1011"/>
      <c r="FXV54" s="1011"/>
      <c r="FXW54" s="1011"/>
      <c r="FXX54" s="1011"/>
      <c r="FXY54" s="1011"/>
      <c r="FXZ54" s="1011"/>
      <c r="FYA54" s="1011"/>
      <c r="FYB54" s="1011"/>
      <c r="FYC54" s="1011"/>
      <c r="FYD54" s="1011"/>
      <c r="FYE54" s="1011"/>
      <c r="FYF54" s="1011"/>
      <c r="FYG54" s="1011"/>
      <c r="FYH54" s="1011"/>
      <c r="FYI54" s="1011"/>
      <c r="FYJ54" s="1011"/>
      <c r="FYK54" s="1011"/>
      <c r="FYL54" s="1011"/>
      <c r="FYM54" s="1011"/>
      <c r="FYN54" s="1011"/>
      <c r="FYO54" s="1011"/>
      <c r="FYP54" s="1011"/>
      <c r="FYQ54" s="1011"/>
      <c r="FYR54" s="1011"/>
      <c r="FYS54" s="1011"/>
      <c r="FYT54" s="1011"/>
      <c r="FYU54" s="1011"/>
      <c r="FYV54" s="1011"/>
      <c r="FYW54" s="1011"/>
      <c r="FYX54" s="1011"/>
      <c r="FYY54" s="1011"/>
      <c r="FYZ54" s="1011"/>
      <c r="FZA54" s="1011"/>
      <c r="FZB54" s="1011"/>
      <c r="FZC54" s="1011"/>
      <c r="FZD54" s="1011"/>
      <c r="FZE54" s="1011"/>
      <c r="FZF54" s="1011"/>
      <c r="FZG54" s="1011"/>
      <c r="FZH54" s="1011"/>
      <c r="FZI54" s="1011"/>
      <c r="FZJ54" s="1011"/>
      <c r="FZK54" s="1011"/>
      <c r="FZL54" s="1011"/>
      <c r="FZM54" s="1011"/>
      <c r="FZN54" s="1011"/>
      <c r="FZO54" s="1011"/>
      <c r="FZP54" s="1011"/>
      <c r="FZQ54" s="1011"/>
      <c r="FZR54" s="1011"/>
      <c r="FZS54" s="1011"/>
      <c r="FZT54" s="1011"/>
      <c r="FZU54" s="1011"/>
      <c r="FZV54" s="1011"/>
      <c r="FZW54" s="1011"/>
      <c r="FZX54" s="1011"/>
      <c r="FZY54" s="1011"/>
      <c r="FZZ54" s="1011"/>
      <c r="GAA54" s="1011"/>
      <c r="GAB54" s="1011"/>
      <c r="GAC54" s="1011"/>
      <c r="GAD54" s="1011"/>
      <c r="GAE54" s="1011"/>
      <c r="GAF54" s="1011"/>
      <c r="GAG54" s="1011"/>
      <c r="GAH54" s="1011"/>
      <c r="GAI54" s="1011"/>
      <c r="GAJ54" s="1011"/>
      <c r="GAK54" s="1011"/>
      <c r="GAL54" s="1011"/>
      <c r="GAM54" s="1011"/>
      <c r="GAN54" s="1011"/>
      <c r="GAO54" s="1011"/>
      <c r="GAP54" s="1011"/>
      <c r="GAQ54" s="1011"/>
      <c r="GAR54" s="1011"/>
      <c r="GAS54" s="1011"/>
      <c r="GAT54" s="1011"/>
      <c r="GAU54" s="1011"/>
      <c r="GAV54" s="1011"/>
      <c r="GAW54" s="1011"/>
      <c r="GAX54" s="1011"/>
      <c r="GAY54" s="1011"/>
      <c r="GAZ54" s="1011"/>
      <c r="GBA54" s="1011"/>
      <c r="GBB54" s="1011"/>
      <c r="GBC54" s="1011"/>
      <c r="GBD54" s="1011"/>
      <c r="GBE54" s="1011"/>
      <c r="GBF54" s="1011"/>
      <c r="GBG54" s="1011"/>
      <c r="GBH54" s="1011"/>
      <c r="GBI54" s="1011"/>
      <c r="GBJ54" s="1011"/>
      <c r="GBK54" s="1011"/>
      <c r="GBL54" s="1011"/>
      <c r="GBM54" s="1011"/>
      <c r="GBN54" s="1011"/>
      <c r="GBO54" s="1011"/>
      <c r="GBP54" s="1011"/>
      <c r="GBQ54" s="1011"/>
      <c r="GBR54" s="1011"/>
      <c r="GBS54" s="1011"/>
      <c r="GBT54" s="1011"/>
      <c r="GBU54" s="1011"/>
      <c r="GBV54" s="1011"/>
      <c r="GBW54" s="1011"/>
      <c r="GBX54" s="1011"/>
      <c r="GBY54" s="1011"/>
      <c r="GBZ54" s="1011"/>
      <c r="GCA54" s="1011"/>
      <c r="GCB54" s="1011"/>
      <c r="GCC54" s="1011"/>
      <c r="GCD54" s="1011"/>
      <c r="GCE54" s="1011"/>
      <c r="GCF54" s="1011"/>
      <c r="GCG54" s="1011"/>
      <c r="GCH54" s="1011"/>
      <c r="GCI54" s="1011"/>
      <c r="GCJ54" s="1011"/>
      <c r="GCK54" s="1011"/>
      <c r="GCL54" s="1011"/>
      <c r="GCM54" s="1011"/>
      <c r="GCN54" s="1011"/>
      <c r="GCO54" s="1011"/>
      <c r="GCP54" s="1011"/>
      <c r="GCQ54" s="1011"/>
      <c r="GCR54" s="1011"/>
      <c r="GCS54" s="1011"/>
      <c r="GCT54" s="1011"/>
      <c r="GCU54" s="1011"/>
      <c r="GCV54" s="1011"/>
      <c r="GCW54" s="1011"/>
      <c r="GCX54" s="1011"/>
      <c r="GCY54" s="1011"/>
      <c r="GCZ54" s="1011"/>
      <c r="GDA54" s="1011"/>
      <c r="GDB54" s="1011"/>
      <c r="GDC54" s="1011"/>
      <c r="GDD54" s="1011"/>
      <c r="GDE54" s="1011"/>
      <c r="GDF54" s="1011"/>
      <c r="GDG54" s="1011"/>
      <c r="GDH54" s="1011"/>
      <c r="GDI54" s="1011"/>
      <c r="GDJ54" s="1011"/>
      <c r="GDK54" s="1011"/>
      <c r="GDL54" s="1011"/>
      <c r="GDM54" s="1011"/>
      <c r="GDN54" s="1011"/>
      <c r="GDO54" s="1011"/>
      <c r="GDP54" s="1011"/>
      <c r="GDQ54" s="1011"/>
      <c r="GDR54" s="1011"/>
      <c r="GDS54" s="1011"/>
      <c r="GDT54" s="1011"/>
      <c r="GDU54" s="1011"/>
      <c r="GDV54" s="1011"/>
      <c r="GDW54" s="1011"/>
      <c r="GDX54" s="1011"/>
      <c r="GDY54" s="1011"/>
      <c r="GDZ54" s="1011"/>
      <c r="GEA54" s="1011"/>
      <c r="GEB54" s="1011"/>
      <c r="GEC54" s="1011"/>
      <c r="GED54" s="1011"/>
      <c r="GEE54" s="1011"/>
      <c r="GEF54" s="1011"/>
      <c r="GEG54" s="1011"/>
      <c r="GEH54" s="1011"/>
      <c r="GEI54" s="1011"/>
      <c r="GEJ54" s="1011"/>
      <c r="GEK54" s="1011"/>
      <c r="GEL54" s="1011"/>
      <c r="GEM54" s="1011"/>
      <c r="GEN54" s="1011"/>
      <c r="GEO54" s="1011"/>
      <c r="GEP54" s="1011"/>
      <c r="GEQ54" s="1011"/>
      <c r="GER54" s="1011"/>
      <c r="GES54" s="1011"/>
      <c r="GET54" s="1011"/>
      <c r="GEU54" s="1011"/>
      <c r="GEV54" s="1011"/>
      <c r="GEW54" s="1011"/>
      <c r="GEX54" s="1011"/>
      <c r="GEY54" s="1011"/>
      <c r="GEZ54" s="1011"/>
      <c r="GFA54" s="1011"/>
      <c r="GFB54" s="1011"/>
      <c r="GFC54" s="1011"/>
      <c r="GFD54" s="1011"/>
      <c r="GFE54" s="1011"/>
      <c r="GFF54" s="1011"/>
      <c r="GFG54" s="1011"/>
      <c r="GFH54" s="1011"/>
      <c r="GFI54" s="1011"/>
      <c r="GFJ54" s="1011"/>
      <c r="GFK54" s="1011"/>
      <c r="GFL54" s="1011"/>
      <c r="GFM54" s="1011"/>
      <c r="GFN54" s="1011"/>
      <c r="GFO54" s="1011"/>
      <c r="GFP54" s="1011"/>
      <c r="GFQ54" s="1011"/>
      <c r="GFR54" s="1011"/>
      <c r="GFS54" s="1011"/>
      <c r="GFT54" s="1011"/>
      <c r="GFU54" s="1011"/>
      <c r="GFV54" s="1011"/>
      <c r="GFW54" s="1011"/>
      <c r="GFX54" s="1011"/>
      <c r="GFY54" s="1011"/>
      <c r="GFZ54" s="1011"/>
      <c r="GGA54" s="1011"/>
      <c r="GGB54" s="1011"/>
      <c r="GGC54" s="1011"/>
      <c r="GGD54" s="1011"/>
      <c r="GGE54" s="1011"/>
      <c r="GGF54" s="1011"/>
      <c r="GGG54" s="1011"/>
      <c r="GGH54" s="1011"/>
      <c r="GGI54" s="1011"/>
      <c r="GGJ54" s="1011"/>
      <c r="GGK54" s="1011"/>
      <c r="GGL54" s="1011"/>
      <c r="GGM54" s="1011"/>
      <c r="GGN54" s="1011"/>
      <c r="GGO54" s="1011"/>
      <c r="GGP54" s="1011"/>
      <c r="GGQ54" s="1011"/>
      <c r="GGR54" s="1011"/>
      <c r="GGS54" s="1011"/>
      <c r="GGT54" s="1011"/>
      <c r="GGU54" s="1011"/>
      <c r="GGV54" s="1011"/>
      <c r="GGW54" s="1011"/>
      <c r="GGX54" s="1011"/>
      <c r="GGY54" s="1011"/>
      <c r="GGZ54" s="1011"/>
      <c r="GHA54" s="1011"/>
      <c r="GHB54" s="1011"/>
      <c r="GHC54" s="1011"/>
      <c r="GHD54" s="1011"/>
      <c r="GHE54" s="1011"/>
      <c r="GHF54" s="1011"/>
      <c r="GHG54" s="1011"/>
      <c r="GHH54" s="1011"/>
      <c r="GHI54" s="1011"/>
      <c r="GHJ54" s="1011"/>
      <c r="GHK54" s="1011"/>
      <c r="GHL54" s="1011"/>
      <c r="GHM54" s="1011"/>
      <c r="GHN54" s="1011"/>
      <c r="GHO54" s="1011"/>
      <c r="GHP54" s="1011"/>
      <c r="GHQ54" s="1011"/>
      <c r="GHR54" s="1011"/>
      <c r="GHS54" s="1011"/>
      <c r="GHT54" s="1011"/>
      <c r="GHU54" s="1011"/>
      <c r="GHV54" s="1011"/>
      <c r="GHW54" s="1011"/>
      <c r="GHX54" s="1011"/>
      <c r="GHY54" s="1011"/>
      <c r="GHZ54" s="1011"/>
      <c r="GIA54" s="1011"/>
      <c r="GIB54" s="1011"/>
      <c r="GIC54" s="1011"/>
      <c r="GID54" s="1011"/>
      <c r="GIE54" s="1011"/>
      <c r="GIF54" s="1011"/>
      <c r="GIG54" s="1011"/>
      <c r="GIH54" s="1011"/>
      <c r="GII54" s="1011"/>
      <c r="GIJ54" s="1011"/>
      <c r="GIK54" s="1011"/>
      <c r="GIL54" s="1011"/>
      <c r="GIM54" s="1011"/>
      <c r="GIN54" s="1011"/>
      <c r="GIO54" s="1011"/>
      <c r="GIP54" s="1011"/>
      <c r="GIQ54" s="1011"/>
      <c r="GIR54" s="1011"/>
      <c r="GIS54" s="1011"/>
      <c r="GIT54" s="1011"/>
      <c r="GIU54" s="1011"/>
      <c r="GIV54" s="1011"/>
      <c r="GIW54" s="1011"/>
      <c r="GIX54" s="1011"/>
      <c r="GIY54" s="1011"/>
      <c r="GIZ54" s="1011"/>
      <c r="GJA54" s="1011"/>
      <c r="GJB54" s="1011"/>
      <c r="GJC54" s="1011"/>
      <c r="GJD54" s="1011"/>
      <c r="GJE54" s="1011"/>
      <c r="GJF54" s="1011"/>
      <c r="GJG54" s="1011"/>
      <c r="GJH54" s="1011"/>
      <c r="GJI54" s="1011"/>
      <c r="GJJ54" s="1011"/>
      <c r="GJK54" s="1011"/>
      <c r="GJL54" s="1011"/>
      <c r="GJM54" s="1011"/>
      <c r="GJN54" s="1011"/>
      <c r="GJO54" s="1011"/>
      <c r="GJP54" s="1011"/>
      <c r="GJQ54" s="1011"/>
      <c r="GJR54" s="1011"/>
      <c r="GJS54" s="1011"/>
      <c r="GJT54" s="1011"/>
      <c r="GJU54" s="1011"/>
      <c r="GJV54" s="1011"/>
      <c r="GJW54" s="1011"/>
      <c r="GJX54" s="1011"/>
      <c r="GJY54" s="1011"/>
      <c r="GJZ54" s="1011"/>
      <c r="GKA54" s="1011"/>
      <c r="GKB54" s="1011"/>
      <c r="GKC54" s="1011"/>
      <c r="GKD54" s="1011"/>
      <c r="GKE54" s="1011"/>
      <c r="GKF54" s="1011"/>
      <c r="GKG54" s="1011"/>
      <c r="GKH54" s="1011"/>
      <c r="GKI54" s="1011"/>
      <c r="GKJ54" s="1011"/>
      <c r="GKK54" s="1011"/>
      <c r="GKL54" s="1011"/>
      <c r="GKM54" s="1011"/>
      <c r="GKN54" s="1011"/>
      <c r="GKO54" s="1011"/>
      <c r="GKP54" s="1011"/>
      <c r="GKQ54" s="1011"/>
      <c r="GKR54" s="1011"/>
      <c r="GKS54" s="1011"/>
      <c r="GKT54" s="1011"/>
      <c r="GKU54" s="1011"/>
      <c r="GKV54" s="1011"/>
      <c r="GKW54" s="1011"/>
      <c r="GKX54" s="1011"/>
      <c r="GKY54" s="1011"/>
      <c r="GKZ54" s="1011"/>
      <c r="GLA54" s="1011"/>
      <c r="GLB54" s="1011"/>
      <c r="GLC54" s="1011"/>
      <c r="GLD54" s="1011"/>
      <c r="GLE54" s="1011"/>
      <c r="GLF54" s="1011"/>
      <c r="GLG54" s="1011"/>
      <c r="GLH54" s="1011"/>
      <c r="GLI54" s="1011"/>
      <c r="GLJ54" s="1011"/>
      <c r="GLK54" s="1011"/>
      <c r="GLL54" s="1011"/>
      <c r="GLM54" s="1011"/>
      <c r="GLN54" s="1011"/>
      <c r="GLO54" s="1011"/>
      <c r="GLP54" s="1011"/>
      <c r="GLQ54" s="1011"/>
      <c r="GLR54" s="1011"/>
      <c r="GLS54" s="1011"/>
      <c r="GLT54" s="1011"/>
      <c r="GLU54" s="1011"/>
      <c r="GLV54" s="1011"/>
      <c r="GLW54" s="1011"/>
      <c r="GLX54" s="1011"/>
      <c r="GLY54" s="1011"/>
      <c r="GLZ54" s="1011"/>
      <c r="GMA54" s="1011"/>
      <c r="GMB54" s="1011"/>
      <c r="GMC54" s="1011"/>
      <c r="GMD54" s="1011"/>
      <c r="GME54" s="1011"/>
      <c r="GMF54" s="1011"/>
      <c r="GMG54" s="1011"/>
      <c r="GMH54" s="1011"/>
      <c r="GMI54" s="1011"/>
      <c r="GMJ54" s="1011"/>
      <c r="GMK54" s="1011"/>
      <c r="GML54" s="1011"/>
      <c r="GMM54" s="1011"/>
      <c r="GMN54" s="1011"/>
      <c r="GMO54" s="1011"/>
      <c r="GMP54" s="1011"/>
      <c r="GMQ54" s="1011"/>
      <c r="GMR54" s="1011"/>
      <c r="GMS54" s="1011"/>
      <c r="GMT54" s="1011"/>
      <c r="GMU54" s="1011"/>
      <c r="GMV54" s="1011"/>
      <c r="GMW54" s="1011"/>
      <c r="GMX54" s="1011"/>
      <c r="GMY54" s="1011"/>
      <c r="GMZ54" s="1011"/>
      <c r="GNA54" s="1011"/>
      <c r="GNB54" s="1011"/>
      <c r="GNC54" s="1011"/>
      <c r="GND54" s="1011"/>
      <c r="GNE54" s="1011"/>
      <c r="GNF54" s="1011"/>
      <c r="GNG54" s="1011"/>
      <c r="GNH54" s="1011"/>
      <c r="GNI54" s="1011"/>
      <c r="GNJ54" s="1011"/>
      <c r="GNK54" s="1011"/>
      <c r="GNL54" s="1011"/>
      <c r="GNM54" s="1011"/>
      <c r="GNN54" s="1011"/>
      <c r="GNO54" s="1011"/>
      <c r="GNP54" s="1011"/>
      <c r="GNQ54" s="1011"/>
      <c r="GNR54" s="1011"/>
      <c r="GNS54" s="1011"/>
      <c r="GNT54" s="1011"/>
      <c r="GNU54" s="1011"/>
      <c r="GNV54" s="1011"/>
      <c r="GNW54" s="1011"/>
      <c r="GNX54" s="1011"/>
      <c r="GNY54" s="1011"/>
      <c r="GNZ54" s="1011"/>
      <c r="GOA54" s="1011"/>
      <c r="GOB54" s="1011"/>
      <c r="GOC54" s="1011"/>
      <c r="GOD54" s="1011"/>
      <c r="GOE54" s="1011"/>
      <c r="GOF54" s="1011"/>
      <c r="GOG54" s="1011"/>
      <c r="GOH54" s="1011"/>
      <c r="GOI54" s="1011"/>
      <c r="GOJ54" s="1011"/>
      <c r="GOK54" s="1011"/>
      <c r="GOL54" s="1011"/>
      <c r="GOM54" s="1011"/>
      <c r="GON54" s="1011"/>
      <c r="GOO54" s="1011"/>
      <c r="GOP54" s="1011"/>
      <c r="GOQ54" s="1011"/>
      <c r="GOR54" s="1011"/>
      <c r="GOS54" s="1011"/>
      <c r="GOT54" s="1011"/>
      <c r="GOU54" s="1011"/>
      <c r="GOV54" s="1011"/>
      <c r="GOW54" s="1011"/>
      <c r="GOX54" s="1011"/>
      <c r="GOY54" s="1011"/>
      <c r="GOZ54" s="1011"/>
      <c r="GPA54" s="1011"/>
      <c r="GPB54" s="1011"/>
      <c r="GPC54" s="1011"/>
      <c r="GPD54" s="1011"/>
      <c r="GPE54" s="1011"/>
      <c r="GPF54" s="1011"/>
      <c r="GPG54" s="1011"/>
      <c r="GPH54" s="1011"/>
      <c r="GPI54" s="1011"/>
      <c r="GPJ54" s="1011"/>
      <c r="GPK54" s="1011"/>
      <c r="GPL54" s="1011"/>
      <c r="GPM54" s="1011"/>
      <c r="GPN54" s="1011"/>
      <c r="GPO54" s="1011"/>
      <c r="GPP54" s="1011"/>
      <c r="GPQ54" s="1011"/>
      <c r="GPR54" s="1011"/>
      <c r="GPS54" s="1011"/>
      <c r="GPT54" s="1011"/>
      <c r="GPU54" s="1011"/>
      <c r="GPV54" s="1011"/>
      <c r="GPW54" s="1011"/>
      <c r="GPX54" s="1011"/>
      <c r="GPY54" s="1011"/>
      <c r="GPZ54" s="1011"/>
      <c r="GQA54" s="1011"/>
      <c r="GQB54" s="1011"/>
      <c r="GQC54" s="1011"/>
      <c r="GQD54" s="1011"/>
      <c r="GQE54" s="1011"/>
      <c r="GQF54" s="1011"/>
      <c r="GQG54" s="1011"/>
      <c r="GQH54" s="1011"/>
      <c r="GQI54" s="1011"/>
      <c r="GQJ54" s="1011"/>
      <c r="GQK54" s="1011"/>
      <c r="GQL54" s="1011"/>
      <c r="GQM54" s="1011"/>
      <c r="GQN54" s="1011"/>
      <c r="GQO54" s="1011"/>
      <c r="GQP54" s="1011"/>
      <c r="GQQ54" s="1011"/>
      <c r="GQR54" s="1011"/>
      <c r="GQS54" s="1011"/>
      <c r="GQT54" s="1011"/>
      <c r="GQU54" s="1011"/>
      <c r="GQV54" s="1011"/>
      <c r="GQW54" s="1011"/>
      <c r="GQX54" s="1011"/>
      <c r="GQY54" s="1011"/>
      <c r="GQZ54" s="1011"/>
      <c r="GRA54" s="1011"/>
      <c r="GRB54" s="1011"/>
      <c r="GRC54" s="1011"/>
      <c r="GRD54" s="1011"/>
      <c r="GRE54" s="1011"/>
      <c r="GRF54" s="1011"/>
      <c r="GRG54" s="1011"/>
      <c r="GRH54" s="1011"/>
      <c r="GRI54" s="1011"/>
      <c r="GRJ54" s="1011"/>
      <c r="GRK54" s="1011"/>
      <c r="GRL54" s="1011"/>
      <c r="GRM54" s="1011"/>
      <c r="GRN54" s="1011"/>
      <c r="GRO54" s="1011"/>
      <c r="GRP54" s="1011"/>
      <c r="GRQ54" s="1011"/>
      <c r="GRR54" s="1011"/>
      <c r="GRS54" s="1011"/>
      <c r="GRT54" s="1011"/>
      <c r="GRU54" s="1011"/>
      <c r="GRV54" s="1011"/>
      <c r="GRW54" s="1011"/>
      <c r="GRX54" s="1011"/>
      <c r="GRY54" s="1011"/>
      <c r="GRZ54" s="1011"/>
      <c r="GSA54" s="1011"/>
      <c r="GSB54" s="1011"/>
      <c r="GSC54" s="1011"/>
      <c r="GSD54" s="1011"/>
      <c r="GSE54" s="1011"/>
      <c r="GSF54" s="1011"/>
      <c r="GSG54" s="1011"/>
      <c r="GSH54" s="1011"/>
      <c r="GSI54" s="1011"/>
      <c r="GSJ54" s="1011"/>
      <c r="GSK54" s="1011"/>
      <c r="GSL54" s="1011"/>
      <c r="GSM54" s="1011"/>
      <c r="GSN54" s="1011"/>
      <c r="GSO54" s="1011"/>
      <c r="GSP54" s="1011"/>
      <c r="GSQ54" s="1011"/>
      <c r="GSR54" s="1011"/>
      <c r="GSS54" s="1011"/>
      <c r="GST54" s="1011"/>
      <c r="GSU54" s="1011"/>
      <c r="GSV54" s="1011"/>
      <c r="GSW54" s="1011"/>
      <c r="GSX54" s="1011"/>
      <c r="GSY54" s="1011"/>
      <c r="GSZ54" s="1011"/>
      <c r="GTA54" s="1011"/>
      <c r="GTB54" s="1011"/>
      <c r="GTC54" s="1011"/>
      <c r="GTD54" s="1011"/>
      <c r="GTE54" s="1011"/>
      <c r="GTF54" s="1011"/>
      <c r="GTG54" s="1011"/>
      <c r="GTH54" s="1011"/>
      <c r="GTI54" s="1011"/>
      <c r="GTJ54" s="1011"/>
      <c r="GTK54" s="1011"/>
      <c r="GTL54" s="1011"/>
      <c r="GTM54" s="1011"/>
      <c r="GTN54" s="1011"/>
      <c r="GTO54" s="1011"/>
      <c r="GTP54" s="1011"/>
      <c r="GTQ54" s="1011"/>
      <c r="GTR54" s="1011"/>
      <c r="GTS54" s="1011"/>
      <c r="GTT54" s="1011"/>
      <c r="GTU54" s="1011"/>
      <c r="GTV54" s="1011"/>
      <c r="GTW54" s="1011"/>
      <c r="GTX54" s="1011"/>
      <c r="GTY54" s="1011"/>
      <c r="GTZ54" s="1011"/>
      <c r="GUA54" s="1011"/>
      <c r="GUB54" s="1011"/>
      <c r="GUC54" s="1011"/>
      <c r="GUD54" s="1011"/>
      <c r="GUE54" s="1011"/>
      <c r="GUF54" s="1011"/>
      <c r="GUG54" s="1011"/>
      <c r="GUH54" s="1011"/>
      <c r="GUI54" s="1011"/>
      <c r="GUJ54" s="1011"/>
      <c r="GUK54" s="1011"/>
      <c r="GUL54" s="1011"/>
      <c r="GUM54" s="1011"/>
      <c r="GUN54" s="1011"/>
      <c r="GUO54" s="1011"/>
      <c r="GUP54" s="1011"/>
      <c r="GUQ54" s="1011"/>
      <c r="GUR54" s="1011"/>
      <c r="GUS54" s="1011"/>
      <c r="GUT54" s="1011"/>
      <c r="GUU54" s="1011"/>
      <c r="GUV54" s="1011"/>
      <c r="GUW54" s="1011"/>
      <c r="GUX54" s="1011"/>
      <c r="GUY54" s="1011"/>
      <c r="GUZ54" s="1011"/>
      <c r="GVA54" s="1011"/>
      <c r="GVB54" s="1011"/>
      <c r="GVC54" s="1011"/>
      <c r="GVD54" s="1011"/>
      <c r="GVE54" s="1011"/>
      <c r="GVF54" s="1011"/>
      <c r="GVG54" s="1011"/>
      <c r="GVH54" s="1011"/>
      <c r="GVI54" s="1011"/>
      <c r="GVJ54" s="1011"/>
      <c r="GVK54" s="1011"/>
      <c r="GVL54" s="1011"/>
      <c r="GVM54" s="1011"/>
      <c r="GVN54" s="1011"/>
      <c r="GVO54" s="1011"/>
      <c r="GVP54" s="1011"/>
      <c r="GVQ54" s="1011"/>
      <c r="GVR54" s="1011"/>
      <c r="GVS54" s="1011"/>
      <c r="GVT54" s="1011"/>
      <c r="GVU54" s="1011"/>
      <c r="GVV54" s="1011"/>
      <c r="GVW54" s="1011"/>
      <c r="GVX54" s="1011"/>
      <c r="GVY54" s="1011"/>
      <c r="GVZ54" s="1011"/>
      <c r="GWA54" s="1011"/>
      <c r="GWB54" s="1011"/>
      <c r="GWC54" s="1011"/>
      <c r="GWD54" s="1011"/>
      <c r="GWE54" s="1011"/>
      <c r="GWF54" s="1011"/>
      <c r="GWG54" s="1011"/>
      <c r="GWH54" s="1011"/>
      <c r="GWI54" s="1011"/>
      <c r="GWJ54" s="1011"/>
      <c r="GWK54" s="1011"/>
      <c r="GWL54" s="1011"/>
      <c r="GWM54" s="1011"/>
      <c r="GWN54" s="1011"/>
      <c r="GWO54" s="1011"/>
      <c r="GWP54" s="1011"/>
      <c r="GWQ54" s="1011"/>
      <c r="GWR54" s="1011"/>
      <c r="GWS54" s="1011"/>
      <c r="GWT54" s="1011"/>
      <c r="GWU54" s="1011"/>
      <c r="GWV54" s="1011"/>
      <c r="GWW54" s="1011"/>
      <c r="GWX54" s="1011"/>
      <c r="GWY54" s="1011"/>
      <c r="GWZ54" s="1011"/>
      <c r="GXA54" s="1011"/>
      <c r="GXB54" s="1011"/>
      <c r="GXC54" s="1011"/>
      <c r="GXD54" s="1011"/>
      <c r="GXE54" s="1011"/>
      <c r="GXF54" s="1011"/>
      <c r="GXG54" s="1011"/>
      <c r="GXH54" s="1011"/>
      <c r="GXI54" s="1011"/>
      <c r="GXJ54" s="1011"/>
      <c r="GXK54" s="1011"/>
      <c r="GXL54" s="1011"/>
      <c r="GXM54" s="1011"/>
      <c r="GXN54" s="1011"/>
      <c r="GXO54" s="1011"/>
      <c r="GXP54" s="1011"/>
      <c r="GXQ54" s="1011"/>
      <c r="GXR54" s="1011"/>
      <c r="GXS54" s="1011"/>
      <c r="GXT54" s="1011"/>
      <c r="GXU54" s="1011"/>
      <c r="GXV54" s="1011"/>
      <c r="GXW54" s="1011"/>
      <c r="GXX54" s="1011"/>
      <c r="GXY54" s="1011"/>
      <c r="GXZ54" s="1011"/>
      <c r="GYA54" s="1011"/>
      <c r="GYB54" s="1011"/>
      <c r="GYC54" s="1011"/>
      <c r="GYD54" s="1011"/>
      <c r="GYE54" s="1011"/>
      <c r="GYF54" s="1011"/>
      <c r="GYG54" s="1011"/>
      <c r="GYH54" s="1011"/>
      <c r="GYI54" s="1011"/>
      <c r="GYJ54" s="1011"/>
      <c r="GYK54" s="1011"/>
      <c r="GYL54" s="1011"/>
      <c r="GYM54" s="1011"/>
      <c r="GYN54" s="1011"/>
      <c r="GYO54" s="1011"/>
      <c r="GYP54" s="1011"/>
      <c r="GYQ54" s="1011"/>
      <c r="GYR54" s="1011"/>
      <c r="GYS54" s="1011"/>
      <c r="GYT54" s="1011"/>
      <c r="GYU54" s="1011"/>
      <c r="GYV54" s="1011"/>
      <c r="GYW54" s="1011"/>
      <c r="GYX54" s="1011"/>
      <c r="GYY54" s="1011"/>
      <c r="GYZ54" s="1011"/>
      <c r="GZA54" s="1011"/>
      <c r="GZB54" s="1011"/>
      <c r="GZC54" s="1011"/>
      <c r="GZD54" s="1011"/>
      <c r="GZE54" s="1011"/>
      <c r="GZF54" s="1011"/>
      <c r="GZG54" s="1011"/>
      <c r="GZH54" s="1011"/>
      <c r="GZI54" s="1011"/>
      <c r="GZJ54" s="1011"/>
      <c r="GZK54" s="1011"/>
      <c r="GZL54" s="1011"/>
      <c r="GZM54" s="1011"/>
      <c r="GZN54" s="1011"/>
      <c r="GZO54" s="1011"/>
      <c r="GZP54" s="1011"/>
      <c r="GZQ54" s="1011"/>
      <c r="GZR54" s="1011"/>
      <c r="GZS54" s="1011"/>
      <c r="GZT54" s="1011"/>
      <c r="GZU54" s="1011"/>
      <c r="GZV54" s="1011"/>
      <c r="GZW54" s="1011"/>
      <c r="GZX54" s="1011"/>
      <c r="GZY54" s="1011"/>
      <c r="GZZ54" s="1011"/>
      <c r="HAA54" s="1011"/>
      <c r="HAB54" s="1011"/>
      <c r="HAC54" s="1011"/>
      <c r="HAD54" s="1011"/>
      <c r="HAE54" s="1011"/>
      <c r="HAF54" s="1011"/>
      <c r="HAG54" s="1011"/>
      <c r="HAH54" s="1011"/>
      <c r="HAI54" s="1011"/>
      <c r="HAJ54" s="1011"/>
      <c r="HAK54" s="1011"/>
      <c r="HAL54" s="1011"/>
      <c r="HAM54" s="1011"/>
      <c r="HAN54" s="1011"/>
      <c r="HAO54" s="1011"/>
      <c r="HAP54" s="1011"/>
      <c r="HAQ54" s="1011"/>
      <c r="HAR54" s="1011"/>
      <c r="HAS54" s="1011"/>
      <c r="HAT54" s="1011"/>
      <c r="HAU54" s="1011"/>
      <c r="HAV54" s="1011"/>
      <c r="HAW54" s="1011"/>
      <c r="HAX54" s="1011"/>
      <c r="HAY54" s="1011"/>
      <c r="HAZ54" s="1011"/>
      <c r="HBA54" s="1011"/>
      <c r="HBB54" s="1011"/>
      <c r="HBC54" s="1011"/>
      <c r="HBD54" s="1011"/>
      <c r="HBE54" s="1011"/>
      <c r="HBF54" s="1011"/>
      <c r="HBG54" s="1011"/>
      <c r="HBH54" s="1011"/>
      <c r="HBI54" s="1011"/>
      <c r="HBJ54" s="1011"/>
      <c r="HBK54" s="1011"/>
      <c r="HBL54" s="1011"/>
      <c r="HBM54" s="1011"/>
      <c r="HBN54" s="1011"/>
      <c r="HBO54" s="1011"/>
      <c r="HBP54" s="1011"/>
      <c r="HBQ54" s="1011"/>
      <c r="HBR54" s="1011"/>
      <c r="HBS54" s="1011"/>
      <c r="HBT54" s="1011"/>
      <c r="HBU54" s="1011"/>
      <c r="HBV54" s="1011"/>
      <c r="HBW54" s="1011"/>
      <c r="HBX54" s="1011"/>
      <c r="HBY54" s="1011"/>
      <c r="HBZ54" s="1011"/>
      <c r="HCA54" s="1011"/>
      <c r="HCB54" s="1011"/>
      <c r="HCC54" s="1011"/>
      <c r="HCD54" s="1011"/>
      <c r="HCE54" s="1011"/>
      <c r="HCF54" s="1011"/>
      <c r="HCG54" s="1011"/>
      <c r="HCH54" s="1011"/>
      <c r="HCI54" s="1011"/>
      <c r="HCJ54" s="1011"/>
      <c r="HCK54" s="1011"/>
      <c r="HCL54" s="1011"/>
      <c r="HCM54" s="1011"/>
      <c r="HCN54" s="1011"/>
      <c r="HCO54" s="1011"/>
      <c r="HCP54" s="1011"/>
      <c r="HCQ54" s="1011"/>
      <c r="HCR54" s="1011"/>
      <c r="HCS54" s="1011"/>
      <c r="HCT54" s="1011"/>
      <c r="HCU54" s="1011"/>
      <c r="HCV54" s="1011"/>
      <c r="HCW54" s="1011"/>
      <c r="HCX54" s="1011"/>
      <c r="HCY54" s="1011"/>
      <c r="HCZ54" s="1011"/>
      <c r="HDA54" s="1011"/>
      <c r="HDB54" s="1011"/>
      <c r="HDC54" s="1011"/>
      <c r="HDD54" s="1011"/>
      <c r="HDE54" s="1011"/>
      <c r="HDF54" s="1011"/>
      <c r="HDG54" s="1011"/>
      <c r="HDH54" s="1011"/>
      <c r="HDI54" s="1011"/>
      <c r="HDJ54" s="1011"/>
      <c r="HDK54" s="1011"/>
      <c r="HDL54" s="1011"/>
      <c r="HDM54" s="1011"/>
      <c r="HDN54" s="1011"/>
      <c r="HDO54" s="1011"/>
      <c r="HDP54" s="1011"/>
      <c r="HDQ54" s="1011"/>
      <c r="HDR54" s="1011"/>
      <c r="HDS54" s="1011"/>
      <c r="HDT54" s="1011"/>
      <c r="HDU54" s="1011"/>
      <c r="HDV54" s="1011"/>
      <c r="HDW54" s="1011"/>
      <c r="HDX54" s="1011"/>
      <c r="HDY54" s="1011"/>
      <c r="HDZ54" s="1011"/>
      <c r="HEA54" s="1011"/>
      <c r="HEB54" s="1011"/>
      <c r="HEC54" s="1011"/>
      <c r="HED54" s="1011"/>
      <c r="HEE54" s="1011"/>
      <c r="HEF54" s="1011"/>
      <c r="HEG54" s="1011"/>
      <c r="HEH54" s="1011"/>
      <c r="HEI54" s="1011"/>
      <c r="HEJ54" s="1011"/>
      <c r="HEK54" s="1011"/>
      <c r="HEL54" s="1011"/>
      <c r="HEM54" s="1011"/>
      <c r="HEN54" s="1011"/>
      <c r="HEO54" s="1011"/>
      <c r="HEP54" s="1011"/>
      <c r="HEQ54" s="1011"/>
      <c r="HER54" s="1011"/>
      <c r="HES54" s="1011"/>
      <c r="HET54" s="1011"/>
      <c r="HEU54" s="1011"/>
      <c r="HEV54" s="1011"/>
      <c r="HEW54" s="1011"/>
      <c r="HEX54" s="1011"/>
      <c r="HEY54" s="1011"/>
      <c r="HEZ54" s="1011"/>
      <c r="HFA54" s="1011"/>
      <c r="HFB54" s="1011"/>
      <c r="HFC54" s="1011"/>
      <c r="HFD54" s="1011"/>
      <c r="HFE54" s="1011"/>
      <c r="HFF54" s="1011"/>
      <c r="HFG54" s="1011"/>
      <c r="HFH54" s="1011"/>
      <c r="HFI54" s="1011"/>
      <c r="HFJ54" s="1011"/>
      <c r="HFK54" s="1011"/>
      <c r="HFL54" s="1011"/>
      <c r="HFM54" s="1011"/>
      <c r="HFN54" s="1011"/>
      <c r="HFO54" s="1011"/>
      <c r="HFP54" s="1011"/>
      <c r="HFQ54" s="1011"/>
      <c r="HFR54" s="1011"/>
      <c r="HFS54" s="1011"/>
      <c r="HFT54" s="1011"/>
      <c r="HFU54" s="1011"/>
      <c r="HFV54" s="1011"/>
      <c r="HFW54" s="1011"/>
      <c r="HFX54" s="1011"/>
      <c r="HFY54" s="1011"/>
      <c r="HFZ54" s="1011"/>
      <c r="HGA54" s="1011"/>
      <c r="HGB54" s="1011"/>
      <c r="HGC54" s="1011"/>
      <c r="HGD54" s="1011"/>
      <c r="HGE54" s="1011"/>
      <c r="HGF54" s="1011"/>
      <c r="HGG54" s="1011"/>
      <c r="HGH54" s="1011"/>
      <c r="HGI54" s="1011"/>
      <c r="HGJ54" s="1011"/>
      <c r="HGK54" s="1011"/>
      <c r="HGL54" s="1011"/>
      <c r="HGM54" s="1011"/>
      <c r="HGN54" s="1011"/>
      <c r="HGO54" s="1011"/>
      <c r="HGP54" s="1011"/>
      <c r="HGQ54" s="1011"/>
      <c r="HGR54" s="1011"/>
      <c r="HGS54" s="1011"/>
      <c r="HGT54" s="1011"/>
      <c r="HGU54" s="1011"/>
      <c r="HGV54" s="1011"/>
      <c r="HGW54" s="1011"/>
      <c r="HGX54" s="1011"/>
      <c r="HGY54" s="1011"/>
      <c r="HGZ54" s="1011"/>
      <c r="HHA54" s="1011"/>
      <c r="HHB54" s="1011"/>
      <c r="HHC54" s="1011"/>
      <c r="HHD54" s="1011"/>
      <c r="HHE54" s="1011"/>
      <c r="HHF54" s="1011"/>
      <c r="HHG54" s="1011"/>
      <c r="HHH54" s="1011"/>
      <c r="HHI54" s="1011"/>
      <c r="HHJ54" s="1011"/>
      <c r="HHK54" s="1011"/>
      <c r="HHL54" s="1011"/>
      <c r="HHM54" s="1011"/>
      <c r="HHN54" s="1011"/>
      <c r="HHO54" s="1011"/>
      <c r="HHP54" s="1011"/>
      <c r="HHQ54" s="1011"/>
      <c r="HHR54" s="1011"/>
      <c r="HHS54" s="1011"/>
      <c r="HHT54" s="1011"/>
      <c r="HHU54" s="1011"/>
      <c r="HHV54" s="1011"/>
      <c r="HHW54" s="1011"/>
      <c r="HHX54" s="1011"/>
      <c r="HHY54" s="1011"/>
      <c r="HHZ54" s="1011"/>
      <c r="HIA54" s="1011"/>
      <c r="HIB54" s="1011"/>
      <c r="HIC54" s="1011"/>
      <c r="HID54" s="1011"/>
      <c r="HIE54" s="1011"/>
      <c r="HIF54" s="1011"/>
      <c r="HIG54" s="1011"/>
      <c r="HIH54" s="1011"/>
      <c r="HII54" s="1011"/>
      <c r="HIJ54" s="1011"/>
      <c r="HIK54" s="1011"/>
      <c r="HIL54" s="1011"/>
      <c r="HIM54" s="1011"/>
      <c r="HIN54" s="1011"/>
      <c r="HIO54" s="1011"/>
      <c r="HIP54" s="1011"/>
      <c r="HIQ54" s="1011"/>
      <c r="HIR54" s="1011"/>
      <c r="HIS54" s="1011"/>
      <c r="HIT54" s="1011"/>
      <c r="HIU54" s="1011"/>
      <c r="HIV54" s="1011"/>
      <c r="HIW54" s="1011"/>
      <c r="HIX54" s="1011"/>
      <c r="HIY54" s="1011"/>
      <c r="HIZ54" s="1011"/>
      <c r="HJA54" s="1011"/>
      <c r="HJB54" s="1011"/>
      <c r="HJC54" s="1011"/>
      <c r="HJD54" s="1011"/>
      <c r="HJE54" s="1011"/>
      <c r="HJF54" s="1011"/>
      <c r="HJG54" s="1011"/>
      <c r="HJH54" s="1011"/>
      <c r="HJI54" s="1011"/>
      <c r="HJJ54" s="1011"/>
      <c r="HJK54" s="1011"/>
      <c r="HJL54" s="1011"/>
      <c r="HJM54" s="1011"/>
      <c r="HJN54" s="1011"/>
      <c r="HJO54" s="1011"/>
      <c r="HJP54" s="1011"/>
      <c r="HJQ54" s="1011"/>
      <c r="HJR54" s="1011"/>
      <c r="HJS54" s="1011"/>
      <c r="HJT54" s="1011"/>
      <c r="HJU54" s="1011"/>
      <c r="HJV54" s="1011"/>
      <c r="HJW54" s="1011"/>
      <c r="HJX54" s="1011"/>
      <c r="HJY54" s="1011"/>
      <c r="HJZ54" s="1011"/>
      <c r="HKA54" s="1011"/>
      <c r="HKB54" s="1011"/>
      <c r="HKC54" s="1011"/>
      <c r="HKD54" s="1011"/>
      <c r="HKE54" s="1011"/>
      <c r="HKF54" s="1011"/>
      <c r="HKG54" s="1011"/>
      <c r="HKH54" s="1011"/>
      <c r="HKI54" s="1011"/>
      <c r="HKJ54" s="1011"/>
      <c r="HKK54" s="1011"/>
      <c r="HKL54" s="1011"/>
      <c r="HKM54" s="1011"/>
      <c r="HKN54" s="1011"/>
      <c r="HKO54" s="1011"/>
      <c r="HKP54" s="1011"/>
      <c r="HKQ54" s="1011"/>
      <c r="HKR54" s="1011"/>
      <c r="HKS54" s="1011"/>
      <c r="HKT54" s="1011"/>
      <c r="HKU54" s="1011"/>
      <c r="HKV54" s="1011"/>
      <c r="HKW54" s="1011"/>
      <c r="HKX54" s="1011"/>
      <c r="HKY54" s="1011"/>
      <c r="HKZ54" s="1011"/>
      <c r="HLA54" s="1011"/>
      <c r="HLB54" s="1011"/>
      <c r="HLC54" s="1011"/>
      <c r="HLD54" s="1011"/>
      <c r="HLE54" s="1011"/>
      <c r="HLF54" s="1011"/>
      <c r="HLG54" s="1011"/>
      <c r="HLH54" s="1011"/>
      <c r="HLI54" s="1011"/>
      <c r="HLJ54" s="1011"/>
      <c r="HLK54" s="1011"/>
      <c r="HLL54" s="1011"/>
      <c r="HLM54" s="1011"/>
      <c r="HLN54" s="1011"/>
      <c r="HLO54" s="1011"/>
      <c r="HLP54" s="1011"/>
      <c r="HLQ54" s="1011"/>
      <c r="HLR54" s="1011"/>
      <c r="HLS54" s="1011"/>
      <c r="HLT54" s="1011"/>
      <c r="HLU54" s="1011"/>
      <c r="HLV54" s="1011"/>
      <c r="HLW54" s="1011"/>
      <c r="HLX54" s="1011"/>
      <c r="HLY54" s="1011"/>
      <c r="HLZ54" s="1011"/>
      <c r="HMA54" s="1011"/>
      <c r="HMB54" s="1011"/>
      <c r="HMC54" s="1011"/>
      <c r="HMD54" s="1011"/>
      <c r="HME54" s="1011"/>
      <c r="HMF54" s="1011"/>
      <c r="HMG54" s="1011"/>
      <c r="HMH54" s="1011"/>
      <c r="HMI54" s="1011"/>
      <c r="HMJ54" s="1011"/>
      <c r="HMK54" s="1011"/>
      <c r="HML54" s="1011"/>
      <c r="HMM54" s="1011"/>
      <c r="HMN54" s="1011"/>
      <c r="HMO54" s="1011"/>
      <c r="HMP54" s="1011"/>
      <c r="HMQ54" s="1011"/>
      <c r="HMR54" s="1011"/>
      <c r="HMS54" s="1011"/>
      <c r="HMT54" s="1011"/>
      <c r="HMU54" s="1011"/>
      <c r="HMV54" s="1011"/>
      <c r="HMW54" s="1011"/>
      <c r="HMX54" s="1011"/>
      <c r="HMY54" s="1011"/>
      <c r="HMZ54" s="1011"/>
      <c r="HNA54" s="1011"/>
      <c r="HNB54" s="1011"/>
      <c r="HNC54" s="1011"/>
      <c r="HND54" s="1011"/>
      <c r="HNE54" s="1011"/>
      <c r="HNF54" s="1011"/>
      <c r="HNG54" s="1011"/>
      <c r="HNH54" s="1011"/>
      <c r="HNI54" s="1011"/>
      <c r="HNJ54" s="1011"/>
      <c r="HNK54" s="1011"/>
      <c r="HNL54" s="1011"/>
      <c r="HNM54" s="1011"/>
      <c r="HNN54" s="1011"/>
      <c r="HNO54" s="1011"/>
      <c r="HNP54" s="1011"/>
      <c r="HNQ54" s="1011"/>
      <c r="HNR54" s="1011"/>
      <c r="HNS54" s="1011"/>
      <c r="HNT54" s="1011"/>
      <c r="HNU54" s="1011"/>
      <c r="HNV54" s="1011"/>
      <c r="HNW54" s="1011"/>
      <c r="HNX54" s="1011"/>
      <c r="HNY54" s="1011"/>
      <c r="HNZ54" s="1011"/>
      <c r="HOA54" s="1011"/>
      <c r="HOB54" s="1011"/>
      <c r="HOC54" s="1011"/>
      <c r="HOD54" s="1011"/>
      <c r="HOE54" s="1011"/>
      <c r="HOF54" s="1011"/>
      <c r="HOG54" s="1011"/>
      <c r="HOH54" s="1011"/>
      <c r="HOI54" s="1011"/>
      <c r="HOJ54" s="1011"/>
      <c r="HOK54" s="1011"/>
      <c r="HOL54" s="1011"/>
      <c r="HOM54" s="1011"/>
      <c r="HON54" s="1011"/>
      <c r="HOO54" s="1011"/>
      <c r="HOP54" s="1011"/>
      <c r="HOQ54" s="1011"/>
      <c r="HOR54" s="1011"/>
      <c r="HOS54" s="1011"/>
      <c r="HOT54" s="1011"/>
      <c r="HOU54" s="1011"/>
      <c r="HOV54" s="1011"/>
      <c r="HOW54" s="1011"/>
      <c r="HOX54" s="1011"/>
      <c r="HOY54" s="1011"/>
      <c r="HOZ54" s="1011"/>
      <c r="HPA54" s="1011"/>
      <c r="HPB54" s="1011"/>
      <c r="HPC54" s="1011"/>
      <c r="HPD54" s="1011"/>
      <c r="HPE54" s="1011"/>
      <c r="HPF54" s="1011"/>
      <c r="HPG54" s="1011"/>
      <c r="HPH54" s="1011"/>
      <c r="HPI54" s="1011"/>
      <c r="HPJ54" s="1011"/>
      <c r="HPK54" s="1011"/>
      <c r="HPL54" s="1011"/>
      <c r="HPM54" s="1011"/>
      <c r="HPN54" s="1011"/>
      <c r="HPO54" s="1011"/>
      <c r="HPP54" s="1011"/>
      <c r="HPQ54" s="1011"/>
      <c r="HPR54" s="1011"/>
      <c r="HPS54" s="1011"/>
      <c r="HPT54" s="1011"/>
      <c r="HPU54" s="1011"/>
      <c r="HPV54" s="1011"/>
      <c r="HPW54" s="1011"/>
      <c r="HPX54" s="1011"/>
      <c r="HPY54" s="1011"/>
      <c r="HPZ54" s="1011"/>
      <c r="HQA54" s="1011"/>
      <c r="HQB54" s="1011"/>
      <c r="HQC54" s="1011"/>
      <c r="HQD54" s="1011"/>
      <c r="HQE54" s="1011"/>
      <c r="HQF54" s="1011"/>
      <c r="HQG54" s="1011"/>
      <c r="HQH54" s="1011"/>
      <c r="HQI54" s="1011"/>
      <c r="HQJ54" s="1011"/>
      <c r="HQK54" s="1011"/>
      <c r="HQL54" s="1011"/>
      <c r="HQM54" s="1011"/>
      <c r="HQN54" s="1011"/>
      <c r="HQO54" s="1011"/>
      <c r="HQP54" s="1011"/>
      <c r="HQQ54" s="1011"/>
      <c r="HQR54" s="1011"/>
      <c r="HQS54" s="1011"/>
      <c r="HQT54" s="1011"/>
      <c r="HQU54" s="1011"/>
      <c r="HQV54" s="1011"/>
      <c r="HQW54" s="1011"/>
      <c r="HQX54" s="1011"/>
      <c r="HQY54" s="1011"/>
      <c r="HQZ54" s="1011"/>
      <c r="HRA54" s="1011"/>
      <c r="HRB54" s="1011"/>
      <c r="HRC54" s="1011"/>
      <c r="HRD54" s="1011"/>
      <c r="HRE54" s="1011"/>
      <c r="HRF54" s="1011"/>
      <c r="HRG54" s="1011"/>
      <c r="HRH54" s="1011"/>
      <c r="HRI54" s="1011"/>
      <c r="HRJ54" s="1011"/>
      <c r="HRK54" s="1011"/>
      <c r="HRL54" s="1011"/>
      <c r="HRM54" s="1011"/>
      <c r="HRN54" s="1011"/>
      <c r="HRO54" s="1011"/>
      <c r="HRP54" s="1011"/>
      <c r="HRQ54" s="1011"/>
      <c r="HRR54" s="1011"/>
      <c r="HRS54" s="1011"/>
      <c r="HRT54" s="1011"/>
      <c r="HRU54" s="1011"/>
      <c r="HRV54" s="1011"/>
      <c r="HRW54" s="1011"/>
      <c r="HRX54" s="1011"/>
      <c r="HRY54" s="1011"/>
      <c r="HRZ54" s="1011"/>
      <c r="HSA54" s="1011"/>
      <c r="HSB54" s="1011"/>
      <c r="HSC54" s="1011"/>
      <c r="HSD54" s="1011"/>
      <c r="HSE54" s="1011"/>
      <c r="HSF54" s="1011"/>
      <c r="HSG54" s="1011"/>
      <c r="HSH54" s="1011"/>
      <c r="HSI54" s="1011"/>
      <c r="HSJ54" s="1011"/>
      <c r="HSK54" s="1011"/>
      <c r="HSL54" s="1011"/>
      <c r="HSM54" s="1011"/>
      <c r="HSN54" s="1011"/>
      <c r="HSO54" s="1011"/>
      <c r="HSP54" s="1011"/>
      <c r="HSQ54" s="1011"/>
      <c r="HSR54" s="1011"/>
      <c r="HSS54" s="1011"/>
      <c r="HST54" s="1011"/>
      <c r="HSU54" s="1011"/>
      <c r="HSV54" s="1011"/>
      <c r="HSW54" s="1011"/>
      <c r="HSX54" s="1011"/>
      <c r="HSY54" s="1011"/>
      <c r="HSZ54" s="1011"/>
      <c r="HTA54" s="1011"/>
      <c r="HTB54" s="1011"/>
      <c r="HTC54" s="1011"/>
      <c r="HTD54" s="1011"/>
      <c r="HTE54" s="1011"/>
      <c r="HTF54" s="1011"/>
      <c r="HTG54" s="1011"/>
      <c r="HTH54" s="1011"/>
      <c r="HTI54" s="1011"/>
      <c r="HTJ54" s="1011"/>
      <c r="HTK54" s="1011"/>
      <c r="HTL54" s="1011"/>
      <c r="HTM54" s="1011"/>
      <c r="HTN54" s="1011"/>
      <c r="HTO54" s="1011"/>
      <c r="HTP54" s="1011"/>
      <c r="HTQ54" s="1011"/>
      <c r="HTR54" s="1011"/>
      <c r="HTS54" s="1011"/>
      <c r="HTT54" s="1011"/>
      <c r="HTU54" s="1011"/>
      <c r="HTV54" s="1011"/>
      <c r="HTW54" s="1011"/>
      <c r="HTX54" s="1011"/>
      <c r="HTY54" s="1011"/>
      <c r="HTZ54" s="1011"/>
      <c r="HUA54" s="1011"/>
      <c r="HUB54" s="1011"/>
      <c r="HUC54" s="1011"/>
      <c r="HUD54" s="1011"/>
      <c r="HUE54" s="1011"/>
      <c r="HUF54" s="1011"/>
      <c r="HUG54" s="1011"/>
      <c r="HUH54" s="1011"/>
      <c r="HUI54" s="1011"/>
      <c r="HUJ54" s="1011"/>
      <c r="HUK54" s="1011"/>
      <c r="HUL54" s="1011"/>
      <c r="HUM54" s="1011"/>
      <c r="HUN54" s="1011"/>
      <c r="HUO54" s="1011"/>
      <c r="HUP54" s="1011"/>
      <c r="HUQ54" s="1011"/>
      <c r="HUR54" s="1011"/>
      <c r="HUS54" s="1011"/>
      <c r="HUT54" s="1011"/>
      <c r="HUU54" s="1011"/>
      <c r="HUV54" s="1011"/>
      <c r="HUW54" s="1011"/>
      <c r="HUX54" s="1011"/>
      <c r="HUY54" s="1011"/>
      <c r="HUZ54" s="1011"/>
      <c r="HVA54" s="1011"/>
      <c r="HVB54" s="1011"/>
      <c r="HVC54" s="1011"/>
      <c r="HVD54" s="1011"/>
      <c r="HVE54" s="1011"/>
      <c r="HVF54" s="1011"/>
      <c r="HVG54" s="1011"/>
      <c r="HVH54" s="1011"/>
      <c r="HVI54" s="1011"/>
      <c r="HVJ54" s="1011"/>
      <c r="HVK54" s="1011"/>
      <c r="HVL54" s="1011"/>
      <c r="HVM54" s="1011"/>
      <c r="HVN54" s="1011"/>
      <c r="HVO54" s="1011"/>
      <c r="HVP54" s="1011"/>
      <c r="HVQ54" s="1011"/>
      <c r="HVR54" s="1011"/>
      <c r="HVS54" s="1011"/>
      <c r="HVT54" s="1011"/>
      <c r="HVU54" s="1011"/>
      <c r="HVV54" s="1011"/>
      <c r="HVW54" s="1011"/>
      <c r="HVX54" s="1011"/>
      <c r="HVY54" s="1011"/>
      <c r="HVZ54" s="1011"/>
      <c r="HWA54" s="1011"/>
      <c r="HWB54" s="1011"/>
      <c r="HWC54" s="1011"/>
      <c r="HWD54" s="1011"/>
      <c r="HWE54" s="1011"/>
      <c r="HWF54" s="1011"/>
      <c r="HWG54" s="1011"/>
      <c r="HWH54" s="1011"/>
      <c r="HWI54" s="1011"/>
      <c r="HWJ54" s="1011"/>
      <c r="HWK54" s="1011"/>
      <c r="HWL54" s="1011"/>
      <c r="HWM54" s="1011"/>
      <c r="HWN54" s="1011"/>
      <c r="HWO54" s="1011"/>
      <c r="HWP54" s="1011"/>
      <c r="HWQ54" s="1011"/>
      <c r="HWR54" s="1011"/>
      <c r="HWS54" s="1011"/>
      <c r="HWT54" s="1011"/>
      <c r="HWU54" s="1011"/>
      <c r="HWV54" s="1011"/>
      <c r="HWW54" s="1011"/>
      <c r="HWX54" s="1011"/>
      <c r="HWY54" s="1011"/>
      <c r="HWZ54" s="1011"/>
      <c r="HXA54" s="1011"/>
      <c r="HXB54" s="1011"/>
      <c r="HXC54" s="1011"/>
      <c r="HXD54" s="1011"/>
      <c r="HXE54" s="1011"/>
      <c r="HXF54" s="1011"/>
      <c r="HXG54" s="1011"/>
      <c r="HXH54" s="1011"/>
      <c r="HXI54" s="1011"/>
      <c r="HXJ54" s="1011"/>
      <c r="HXK54" s="1011"/>
      <c r="HXL54" s="1011"/>
      <c r="HXM54" s="1011"/>
      <c r="HXN54" s="1011"/>
      <c r="HXO54" s="1011"/>
      <c r="HXP54" s="1011"/>
      <c r="HXQ54" s="1011"/>
      <c r="HXR54" s="1011"/>
      <c r="HXS54" s="1011"/>
      <c r="HXT54" s="1011"/>
      <c r="HXU54" s="1011"/>
      <c r="HXV54" s="1011"/>
      <c r="HXW54" s="1011"/>
      <c r="HXX54" s="1011"/>
      <c r="HXY54" s="1011"/>
      <c r="HXZ54" s="1011"/>
      <c r="HYA54" s="1011"/>
      <c r="HYB54" s="1011"/>
      <c r="HYC54" s="1011"/>
      <c r="HYD54" s="1011"/>
      <c r="HYE54" s="1011"/>
      <c r="HYF54" s="1011"/>
      <c r="HYG54" s="1011"/>
      <c r="HYH54" s="1011"/>
      <c r="HYI54" s="1011"/>
      <c r="HYJ54" s="1011"/>
      <c r="HYK54" s="1011"/>
      <c r="HYL54" s="1011"/>
      <c r="HYM54" s="1011"/>
      <c r="HYN54" s="1011"/>
      <c r="HYO54" s="1011"/>
      <c r="HYP54" s="1011"/>
      <c r="HYQ54" s="1011"/>
      <c r="HYR54" s="1011"/>
      <c r="HYS54" s="1011"/>
      <c r="HYT54" s="1011"/>
      <c r="HYU54" s="1011"/>
      <c r="HYV54" s="1011"/>
      <c r="HYW54" s="1011"/>
      <c r="HYX54" s="1011"/>
      <c r="HYY54" s="1011"/>
      <c r="HYZ54" s="1011"/>
      <c r="HZA54" s="1011"/>
      <c r="HZB54" s="1011"/>
      <c r="HZC54" s="1011"/>
      <c r="HZD54" s="1011"/>
      <c r="HZE54" s="1011"/>
      <c r="HZF54" s="1011"/>
      <c r="HZG54" s="1011"/>
      <c r="HZH54" s="1011"/>
      <c r="HZI54" s="1011"/>
      <c r="HZJ54" s="1011"/>
      <c r="HZK54" s="1011"/>
      <c r="HZL54" s="1011"/>
      <c r="HZM54" s="1011"/>
      <c r="HZN54" s="1011"/>
      <c r="HZO54" s="1011"/>
      <c r="HZP54" s="1011"/>
      <c r="HZQ54" s="1011"/>
      <c r="HZR54" s="1011"/>
      <c r="HZS54" s="1011"/>
      <c r="HZT54" s="1011"/>
      <c r="HZU54" s="1011"/>
      <c r="HZV54" s="1011"/>
      <c r="HZW54" s="1011"/>
      <c r="HZX54" s="1011"/>
      <c r="HZY54" s="1011"/>
      <c r="HZZ54" s="1011"/>
      <c r="IAA54" s="1011"/>
      <c r="IAB54" s="1011"/>
      <c r="IAC54" s="1011"/>
      <c r="IAD54" s="1011"/>
      <c r="IAE54" s="1011"/>
      <c r="IAF54" s="1011"/>
      <c r="IAG54" s="1011"/>
      <c r="IAH54" s="1011"/>
      <c r="IAI54" s="1011"/>
      <c r="IAJ54" s="1011"/>
      <c r="IAK54" s="1011"/>
      <c r="IAL54" s="1011"/>
      <c r="IAM54" s="1011"/>
      <c r="IAN54" s="1011"/>
      <c r="IAO54" s="1011"/>
      <c r="IAP54" s="1011"/>
      <c r="IAQ54" s="1011"/>
      <c r="IAR54" s="1011"/>
      <c r="IAS54" s="1011"/>
      <c r="IAT54" s="1011"/>
      <c r="IAU54" s="1011"/>
      <c r="IAV54" s="1011"/>
      <c r="IAW54" s="1011"/>
      <c r="IAX54" s="1011"/>
      <c r="IAY54" s="1011"/>
      <c r="IAZ54" s="1011"/>
      <c r="IBA54" s="1011"/>
      <c r="IBB54" s="1011"/>
      <c r="IBC54" s="1011"/>
      <c r="IBD54" s="1011"/>
      <c r="IBE54" s="1011"/>
      <c r="IBF54" s="1011"/>
      <c r="IBG54" s="1011"/>
      <c r="IBH54" s="1011"/>
      <c r="IBI54" s="1011"/>
      <c r="IBJ54" s="1011"/>
      <c r="IBK54" s="1011"/>
      <c r="IBL54" s="1011"/>
      <c r="IBM54" s="1011"/>
      <c r="IBN54" s="1011"/>
      <c r="IBO54" s="1011"/>
      <c r="IBP54" s="1011"/>
      <c r="IBQ54" s="1011"/>
      <c r="IBR54" s="1011"/>
      <c r="IBS54" s="1011"/>
      <c r="IBT54" s="1011"/>
      <c r="IBU54" s="1011"/>
      <c r="IBV54" s="1011"/>
      <c r="IBW54" s="1011"/>
      <c r="IBX54" s="1011"/>
      <c r="IBY54" s="1011"/>
      <c r="IBZ54" s="1011"/>
      <c r="ICA54" s="1011"/>
      <c r="ICB54" s="1011"/>
      <c r="ICC54" s="1011"/>
      <c r="ICD54" s="1011"/>
      <c r="ICE54" s="1011"/>
      <c r="ICF54" s="1011"/>
      <c r="ICG54" s="1011"/>
      <c r="ICH54" s="1011"/>
      <c r="ICI54" s="1011"/>
      <c r="ICJ54" s="1011"/>
      <c r="ICK54" s="1011"/>
      <c r="ICL54" s="1011"/>
      <c r="ICM54" s="1011"/>
      <c r="ICN54" s="1011"/>
      <c r="ICO54" s="1011"/>
      <c r="ICP54" s="1011"/>
      <c r="ICQ54" s="1011"/>
      <c r="ICR54" s="1011"/>
      <c r="ICS54" s="1011"/>
      <c r="ICT54" s="1011"/>
      <c r="ICU54" s="1011"/>
      <c r="ICV54" s="1011"/>
      <c r="ICW54" s="1011"/>
      <c r="ICX54" s="1011"/>
      <c r="ICY54" s="1011"/>
      <c r="ICZ54" s="1011"/>
      <c r="IDA54" s="1011"/>
      <c r="IDB54" s="1011"/>
      <c r="IDC54" s="1011"/>
      <c r="IDD54" s="1011"/>
      <c r="IDE54" s="1011"/>
      <c r="IDF54" s="1011"/>
      <c r="IDG54" s="1011"/>
      <c r="IDH54" s="1011"/>
      <c r="IDI54" s="1011"/>
      <c r="IDJ54" s="1011"/>
      <c r="IDK54" s="1011"/>
      <c r="IDL54" s="1011"/>
      <c r="IDM54" s="1011"/>
      <c r="IDN54" s="1011"/>
      <c r="IDO54" s="1011"/>
      <c r="IDP54" s="1011"/>
      <c r="IDQ54" s="1011"/>
      <c r="IDR54" s="1011"/>
      <c r="IDS54" s="1011"/>
      <c r="IDT54" s="1011"/>
      <c r="IDU54" s="1011"/>
      <c r="IDV54" s="1011"/>
      <c r="IDW54" s="1011"/>
      <c r="IDX54" s="1011"/>
      <c r="IDY54" s="1011"/>
      <c r="IDZ54" s="1011"/>
      <c r="IEA54" s="1011"/>
      <c r="IEB54" s="1011"/>
      <c r="IEC54" s="1011"/>
      <c r="IED54" s="1011"/>
      <c r="IEE54" s="1011"/>
      <c r="IEF54" s="1011"/>
      <c r="IEG54" s="1011"/>
      <c r="IEH54" s="1011"/>
      <c r="IEI54" s="1011"/>
      <c r="IEJ54" s="1011"/>
      <c r="IEK54" s="1011"/>
      <c r="IEL54" s="1011"/>
      <c r="IEM54" s="1011"/>
      <c r="IEN54" s="1011"/>
      <c r="IEO54" s="1011"/>
      <c r="IEP54" s="1011"/>
      <c r="IEQ54" s="1011"/>
      <c r="IER54" s="1011"/>
      <c r="IES54" s="1011"/>
      <c r="IET54" s="1011"/>
      <c r="IEU54" s="1011"/>
      <c r="IEV54" s="1011"/>
      <c r="IEW54" s="1011"/>
      <c r="IEX54" s="1011"/>
      <c r="IEY54" s="1011"/>
      <c r="IEZ54" s="1011"/>
      <c r="IFA54" s="1011"/>
      <c r="IFB54" s="1011"/>
      <c r="IFC54" s="1011"/>
      <c r="IFD54" s="1011"/>
      <c r="IFE54" s="1011"/>
      <c r="IFF54" s="1011"/>
      <c r="IFG54" s="1011"/>
      <c r="IFH54" s="1011"/>
      <c r="IFI54" s="1011"/>
      <c r="IFJ54" s="1011"/>
      <c r="IFK54" s="1011"/>
      <c r="IFL54" s="1011"/>
      <c r="IFM54" s="1011"/>
      <c r="IFN54" s="1011"/>
      <c r="IFO54" s="1011"/>
      <c r="IFP54" s="1011"/>
      <c r="IFQ54" s="1011"/>
      <c r="IFR54" s="1011"/>
      <c r="IFS54" s="1011"/>
      <c r="IFT54" s="1011"/>
      <c r="IFU54" s="1011"/>
      <c r="IFV54" s="1011"/>
      <c r="IFW54" s="1011"/>
      <c r="IFX54" s="1011"/>
      <c r="IFY54" s="1011"/>
      <c r="IFZ54" s="1011"/>
      <c r="IGA54" s="1011"/>
      <c r="IGB54" s="1011"/>
      <c r="IGC54" s="1011"/>
      <c r="IGD54" s="1011"/>
      <c r="IGE54" s="1011"/>
      <c r="IGF54" s="1011"/>
      <c r="IGG54" s="1011"/>
      <c r="IGH54" s="1011"/>
      <c r="IGI54" s="1011"/>
      <c r="IGJ54" s="1011"/>
      <c r="IGK54" s="1011"/>
      <c r="IGL54" s="1011"/>
      <c r="IGM54" s="1011"/>
      <c r="IGN54" s="1011"/>
      <c r="IGO54" s="1011"/>
      <c r="IGP54" s="1011"/>
      <c r="IGQ54" s="1011"/>
      <c r="IGR54" s="1011"/>
      <c r="IGS54" s="1011"/>
      <c r="IGT54" s="1011"/>
      <c r="IGU54" s="1011"/>
      <c r="IGV54" s="1011"/>
      <c r="IGW54" s="1011"/>
      <c r="IGX54" s="1011"/>
      <c r="IGY54" s="1011"/>
      <c r="IGZ54" s="1011"/>
      <c r="IHA54" s="1011"/>
      <c r="IHB54" s="1011"/>
      <c r="IHC54" s="1011"/>
      <c r="IHD54" s="1011"/>
      <c r="IHE54" s="1011"/>
      <c r="IHF54" s="1011"/>
      <c r="IHG54" s="1011"/>
      <c r="IHH54" s="1011"/>
      <c r="IHI54" s="1011"/>
      <c r="IHJ54" s="1011"/>
      <c r="IHK54" s="1011"/>
      <c r="IHL54" s="1011"/>
      <c r="IHM54" s="1011"/>
      <c r="IHN54" s="1011"/>
      <c r="IHO54" s="1011"/>
      <c r="IHP54" s="1011"/>
      <c r="IHQ54" s="1011"/>
      <c r="IHR54" s="1011"/>
      <c r="IHS54" s="1011"/>
      <c r="IHT54" s="1011"/>
      <c r="IHU54" s="1011"/>
      <c r="IHV54" s="1011"/>
      <c r="IHW54" s="1011"/>
      <c r="IHX54" s="1011"/>
      <c r="IHY54" s="1011"/>
      <c r="IHZ54" s="1011"/>
      <c r="IIA54" s="1011"/>
      <c r="IIB54" s="1011"/>
      <c r="IIC54" s="1011"/>
      <c r="IID54" s="1011"/>
      <c r="IIE54" s="1011"/>
      <c r="IIF54" s="1011"/>
      <c r="IIG54" s="1011"/>
      <c r="IIH54" s="1011"/>
      <c r="III54" s="1011"/>
      <c r="IIJ54" s="1011"/>
      <c r="IIK54" s="1011"/>
      <c r="IIL54" s="1011"/>
      <c r="IIM54" s="1011"/>
      <c r="IIN54" s="1011"/>
      <c r="IIO54" s="1011"/>
      <c r="IIP54" s="1011"/>
      <c r="IIQ54" s="1011"/>
      <c r="IIR54" s="1011"/>
      <c r="IIS54" s="1011"/>
      <c r="IIT54" s="1011"/>
      <c r="IIU54" s="1011"/>
      <c r="IIV54" s="1011"/>
      <c r="IIW54" s="1011"/>
      <c r="IIX54" s="1011"/>
      <c r="IIY54" s="1011"/>
      <c r="IIZ54" s="1011"/>
      <c r="IJA54" s="1011"/>
      <c r="IJB54" s="1011"/>
      <c r="IJC54" s="1011"/>
      <c r="IJD54" s="1011"/>
      <c r="IJE54" s="1011"/>
      <c r="IJF54" s="1011"/>
      <c r="IJG54" s="1011"/>
      <c r="IJH54" s="1011"/>
      <c r="IJI54" s="1011"/>
      <c r="IJJ54" s="1011"/>
      <c r="IJK54" s="1011"/>
      <c r="IJL54" s="1011"/>
      <c r="IJM54" s="1011"/>
      <c r="IJN54" s="1011"/>
      <c r="IJO54" s="1011"/>
      <c r="IJP54" s="1011"/>
      <c r="IJQ54" s="1011"/>
      <c r="IJR54" s="1011"/>
      <c r="IJS54" s="1011"/>
      <c r="IJT54" s="1011"/>
      <c r="IJU54" s="1011"/>
      <c r="IJV54" s="1011"/>
      <c r="IJW54" s="1011"/>
      <c r="IJX54" s="1011"/>
      <c r="IJY54" s="1011"/>
      <c r="IJZ54" s="1011"/>
      <c r="IKA54" s="1011"/>
      <c r="IKB54" s="1011"/>
      <c r="IKC54" s="1011"/>
      <c r="IKD54" s="1011"/>
      <c r="IKE54" s="1011"/>
      <c r="IKF54" s="1011"/>
      <c r="IKG54" s="1011"/>
      <c r="IKH54" s="1011"/>
      <c r="IKI54" s="1011"/>
      <c r="IKJ54" s="1011"/>
      <c r="IKK54" s="1011"/>
      <c r="IKL54" s="1011"/>
      <c r="IKM54" s="1011"/>
      <c r="IKN54" s="1011"/>
      <c r="IKO54" s="1011"/>
      <c r="IKP54" s="1011"/>
      <c r="IKQ54" s="1011"/>
      <c r="IKR54" s="1011"/>
      <c r="IKS54" s="1011"/>
      <c r="IKT54" s="1011"/>
      <c r="IKU54" s="1011"/>
      <c r="IKV54" s="1011"/>
      <c r="IKW54" s="1011"/>
      <c r="IKX54" s="1011"/>
      <c r="IKY54" s="1011"/>
      <c r="IKZ54" s="1011"/>
      <c r="ILA54" s="1011"/>
      <c r="ILB54" s="1011"/>
      <c r="ILC54" s="1011"/>
      <c r="ILD54" s="1011"/>
      <c r="ILE54" s="1011"/>
      <c r="ILF54" s="1011"/>
      <c r="ILG54" s="1011"/>
      <c r="ILH54" s="1011"/>
      <c r="ILI54" s="1011"/>
      <c r="ILJ54" s="1011"/>
      <c r="ILK54" s="1011"/>
      <c r="ILL54" s="1011"/>
      <c r="ILM54" s="1011"/>
      <c r="ILN54" s="1011"/>
      <c r="ILO54" s="1011"/>
      <c r="ILP54" s="1011"/>
      <c r="ILQ54" s="1011"/>
      <c r="ILR54" s="1011"/>
      <c r="ILS54" s="1011"/>
      <c r="ILT54" s="1011"/>
      <c r="ILU54" s="1011"/>
      <c r="ILV54" s="1011"/>
      <c r="ILW54" s="1011"/>
      <c r="ILX54" s="1011"/>
      <c r="ILY54" s="1011"/>
      <c r="ILZ54" s="1011"/>
      <c r="IMA54" s="1011"/>
      <c r="IMB54" s="1011"/>
      <c r="IMC54" s="1011"/>
      <c r="IMD54" s="1011"/>
      <c r="IME54" s="1011"/>
      <c r="IMF54" s="1011"/>
      <c r="IMG54" s="1011"/>
      <c r="IMH54" s="1011"/>
      <c r="IMI54" s="1011"/>
      <c r="IMJ54" s="1011"/>
      <c r="IMK54" s="1011"/>
      <c r="IML54" s="1011"/>
      <c r="IMM54" s="1011"/>
      <c r="IMN54" s="1011"/>
      <c r="IMO54" s="1011"/>
      <c r="IMP54" s="1011"/>
      <c r="IMQ54" s="1011"/>
      <c r="IMR54" s="1011"/>
      <c r="IMS54" s="1011"/>
      <c r="IMT54" s="1011"/>
      <c r="IMU54" s="1011"/>
      <c r="IMV54" s="1011"/>
      <c r="IMW54" s="1011"/>
      <c r="IMX54" s="1011"/>
      <c r="IMY54" s="1011"/>
      <c r="IMZ54" s="1011"/>
      <c r="INA54" s="1011"/>
      <c r="INB54" s="1011"/>
      <c r="INC54" s="1011"/>
      <c r="IND54" s="1011"/>
      <c r="INE54" s="1011"/>
      <c r="INF54" s="1011"/>
      <c r="ING54" s="1011"/>
      <c r="INH54" s="1011"/>
      <c r="INI54" s="1011"/>
      <c r="INJ54" s="1011"/>
      <c r="INK54" s="1011"/>
      <c r="INL54" s="1011"/>
      <c r="INM54" s="1011"/>
      <c r="INN54" s="1011"/>
      <c r="INO54" s="1011"/>
      <c r="INP54" s="1011"/>
      <c r="INQ54" s="1011"/>
      <c r="INR54" s="1011"/>
      <c r="INS54" s="1011"/>
      <c r="INT54" s="1011"/>
      <c r="INU54" s="1011"/>
      <c r="INV54" s="1011"/>
      <c r="INW54" s="1011"/>
      <c r="INX54" s="1011"/>
      <c r="INY54" s="1011"/>
      <c r="INZ54" s="1011"/>
      <c r="IOA54" s="1011"/>
      <c r="IOB54" s="1011"/>
      <c r="IOC54" s="1011"/>
      <c r="IOD54" s="1011"/>
      <c r="IOE54" s="1011"/>
      <c r="IOF54" s="1011"/>
      <c r="IOG54" s="1011"/>
      <c r="IOH54" s="1011"/>
      <c r="IOI54" s="1011"/>
      <c r="IOJ54" s="1011"/>
      <c r="IOK54" s="1011"/>
      <c r="IOL54" s="1011"/>
      <c r="IOM54" s="1011"/>
      <c r="ION54" s="1011"/>
      <c r="IOO54" s="1011"/>
      <c r="IOP54" s="1011"/>
      <c r="IOQ54" s="1011"/>
      <c r="IOR54" s="1011"/>
      <c r="IOS54" s="1011"/>
      <c r="IOT54" s="1011"/>
      <c r="IOU54" s="1011"/>
      <c r="IOV54" s="1011"/>
      <c r="IOW54" s="1011"/>
      <c r="IOX54" s="1011"/>
      <c r="IOY54" s="1011"/>
      <c r="IOZ54" s="1011"/>
      <c r="IPA54" s="1011"/>
      <c r="IPB54" s="1011"/>
      <c r="IPC54" s="1011"/>
      <c r="IPD54" s="1011"/>
      <c r="IPE54" s="1011"/>
      <c r="IPF54" s="1011"/>
      <c r="IPG54" s="1011"/>
      <c r="IPH54" s="1011"/>
      <c r="IPI54" s="1011"/>
      <c r="IPJ54" s="1011"/>
      <c r="IPK54" s="1011"/>
      <c r="IPL54" s="1011"/>
      <c r="IPM54" s="1011"/>
      <c r="IPN54" s="1011"/>
      <c r="IPO54" s="1011"/>
      <c r="IPP54" s="1011"/>
      <c r="IPQ54" s="1011"/>
      <c r="IPR54" s="1011"/>
      <c r="IPS54" s="1011"/>
      <c r="IPT54" s="1011"/>
      <c r="IPU54" s="1011"/>
      <c r="IPV54" s="1011"/>
      <c r="IPW54" s="1011"/>
      <c r="IPX54" s="1011"/>
      <c r="IPY54" s="1011"/>
      <c r="IPZ54" s="1011"/>
      <c r="IQA54" s="1011"/>
      <c r="IQB54" s="1011"/>
      <c r="IQC54" s="1011"/>
      <c r="IQD54" s="1011"/>
      <c r="IQE54" s="1011"/>
      <c r="IQF54" s="1011"/>
      <c r="IQG54" s="1011"/>
      <c r="IQH54" s="1011"/>
      <c r="IQI54" s="1011"/>
      <c r="IQJ54" s="1011"/>
      <c r="IQK54" s="1011"/>
      <c r="IQL54" s="1011"/>
      <c r="IQM54" s="1011"/>
      <c r="IQN54" s="1011"/>
      <c r="IQO54" s="1011"/>
      <c r="IQP54" s="1011"/>
      <c r="IQQ54" s="1011"/>
      <c r="IQR54" s="1011"/>
      <c r="IQS54" s="1011"/>
      <c r="IQT54" s="1011"/>
      <c r="IQU54" s="1011"/>
      <c r="IQV54" s="1011"/>
      <c r="IQW54" s="1011"/>
      <c r="IQX54" s="1011"/>
      <c r="IQY54" s="1011"/>
      <c r="IQZ54" s="1011"/>
      <c r="IRA54" s="1011"/>
      <c r="IRB54" s="1011"/>
      <c r="IRC54" s="1011"/>
      <c r="IRD54" s="1011"/>
      <c r="IRE54" s="1011"/>
      <c r="IRF54" s="1011"/>
      <c r="IRG54" s="1011"/>
      <c r="IRH54" s="1011"/>
      <c r="IRI54" s="1011"/>
      <c r="IRJ54" s="1011"/>
      <c r="IRK54" s="1011"/>
      <c r="IRL54" s="1011"/>
      <c r="IRM54" s="1011"/>
      <c r="IRN54" s="1011"/>
      <c r="IRO54" s="1011"/>
      <c r="IRP54" s="1011"/>
      <c r="IRQ54" s="1011"/>
      <c r="IRR54" s="1011"/>
      <c r="IRS54" s="1011"/>
      <c r="IRT54" s="1011"/>
      <c r="IRU54" s="1011"/>
      <c r="IRV54" s="1011"/>
      <c r="IRW54" s="1011"/>
      <c r="IRX54" s="1011"/>
      <c r="IRY54" s="1011"/>
      <c r="IRZ54" s="1011"/>
      <c r="ISA54" s="1011"/>
      <c r="ISB54" s="1011"/>
      <c r="ISC54" s="1011"/>
      <c r="ISD54" s="1011"/>
      <c r="ISE54" s="1011"/>
      <c r="ISF54" s="1011"/>
      <c r="ISG54" s="1011"/>
      <c r="ISH54" s="1011"/>
      <c r="ISI54" s="1011"/>
      <c r="ISJ54" s="1011"/>
      <c r="ISK54" s="1011"/>
      <c r="ISL54" s="1011"/>
      <c r="ISM54" s="1011"/>
      <c r="ISN54" s="1011"/>
      <c r="ISO54" s="1011"/>
      <c r="ISP54" s="1011"/>
      <c r="ISQ54" s="1011"/>
      <c r="ISR54" s="1011"/>
      <c r="ISS54" s="1011"/>
      <c r="IST54" s="1011"/>
      <c r="ISU54" s="1011"/>
      <c r="ISV54" s="1011"/>
      <c r="ISW54" s="1011"/>
      <c r="ISX54" s="1011"/>
      <c r="ISY54" s="1011"/>
      <c r="ISZ54" s="1011"/>
      <c r="ITA54" s="1011"/>
      <c r="ITB54" s="1011"/>
      <c r="ITC54" s="1011"/>
      <c r="ITD54" s="1011"/>
      <c r="ITE54" s="1011"/>
      <c r="ITF54" s="1011"/>
      <c r="ITG54" s="1011"/>
      <c r="ITH54" s="1011"/>
      <c r="ITI54" s="1011"/>
      <c r="ITJ54" s="1011"/>
      <c r="ITK54" s="1011"/>
      <c r="ITL54" s="1011"/>
      <c r="ITM54" s="1011"/>
      <c r="ITN54" s="1011"/>
      <c r="ITO54" s="1011"/>
      <c r="ITP54" s="1011"/>
      <c r="ITQ54" s="1011"/>
      <c r="ITR54" s="1011"/>
      <c r="ITS54" s="1011"/>
      <c r="ITT54" s="1011"/>
      <c r="ITU54" s="1011"/>
      <c r="ITV54" s="1011"/>
      <c r="ITW54" s="1011"/>
      <c r="ITX54" s="1011"/>
      <c r="ITY54" s="1011"/>
      <c r="ITZ54" s="1011"/>
      <c r="IUA54" s="1011"/>
      <c r="IUB54" s="1011"/>
      <c r="IUC54" s="1011"/>
      <c r="IUD54" s="1011"/>
      <c r="IUE54" s="1011"/>
      <c r="IUF54" s="1011"/>
      <c r="IUG54" s="1011"/>
      <c r="IUH54" s="1011"/>
      <c r="IUI54" s="1011"/>
      <c r="IUJ54" s="1011"/>
      <c r="IUK54" s="1011"/>
      <c r="IUL54" s="1011"/>
      <c r="IUM54" s="1011"/>
      <c r="IUN54" s="1011"/>
      <c r="IUO54" s="1011"/>
      <c r="IUP54" s="1011"/>
      <c r="IUQ54" s="1011"/>
      <c r="IUR54" s="1011"/>
      <c r="IUS54" s="1011"/>
      <c r="IUT54" s="1011"/>
      <c r="IUU54" s="1011"/>
      <c r="IUV54" s="1011"/>
      <c r="IUW54" s="1011"/>
      <c r="IUX54" s="1011"/>
      <c r="IUY54" s="1011"/>
      <c r="IUZ54" s="1011"/>
      <c r="IVA54" s="1011"/>
      <c r="IVB54" s="1011"/>
      <c r="IVC54" s="1011"/>
      <c r="IVD54" s="1011"/>
      <c r="IVE54" s="1011"/>
      <c r="IVF54" s="1011"/>
      <c r="IVG54" s="1011"/>
      <c r="IVH54" s="1011"/>
      <c r="IVI54" s="1011"/>
      <c r="IVJ54" s="1011"/>
      <c r="IVK54" s="1011"/>
      <c r="IVL54" s="1011"/>
      <c r="IVM54" s="1011"/>
      <c r="IVN54" s="1011"/>
      <c r="IVO54" s="1011"/>
      <c r="IVP54" s="1011"/>
      <c r="IVQ54" s="1011"/>
      <c r="IVR54" s="1011"/>
      <c r="IVS54" s="1011"/>
      <c r="IVT54" s="1011"/>
      <c r="IVU54" s="1011"/>
      <c r="IVV54" s="1011"/>
      <c r="IVW54" s="1011"/>
      <c r="IVX54" s="1011"/>
      <c r="IVY54" s="1011"/>
      <c r="IVZ54" s="1011"/>
      <c r="IWA54" s="1011"/>
      <c r="IWB54" s="1011"/>
      <c r="IWC54" s="1011"/>
      <c r="IWD54" s="1011"/>
      <c r="IWE54" s="1011"/>
      <c r="IWF54" s="1011"/>
      <c r="IWG54" s="1011"/>
      <c r="IWH54" s="1011"/>
      <c r="IWI54" s="1011"/>
      <c r="IWJ54" s="1011"/>
      <c r="IWK54" s="1011"/>
      <c r="IWL54" s="1011"/>
      <c r="IWM54" s="1011"/>
      <c r="IWN54" s="1011"/>
      <c r="IWO54" s="1011"/>
      <c r="IWP54" s="1011"/>
      <c r="IWQ54" s="1011"/>
      <c r="IWR54" s="1011"/>
      <c r="IWS54" s="1011"/>
      <c r="IWT54" s="1011"/>
      <c r="IWU54" s="1011"/>
      <c r="IWV54" s="1011"/>
      <c r="IWW54" s="1011"/>
      <c r="IWX54" s="1011"/>
      <c r="IWY54" s="1011"/>
      <c r="IWZ54" s="1011"/>
      <c r="IXA54" s="1011"/>
      <c r="IXB54" s="1011"/>
      <c r="IXC54" s="1011"/>
      <c r="IXD54" s="1011"/>
      <c r="IXE54" s="1011"/>
      <c r="IXF54" s="1011"/>
      <c r="IXG54" s="1011"/>
      <c r="IXH54" s="1011"/>
      <c r="IXI54" s="1011"/>
      <c r="IXJ54" s="1011"/>
      <c r="IXK54" s="1011"/>
      <c r="IXL54" s="1011"/>
      <c r="IXM54" s="1011"/>
      <c r="IXN54" s="1011"/>
      <c r="IXO54" s="1011"/>
      <c r="IXP54" s="1011"/>
      <c r="IXQ54" s="1011"/>
      <c r="IXR54" s="1011"/>
      <c r="IXS54" s="1011"/>
      <c r="IXT54" s="1011"/>
      <c r="IXU54" s="1011"/>
      <c r="IXV54" s="1011"/>
      <c r="IXW54" s="1011"/>
      <c r="IXX54" s="1011"/>
      <c r="IXY54" s="1011"/>
      <c r="IXZ54" s="1011"/>
      <c r="IYA54" s="1011"/>
      <c r="IYB54" s="1011"/>
      <c r="IYC54" s="1011"/>
      <c r="IYD54" s="1011"/>
      <c r="IYE54" s="1011"/>
      <c r="IYF54" s="1011"/>
      <c r="IYG54" s="1011"/>
      <c r="IYH54" s="1011"/>
      <c r="IYI54" s="1011"/>
      <c r="IYJ54" s="1011"/>
      <c r="IYK54" s="1011"/>
      <c r="IYL54" s="1011"/>
      <c r="IYM54" s="1011"/>
      <c r="IYN54" s="1011"/>
      <c r="IYO54" s="1011"/>
      <c r="IYP54" s="1011"/>
      <c r="IYQ54" s="1011"/>
      <c r="IYR54" s="1011"/>
      <c r="IYS54" s="1011"/>
      <c r="IYT54" s="1011"/>
      <c r="IYU54" s="1011"/>
      <c r="IYV54" s="1011"/>
      <c r="IYW54" s="1011"/>
      <c r="IYX54" s="1011"/>
      <c r="IYY54" s="1011"/>
      <c r="IYZ54" s="1011"/>
      <c r="IZA54" s="1011"/>
      <c r="IZB54" s="1011"/>
      <c r="IZC54" s="1011"/>
      <c r="IZD54" s="1011"/>
      <c r="IZE54" s="1011"/>
      <c r="IZF54" s="1011"/>
      <c r="IZG54" s="1011"/>
      <c r="IZH54" s="1011"/>
      <c r="IZI54" s="1011"/>
      <c r="IZJ54" s="1011"/>
      <c r="IZK54" s="1011"/>
      <c r="IZL54" s="1011"/>
      <c r="IZM54" s="1011"/>
      <c r="IZN54" s="1011"/>
      <c r="IZO54" s="1011"/>
      <c r="IZP54" s="1011"/>
      <c r="IZQ54" s="1011"/>
      <c r="IZR54" s="1011"/>
      <c r="IZS54" s="1011"/>
      <c r="IZT54" s="1011"/>
      <c r="IZU54" s="1011"/>
      <c r="IZV54" s="1011"/>
      <c r="IZW54" s="1011"/>
      <c r="IZX54" s="1011"/>
      <c r="IZY54" s="1011"/>
      <c r="IZZ54" s="1011"/>
      <c r="JAA54" s="1011"/>
      <c r="JAB54" s="1011"/>
      <c r="JAC54" s="1011"/>
      <c r="JAD54" s="1011"/>
      <c r="JAE54" s="1011"/>
      <c r="JAF54" s="1011"/>
      <c r="JAG54" s="1011"/>
      <c r="JAH54" s="1011"/>
      <c r="JAI54" s="1011"/>
      <c r="JAJ54" s="1011"/>
      <c r="JAK54" s="1011"/>
      <c r="JAL54" s="1011"/>
      <c r="JAM54" s="1011"/>
      <c r="JAN54" s="1011"/>
      <c r="JAO54" s="1011"/>
      <c r="JAP54" s="1011"/>
      <c r="JAQ54" s="1011"/>
      <c r="JAR54" s="1011"/>
      <c r="JAS54" s="1011"/>
      <c r="JAT54" s="1011"/>
      <c r="JAU54" s="1011"/>
      <c r="JAV54" s="1011"/>
      <c r="JAW54" s="1011"/>
      <c r="JAX54" s="1011"/>
      <c r="JAY54" s="1011"/>
      <c r="JAZ54" s="1011"/>
      <c r="JBA54" s="1011"/>
      <c r="JBB54" s="1011"/>
      <c r="JBC54" s="1011"/>
      <c r="JBD54" s="1011"/>
      <c r="JBE54" s="1011"/>
      <c r="JBF54" s="1011"/>
      <c r="JBG54" s="1011"/>
      <c r="JBH54" s="1011"/>
      <c r="JBI54" s="1011"/>
      <c r="JBJ54" s="1011"/>
      <c r="JBK54" s="1011"/>
      <c r="JBL54" s="1011"/>
      <c r="JBM54" s="1011"/>
      <c r="JBN54" s="1011"/>
      <c r="JBO54" s="1011"/>
      <c r="JBP54" s="1011"/>
      <c r="JBQ54" s="1011"/>
      <c r="JBR54" s="1011"/>
      <c r="JBS54" s="1011"/>
      <c r="JBT54" s="1011"/>
      <c r="JBU54" s="1011"/>
      <c r="JBV54" s="1011"/>
      <c r="JBW54" s="1011"/>
      <c r="JBX54" s="1011"/>
      <c r="JBY54" s="1011"/>
      <c r="JBZ54" s="1011"/>
      <c r="JCA54" s="1011"/>
      <c r="JCB54" s="1011"/>
      <c r="JCC54" s="1011"/>
      <c r="JCD54" s="1011"/>
      <c r="JCE54" s="1011"/>
      <c r="JCF54" s="1011"/>
      <c r="JCG54" s="1011"/>
      <c r="JCH54" s="1011"/>
      <c r="JCI54" s="1011"/>
      <c r="JCJ54" s="1011"/>
      <c r="JCK54" s="1011"/>
      <c r="JCL54" s="1011"/>
      <c r="JCM54" s="1011"/>
      <c r="JCN54" s="1011"/>
      <c r="JCO54" s="1011"/>
      <c r="JCP54" s="1011"/>
      <c r="JCQ54" s="1011"/>
      <c r="JCR54" s="1011"/>
      <c r="JCS54" s="1011"/>
      <c r="JCT54" s="1011"/>
      <c r="JCU54" s="1011"/>
      <c r="JCV54" s="1011"/>
      <c r="JCW54" s="1011"/>
      <c r="JCX54" s="1011"/>
      <c r="JCY54" s="1011"/>
      <c r="JCZ54" s="1011"/>
      <c r="JDA54" s="1011"/>
      <c r="JDB54" s="1011"/>
      <c r="JDC54" s="1011"/>
      <c r="JDD54" s="1011"/>
      <c r="JDE54" s="1011"/>
      <c r="JDF54" s="1011"/>
      <c r="JDG54" s="1011"/>
      <c r="JDH54" s="1011"/>
      <c r="JDI54" s="1011"/>
      <c r="JDJ54" s="1011"/>
      <c r="JDK54" s="1011"/>
      <c r="JDL54" s="1011"/>
      <c r="JDM54" s="1011"/>
      <c r="JDN54" s="1011"/>
      <c r="JDO54" s="1011"/>
      <c r="JDP54" s="1011"/>
      <c r="JDQ54" s="1011"/>
      <c r="JDR54" s="1011"/>
      <c r="JDS54" s="1011"/>
      <c r="JDT54" s="1011"/>
      <c r="JDU54" s="1011"/>
      <c r="JDV54" s="1011"/>
      <c r="JDW54" s="1011"/>
      <c r="JDX54" s="1011"/>
      <c r="JDY54" s="1011"/>
      <c r="JDZ54" s="1011"/>
      <c r="JEA54" s="1011"/>
      <c r="JEB54" s="1011"/>
      <c r="JEC54" s="1011"/>
      <c r="JED54" s="1011"/>
      <c r="JEE54" s="1011"/>
      <c r="JEF54" s="1011"/>
      <c r="JEG54" s="1011"/>
      <c r="JEH54" s="1011"/>
      <c r="JEI54" s="1011"/>
      <c r="JEJ54" s="1011"/>
      <c r="JEK54" s="1011"/>
      <c r="JEL54" s="1011"/>
      <c r="JEM54" s="1011"/>
      <c r="JEN54" s="1011"/>
      <c r="JEO54" s="1011"/>
      <c r="JEP54" s="1011"/>
      <c r="JEQ54" s="1011"/>
      <c r="JER54" s="1011"/>
      <c r="JES54" s="1011"/>
      <c r="JET54" s="1011"/>
      <c r="JEU54" s="1011"/>
      <c r="JEV54" s="1011"/>
      <c r="JEW54" s="1011"/>
      <c r="JEX54" s="1011"/>
      <c r="JEY54" s="1011"/>
      <c r="JEZ54" s="1011"/>
      <c r="JFA54" s="1011"/>
      <c r="JFB54" s="1011"/>
      <c r="JFC54" s="1011"/>
      <c r="JFD54" s="1011"/>
      <c r="JFE54" s="1011"/>
      <c r="JFF54" s="1011"/>
      <c r="JFG54" s="1011"/>
      <c r="JFH54" s="1011"/>
      <c r="JFI54" s="1011"/>
      <c r="JFJ54" s="1011"/>
      <c r="JFK54" s="1011"/>
      <c r="JFL54" s="1011"/>
      <c r="JFM54" s="1011"/>
      <c r="JFN54" s="1011"/>
      <c r="JFO54" s="1011"/>
      <c r="JFP54" s="1011"/>
      <c r="JFQ54" s="1011"/>
      <c r="JFR54" s="1011"/>
      <c r="JFS54" s="1011"/>
      <c r="JFT54" s="1011"/>
      <c r="JFU54" s="1011"/>
      <c r="JFV54" s="1011"/>
      <c r="JFW54" s="1011"/>
      <c r="JFX54" s="1011"/>
      <c r="JFY54" s="1011"/>
      <c r="JFZ54" s="1011"/>
      <c r="JGA54" s="1011"/>
      <c r="JGB54" s="1011"/>
      <c r="JGC54" s="1011"/>
      <c r="JGD54" s="1011"/>
      <c r="JGE54" s="1011"/>
      <c r="JGF54" s="1011"/>
      <c r="JGG54" s="1011"/>
      <c r="JGH54" s="1011"/>
      <c r="JGI54" s="1011"/>
      <c r="JGJ54" s="1011"/>
      <c r="JGK54" s="1011"/>
      <c r="JGL54" s="1011"/>
      <c r="JGM54" s="1011"/>
      <c r="JGN54" s="1011"/>
      <c r="JGO54" s="1011"/>
      <c r="JGP54" s="1011"/>
      <c r="JGQ54" s="1011"/>
      <c r="JGR54" s="1011"/>
      <c r="JGS54" s="1011"/>
      <c r="JGT54" s="1011"/>
      <c r="JGU54" s="1011"/>
      <c r="JGV54" s="1011"/>
      <c r="JGW54" s="1011"/>
      <c r="JGX54" s="1011"/>
      <c r="JGY54" s="1011"/>
      <c r="JGZ54" s="1011"/>
      <c r="JHA54" s="1011"/>
      <c r="JHB54" s="1011"/>
      <c r="JHC54" s="1011"/>
      <c r="JHD54" s="1011"/>
      <c r="JHE54" s="1011"/>
      <c r="JHF54" s="1011"/>
      <c r="JHG54" s="1011"/>
      <c r="JHH54" s="1011"/>
      <c r="JHI54" s="1011"/>
      <c r="JHJ54" s="1011"/>
      <c r="JHK54" s="1011"/>
      <c r="JHL54" s="1011"/>
      <c r="JHM54" s="1011"/>
      <c r="JHN54" s="1011"/>
      <c r="JHO54" s="1011"/>
      <c r="JHP54" s="1011"/>
      <c r="JHQ54" s="1011"/>
      <c r="JHR54" s="1011"/>
      <c r="JHS54" s="1011"/>
      <c r="JHT54" s="1011"/>
      <c r="JHU54" s="1011"/>
      <c r="JHV54" s="1011"/>
      <c r="JHW54" s="1011"/>
      <c r="JHX54" s="1011"/>
      <c r="JHY54" s="1011"/>
      <c r="JHZ54" s="1011"/>
      <c r="JIA54" s="1011"/>
      <c r="JIB54" s="1011"/>
      <c r="JIC54" s="1011"/>
      <c r="JID54" s="1011"/>
      <c r="JIE54" s="1011"/>
      <c r="JIF54" s="1011"/>
      <c r="JIG54" s="1011"/>
      <c r="JIH54" s="1011"/>
      <c r="JII54" s="1011"/>
      <c r="JIJ54" s="1011"/>
      <c r="JIK54" s="1011"/>
      <c r="JIL54" s="1011"/>
      <c r="JIM54" s="1011"/>
      <c r="JIN54" s="1011"/>
      <c r="JIO54" s="1011"/>
      <c r="JIP54" s="1011"/>
      <c r="JIQ54" s="1011"/>
      <c r="JIR54" s="1011"/>
      <c r="JIS54" s="1011"/>
      <c r="JIT54" s="1011"/>
      <c r="JIU54" s="1011"/>
      <c r="JIV54" s="1011"/>
      <c r="JIW54" s="1011"/>
      <c r="JIX54" s="1011"/>
      <c r="JIY54" s="1011"/>
      <c r="JIZ54" s="1011"/>
      <c r="JJA54" s="1011"/>
      <c r="JJB54" s="1011"/>
      <c r="JJC54" s="1011"/>
      <c r="JJD54" s="1011"/>
      <c r="JJE54" s="1011"/>
      <c r="JJF54" s="1011"/>
      <c r="JJG54" s="1011"/>
      <c r="JJH54" s="1011"/>
      <c r="JJI54" s="1011"/>
      <c r="JJJ54" s="1011"/>
      <c r="JJK54" s="1011"/>
      <c r="JJL54" s="1011"/>
      <c r="JJM54" s="1011"/>
      <c r="JJN54" s="1011"/>
      <c r="JJO54" s="1011"/>
      <c r="JJP54" s="1011"/>
      <c r="JJQ54" s="1011"/>
      <c r="JJR54" s="1011"/>
      <c r="JJS54" s="1011"/>
      <c r="JJT54" s="1011"/>
      <c r="JJU54" s="1011"/>
      <c r="JJV54" s="1011"/>
      <c r="JJW54" s="1011"/>
      <c r="JJX54" s="1011"/>
      <c r="JJY54" s="1011"/>
      <c r="JJZ54" s="1011"/>
      <c r="JKA54" s="1011"/>
      <c r="JKB54" s="1011"/>
      <c r="JKC54" s="1011"/>
      <c r="JKD54" s="1011"/>
      <c r="JKE54" s="1011"/>
      <c r="JKF54" s="1011"/>
      <c r="JKG54" s="1011"/>
      <c r="JKH54" s="1011"/>
      <c r="JKI54" s="1011"/>
      <c r="JKJ54" s="1011"/>
      <c r="JKK54" s="1011"/>
      <c r="JKL54" s="1011"/>
      <c r="JKM54" s="1011"/>
      <c r="JKN54" s="1011"/>
      <c r="JKO54" s="1011"/>
      <c r="JKP54" s="1011"/>
      <c r="JKQ54" s="1011"/>
      <c r="JKR54" s="1011"/>
      <c r="JKS54" s="1011"/>
      <c r="JKT54" s="1011"/>
      <c r="JKU54" s="1011"/>
      <c r="JKV54" s="1011"/>
      <c r="JKW54" s="1011"/>
      <c r="JKX54" s="1011"/>
      <c r="JKY54" s="1011"/>
      <c r="JKZ54" s="1011"/>
      <c r="JLA54" s="1011"/>
      <c r="JLB54" s="1011"/>
      <c r="JLC54" s="1011"/>
      <c r="JLD54" s="1011"/>
      <c r="JLE54" s="1011"/>
      <c r="JLF54" s="1011"/>
      <c r="JLG54" s="1011"/>
      <c r="JLH54" s="1011"/>
      <c r="JLI54" s="1011"/>
      <c r="JLJ54" s="1011"/>
      <c r="JLK54" s="1011"/>
      <c r="JLL54" s="1011"/>
      <c r="JLM54" s="1011"/>
      <c r="JLN54" s="1011"/>
      <c r="JLO54" s="1011"/>
      <c r="JLP54" s="1011"/>
      <c r="JLQ54" s="1011"/>
      <c r="JLR54" s="1011"/>
      <c r="JLS54" s="1011"/>
      <c r="JLT54" s="1011"/>
      <c r="JLU54" s="1011"/>
      <c r="JLV54" s="1011"/>
      <c r="JLW54" s="1011"/>
      <c r="JLX54" s="1011"/>
      <c r="JLY54" s="1011"/>
      <c r="JLZ54" s="1011"/>
      <c r="JMA54" s="1011"/>
      <c r="JMB54" s="1011"/>
      <c r="JMC54" s="1011"/>
      <c r="JMD54" s="1011"/>
      <c r="JME54" s="1011"/>
      <c r="JMF54" s="1011"/>
      <c r="JMG54" s="1011"/>
      <c r="JMH54" s="1011"/>
      <c r="JMI54" s="1011"/>
      <c r="JMJ54" s="1011"/>
      <c r="JMK54" s="1011"/>
      <c r="JML54" s="1011"/>
      <c r="JMM54" s="1011"/>
      <c r="JMN54" s="1011"/>
      <c r="JMO54" s="1011"/>
      <c r="JMP54" s="1011"/>
      <c r="JMQ54" s="1011"/>
      <c r="JMR54" s="1011"/>
      <c r="JMS54" s="1011"/>
      <c r="JMT54" s="1011"/>
      <c r="JMU54" s="1011"/>
      <c r="JMV54" s="1011"/>
      <c r="JMW54" s="1011"/>
      <c r="JMX54" s="1011"/>
      <c r="JMY54" s="1011"/>
      <c r="JMZ54" s="1011"/>
      <c r="JNA54" s="1011"/>
      <c r="JNB54" s="1011"/>
      <c r="JNC54" s="1011"/>
      <c r="JND54" s="1011"/>
      <c r="JNE54" s="1011"/>
      <c r="JNF54" s="1011"/>
      <c r="JNG54" s="1011"/>
      <c r="JNH54" s="1011"/>
      <c r="JNI54" s="1011"/>
      <c r="JNJ54" s="1011"/>
      <c r="JNK54" s="1011"/>
      <c r="JNL54" s="1011"/>
      <c r="JNM54" s="1011"/>
      <c r="JNN54" s="1011"/>
      <c r="JNO54" s="1011"/>
      <c r="JNP54" s="1011"/>
      <c r="JNQ54" s="1011"/>
      <c r="JNR54" s="1011"/>
      <c r="JNS54" s="1011"/>
      <c r="JNT54" s="1011"/>
      <c r="JNU54" s="1011"/>
      <c r="JNV54" s="1011"/>
      <c r="JNW54" s="1011"/>
      <c r="JNX54" s="1011"/>
      <c r="JNY54" s="1011"/>
      <c r="JNZ54" s="1011"/>
      <c r="JOA54" s="1011"/>
      <c r="JOB54" s="1011"/>
      <c r="JOC54" s="1011"/>
      <c r="JOD54" s="1011"/>
      <c r="JOE54" s="1011"/>
      <c r="JOF54" s="1011"/>
      <c r="JOG54" s="1011"/>
      <c r="JOH54" s="1011"/>
      <c r="JOI54" s="1011"/>
      <c r="JOJ54" s="1011"/>
      <c r="JOK54" s="1011"/>
      <c r="JOL54" s="1011"/>
      <c r="JOM54" s="1011"/>
      <c r="JON54" s="1011"/>
      <c r="JOO54" s="1011"/>
      <c r="JOP54" s="1011"/>
      <c r="JOQ54" s="1011"/>
      <c r="JOR54" s="1011"/>
      <c r="JOS54" s="1011"/>
      <c r="JOT54" s="1011"/>
      <c r="JOU54" s="1011"/>
      <c r="JOV54" s="1011"/>
      <c r="JOW54" s="1011"/>
      <c r="JOX54" s="1011"/>
      <c r="JOY54" s="1011"/>
      <c r="JOZ54" s="1011"/>
      <c r="JPA54" s="1011"/>
      <c r="JPB54" s="1011"/>
      <c r="JPC54" s="1011"/>
      <c r="JPD54" s="1011"/>
      <c r="JPE54" s="1011"/>
      <c r="JPF54" s="1011"/>
      <c r="JPG54" s="1011"/>
      <c r="JPH54" s="1011"/>
      <c r="JPI54" s="1011"/>
      <c r="JPJ54" s="1011"/>
      <c r="JPK54" s="1011"/>
      <c r="JPL54" s="1011"/>
      <c r="JPM54" s="1011"/>
      <c r="JPN54" s="1011"/>
      <c r="JPO54" s="1011"/>
      <c r="JPP54" s="1011"/>
      <c r="JPQ54" s="1011"/>
      <c r="JPR54" s="1011"/>
      <c r="JPS54" s="1011"/>
      <c r="JPT54" s="1011"/>
      <c r="JPU54" s="1011"/>
      <c r="JPV54" s="1011"/>
      <c r="JPW54" s="1011"/>
      <c r="JPX54" s="1011"/>
      <c r="JPY54" s="1011"/>
      <c r="JPZ54" s="1011"/>
      <c r="JQA54" s="1011"/>
      <c r="JQB54" s="1011"/>
      <c r="JQC54" s="1011"/>
      <c r="JQD54" s="1011"/>
      <c r="JQE54" s="1011"/>
      <c r="JQF54" s="1011"/>
      <c r="JQG54" s="1011"/>
      <c r="JQH54" s="1011"/>
      <c r="JQI54" s="1011"/>
      <c r="JQJ54" s="1011"/>
      <c r="JQK54" s="1011"/>
      <c r="JQL54" s="1011"/>
      <c r="JQM54" s="1011"/>
      <c r="JQN54" s="1011"/>
      <c r="JQO54" s="1011"/>
      <c r="JQP54" s="1011"/>
      <c r="JQQ54" s="1011"/>
      <c r="JQR54" s="1011"/>
      <c r="JQS54" s="1011"/>
      <c r="JQT54" s="1011"/>
      <c r="JQU54" s="1011"/>
      <c r="JQV54" s="1011"/>
      <c r="JQW54" s="1011"/>
      <c r="JQX54" s="1011"/>
      <c r="JQY54" s="1011"/>
      <c r="JQZ54" s="1011"/>
      <c r="JRA54" s="1011"/>
      <c r="JRB54" s="1011"/>
      <c r="JRC54" s="1011"/>
      <c r="JRD54" s="1011"/>
      <c r="JRE54" s="1011"/>
      <c r="JRF54" s="1011"/>
      <c r="JRG54" s="1011"/>
      <c r="JRH54" s="1011"/>
      <c r="JRI54" s="1011"/>
      <c r="JRJ54" s="1011"/>
      <c r="JRK54" s="1011"/>
      <c r="JRL54" s="1011"/>
      <c r="JRM54" s="1011"/>
      <c r="JRN54" s="1011"/>
      <c r="JRO54" s="1011"/>
      <c r="JRP54" s="1011"/>
      <c r="JRQ54" s="1011"/>
      <c r="JRR54" s="1011"/>
      <c r="JRS54" s="1011"/>
      <c r="JRT54" s="1011"/>
      <c r="JRU54" s="1011"/>
      <c r="JRV54" s="1011"/>
      <c r="JRW54" s="1011"/>
      <c r="JRX54" s="1011"/>
      <c r="JRY54" s="1011"/>
      <c r="JRZ54" s="1011"/>
      <c r="JSA54" s="1011"/>
      <c r="JSB54" s="1011"/>
      <c r="JSC54" s="1011"/>
      <c r="JSD54" s="1011"/>
      <c r="JSE54" s="1011"/>
      <c r="JSF54" s="1011"/>
      <c r="JSG54" s="1011"/>
      <c r="JSH54" s="1011"/>
      <c r="JSI54" s="1011"/>
      <c r="JSJ54" s="1011"/>
      <c r="JSK54" s="1011"/>
      <c r="JSL54" s="1011"/>
      <c r="JSM54" s="1011"/>
      <c r="JSN54" s="1011"/>
      <c r="JSO54" s="1011"/>
      <c r="JSP54" s="1011"/>
      <c r="JSQ54" s="1011"/>
      <c r="JSR54" s="1011"/>
      <c r="JSS54" s="1011"/>
      <c r="JST54" s="1011"/>
      <c r="JSU54" s="1011"/>
      <c r="JSV54" s="1011"/>
      <c r="JSW54" s="1011"/>
      <c r="JSX54" s="1011"/>
      <c r="JSY54" s="1011"/>
      <c r="JSZ54" s="1011"/>
      <c r="JTA54" s="1011"/>
      <c r="JTB54" s="1011"/>
      <c r="JTC54" s="1011"/>
      <c r="JTD54" s="1011"/>
      <c r="JTE54" s="1011"/>
      <c r="JTF54" s="1011"/>
      <c r="JTG54" s="1011"/>
      <c r="JTH54" s="1011"/>
      <c r="JTI54" s="1011"/>
      <c r="JTJ54" s="1011"/>
      <c r="JTK54" s="1011"/>
      <c r="JTL54" s="1011"/>
      <c r="JTM54" s="1011"/>
      <c r="JTN54" s="1011"/>
      <c r="JTO54" s="1011"/>
      <c r="JTP54" s="1011"/>
      <c r="JTQ54" s="1011"/>
      <c r="JTR54" s="1011"/>
      <c r="JTS54" s="1011"/>
      <c r="JTT54" s="1011"/>
      <c r="JTU54" s="1011"/>
      <c r="JTV54" s="1011"/>
      <c r="JTW54" s="1011"/>
      <c r="JTX54" s="1011"/>
      <c r="JTY54" s="1011"/>
      <c r="JTZ54" s="1011"/>
      <c r="JUA54" s="1011"/>
      <c r="JUB54" s="1011"/>
      <c r="JUC54" s="1011"/>
      <c r="JUD54" s="1011"/>
      <c r="JUE54" s="1011"/>
      <c r="JUF54" s="1011"/>
      <c r="JUG54" s="1011"/>
      <c r="JUH54" s="1011"/>
      <c r="JUI54" s="1011"/>
      <c r="JUJ54" s="1011"/>
      <c r="JUK54" s="1011"/>
      <c r="JUL54" s="1011"/>
      <c r="JUM54" s="1011"/>
      <c r="JUN54" s="1011"/>
      <c r="JUO54" s="1011"/>
      <c r="JUP54" s="1011"/>
      <c r="JUQ54" s="1011"/>
      <c r="JUR54" s="1011"/>
      <c r="JUS54" s="1011"/>
      <c r="JUT54" s="1011"/>
      <c r="JUU54" s="1011"/>
      <c r="JUV54" s="1011"/>
      <c r="JUW54" s="1011"/>
      <c r="JUX54" s="1011"/>
      <c r="JUY54" s="1011"/>
      <c r="JUZ54" s="1011"/>
      <c r="JVA54" s="1011"/>
      <c r="JVB54" s="1011"/>
      <c r="JVC54" s="1011"/>
      <c r="JVD54" s="1011"/>
      <c r="JVE54" s="1011"/>
      <c r="JVF54" s="1011"/>
      <c r="JVG54" s="1011"/>
      <c r="JVH54" s="1011"/>
      <c r="JVI54" s="1011"/>
      <c r="JVJ54" s="1011"/>
      <c r="JVK54" s="1011"/>
      <c r="JVL54" s="1011"/>
      <c r="JVM54" s="1011"/>
      <c r="JVN54" s="1011"/>
      <c r="JVO54" s="1011"/>
      <c r="JVP54" s="1011"/>
      <c r="JVQ54" s="1011"/>
      <c r="JVR54" s="1011"/>
      <c r="JVS54" s="1011"/>
      <c r="JVT54" s="1011"/>
      <c r="JVU54" s="1011"/>
      <c r="JVV54" s="1011"/>
      <c r="JVW54" s="1011"/>
      <c r="JVX54" s="1011"/>
      <c r="JVY54" s="1011"/>
      <c r="JVZ54" s="1011"/>
      <c r="JWA54" s="1011"/>
      <c r="JWB54" s="1011"/>
      <c r="JWC54" s="1011"/>
      <c r="JWD54" s="1011"/>
      <c r="JWE54" s="1011"/>
      <c r="JWF54" s="1011"/>
      <c r="JWG54" s="1011"/>
      <c r="JWH54" s="1011"/>
      <c r="JWI54" s="1011"/>
      <c r="JWJ54" s="1011"/>
      <c r="JWK54" s="1011"/>
      <c r="JWL54" s="1011"/>
      <c r="JWM54" s="1011"/>
      <c r="JWN54" s="1011"/>
      <c r="JWO54" s="1011"/>
      <c r="JWP54" s="1011"/>
      <c r="JWQ54" s="1011"/>
      <c r="JWR54" s="1011"/>
      <c r="JWS54" s="1011"/>
      <c r="JWT54" s="1011"/>
      <c r="JWU54" s="1011"/>
      <c r="JWV54" s="1011"/>
      <c r="JWW54" s="1011"/>
      <c r="JWX54" s="1011"/>
      <c r="JWY54" s="1011"/>
      <c r="JWZ54" s="1011"/>
      <c r="JXA54" s="1011"/>
      <c r="JXB54" s="1011"/>
      <c r="JXC54" s="1011"/>
      <c r="JXD54" s="1011"/>
      <c r="JXE54" s="1011"/>
      <c r="JXF54" s="1011"/>
      <c r="JXG54" s="1011"/>
      <c r="JXH54" s="1011"/>
      <c r="JXI54" s="1011"/>
      <c r="JXJ54" s="1011"/>
      <c r="JXK54" s="1011"/>
      <c r="JXL54" s="1011"/>
      <c r="JXM54" s="1011"/>
      <c r="JXN54" s="1011"/>
      <c r="JXO54" s="1011"/>
      <c r="JXP54" s="1011"/>
      <c r="JXQ54" s="1011"/>
      <c r="JXR54" s="1011"/>
      <c r="JXS54" s="1011"/>
      <c r="JXT54" s="1011"/>
      <c r="JXU54" s="1011"/>
      <c r="JXV54" s="1011"/>
      <c r="JXW54" s="1011"/>
      <c r="JXX54" s="1011"/>
      <c r="JXY54" s="1011"/>
      <c r="JXZ54" s="1011"/>
      <c r="JYA54" s="1011"/>
      <c r="JYB54" s="1011"/>
      <c r="JYC54" s="1011"/>
      <c r="JYD54" s="1011"/>
      <c r="JYE54" s="1011"/>
      <c r="JYF54" s="1011"/>
      <c r="JYG54" s="1011"/>
      <c r="JYH54" s="1011"/>
      <c r="JYI54" s="1011"/>
      <c r="JYJ54" s="1011"/>
      <c r="JYK54" s="1011"/>
      <c r="JYL54" s="1011"/>
      <c r="JYM54" s="1011"/>
      <c r="JYN54" s="1011"/>
      <c r="JYO54" s="1011"/>
      <c r="JYP54" s="1011"/>
      <c r="JYQ54" s="1011"/>
      <c r="JYR54" s="1011"/>
      <c r="JYS54" s="1011"/>
      <c r="JYT54" s="1011"/>
      <c r="JYU54" s="1011"/>
      <c r="JYV54" s="1011"/>
      <c r="JYW54" s="1011"/>
      <c r="JYX54" s="1011"/>
      <c r="JYY54" s="1011"/>
      <c r="JYZ54" s="1011"/>
      <c r="JZA54" s="1011"/>
      <c r="JZB54" s="1011"/>
      <c r="JZC54" s="1011"/>
      <c r="JZD54" s="1011"/>
      <c r="JZE54" s="1011"/>
      <c r="JZF54" s="1011"/>
      <c r="JZG54" s="1011"/>
      <c r="JZH54" s="1011"/>
      <c r="JZI54" s="1011"/>
      <c r="JZJ54" s="1011"/>
      <c r="JZK54" s="1011"/>
      <c r="JZL54" s="1011"/>
      <c r="JZM54" s="1011"/>
      <c r="JZN54" s="1011"/>
      <c r="JZO54" s="1011"/>
      <c r="JZP54" s="1011"/>
      <c r="JZQ54" s="1011"/>
      <c r="JZR54" s="1011"/>
      <c r="JZS54" s="1011"/>
      <c r="JZT54" s="1011"/>
      <c r="JZU54" s="1011"/>
      <c r="JZV54" s="1011"/>
      <c r="JZW54" s="1011"/>
      <c r="JZX54" s="1011"/>
      <c r="JZY54" s="1011"/>
      <c r="JZZ54" s="1011"/>
      <c r="KAA54" s="1011"/>
      <c r="KAB54" s="1011"/>
      <c r="KAC54" s="1011"/>
      <c r="KAD54" s="1011"/>
      <c r="KAE54" s="1011"/>
      <c r="KAF54" s="1011"/>
      <c r="KAG54" s="1011"/>
      <c r="KAH54" s="1011"/>
      <c r="KAI54" s="1011"/>
      <c r="KAJ54" s="1011"/>
      <c r="KAK54" s="1011"/>
      <c r="KAL54" s="1011"/>
      <c r="KAM54" s="1011"/>
      <c r="KAN54" s="1011"/>
      <c r="KAO54" s="1011"/>
      <c r="KAP54" s="1011"/>
      <c r="KAQ54" s="1011"/>
      <c r="KAR54" s="1011"/>
      <c r="KAS54" s="1011"/>
      <c r="KAT54" s="1011"/>
      <c r="KAU54" s="1011"/>
      <c r="KAV54" s="1011"/>
      <c r="KAW54" s="1011"/>
      <c r="KAX54" s="1011"/>
      <c r="KAY54" s="1011"/>
      <c r="KAZ54" s="1011"/>
      <c r="KBA54" s="1011"/>
      <c r="KBB54" s="1011"/>
      <c r="KBC54" s="1011"/>
      <c r="KBD54" s="1011"/>
      <c r="KBE54" s="1011"/>
      <c r="KBF54" s="1011"/>
      <c r="KBG54" s="1011"/>
      <c r="KBH54" s="1011"/>
      <c r="KBI54" s="1011"/>
      <c r="KBJ54" s="1011"/>
      <c r="KBK54" s="1011"/>
      <c r="KBL54" s="1011"/>
      <c r="KBM54" s="1011"/>
      <c r="KBN54" s="1011"/>
      <c r="KBO54" s="1011"/>
      <c r="KBP54" s="1011"/>
      <c r="KBQ54" s="1011"/>
      <c r="KBR54" s="1011"/>
      <c r="KBS54" s="1011"/>
      <c r="KBT54" s="1011"/>
      <c r="KBU54" s="1011"/>
      <c r="KBV54" s="1011"/>
      <c r="KBW54" s="1011"/>
      <c r="KBX54" s="1011"/>
      <c r="KBY54" s="1011"/>
      <c r="KBZ54" s="1011"/>
      <c r="KCA54" s="1011"/>
      <c r="KCB54" s="1011"/>
      <c r="KCC54" s="1011"/>
      <c r="KCD54" s="1011"/>
      <c r="KCE54" s="1011"/>
      <c r="KCF54" s="1011"/>
      <c r="KCG54" s="1011"/>
      <c r="KCH54" s="1011"/>
      <c r="KCI54" s="1011"/>
      <c r="KCJ54" s="1011"/>
      <c r="KCK54" s="1011"/>
      <c r="KCL54" s="1011"/>
      <c r="KCM54" s="1011"/>
      <c r="KCN54" s="1011"/>
      <c r="KCO54" s="1011"/>
      <c r="KCP54" s="1011"/>
      <c r="KCQ54" s="1011"/>
      <c r="KCR54" s="1011"/>
      <c r="KCS54" s="1011"/>
      <c r="KCT54" s="1011"/>
      <c r="KCU54" s="1011"/>
      <c r="KCV54" s="1011"/>
      <c r="KCW54" s="1011"/>
      <c r="KCX54" s="1011"/>
      <c r="KCY54" s="1011"/>
      <c r="KCZ54" s="1011"/>
      <c r="KDA54" s="1011"/>
      <c r="KDB54" s="1011"/>
      <c r="KDC54" s="1011"/>
      <c r="KDD54" s="1011"/>
      <c r="KDE54" s="1011"/>
      <c r="KDF54" s="1011"/>
      <c r="KDG54" s="1011"/>
      <c r="KDH54" s="1011"/>
      <c r="KDI54" s="1011"/>
      <c r="KDJ54" s="1011"/>
      <c r="KDK54" s="1011"/>
      <c r="KDL54" s="1011"/>
      <c r="KDM54" s="1011"/>
      <c r="KDN54" s="1011"/>
      <c r="KDO54" s="1011"/>
      <c r="KDP54" s="1011"/>
      <c r="KDQ54" s="1011"/>
      <c r="KDR54" s="1011"/>
      <c r="KDS54" s="1011"/>
      <c r="KDT54" s="1011"/>
      <c r="KDU54" s="1011"/>
      <c r="KDV54" s="1011"/>
      <c r="KDW54" s="1011"/>
      <c r="KDX54" s="1011"/>
      <c r="KDY54" s="1011"/>
      <c r="KDZ54" s="1011"/>
      <c r="KEA54" s="1011"/>
      <c r="KEB54" s="1011"/>
      <c r="KEC54" s="1011"/>
      <c r="KED54" s="1011"/>
      <c r="KEE54" s="1011"/>
      <c r="KEF54" s="1011"/>
      <c r="KEG54" s="1011"/>
      <c r="KEH54" s="1011"/>
      <c r="KEI54" s="1011"/>
      <c r="KEJ54" s="1011"/>
      <c r="KEK54" s="1011"/>
      <c r="KEL54" s="1011"/>
      <c r="KEM54" s="1011"/>
      <c r="KEN54" s="1011"/>
      <c r="KEO54" s="1011"/>
      <c r="KEP54" s="1011"/>
      <c r="KEQ54" s="1011"/>
      <c r="KER54" s="1011"/>
      <c r="KES54" s="1011"/>
      <c r="KET54" s="1011"/>
      <c r="KEU54" s="1011"/>
      <c r="KEV54" s="1011"/>
      <c r="KEW54" s="1011"/>
      <c r="KEX54" s="1011"/>
      <c r="KEY54" s="1011"/>
      <c r="KEZ54" s="1011"/>
      <c r="KFA54" s="1011"/>
      <c r="KFB54" s="1011"/>
      <c r="KFC54" s="1011"/>
      <c r="KFD54" s="1011"/>
      <c r="KFE54" s="1011"/>
      <c r="KFF54" s="1011"/>
      <c r="KFG54" s="1011"/>
      <c r="KFH54" s="1011"/>
      <c r="KFI54" s="1011"/>
      <c r="KFJ54" s="1011"/>
      <c r="KFK54" s="1011"/>
      <c r="KFL54" s="1011"/>
      <c r="KFM54" s="1011"/>
      <c r="KFN54" s="1011"/>
      <c r="KFO54" s="1011"/>
      <c r="KFP54" s="1011"/>
      <c r="KFQ54" s="1011"/>
      <c r="KFR54" s="1011"/>
      <c r="KFS54" s="1011"/>
      <c r="KFT54" s="1011"/>
      <c r="KFU54" s="1011"/>
      <c r="KFV54" s="1011"/>
      <c r="KFW54" s="1011"/>
      <c r="KFX54" s="1011"/>
      <c r="KFY54" s="1011"/>
      <c r="KFZ54" s="1011"/>
      <c r="KGA54" s="1011"/>
      <c r="KGB54" s="1011"/>
      <c r="KGC54" s="1011"/>
      <c r="KGD54" s="1011"/>
      <c r="KGE54" s="1011"/>
      <c r="KGF54" s="1011"/>
      <c r="KGG54" s="1011"/>
      <c r="KGH54" s="1011"/>
      <c r="KGI54" s="1011"/>
      <c r="KGJ54" s="1011"/>
      <c r="KGK54" s="1011"/>
      <c r="KGL54" s="1011"/>
      <c r="KGM54" s="1011"/>
      <c r="KGN54" s="1011"/>
      <c r="KGO54" s="1011"/>
      <c r="KGP54" s="1011"/>
      <c r="KGQ54" s="1011"/>
      <c r="KGR54" s="1011"/>
      <c r="KGS54" s="1011"/>
      <c r="KGT54" s="1011"/>
      <c r="KGU54" s="1011"/>
      <c r="KGV54" s="1011"/>
      <c r="KGW54" s="1011"/>
      <c r="KGX54" s="1011"/>
      <c r="KGY54" s="1011"/>
      <c r="KGZ54" s="1011"/>
      <c r="KHA54" s="1011"/>
      <c r="KHB54" s="1011"/>
      <c r="KHC54" s="1011"/>
      <c r="KHD54" s="1011"/>
      <c r="KHE54" s="1011"/>
      <c r="KHF54" s="1011"/>
      <c r="KHG54" s="1011"/>
      <c r="KHH54" s="1011"/>
      <c r="KHI54" s="1011"/>
      <c r="KHJ54" s="1011"/>
      <c r="KHK54" s="1011"/>
      <c r="KHL54" s="1011"/>
      <c r="KHM54" s="1011"/>
      <c r="KHN54" s="1011"/>
      <c r="KHO54" s="1011"/>
      <c r="KHP54" s="1011"/>
      <c r="KHQ54" s="1011"/>
      <c r="KHR54" s="1011"/>
      <c r="KHS54" s="1011"/>
      <c r="KHT54" s="1011"/>
      <c r="KHU54" s="1011"/>
      <c r="KHV54" s="1011"/>
      <c r="KHW54" s="1011"/>
      <c r="KHX54" s="1011"/>
      <c r="KHY54" s="1011"/>
      <c r="KHZ54" s="1011"/>
      <c r="KIA54" s="1011"/>
      <c r="KIB54" s="1011"/>
      <c r="KIC54" s="1011"/>
      <c r="KID54" s="1011"/>
      <c r="KIE54" s="1011"/>
      <c r="KIF54" s="1011"/>
      <c r="KIG54" s="1011"/>
      <c r="KIH54" s="1011"/>
      <c r="KII54" s="1011"/>
      <c r="KIJ54" s="1011"/>
      <c r="KIK54" s="1011"/>
      <c r="KIL54" s="1011"/>
      <c r="KIM54" s="1011"/>
      <c r="KIN54" s="1011"/>
      <c r="KIO54" s="1011"/>
      <c r="KIP54" s="1011"/>
      <c r="KIQ54" s="1011"/>
      <c r="KIR54" s="1011"/>
      <c r="KIS54" s="1011"/>
      <c r="KIT54" s="1011"/>
      <c r="KIU54" s="1011"/>
      <c r="KIV54" s="1011"/>
      <c r="KIW54" s="1011"/>
      <c r="KIX54" s="1011"/>
      <c r="KIY54" s="1011"/>
      <c r="KIZ54" s="1011"/>
      <c r="KJA54" s="1011"/>
      <c r="KJB54" s="1011"/>
      <c r="KJC54" s="1011"/>
      <c r="KJD54" s="1011"/>
      <c r="KJE54" s="1011"/>
      <c r="KJF54" s="1011"/>
      <c r="KJG54" s="1011"/>
      <c r="KJH54" s="1011"/>
      <c r="KJI54" s="1011"/>
      <c r="KJJ54" s="1011"/>
      <c r="KJK54" s="1011"/>
      <c r="KJL54" s="1011"/>
      <c r="KJM54" s="1011"/>
      <c r="KJN54" s="1011"/>
      <c r="KJO54" s="1011"/>
      <c r="KJP54" s="1011"/>
      <c r="KJQ54" s="1011"/>
      <c r="KJR54" s="1011"/>
      <c r="KJS54" s="1011"/>
      <c r="KJT54" s="1011"/>
      <c r="KJU54" s="1011"/>
      <c r="KJV54" s="1011"/>
      <c r="KJW54" s="1011"/>
      <c r="KJX54" s="1011"/>
      <c r="KJY54" s="1011"/>
      <c r="KJZ54" s="1011"/>
      <c r="KKA54" s="1011"/>
      <c r="KKB54" s="1011"/>
      <c r="KKC54" s="1011"/>
      <c r="KKD54" s="1011"/>
      <c r="KKE54" s="1011"/>
      <c r="KKF54" s="1011"/>
      <c r="KKG54" s="1011"/>
      <c r="KKH54" s="1011"/>
      <c r="KKI54" s="1011"/>
      <c r="KKJ54" s="1011"/>
      <c r="KKK54" s="1011"/>
      <c r="KKL54" s="1011"/>
      <c r="KKM54" s="1011"/>
      <c r="KKN54" s="1011"/>
      <c r="KKO54" s="1011"/>
      <c r="KKP54" s="1011"/>
      <c r="KKQ54" s="1011"/>
      <c r="KKR54" s="1011"/>
      <c r="KKS54" s="1011"/>
      <c r="KKT54" s="1011"/>
      <c r="KKU54" s="1011"/>
      <c r="KKV54" s="1011"/>
      <c r="KKW54" s="1011"/>
      <c r="KKX54" s="1011"/>
      <c r="KKY54" s="1011"/>
      <c r="KKZ54" s="1011"/>
      <c r="KLA54" s="1011"/>
      <c r="KLB54" s="1011"/>
      <c r="KLC54" s="1011"/>
      <c r="KLD54" s="1011"/>
      <c r="KLE54" s="1011"/>
      <c r="KLF54" s="1011"/>
      <c r="KLG54" s="1011"/>
      <c r="KLH54" s="1011"/>
      <c r="KLI54" s="1011"/>
      <c r="KLJ54" s="1011"/>
      <c r="KLK54" s="1011"/>
      <c r="KLL54" s="1011"/>
      <c r="KLM54" s="1011"/>
      <c r="KLN54" s="1011"/>
      <c r="KLO54" s="1011"/>
      <c r="KLP54" s="1011"/>
      <c r="KLQ54" s="1011"/>
      <c r="KLR54" s="1011"/>
      <c r="KLS54" s="1011"/>
      <c r="KLT54" s="1011"/>
      <c r="KLU54" s="1011"/>
      <c r="KLV54" s="1011"/>
      <c r="KLW54" s="1011"/>
      <c r="KLX54" s="1011"/>
      <c r="KLY54" s="1011"/>
      <c r="KLZ54" s="1011"/>
      <c r="KMA54" s="1011"/>
      <c r="KMB54" s="1011"/>
      <c r="KMC54" s="1011"/>
      <c r="KMD54" s="1011"/>
      <c r="KME54" s="1011"/>
      <c r="KMF54" s="1011"/>
      <c r="KMG54" s="1011"/>
      <c r="KMH54" s="1011"/>
      <c r="KMI54" s="1011"/>
      <c r="KMJ54" s="1011"/>
      <c r="KMK54" s="1011"/>
      <c r="KML54" s="1011"/>
      <c r="KMM54" s="1011"/>
      <c r="KMN54" s="1011"/>
      <c r="KMO54" s="1011"/>
      <c r="KMP54" s="1011"/>
      <c r="KMQ54" s="1011"/>
      <c r="KMR54" s="1011"/>
      <c r="KMS54" s="1011"/>
      <c r="KMT54" s="1011"/>
      <c r="KMU54" s="1011"/>
      <c r="KMV54" s="1011"/>
      <c r="KMW54" s="1011"/>
      <c r="KMX54" s="1011"/>
      <c r="KMY54" s="1011"/>
      <c r="KMZ54" s="1011"/>
      <c r="KNA54" s="1011"/>
      <c r="KNB54" s="1011"/>
      <c r="KNC54" s="1011"/>
      <c r="KND54" s="1011"/>
      <c r="KNE54" s="1011"/>
      <c r="KNF54" s="1011"/>
      <c r="KNG54" s="1011"/>
      <c r="KNH54" s="1011"/>
      <c r="KNI54" s="1011"/>
      <c r="KNJ54" s="1011"/>
      <c r="KNK54" s="1011"/>
      <c r="KNL54" s="1011"/>
      <c r="KNM54" s="1011"/>
      <c r="KNN54" s="1011"/>
      <c r="KNO54" s="1011"/>
      <c r="KNP54" s="1011"/>
      <c r="KNQ54" s="1011"/>
      <c r="KNR54" s="1011"/>
      <c r="KNS54" s="1011"/>
      <c r="KNT54" s="1011"/>
      <c r="KNU54" s="1011"/>
      <c r="KNV54" s="1011"/>
      <c r="KNW54" s="1011"/>
      <c r="KNX54" s="1011"/>
      <c r="KNY54" s="1011"/>
      <c r="KNZ54" s="1011"/>
      <c r="KOA54" s="1011"/>
      <c r="KOB54" s="1011"/>
      <c r="KOC54" s="1011"/>
      <c r="KOD54" s="1011"/>
      <c r="KOE54" s="1011"/>
      <c r="KOF54" s="1011"/>
      <c r="KOG54" s="1011"/>
      <c r="KOH54" s="1011"/>
      <c r="KOI54" s="1011"/>
      <c r="KOJ54" s="1011"/>
      <c r="KOK54" s="1011"/>
      <c r="KOL54" s="1011"/>
      <c r="KOM54" s="1011"/>
      <c r="KON54" s="1011"/>
      <c r="KOO54" s="1011"/>
      <c r="KOP54" s="1011"/>
      <c r="KOQ54" s="1011"/>
      <c r="KOR54" s="1011"/>
      <c r="KOS54" s="1011"/>
      <c r="KOT54" s="1011"/>
      <c r="KOU54" s="1011"/>
      <c r="KOV54" s="1011"/>
      <c r="KOW54" s="1011"/>
      <c r="KOX54" s="1011"/>
      <c r="KOY54" s="1011"/>
      <c r="KOZ54" s="1011"/>
      <c r="KPA54" s="1011"/>
      <c r="KPB54" s="1011"/>
      <c r="KPC54" s="1011"/>
      <c r="KPD54" s="1011"/>
      <c r="KPE54" s="1011"/>
      <c r="KPF54" s="1011"/>
      <c r="KPG54" s="1011"/>
      <c r="KPH54" s="1011"/>
      <c r="KPI54" s="1011"/>
      <c r="KPJ54" s="1011"/>
      <c r="KPK54" s="1011"/>
      <c r="KPL54" s="1011"/>
      <c r="KPM54" s="1011"/>
      <c r="KPN54" s="1011"/>
      <c r="KPO54" s="1011"/>
      <c r="KPP54" s="1011"/>
      <c r="KPQ54" s="1011"/>
      <c r="KPR54" s="1011"/>
      <c r="KPS54" s="1011"/>
      <c r="KPT54" s="1011"/>
      <c r="KPU54" s="1011"/>
      <c r="KPV54" s="1011"/>
      <c r="KPW54" s="1011"/>
      <c r="KPX54" s="1011"/>
      <c r="KPY54" s="1011"/>
      <c r="KPZ54" s="1011"/>
      <c r="KQA54" s="1011"/>
      <c r="KQB54" s="1011"/>
      <c r="KQC54" s="1011"/>
      <c r="KQD54" s="1011"/>
      <c r="KQE54" s="1011"/>
      <c r="KQF54" s="1011"/>
      <c r="KQG54" s="1011"/>
      <c r="KQH54" s="1011"/>
      <c r="KQI54" s="1011"/>
      <c r="KQJ54" s="1011"/>
      <c r="KQK54" s="1011"/>
      <c r="KQL54" s="1011"/>
      <c r="KQM54" s="1011"/>
      <c r="KQN54" s="1011"/>
      <c r="KQO54" s="1011"/>
      <c r="KQP54" s="1011"/>
      <c r="KQQ54" s="1011"/>
      <c r="KQR54" s="1011"/>
      <c r="KQS54" s="1011"/>
      <c r="KQT54" s="1011"/>
      <c r="KQU54" s="1011"/>
      <c r="KQV54" s="1011"/>
      <c r="KQW54" s="1011"/>
      <c r="KQX54" s="1011"/>
      <c r="KQY54" s="1011"/>
      <c r="KQZ54" s="1011"/>
      <c r="KRA54" s="1011"/>
      <c r="KRB54" s="1011"/>
      <c r="KRC54" s="1011"/>
      <c r="KRD54" s="1011"/>
      <c r="KRE54" s="1011"/>
      <c r="KRF54" s="1011"/>
      <c r="KRG54" s="1011"/>
      <c r="KRH54" s="1011"/>
      <c r="KRI54" s="1011"/>
      <c r="KRJ54" s="1011"/>
      <c r="KRK54" s="1011"/>
      <c r="KRL54" s="1011"/>
      <c r="KRM54" s="1011"/>
      <c r="KRN54" s="1011"/>
      <c r="KRO54" s="1011"/>
      <c r="KRP54" s="1011"/>
      <c r="KRQ54" s="1011"/>
      <c r="KRR54" s="1011"/>
      <c r="KRS54" s="1011"/>
      <c r="KRT54" s="1011"/>
      <c r="KRU54" s="1011"/>
      <c r="KRV54" s="1011"/>
      <c r="KRW54" s="1011"/>
      <c r="KRX54" s="1011"/>
      <c r="KRY54" s="1011"/>
      <c r="KRZ54" s="1011"/>
      <c r="KSA54" s="1011"/>
      <c r="KSB54" s="1011"/>
      <c r="KSC54" s="1011"/>
      <c r="KSD54" s="1011"/>
      <c r="KSE54" s="1011"/>
      <c r="KSF54" s="1011"/>
      <c r="KSG54" s="1011"/>
      <c r="KSH54" s="1011"/>
      <c r="KSI54" s="1011"/>
      <c r="KSJ54" s="1011"/>
      <c r="KSK54" s="1011"/>
      <c r="KSL54" s="1011"/>
      <c r="KSM54" s="1011"/>
      <c r="KSN54" s="1011"/>
      <c r="KSO54" s="1011"/>
      <c r="KSP54" s="1011"/>
      <c r="KSQ54" s="1011"/>
      <c r="KSR54" s="1011"/>
      <c r="KSS54" s="1011"/>
      <c r="KST54" s="1011"/>
      <c r="KSU54" s="1011"/>
      <c r="KSV54" s="1011"/>
      <c r="KSW54" s="1011"/>
      <c r="KSX54" s="1011"/>
      <c r="KSY54" s="1011"/>
      <c r="KSZ54" s="1011"/>
      <c r="KTA54" s="1011"/>
      <c r="KTB54" s="1011"/>
      <c r="KTC54" s="1011"/>
      <c r="KTD54" s="1011"/>
      <c r="KTE54" s="1011"/>
      <c r="KTF54" s="1011"/>
      <c r="KTG54" s="1011"/>
      <c r="KTH54" s="1011"/>
      <c r="KTI54" s="1011"/>
      <c r="KTJ54" s="1011"/>
      <c r="KTK54" s="1011"/>
      <c r="KTL54" s="1011"/>
      <c r="KTM54" s="1011"/>
      <c r="KTN54" s="1011"/>
      <c r="KTO54" s="1011"/>
      <c r="KTP54" s="1011"/>
      <c r="KTQ54" s="1011"/>
      <c r="KTR54" s="1011"/>
      <c r="KTS54" s="1011"/>
      <c r="KTT54" s="1011"/>
      <c r="KTU54" s="1011"/>
      <c r="KTV54" s="1011"/>
      <c r="KTW54" s="1011"/>
      <c r="KTX54" s="1011"/>
      <c r="KTY54" s="1011"/>
      <c r="KTZ54" s="1011"/>
      <c r="KUA54" s="1011"/>
      <c r="KUB54" s="1011"/>
      <c r="KUC54" s="1011"/>
      <c r="KUD54" s="1011"/>
      <c r="KUE54" s="1011"/>
      <c r="KUF54" s="1011"/>
      <c r="KUG54" s="1011"/>
      <c r="KUH54" s="1011"/>
      <c r="KUI54" s="1011"/>
      <c r="KUJ54" s="1011"/>
      <c r="KUK54" s="1011"/>
      <c r="KUL54" s="1011"/>
      <c r="KUM54" s="1011"/>
      <c r="KUN54" s="1011"/>
      <c r="KUO54" s="1011"/>
      <c r="KUP54" s="1011"/>
      <c r="KUQ54" s="1011"/>
      <c r="KUR54" s="1011"/>
      <c r="KUS54" s="1011"/>
      <c r="KUT54" s="1011"/>
      <c r="KUU54" s="1011"/>
      <c r="KUV54" s="1011"/>
      <c r="KUW54" s="1011"/>
      <c r="KUX54" s="1011"/>
      <c r="KUY54" s="1011"/>
      <c r="KUZ54" s="1011"/>
      <c r="KVA54" s="1011"/>
      <c r="KVB54" s="1011"/>
      <c r="KVC54" s="1011"/>
      <c r="KVD54" s="1011"/>
      <c r="KVE54" s="1011"/>
      <c r="KVF54" s="1011"/>
      <c r="KVG54" s="1011"/>
      <c r="KVH54" s="1011"/>
      <c r="KVI54" s="1011"/>
      <c r="KVJ54" s="1011"/>
      <c r="KVK54" s="1011"/>
      <c r="KVL54" s="1011"/>
      <c r="KVM54" s="1011"/>
      <c r="KVN54" s="1011"/>
      <c r="KVO54" s="1011"/>
      <c r="KVP54" s="1011"/>
      <c r="KVQ54" s="1011"/>
      <c r="KVR54" s="1011"/>
      <c r="KVS54" s="1011"/>
      <c r="KVT54" s="1011"/>
      <c r="KVU54" s="1011"/>
      <c r="KVV54" s="1011"/>
      <c r="KVW54" s="1011"/>
      <c r="KVX54" s="1011"/>
      <c r="KVY54" s="1011"/>
      <c r="KVZ54" s="1011"/>
      <c r="KWA54" s="1011"/>
      <c r="KWB54" s="1011"/>
      <c r="KWC54" s="1011"/>
      <c r="KWD54" s="1011"/>
      <c r="KWE54" s="1011"/>
      <c r="KWF54" s="1011"/>
      <c r="KWG54" s="1011"/>
      <c r="KWH54" s="1011"/>
      <c r="KWI54" s="1011"/>
      <c r="KWJ54" s="1011"/>
      <c r="KWK54" s="1011"/>
      <c r="KWL54" s="1011"/>
      <c r="KWM54" s="1011"/>
      <c r="KWN54" s="1011"/>
      <c r="KWO54" s="1011"/>
      <c r="KWP54" s="1011"/>
      <c r="KWQ54" s="1011"/>
      <c r="KWR54" s="1011"/>
      <c r="KWS54" s="1011"/>
      <c r="KWT54" s="1011"/>
      <c r="KWU54" s="1011"/>
      <c r="KWV54" s="1011"/>
      <c r="KWW54" s="1011"/>
      <c r="KWX54" s="1011"/>
      <c r="KWY54" s="1011"/>
      <c r="KWZ54" s="1011"/>
      <c r="KXA54" s="1011"/>
      <c r="KXB54" s="1011"/>
      <c r="KXC54" s="1011"/>
      <c r="KXD54" s="1011"/>
      <c r="KXE54" s="1011"/>
      <c r="KXF54" s="1011"/>
      <c r="KXG54" s="1011"/>
      <c r="KXH54" s="1011"/>
      <c r="KXI54" s="1011"/>
      <c r="KXJ54" s="1011"/>
      <c r="KXK54" s="1011"/>
      <c r="KXL54" s="1011"/>
      <c r="KXM54" s="1011"/>
      <c r="KXN54" s="1011"/>
      <c r="KXO54" s="1011"/>
      <c r="KXP54" s="1011"/>
      <c r="KXQ54" s="1011"/>
      <c r="KXR54" s="1011"/>
      <c r="KXS54" s="1011"/>
      <c r="KXT54" s="1011"/>
      <c r="KXU54" s="1011"/>
      <c r="KXV54" s="1011"/>
      <c r="KXW54" s="1011"/>
      <c r="KXX54" s="1011"/>
      <c r="KXY54" s="1011"/>
      <c r="KXZ54" s="1011"/>
      <c r="KYA54" s="1011"/>
      <c r="KYB54" s="1011"/>
      <c r="KYC54" s="1011"/>
      <c r="KYD54" s="1011"/>
      <c r="KYE54" s="1011"/>
      <c r="KYF54" s="1011"/>
      <c r="KYG54" s="1011"/>
      <c r="KYH54" s="1011"/>
      <c r="KYI54" s="1011"/>
      <c r="KYJ54" s="1011"/>
      <c r="KYK54" s="1011"/>
      <c r="KYL54" s="1011"/>
      <c r="KYM54" s="1011"/>
      <c r="KYN54" s="1011"/>
      <c r="KYO54" s="1011"/>
      <c r="KYP54" s="1011"/>
      <c r="KYQ54" s="1011"/>
      <c r="KYR54" s="1011"/>
      <c r="KYS54" s="1011"/>
      <c r="KYT54" s="1011"/>
      <c r="KYU54" s="1011"/>
      <c r="KYV54" s="1011"/>
      <c r="KYW54" s="1011"/>
      <c r="KYX54" s="1011"/>
      <c r="KYY54" s="1011"/>
      <c r="KYZ54" s="1011"/>
      <c r="KZA54" s="1011"/>
      <c r="KZB54" s="1011"/>
      <c r="KZC54" s="1011"/>
      <c r="KZD54" s="1011"/>
      <c r="KZE54" s="1011"/>
      <c r="KZF54" s="1011"/>
      <c r="KZG54" s="1011"/>
      <c r="KZH54" s="1011"/>
      <c r="KZI54" s="1011"/>
      <c r="KZJ54" s="1011"/>
      <c r="KZK54" s="1011"/>
      <c r="KZL54" s="1011"/>
      <c r="KZM54" s="1011"/>
      <c r="KZN54" s="1011"/>
      <c r="KZO54" s="1011"/>
      <c r="KZP54" s="1011"/>
      <c r="KZQ54" s="1011"/>
      <c r="KZR54" s="1011"/>
      <c r="KZS54" s="1011"/>
      <c r="KZT54" s="1011"/>
      <c r="KZU54" s="1011"/>
      <c r="KZV54" s="1011"/>
      <c r="KZW54" s="1011"/>
      <c r="KZX54" s="1011"/>
      <c r="KZY54" s="1011"/>
      <c r="KZZ54" s="1011"/>
      <c r="LAA54" s="1011"/>
      <c r="LAB54" s="1011"/>
      <c r="LAC54" s="1011"/>
      <c r="LAD54" s="1011"/>
      <c r="LAE54" s="1011"/>
      <c r="LAF54" s="1011"/>
      <c r="LAG54" s="1011"/>
      <c r="LAH54" s="1011"/>
      <c r="LAI54" s="1011"/>
      <c r="LAJ54" s="1011"/>
      <c r="LAK54" s="1011"/>
      <c r="LAL54" s="1011"/>
      <c r="LAM54" s="1011"/>
      <c r="LAN54" s="1011"/>
      <c r="LAO54" s="1011"/>
      <c r="LAP54" s="1011"/>
      <c r="LAQ54" s="1011"/>
      <c r="LAR54" s="1011"/>
      <c r="LAS54" s="1011"/>
      <c r="LAT54" s="1011"/>
      <c r="LAU54" s="1011"/>
      <c r="LAV54" s="1011"/>
      <c r="LAW54" s="1011"/>
      <c r="LAX54" s="1011"/>
      <c r="LAY54" s="1011"/>
      <c r="LAZ54" s="1011"/>
      <c r="LBA54" s="1011"/>
      <c r="LBB54" s="1011"/>
      <c r="LBC54" s="1011"/>
      <c r="LBD54" s="1011"/>
      <c r="LBE54" s="1011"/>
      <c r="LBF54" s="1011"/>
      <c r="LBG54" s="1011"/>
      <c r="LBH54" s="1011"/>
      <c r="LBI54" s="1011"/>
      <c r="LBJ54" s="1011"/>
      <c r="LBK54" s="1011"/>
      <c r="LBL54" s="1011"/>
      <c r="LBM54" s="1011"/>
      <c r="LBN54" s="1011"/>
      <c r="LBO54" s="1011"/>
      <c r="LBP54" s="1011"/>
      <c r="LBQ54" s="1011"/>
      <c r="LBR54" s="1011"/>
      <c r="LBS54" s="1011"/>
      <c r="LBT54" s="1011"/>
      <c r="LBU54" s="1011"/>
      <c r="LBV54" s="1011"/>
      <c r="LBW54" s="1011"/>
      <c r="LBX54" s="1011"/>
      <c r="LBY54" s="1011"/>
      <c r="LBZ54" s="1011"/>
      <c r="LCA54" s="1011"/>
      <c r="LCB54" s="1011"/>
      <c r="LCC54" s="1011"/>
      <c r="LCD54" s="1011"/>
      <c r="LCE54" s="1011"/>
      <c r="LCF54" s="1011"/>
      <c r="LCG54" s="1011"/>
      <c r="LCH54" s="1011"/>
      <c r="LCI54" s="1011"/>
      <c r="LCJ54" s="1011"/>
      <c r="LCK54" s="1011"/>
      <c r="LCL54" s="1011"/>
      <c r="LCM54" s="1011"/>
      <c r="LCN54" s="1011"/>
      <c r="LCO54" s="1011"/>
      <c r="LCP54" s="1011"/>
      <c r="LCQ54" s="1011"/>
      <c r="LCR54" s="1011"/>
      <c r="LCS54" s="1011"/>
      <c r="LCT54" s="1011"/>
      <c r="LCU54" s="1011"/>
      <c r="LCV54" s="1011"/>
      <c r="LCW54" s="1011"/>
      <c r="LCX54" s="1011"/>
      <c r="LCY54" s="1011"/>
      <c r="LCZ54" s="1011"/>
      <c r="LDA54" s="1011"/>
      <c r="LDB54" s="1011"/>
      <c r="LDC54" s="1011"/>
      <c r="LDD54" s="1011"/>
      <c r="LDE54" s="1011"/>
      <c r="LDF54" s="1011"/>
      <c r="LDG54" s="1011"/>
      <c r="LDH54" s="1011"/>
      <c r="LDI54" s="1011"/>
      <c r="LDJ54" s="1011"/>
      <c r="LDK54" s="1011"/>
      <c r="LDL54" s="1011"/>
      <c r="LDM54" s="1011"/>
      <c r="LDN54" s="1011"/>
      <c r="LDO54" s="1011"/>
      <c r="LDP54" s="1011"/>
      <c r="LDQ54" s="1011"/>
      <c r="LDR54" s="1011"/>
      <c r="LDS54" s="1011"/>
      <c r="LDT54" s="1011"/>
      <c r="LDU54" s="1011"/>
      <c r="LDV54" s="1011"/>
      <c r="LDW54" s="1011"/>
      <c r="LDX54" s="1011"/>
      <c r="LDY54" s="1011"/>
      <c r="LDZ54" s="1011"/>
      <c r="LEA54" s="1011"/>
      <c r="LEB54" s="1011"/>
      <c r="LEC54" s="1011"/>
      <c r="LED54" s="1011"/>
      <c r="LEE54" s="1011"/>
      <c r="LEF54" s="1011"/>
      <c r="LEG54" s="1011"/>
      <c r="LEH54" s="1011"/>
      <c r="LEI54" s="1011"/>
      <c r="LEJ54" s="1011"/>
      <c r="LEK54" s="1011"/>
      <c r="LEL54" s="1011"/>
      <c r="LEM54" s="1011"/>
      <c r="LEN54" s="1011"/>
      <c r="LEO54" s="1011"/>
      <c r="LEP54" s="1011"/>
      <c r="LEQ54" s="1011"/>
      <c r="LER54" s="1011"/>
      <c r="LES54" s="1011"/>
      <c r="LET54" s="1011"/>
      <c r="LEU54" s="1011"/>
      <c r="LEV54" s="1011"/>
      <c r="LEW54" s="1011"/>
      <c r="LEX54" s="1011"/>
      <c r="LEY54" s="1011"/>
      <c r="LEZ54" s="1011"/>
      <c r="LFA54" s="1011"/>
      <c r="LFB54" s="1011"/>
      <c r="LFC54" s="1011"/>
      <c r="LFD54" s="1011"/>
      <c r="LFE54" s="1011"/>
      <c r="LFF54" s="1011"/>
      <c r="LFG54" s="1011"/>
      <c r="LFH54" s="1011"/>
      <c r="LFI54" s="1011"/>
      <c r="LFJ54" s="1011"/>
      <c r="LFK54" s="1011"/>
      <c r="LFL54" s="1011"/>
      <c r="LFM54" s="1011"/>
      <c r="LFN54" s="1011"/>
      <c r="LFO54" s="1011"/>
      <c r="LFP54" s="1011"/>
      <c r="LFQ54" s="1011"/>
      <c r="LFR54" s="1011"/>
      <c r="LFS54" s="1011"/>
      <c r="LFT54" s="1011"/>
      <c r="LFU54" s="1011"/>
      <c r="LFV54" s="1011"/>
      <c r="LFW54" s="1011"/>
      <c r="LFX54" s="1011"/>
      <c r="LFY54" s="1011"/>
      <c r="LFZ54" s="1011"/>
      <c r="LGA54" s="1011"/>
      <c r="LGB54" s="1011"/>
      <c r="LGC54" s="1011"/>
      <c r="LGD54" s="1011"/>
      <c r="LGE54" s="1011"/>
      <c r="LGF54" s="1011"/>
      <c r="LGG54" s="1011"/>
      <c r="LGH54" s="1011"/>
      <c r="LGI54" s="1011"/>
      <c r="LGJ54" s="1011"/>
      <c r="LGK54" s="1011"/>
      <c r="LGL54" s="1011"/>
      <c r="LGM54" s="1011"/>
      <c r="LGN54" s="1011"/>
      <c r="LGO54" s="1011"/>
      <c r="LGP54" s="1011"/>
      <c r="LGQ54" s="1011"/>
      <c r="LGR54" s="1011"/>
      <c r="LGS54" s="1011"/>
      <c r="LGT54" s="1011"/>
      <c r="LGU54" s="1011"/>
      <c r="LGV54" s="1011"/>
      <c r="LGW54" s="1011"/>
      <c r="LGX54" s="1011"/>
      <c r="LGY54" s="1011"/>
      <c r="LGZ54" s="1011"/>
      <c r="LHA54" s="1011"/>
      <c r="LHB54" s="1011"/>
      <c r="LHC54" s="1011"/>
      <c r="LHD54" s="1011"/>
      <c r="LHE54" s="1011"/>
      <c r="LHF54" s="1011"/>
      <c r="LHG54" s="1011"/>
      <c r="LHH54" s="1011"/>
      <c r="LHI54" s="1011"/>
      <c r="LHJ54" s="1011"/>
      <c r="LHK54" s="1011"/>
      <c r="LHL54" s="1011"/>
      <c r="LHM54" s="1011"/>
      <c r="LHN54" s="1011"/>
      <c r="LHO54" s="1011"/>
      <c r="LHP54" s="1011"/>
      <c r="LHQ54" s="1011"/>
      <c r="LHR54" s="1011"/>
      <c r="LHS54" s="1011"/>
      <c r="LHT54" s="1011"/>
      <c r="LHU54" s="1011"/>
      <c r="LHV54" s="1011"/>
      <c r="LHW54" s="1011"/>
      <c r="LHX54" s="1011"/>
      <c r="LHY54" s="1011"/>
      <c r="LHZ54" s="1011"/>
      <c r="LIA54" s="1011"/>
      <c r="LIB54" s="1011"/>
      <c r="LIC54" s="1011"/>
      <c r="LID54" s="1011"/>
      <c r="LIE54" s="1011"/>
      <c r="LIF54" s="1011"/>
      <c r="LIG54" s="1011"/>
      <c r="LIH54" s="1011"/>
      <c r="LII54" s="1011"/>
      <c r="LIJ54" s="1011"/>
      <c r="LIK54" s="1011"/>
      <c r="LIL54" s="1011"/>
      <c r="LIM54" s="1011"/>
      <c r="LIN54" s="1011"/>
      <c r="LIO54" s="1011"/>
      <c r="LIP54" s="1011"/>
      <c r="LIQ54" s="1011"/>
      <c r="LIR54" s="1011"/>
      <c r="LIS54" s="1011"/>
      <c r="LIT54" s="1011"/>
      <c r="LIU54" s="1011"/>
      <c r="LIV54" s="1011"/>
      <c r="LIW54" s="1011"/>
      <c r="LIX54" s="1011"/>
      <c r="LIY54" s="1011"/>
      <c r="LIZ54" s="1011"/>
      <c r="LJA54" s="1011"/>
      <c r="LJB54" s="1011"/>
      <c r="LJC54" s="1011"/>
      <c r="LJD54" s="1011"/>
      <c r="LJE54" s="1011"/>
      <c r="LJF54" s="1011"/>
      <c r="LJG54" s="1011"/>
      <c r="LJH54" s="1011"/>
      <c r="LJI54" s="1011"/>
      <c r="LJJ54" s="1011"/>
      <c r="LJK54" s="1011"/>
      <c r="LJL54" s="1011"/>
      <c r="LJM54" s="1011"/>
      <c r="LJN54" s="1011"/>
      <c r="LJO54" s="1011"/>
      <c r="LJP54" s="1011"/>
      <c r="LJQ54" s="1011"/>
      <c r="LJR54" s="1011"/>
      <c r="LJS54" s="1011"/>
      <c r="LJT54" s="1011"/>
      <c r="LJU54" s="1011"/>
      <c r="LJV54" s="1011"/>
      <c r="LJW54" s="1011"/>
      <c r="LJX54" s="1011"/>
      <c r="LJY54" s="1011"/>
      <c r="LJZ54" s="1011"/>
      <c r="LKA54" s="1011"/>
      <c r="LKB54" s="1011"/>
      <c r="LKC54" s="1011"/>
      <c r="LKD54" s="1011"/>
      <c r="LKE54" s="1011"/>
      <c r="LKF54" s="1011"/>
      <c r="LKG54" s="1011"/>
      <c r="LKH54" s="1011"/>
      <c r="LKI54" s="1011"/>
      <c r="LKJ54" s="1011"/>
      <c r="LKK54" s="1011"/>
      <c r="LKL54" s="1011"/>
      <c r="LKM54" s="1011"/>
      <c r="LKN54" s="1011"/>
      <c r="LKO54" s="1011"/>
      <c r="LKP54" s="1011"/>
      <c r="LKQ54" s="1011"/>
      <c r="LKR54" s="1011"/>
      <c r="LKS54" s="1011"/>
      <c r="LKT54" s="1011"/>
      <c r="LKU54" s="1011"/>
      <c r="LKV54" s="1011"/>
      <c r="LKW54" s="1011"/>
      <c r="LKX54" s="1011"/>
      <c r="LKY54" s="1011"/>
      <c r="LKZ54" s="1011"/>
      <c r="LLA54" s="1011"/>
      <c r="LLB54" s="1011"/>
      <c r="LLC54" s="1011"/>
      <c r="LLD54" s="1011"/>
      <c r="LLE54" s="1011"/>
      <c r="LLF54" s="1011"/>
      <c r="LLG54" s="1011"/>
      <c r="LLH54" s="1011"/>
      <c r="LLI54" s="1011"/>
      <c r="LLJ54" s="1011"/>
      <c r="LLK54" s="1011"/>
      <c r="LLL54" s="1011"/>
      <c r="LLM54" s="1011"/>
      <c r="LLN54" s="1011"/>
      <c r="LLO54" s="1011"/>
      <c r="LLP54" s="1011"/>
      <c r="LLQ54" s="1011"/>
      <c r="LLR54" s="1011"/>
      <c r="LLS54" s="1011"/>
      <c r="LLT54" s="1011"/>
      <c r="LLU54" s="1011"/>
      <c r="LLV54" s="1011"/>
      <c r="LLW54" s="1011"/>
      <c r="LLX54" s="1011"/>
      <c r="LLY54" s="1011"/>
      <c r="LLZ54" s="1011"/>
      <c r="LMA54" s="1011"/>
      <c r="LMB54" s="1011"/>
      <c r="LMC54" s="1011"/>
      <c r="LMD54" s="1011"/>
      <c r="LME54" s="1011"/>
      <c r="LMF54" s="1011"/>
      <c r="LMG54" s="1011"/>
      <c r="LMH54" s="1011"/>
      <c r="LMI54" s="1011"/>
      <c r="LMJ54" s="1011"/>
      <c r="LMK54" s="1011"/>
      <c r="LML54" s="1011"/>
      <c r="LMM54" s="1011"/>
      <c r="LMN54" s="1011"/>
      <c r="LMO54" s="1011"/>
      <c r="LMP54" s="1011"/>
      <c r="LMQ54" s="1011"/>
      <c r="LMR54" s="1011"/>
      <c r="LMS54" s="1011"/>
      <c r="LMT54" s="1011"/>
      <c r="LMU54" s="1011"/>
      <c r="LMV54" s="1011"/>
      <c r="LMW54" s="1011"/>
      <c r="LMX54" s="1011"/>
      <c r="LMY54" s="1011"/>
      <c r="LMZ54" s="1011"/>
      <c r="LNA54" s="1011"/>
      <c r="LNB54" s="1011"/>
      <c r="LNC54" s="1011"/>
      <c r="LND54" s="1011"/>
      <c r="LNE54" s="1011"/>
      <c r="LNF54" s="1011"/>
      <c r="LNG54" s="1011"/>
      <c r="LNH54" s="1011"/>
      <c r="LNI54" s="1011"/>
      <c r="LNJ54" s="1011"/>
      <c r="LNK54" s="1011"/>
      <c r="LNL54" s="1011"/>
      <c r="LNM54" s="1011"/>
      <c r="LNN54" s="1011"/>
      <c r="LNO54" s="1011"/>
      <c r="LNP54" s="1011"/>
      <c r="LNQ54" s="1011"/>
      <c r="LNR54" s="1011"/>
      <c r="LNS54" s="1011"/>
      <c r="LNT54" s="1011"/>
      <c r="LNU54" s="1011"/>
      <c r="LNV54" s="1011"/>
      <c r="LNW54" s="1011"/>
      <c r="LNX54" s="1011"/>
      <c r="LNY54" s="1011"/>
      <c r="LNZ54" s="1011"/>
      <c r="LOA54" s="1011"/>
      <c r="LOB54" s="1011"/>
      <c r="LOC54" s="1011"/>
      <c r="LOD54" s="1011"/>
      <c r="LOE54" s="1011"/>
      <c r="LOF54" s="1011"/>
      <c r="LOG54" s="1011"/>
      <c r="LOH54" s="1011"/>
      <c r="LOI54" s="1011"/>
      <c r="LOJ54" s="1011"/>
      <c r="LOK54" s="1011"/>
      <c r="LOL54" s="1011"/>
      <c r="LOM54" s="1011"/>
      <c r="LON54" s="1011"/>
      <c r="LOO54" s="1011"/>
      <c r="LOP54" s="1011"/>
      <c r="LOQ54" s="1011"/>
      <c r="LOR54" s="1011"/>
      <c r="LOS54" s="1011"/>
      <c r="LOT54" s="1011"/>
      <c r="LOU54" s="1011"/>
      <c r="LOV54" s="1011"/>
      <c r="LOW54" s="1011"/>
      <c r="LOX54" s="1011"/>
      <c r="LOY54" s="1011"/>
      <c r="LOZ54" s="1011"/>
      <c r="LPA54" s="1011"/>
      <c r="LPB54" s="1011"/>
      <c r="LPC54" s="1011"/>
      <c r="LPD54" s="1011"/>
      <c r="LPE54" s="1011"/>
      <c r="LPF54" s="1011"/>
      <c r="LPG54" s="1011"/>
      <c r="LPH54" s="1011"/>
      <c r="LPI54" s="1011"/>
      <c r="LPJ54" s="1011"/>
      <c r="LPK54" s="1011"/>
      <c r="LPL54" s="1011"/>
      <c r="LPM54" s="1011"/>
      <c r="LPN54" s="1011"/>
      <c r="LPO54" s="1011"/>
      <c r="LPP54" s="1011"/>
      <c r="LPQ54" s="1011"/>
      <c r="LPR54" s="1011"/>
      <c r="LPS54" s="1011"/>
      <c r="LPT54" s="1011"/>
      <c r="LPU54" s="1011"/>
      <c r="LPV54" s="1011"/>
      <c r="LPW54" s="1011"/>
      <c r="LPX54" s="1011"/>
      <c r="LPY54" s="1011"/>
      <c r="LPZ54" s="1011"/>
      <c r="LQA54" s="1011"/>
      <c r="LQB54" s="1011"/>
      <c r="LQC54" s="1011"/>
      <c r="LQD54" s="1011"/>
      <c r="LQE54" s="1011"/>
      <c r="LQF54" s="1011"/>
      <c r="LQG54" s="1011"/>
      <c r="LQH54" s="1011"/>
      <c r="LQI54" s="1011"/>
      <c r="LQJ54" s="1011"/>
      <c r="LQK54" s="1011"/>
      <c r="LQL54" s="1011"/>
      <c r="LQM54" s="1011"/>
      <c r="LQN54" s="1011"/>
      <c r="LQO54" s="1011"/>
      <c r="LQP54" s="1011"/>
      <c r="LQQ54" s="1011"/>
      <c r="LQR54" s="1011"/>
      <c r="LQS54" s="1011"/>
      <c r="LQT54" s="1011"/>
      <c r="LQU54" s="1011"/>
      <c r="LQV54" s="1011"/>
      <c r="LQW54" s="1011"/>
      <c r="LQX54" s="1011"/>
      <c r="LQY54" s="1011"/>
      <c r="LQZ54" s="1011"/>
      <c r="LRA54" s="1011"/>
      <c r="LRB54" s="1011"/>
      <c r="LRC54" s="1011"/>
      <c r="LRD54" s="1011"/>
      <c r="LRE54" s="1011"/>
      <c r="LRF54" s="1011"/>
      <c r="LRG54" s="1011"/>
      <c r="LRH54" s="1011"/>
      <c r="LRI54" s="1011"/>
      <c r="LRJ54" s="1011"/>
      <c r="LRK54" s="1011"/>
      <c r="LRL54" s="1011"/>
      <c r="LRM54" s="1011"/>
      <c r="LRN54" s="1011"/>
      <c r="LRO54" s="1011"/>
      <c r="LRP54" s="1011"/>
      <c r="LRQ54" s="1011"/>
      <c r="LRR54" s="1011"/>
      <c r="LRS54" s="1011"/>
      <c r="LRT54" s="1011"/>
      <c r="LRU54" s="1011"/>
      <c r="LRV54" s="1011"/>
      <c r="LRW54" s="1011"/>
      <c r="LRX54" s="1011"/>
      <c r="LRY54" s="1011"/>
      <c r="LRZ54" s="1011"/>
      <c r="LSA54" s="1011"/>
      <c r="LSB54" s="1011"/>
      <c r="LSC54" s="1011"/>
      <c r="LSD54" s="1011"/>
      <c r="LSE54" s="1011"/>
      <c r="LSF54" s="1011"/>
      <c r="LSG54" s="1011"/>
      <c r="LSH54" s="1011"/>
      <c r="LSI54" s="1011"/>
      <c r="LSJ54" s="1011"/>
      <c r="LSK54" s="1011"/>
      <c r="LSL54" s="1011"/>
      <c r="LSM54" s="1011"/>
      <c r="LSN54" s="1011"/>
      <c r="LSO54" s="1011"/>
      <c r="LSP54" s="1011"/>
      <c r="LSQ54" s="1011"/>
      <c r="LSR54" s="1011"/>
      <c r="LSS54" s="1011"/>
      <c r="LST54" s="1011"/>
      <c r="LSU54" s="1011"/>
      <c r="LSV54" s="1011"/>
      <c r="LSW54" s="1011"/>
      <c r="LSX54" s="1011"/>
      <c r="LSY54" s="1011"/>
      <c r="LSZ54" s="1011"/>
      <c r="LTA54" s="1011"/>
      <c r="LTB54" s="1011"/>
      <c r="LTC54" s="1011"/>
      <c r="LTD54" s="1011"/>
      <c r="LTE54" s="1011"/>
      <c r="LTF54" s="1011"/>
      <c r="LTG54" s="1011"/>
      <c r="LTH54" s="1011"/>
      <c r="LTI54" s="1011"/>
      <c r="LTJ54" s="1011"/>
      <c r="LTK54" s="1011"/>
      <c r="LTL54" s="1011"/>
      <c r="LTM54" s="1011"/>
      <c r="LTN54" s="1011"/>
      <c r="LTO54" s="1011"/>
      <c r="LTP54" s="1011"/>
      <c r="LTQ54" s="1011"/>
      <c r="LTR54" s="1011"/>
      <c r="LTS54" s="1011"/>
      <c r="LTT54" s="1011"/>
      <c r="LTU54" s="1011"/>
      <c r="LTV54" s="1011"/>
      <c r="LTW54" s="1011"/>
      <c r="LTX54" s="1011"/>
      <c r="LTY54" s="1011"/>
      <c r="LTZ54" s="1011"/>
      <c r="LUA54" s="1011"/>
      <c r="LUB54" s="1011"/>
      <c r="LUC54" s="1011"/>
      <c r="LUD54" s="1011"/>
      <c r="LUE54" s="1011"/>
      <c r="LUF54" s="1011"/>
      <c r="LUG54" s="1011"/>
      <c r="LUH54" s="1011"/>
      <c r="LUI54" s="1011"/>
      <c r="LUJ54" s="1011"/>
      <c r="LUK54" s="1011"/>
      <c r="LUL54" s="1011"/>
      <c r="LUM54" s="1011"/>
      <c r="LUN54" s="1011"/>
      <c r="LUO54" s="1011"/>
      <c r="LUP54" s="1011"/>
      <c r="LUQ54" s="1011"/>
      <c r="LUR54" s="1011"/>
      <c r="LUS54" s="1011"/>
      <c r="LUT54" s="1011"/>
      <c r="LUU54" s="1011"/>
      <c r="LUV54" s="1011"/>
      <c r="LUW54" s="1011"/>
      <c r="LUX54" s="1011"/>
      <c r="LUY54" s="1011"/>
      <c r="LUZ54" s="1011"/>
      <c r="LVA54" s="1011"/>
      <c r="LVB54" s="1011"/>
      <c r="LVC54" s="1011"/>
      <c r="LVD54" s="1011"/>
      <c r="LVE54" s="1011"/>
      <c r="LVF54" s="1011"/>
      <c r="LVG54" s="1011"/>
      <c r="LVH54" s="1011"/>
      <c r="LVI54" s="1011"/>
      <c r="LVJ54" s="1011"/>
      <c r="LVK54" s="1011"/>
      <c r="LVL54" s="1011"/>
      <c r="LVM54" s="1011"/>
      <c r="LVN54" s="1011"/>
      <c r="LVO54" s="1011"/>
      <c r="LVP54" s="1011"/>
      <c r="LVQ54" s="1011"/>
      <c r="LVR54" s="1011"/>
      <c r="LVS54" s="1011"/>
      <c r="LVT54" s="1011"/>
      <c r="LVU54" s="1011"/>
      <c r="LVV54" s="1011"/>
      <c r="LVW54" s="1011"/>
      <c r="LVX54" s="1011"/>
      <c r="LVY54" s="1011"/>
      <c r="LVZ54" s="1011"/>
      <c r="LWA54" s="1011"/>
      <c r="LWB54" s="1011"/>
      <c r="LWC54" s="1011"/>
      <c r="LWD54" s="1011"/>
      <c r="LWE54" s="1011"/>
      <c r="LWF54" s="1011"/>
      <c r="LWG54" s="1011"/>
      <c r="LWH54" s="1011"/>
      <c r="LWI54" s="1011"/>
      <c r="LWJ54" s="1011"/>
      <c r="LWK54" s="1011"/>
      <c r="LWL54" s="1011"/>
      <c r="LWM54" s="1011"/>
      <c r="LWN54" s="1011"/>
      <c r="LWO54" s="1011"/>
      <c r="LWP54" s="1011"/>
      <c r="LWQ54" s="1011"/>
      <c r="LWR54" s="1011"/>
      <c r="LWS54" s="1011"/>
      <c r="LWT54" s="1011"/>
      <c r="LWU54" s="1011"/>
      <c r="LWV54" s="1011"/>
      <c r="LWW54" s="1011"/>
      <c r="LWX54" s="1011"/>
      <c r="LWY54" s="1011"/>
      <c r="LWZ54" s="1011"/>
      <c r="LXA54" s="1011"/>
      <c r="LXB54" s="1011"/>
      <c r="LXC54" s="1011"/>
      <c r="LXD54" s="1011"/>
      <c r="LXE54" s="1011"/>
      <c r="LXF54" s="1011"/>
      <c r="LXG54" s="1011"/>
      <c r="LXH54" s="1011"/>
      <c r="LXI54" s="1011"/>
      <c r="LXJ54" s="1011"/>
      <c r="LXK54" s="1011"/>
      <c r="LXL54" s="1011"/>
      <c r="LXM54" s="1011"/>
      <c r="LXN54" s="1011"/>
      <c r="LXO54" s="1011"/>
      <c r="LXP54" s="1011"/>
      <c r="LXQ54" s="1011"/>
      <c r="LXR54" s="1011"/>
      <c r="LXS54" s="1011"/>
      <c r="LXT54" s="1011"/>
      <c r="LXU54" s="1011"/>
      <c r="LXV54" s="1011"/>
      <c r="LXW54" s="1011"/>
      <c r="LXX54" s="1011"/>
      <c r="LXY54" s="1011"/>
      <c r="LXZ54" s="1011"/>
      <c r="LYA54" s="1011"/>
      <c r="LYB54" s="1011"/>
      <c r="LYC54" s="1011"/>
      <c r="LYD54" s="1011"/>
      <c r="LYE54" s="1011"/>
      <c r="LYF54" s="1011"/>
      <c r="LYG54" s="1011"/>
      <c r="LYH54" s="1011"/>
      <c r="LYI54" s="1011"/>
      <c r="LYJ54" s="1011"/>
      <c r="LYK54" s="1011"/>
      <c r="LYL54" s="1011"/>
      <c r="LYM54" s="1011"/>
      <c r="LYN54" s="1011"/>
      <c r="LYO54" s="1011"/>
      <c r="LYP54" s="1011"/>
      <c r="LYQ54" s="1011"/>
      <c r="LYR54" s="1011"/>
      <c r="LYS54" s="1011"/>
      <c r="LYT54" s="1011"/>
      <c r="LYU54" s="1011"/>
      <c r="LYV54" s="1011"/>
      <c r="LYW54" s="1011"/>
      <c r="LYX54" s="1011"/>
      <c r="LYY54" s="1011"/>
      <c r="LYZ54" s="1011"/>
      <c r="LZA54" s="1011"/>
      <c r="LZB54" s="1011"/>
      <c r="LZC54" s="1011"/>
      <c r="LZD54" s="1011"/>
      <c r="LZE54" s="1011"/>
      <c r="LZF54" s="1011"/>
      <c r="LZG54" s="1011"/>
      <c r="LZH54" s="1011"/>
      <c r="LZI54" s="1011"/>
      <c r="LZJ54" s="1011"/>
      <c r="LZK54" s="1011"/>
      <c r="LZL54" s="1011"/>
      <c r="LZM54" s="1011"/>
      <c r="LZN54" s="1011"/>
      <c r="LZO54" s="1011"/>
      <c r="LZP54" s="1011"/>
      <c r="LZQ54" s="1011"/>
      <c r="LZR54" s="1011"/>
      <c r="LZS54" s="1011"/>
      <c r="LZT54" s="1011"/>
      <c r="LZU54" s="1011"/>
      <c r="LZV54" s="1011"/>
      <c r="LZW54" s="1011"/>
      <c r="LZX54" s="1011"/>
      <c r="LZY54" s="1011"/>
      <c r="LZZ54" s="1011"/>
      <c r="MAA54" s="1011"/>
      <c r="MAB54" s="1011"/>
      <c r="MAC54" s="1011"/>
      <c r="MAD54" s="1011"/>
      <c r="MAE54" s="1011"/>
      <c r="MAF54" s="1011"/>
      <c r="MAG54" s="1011"/>
      <c r="MAH54" s="1011"/>
      <c r="MAI54" s="1011"/>
      <c r="MAJ54" s="1011"/>
      <c r="MAK54" s="1011"/>
      <c r="MAL54" s="1011"/>
      <c r="MAM54" s="1011"/>
      <c r="MAN54" s="1011"/>
      <c r="MAO54" s="1011"/>
      <c r="MAP54" s="1011"/>
      <c r="MAQ54" s="1011"/>
      <c r="MAR54" s="1011"/>
      <c r="MAS54" s="1011"/>
      <c r="MAT54" s="1011"/>
      <c r="MAU54" s="1011"/>
      <c r="MAV54" s="1011"/>
      <c r="MAW54" s="1011"/>
      <c r="MAX54" s="1011"/>
      <c r="MAY54" s="1011"/>
      <c r="MAZ54" s="1011"/>
      <c r="MBA54" s="1011"/>
      <c r="MBB54" s="1011"/>
      <c r="MBC54" s="1011"/>
      <c r="MBD54" s="1011"/>
      <c r="MBE54" s="1011"/>
      <c r="MBF54" s="1011"/>
      <c r="MBG54" s="1011"/>
      <c r="MBH54" s="1011"/>
      <c r="MBI54" s="1011"/>
      <c r="MBJ54" s="1011"/>
      <c r="MBK54" s="1011"/>
      <c r="MBL54" s="1011"/>
      <c r="MBM54" s="1011"/>
      <c r="MBN54" s="1011"/>
      <c r="MBO54" s="1011"/>
      <c r="MBP54" s="1011"/>
      <c r="MBQ54" s="1011"/>
      <c r="MBR54" s="1011"/>
      <c r="MBS54" s="1011"/>
      <c r="MBT54" s="1011"/>
      <c r="MBU54" s="1011"/>
      <c r="MBV54" s="1011"/>
      <c r="MBW54" s="1011"/>
      <c r="MBX54" s="1011"/>
      <c r="MBY54" s="1011"/>
      <c r="MBZ54" s="1011"/>
      <c r="MCA54" s="1011"/>
      <c r="MCB54" s="1011"/>
      <c r="MCC54" s="1011"/>
      <c r="MCD54" s="1011"/>
      <c r="MCE54" s="1011"/>
      <c r="MCF54" s="1011"/>
      <c r="MCG54" s="1011"/>
      <c r="MCH54" s="1011"/>
      <c r="MCI54" s="1011"/>
      <c r="MCJ54" s="1011"/>
      <c r="MCK54" s="1011"/>
      <c r="MCL54" s="1011"/>
      <c r="MCM54" s="1011"/>
      <c r="MCN54" s="1011"/>
      <c r="MCO54" s="1011"/>
      <c r="MCP54" s="1011"/>
      <c r="MCQ54" s="1011"/>
      <c r="MCR54" s="1011"/>
      <c r="MCS54" s="1011"/>
      <c r="MCT54" s="1011"/>
      <c r="MCU54" s="1011"/>
      <c r="MCV54" s="1011"/>
      <c r="MCW54" s="1011"/>
      <c r="MCX54" s="1011"/>
      <c r="MCY54" s="1011"/>
      <c r="MCZ54" s="1011"/>
      <c r="MDA54" s="1011"/>
      <c r="MDB54" s="1011"/>
      <c r="MDC54" s="1011"/>
      <c r="MDD54" s="1011"/>
      <c r="MDE54" s="1011"/>
      <c r="MDF54" s="1011"/>
      <c r="MDG54" s="1011"/>
      <c r="MDH54" s="1011"/>
      <c r="MDI54" s="1011"/>
      <c r="MDJ54" s="1011"/>
      <c r="MDK54" s="1011"/>
      <c r="MDL54" s="1011"/>
      <c r="MDM54" s="1011"/>
      <c r="MDN54" s="1011"/>
      <c r="MDO54" s="1011"/>
      <c r="MDP54" s="1011"/>
      <c r="MDQ54" s="1011"/>
      <c r="MDR54" s="1011"/>
      <c r="MDS54" s="1011"/>
      <c r="MDT54" s="1011"/>
      <c r="MDU54" s="1011"/>
      <c r="MDV54" s="1011"/>
      <c r="MDW54" s="1011"/>
      <c r="MDX54" s="1011"/>
      <c r="MDY54" s="1011"/>
      <c r="MDZ54" s="1011"/>
      <c r="MEA54" s="1011"/>
      <c r="MEB54" s="1011"/>
      <c r="MEC54" s="1011"/>
      <c r="MED54" s="1011"/>
      <c r="MEE54" s="1011"/>
      <c r="MEF54" s="1011"/>
      <c r="MEG54" s="1011"/>
      <c r="MEH54" s="1011"/>
      <c r="MEI54" s="1011"/>
      <c r="MEJ54" s="1011"/>
      <c r="MEK54" s="1011"/>
      <c r="MEL54" s="1011"/>
      <c r="MEM54" s="1011"/>
      <c r="MEN54" s="1011"/>
      <c r="MEO54" s="1011"/>
      <c r="MEP54" s="1011"/>
      <c r="MEQ54" s="1011"/>
      <c r="MER54" s="1011"/>
      <c r="MES54" s="1011"/>
      <c r="MET54" s="1011"/>
      <c r="MEU54" s="1011"/>
      <c r="MEV54" s="1011"/>
      <c r="MEW54" s="1011"/>
      <c r="MEX54" s="1011"/>
      <c r="MEY54" s="1011"/>
      <c r="MEZ54" s="1011"/>
      <c r="MFA54" s="1011"/>
      <c r="MFB54" s="1011"/>
      <c r="MFC54" s="1011"/>
      <c r="MFD54" s="1011"/>
      <c r="MFE54" s="1011"/>
      <c r="MFF54" s="1011"/>
      <c r="MFG54" s="1011"/>
      <c r="MFH54" s="1011"/>
      <c r="MFI54" s="1011"/>
      <c r="MFJ54" s="1011"/>
      <c r="MFK54" s="1011"/>
      <c r="MFL54" s="1011"/>
      <c r="MFM54" s="1011"/>
      <c r="MFN54" s="1011"/>
      <c r="MFO54" s="1011"/>
      <c r="MFP54" s="1011"/>
      <c r="MFQ54" s="1011"/>
      <c r="MFR54" s="1011"/>
      <c r="MFS54" s="1011"/>
      <c r="MFT54" s="1011"/>
      <c r="MFU54" s="1011"/>
      <c r="MFV54" s="1011"/>
      <c r="MFW54" s="1011"/>
      <c r="MFX54" s="1011"/>
      <c r="MFY54" s="1011"/>
      <c r="MFZ54" s="1011"/>
      <c r="MGA54" s="1011"/>
      <c r="MGB54" s="1011"/>
      <c r="MGC54" s="1011"/>
      <c r="MGD54" s="1011"/>
      <c r="MGE54" s="1011"/>
      <c r="MGF54" s="1011"/>
      <c r="MGG54" s="1011"/>
      <c r="MGH54" s="1011"/>
      <c r="MGI54" s="1011"/>
      <c r="MGJ54" s="1011"/>
      <c r="MGK54" s="1011"/>
      <c r="MGL54" s="1011"/>
      <c r="MGM54" s="1011"/>
      <c r="MGN54" s="1011"/>
      <c r="MGO54" s="1011"/>
      <c r="MGP54" s="1011"/>
      <c r="MGQ54" s="1011"/>
      <c r="MGR54" s="1011"/>
      <c r="MGS54" s="1011"/>
      <c r="MGT54" s="1011"/>
      <c r="MGU54" s="1011"/>
      <c r="MGV54" s="1011"/>
      <c r="MGW54" s="1011"/>
      <c r="MGX54" s="1011"/>
      <c r="MGY54" s="1011"/>
      <c r="MGZ54" s="1011"/>
      <c r="MHA54" s="1011"/>
      <c r="MHB54" s="1011"/>
      <c r="MHC54" s="1011"/>
      <c r="MHD54" s="1011"/>
      <c r="MHE54" s="1011"/>
      <c r="MHF54" s="1011"/>
      <c r="MHG54" s="1011"/>
      <c r="MHH54" s="1011"/>
      <c r="MHI54" s="1011"/>
      <c r="MHJ54" s="1011"/>
      <c r="MHK54" s="1011"/>
      <c r="MHL54" s="1011"/>
      <c r="MHM54" s="1011"/>
      <c r="MHN54" s="1011"/>
      <c r="MHO54" s="1011"/>
      <c r="MHP54" s="1011"/>
      <c r="MHQ54" s="1011"/>
      <c r="MHR54" s="1011"/>
      <c r="MHS54" s="1011"/>
      <c r="MHT54" s="1011"/>
      <c r="MHU54" s="1011"/>
      <c r="MHV54" s="1011"/>
      <c r="MHW54" s="1011"/>
      <c r="MHX54" s="1011"/>
      <c r="MHY54" s="1011"/>
      <c r="MHZ54" s="1011"/>
      <c r="MIA54" s="1011"/>
      <c r="MIB54" s="1011"/>
      <c r="MIC54" s="1011"/>
      <c r="MID54" s="1011"/>
      <c r="MIE54" s="1011"/>
      <c r="MIF54" s="1011"/>
      <c r="MIG54" s="1011"/>
      <c r="MIH54" s="1011"/>
      <c r="MII54" s="1011"/>
      <c r="MIJ54" s="1011"/>
      <c r="MIK54" s="1011"/>
      <c r="MIL54" s="1011"/>
      <c r="MIM54" s="1011"/>
      <c r="MIN54" s="1011"/>
      <c r="MIO54" s="1011"/>
      <c r="MIP54" s="1011"/>
      <c r="MIQ54" s="1011"/>
      <c r="MIR54" s="1011"/>
      <c r="MIS54" s="1011"/>
      <c r="MIT54" s="1011"/>
      <c r="MIU54" s="1011"/>
      <c r="MIV54" s="1011"/>
      <c r="MIW54" s="1011"/>
      <c r="MIX54" s="1011"/>
      <c r="MIY54" s="1011"/>
      <c r="MIZ54" s="1011"/>
      <c r="MJA54" s="1011"/>
      <c r="MJB54" s="1011"/>
      <c r="MJC54" s="1011"/>
      <c r="MJD54" s="1011"/>
      <c r="MJE54" s="1011"/>
      <c r="MJF54" s="1011"/>
      <c r="MJG54" s="1011"/>
      <c r="MJH54" s="1011"/>
      <c r="MJI54" s="1011"/>
      <c r="MJJ54" s="1011"/>
      <c r="MJK54" s="1011"/>
      <c r="MJL54" s="1011"/>
      <c r="MJM54" s="1011"/>
      <c r="MJN54" s="1011"/>
      <c r="MJO54" s="1011"/>
      <c r="MJP54" s="1011"/>
      <c r="MJQ54" s="1011"/>
      <c r="MJR54" s="1011"/>
      <c r="MJS54" s="1011"/>
      <c r="MJT54" s="1011"/>
      <c r="MJU54" s="1011"/>
      <c r="MJV54" s="1011"/>
      <c r="MJW54" s="1011"/>
      <c r="MJX54" s="1011"/>
      <c r="MJY54" s="1011"/>
      <c r="MJZ54" s="1011"/>
      <c r="MKA54" s="1011"/>
      <c r="MKB54" s="1011"/>
      <c r="MKC54" s="1011"/>
      <c r="MKD54" s="1011"/>
      <c r="MKE54" s="1011"/>
      <c r="MKF54" s="1011"/>
      <c r="MKG54" s="1011"/>
      <c r="MKH54" s="1011"/>
      <c r="MKI54" s="1011"/>
      <c r="MKJ54" s="1011"/>
      <c r="MKK54" s="1011"/>
      <c r="MKL54" s="1011"/>
      <c r="MKM54" s="1011"/>
      <c r="MKN54" s="1011"/>
      <c r="MKO54" s="1011"/>
      <c r="MKP54" s="1011"/>
      <c r="MKQ54" s="1011"/>
      <c r="MKR54" s="1011"/>
      <c r="MKS54" s="1011"/>
      <c r="MKT54" s="1011"/>
      <c r="MKU54" s="1011"/>
      <c r="MKV54" s="1011"/>
      <c r="MKW54" s="1011"/>
      <c r="MKX54" s="1011"/>
      <c r="MKY54" s="1011"/>
      <c r="MKZ54" s="1011"/>
      <c r="MLA54" s="1011"/>
      <c r="MLB54" s="1011"/>
      <c r="MLC54" s="1011"/>
      <c r="MLD54" s="1011"/>
      <c r="MLE54" s="1011"/>
      <c r="MLF54" s="1011"/>
      <c r="MLG54" s="1011"/>
      <c r="MLH54" s="1011"/>
      <c r="MLI54" s="1011"/>
      <c r="MLJ54" s="1011"/>
      <c r="MLK54" s="1011"/>
      <c r="MLL54" s="1011"/>
      <c r="MLM54" s="1011"/>
      <c r="MLN54" s="1011"/>
      <c r="MLO54" s="1011"/>
      <c r="MLP54" s="1011"/>
      <c r="MLQ54" s="1011"/>
      <c r="MLR54" s="1011"/>
      <c r="MLS54" s="1011"/>
      <c r="MLT54" s="1011"/>
      <c r="MLU54" s="1011"/>
      <c r="MLV54" s="1011"/>
      <c r="MLW54" s="1011"/>
      <c r="MLX54" s="1011"/>
      <c r="MLY54" s="1011"/>
      <c r="MLZ54" s="1011"/>
      <c r="MMA54" s="1011"/>
      <c r="MMB54" s="1011"/>
      <c r="MMC54" s="1011"/>
      <c r="MMD54" s="1011"/>
      <c r="MME54" s="1011"/>
      <c r="MMF54" s="1011"/>
      <c r="MMG54" s="1011"/>
      <c r="MMH54" s="1011"/>
      <c r="MMI54" s="1011"/>
      <c r="MMJ54" s="1011"/>
      <c r="MMK54" s="1011"/>
      <c r="MML54" s="1011"/>
      <c r="MMM54" s="1011"/>
      <c r="MMN54" s="1011"/>
      <c r="MMO54" s="1011"/>
      <c r="MMP54" s="1011"/>
      <c r="MMQ54" s="1011"/>
      <c r="MMR54" s="1011"/>
      <c r="MMS54" s="1011"/>
      <c r="MMT54" s="1011"/>
      <c r="MMU54" s="1011"/>
      <c r="MMV54" s="1011"/>
      <c r="MMW54" s="1011"/>
      <c r="MMX54" s="1011"/>
      <c r="MMY54" s="1011"/>
      <c r="MMZ54" s="1011"/>
      <c r="MNA54" s="1011"/>
      <c r="MNB54" s="1011"/>
      <c r="MNC54" s="1011"/>
      <c r="MND54" s="1011"/>
      <c r="MNE54" s="1011"/>
      <c r="MNF54" s="1011"/>
      <c r="MNG54" s="1011"/>
      <c r="MNH54" s="1011"/>
      <c r="MNI54" s="1011"/>
      <c r="MNJ54" s="1011"/>
      <c r="MNK54" s="1011"/>
      <c r="MNL54" s="1011"/>
      <c r="MNM54" s="1011"/>
      <c r="MNN54" s="1011"/>
      <c r="MNO54" s="1011"/>
      <c r="MNP54" s="1011"/>
      <c r="MNQ54" s="1011"/>
      <c r="MNR54" s="1011"/>
      <c r="MNS54" s="1011"/>
      <c r="MNT54" s="1011"/>
      <c r="MNU54" s="1011"/>
      <c r="MNV54" s="1011"/>
      <c r="MNW54" s="1011"/>
      <c r="MNX54" s="1011"/>
      <c r="MNY54" s="1011"/>
      <c r="MNZ54" s="1011"/>
      <c r="MOA54" s="1011"/>
      <c r="MOB54" s="1011"/>
      <c r="MOC54" s="1011"/>
      <c r="MOD54" s="1011"/>
      <c r="MOE54" s="1011"/>
      <c r="MOF54" s="1011"/>
      <c r="MOG54" s="1011"/>
      <c r="MOH54" s="1011"/>
      <c r="MOI54" s="1011"/>
      <c r="MOJ54" s="1011"/>
      <c r="MOK54" s="1011"/>
      <c r="MOL54" s="1011"/>
      <c r="MOM54" s="1011"/>
      <c r="MON54" s="1011"/>
      <c r="MOO54" s="1011"/>
      <c r="MOP54" s="1011"/>
      <c r="MOQ54" s="1011"/>
      <c r="MOR54" s="1011"/>
      <c r="MOS54" s="1011"/>
      <c r="MOT54" s="1011"/>
      <c r="MOU54" s="1011"/>
      <c r="MOV54" s="1011"/>
      <c r="MOW54" s="1011"/>
      <c r="MOX54" s="1011"/>
      <c r="MOY54" s="1011"/>
      <c r="MOZ54" s="1011"/>
      <c r="MPA54" s="1011"/>
      <c r="MPB54" s="1011"/>
      <c r="MPC54" s="1011"/>
      <c r="MPD54" s="1011"/>
      <c r="MPE54" s="1011"/>
      <c r="MPF54" s="1011"/>
      <c r="MPG54" s="1011"/>
      <c r="MPH54" s="1011"/>
      <c r="MPI54" s="1011"/>
      <c r="MPJ54" s="1011"/>
      <c r="MPK54" s="1011"/>
      <c r="MPL54" s="1011"/>
      <c r="MPM54" s="1011"/>
      <c r="MPN54" s="1011"/>
      <c r="MPO54" s="1011"/>
      <c r="MPP54" s="1011"/>
      <c r="MPQ54" s="1011"/>
      <c r="MPR54" s="1011"/>
      <c r="MPS54" s="1011"/>
      <c r="MPT54" s="1011"/>
      <c r="MPU54" s="1011"/>
      <c r="MPV54" s="1011"/>
      <c r="MPW54" s="1011"/>
      <c r="MPX54" s="1011"/>
      <c r="MPY54" s="1011"/>
      <c r="MPZ54" s="1011"/>
      <c r="MQA54" s="1011"/>
      <c r="MQB54" s="1011"/>
      <c r="MQC54" s="1011"/>
      <c r="MQD54" s="1011"/>
      <c r="MQE54" s="1011"/>
      <c r="MQF54" s="1011"/>
      <c r="MQG54" s="1011"/>
      <c r="MQH54" s="1011"/>
      <c r="MQI54" s="1011"/>
      <c r="MQJ54" s="1011"/>
      <c r="MQK54" s="1011"/>
      <c r="MQL54" s="1011"/>
      <c r="MQM54" s="1011"/>
      <c r="MQN54" s="1011"/>
      <c r="MQO54" s="1011"/>
      <c r="MQP54" s="1011"/>
      <c r="MQQ54" s="1011"/>
      <c r="MQR54" s="1011"/>
      <c r="MQS54" s="1011"/>
      <c r="MQT54" s="1011"/>
      <c r="MQU54" s="1011"/>
      <c r="MQV54" s="1011"/>
      <c r="MQW54" s="1011"/>
      <c r="MQX54" s="1011"/>
      <c r="MQY54" s="1011"/>
      <c r="MQZ54" s="1011"/>
      <c r="MRA54" s="1011"/>
      <c r="MRB54" s="1011"/>
      <c r="MRC54" s="1011"/>
      <c r="MRD54" s="1011"/>
      <c r="MRE54" s="1011"/>
      <c r="MRF54" s="1011"/>
      <c r="MRG54" s="1011"/>
      <c r="MRH54" s="1011"/>
      <c r="MRI54" s="1011"/>
      <c r="MRJ54" s="1011"/>
      <c r="MRK54" s="1011"/>
      <c r="MRL54" s="1011"/>
      <c r="MRM54" s="1011"/>
      <c r="MRN54" s="1011"/>
      <c r="MRO54" s="1011"/>
      <c r="MRP54" s="1011"/>
      <c r="MRQ54" s="1011"/>
      <c r="MRR54" s="1011"/>
      <c r="MRS54" s="1011"/>
      <c r="MRT54" s="1011"/>
      <c r="MRU54" s="1011"/>
      <c r="MRV54" s="1011"/>
      <c r="MRW54" s="1011"/>
      <c r="MRX54" s="1011"/>
      <c r="MRY54" s="1011"/>
      <c r="MRZ54" s="1011"/>
      <c r="MSA54" s="1011"/>
      <c r="MSB54" s="1011"/>
      <c r="MSC54" s="1011"/>
      <c r="MSD54" s="1011"/>
      <c r="MSE54" s="1011"/>
      <c r="MSF54" s="1011"/>
      <c r="MSG54" s="1011"/>
      <c r="MSH54" s="1011"/>
      <c r="MSI54" s="1011"/>
      <c r="MSJ54" s="1011"/>
      <c r="MSK54" s="1011"/>
      <c r="MSL54" s="1011"/>
      <c r="MSM54" s="1011"/>
      <c r="MSN54" s="1011"/>
      <c r="MSO54" s="1011"/>
      <c r="MSP54" s="1011"/>
      <c r="MSQ54" s="1011"/>
      <c r="MSR54" s="1011"/>
      <c r="MSS54" s="1011"/>
      <c r="MST54" s="1011"/>
      <c r="MSU54" s="1011"/>
      <c r="MSV54" s="1011"/>
      <c r="MSW54" s="1011"/>
      <c r="MSX54" s="1011"/>
      <c r="MSY54" s="1011"/>
      <c r="MSZ54" s="1011"/>
      <c r="MTA54" s="1011"/>
      <c r="MTB54" s="1011"/>
      <c r="MTC54" s="1011"/>
      <c r="MTD54" s="1011"/>
      <c r="MTE54" s="1011"/>
      <c r="MTF54" s="1011"/>
      <c r="MTG54" s="1011"/>
      <c r="MTH54" s="1011"/>
      <c r="MTI54" s="1011"/>
      <c r="MTJ54" s="1011"/>
      <c r="MTK54" s="1011"/>
      <c r="MTL54" s="1011"/>
      <c r="MTM54" s="1011"/>
      <c r="MTN54" s="1011"/>
      <c r="MTO54" s="1011"/>
      <c r="MTP54" s="1011"/>
      <c r="MTQ54" s="1011"/>
      <c r="MTR54" s="1011"/>
      <c r="MTS54" s="1011"/>
      <c r="MTT54" s="1011"/>
      <c r="MTU54" s="1011"/>
      <c r="MTV54" s="1011"/>
      <c r="MTW54" s="1011"/>
      <c r="MTX54" s="1011"/>
      <c r="MTY54" s="1011"/>
      <c r="MTZ54" s="1011"/>
      <c r="MUA54" s="1011"/>
      <c r="MUB54" s="1011"/>
      <c r="MUC54" s="1011"/>
      <c r="MUD54" s="1011"/>
      <c r="MUE54" s="1011"/>
      <c r="MUF54" s="1011"/>
      <c r="MUG54" s="1011"/>
      <c r="MUH54" s="1011"/>
      <c r="MUI54" s="1011"/>
      <c r="MUJ54" s="1011"/>
      <c r="MUK54" s="1011"/>
      <c r="MUL54" s="1011"/>
      <c r="MUM54" s="1011"/>
      <c r="MUN54" s="1011"/>
      <c r="MUO54" s="1011"/>
      <c r="MUP54" s="1011"/>
      <c r="MUQ54" s="1011"/>
      <c r="MUR54" s="1011"/>
      <c r="MUS54" s="1011"/>
      <c r="MUT54" s="1011"/>
      <c r="MUU54" s="1011"/>
      <c r="MUV54" s="1011"/>
      <c r="MUW54" s="1011"/>
      <c r="MUX54" s="1011"/>
      <c r="MUY54" s="1011"/>
      <c r="MUZ54" s="1011"/>
      <c r="MVA54" s="1011"/>
      <c r="MVB54" s="1011"/>
      <c r="MVC54" s="1011"/>
      <c r="MVD54" s="1011"/>
      <c r="MVE54" s="1011"/>
      <c r="MVF54" s="1011"/>
      <c r="MVG54" s="1011"/>
      <c r="MVH54" s="1011"/>
      <c r="MVI54" s="1011"/>
      <c r="MVJ54" s="1011"/>
      <c r="MVK54" s="1011"/>
      <c r="MVL54" s="1011"/>
      <c r="MVM54" s="1011"/>
      <c r="MVN54" s="1011"/>
      <c r="MVO54" s="1011"/>
      <c r="MVP54" s="1011"/>
      <c r="MVQ54" s="1011"/>
      <c r="MVR54" s="1011"/>
      <c r="MVS54" s="1011"/>
      <c r="MVT54" s="1011"/>
      <c r="MVU54" s="1011"/>
      <c r="MVV54" s="1011"/>
      <c r="MVW54" s="1011"/>
      <c r="MVX54" s="1011"/>
      <c r="MVY54" s="1011"/>
      <c r="MVZ54" s="1011"/>
      <c r="MWA54" s="1011"/>
      <c r="MWB54" s="1011"/>
      <c r="MWC54" s="1011"/>
      <c r="MWD54" s="1011"/>
      <c r="MWE54" s="1011"/>
      <c r="MWF54" s="1011"/>
      <c r="MWG54" s="1011"/>
      <c r="MWH54" s="1011"/>
      <c r="MWI54" s="1011"/>
      <c r="MWJ54" s="1011"/>
      <c r="MWK54" s="1011"/>
      <c r="MWL54" s="1011"/>
      <c r="MWM54" s="1011"/>
      <c r="MWN54" s="1011"/>
      <c r="MWO54" s="1011"/>
      <c r="MWP54" s="1011"/>
      <c r="MWQ54" s="1011"/>
      <c r="MWR54" s="1011"/>
      <c r="MWS54" s="1011"/>
      <c r="MWT54" s="1011"/>
      <c r="MWU54" s="1011"/>
      <c r="MWV54" s="1011"/>
      <c r="MWW54" s="1011"/>
      <c r="MWX54" s="1011"/>
      <c r="MWY54" s="1011"/>
      <c r="MWZ54" s="1011"/>
      <c r="MXA54" s="1011"/>
      <c r="MXB54" s="1011"/>
      <c r="MXC54" s="1011"/>
      <c r="MXD54" s="1011"/>
      <c r="MXE54" s="1011"/>
      <c r="MXF54" s="1011"/>
      <c r="MXG54" s="1011"/>
      <c r="MXH54" s="1011"/>
      <c r="MXI54" s="1011"/>
      <c r="MXJ54" s="1011"/>
      <c r="MXK54" s="1011"/>
      <c r="MXL54" s="1011"/>
      <c r="MXM54" s="1011"/>
      <c r="MXN54" s="1011"/>
      <c r="MXO54" s="1011"/>
      <c r="MXP54" s="1011"/>
      <c r="MXQ54" s="1011"/>
      <c r="MXR54" s="1011"/>
      <c r="MXS54" s="1011"/>
      <c r="MXT54" s="1011"/>
      <c r="MXU54" s="1011"/>
      <c r="MXV54" s="1011"/>
      <c r="MXW54" s="1011"/>
      <c r="MXX54" s="1011"/>
      <c r="MXY54" s="1011"/>
      <c r="MXZ54" s="1011"/>
      <c r="MYA54" s="1011"/>
      <c r="MYB54" s="1011"/>
      <c r="MYC54" s="1011"/>
      <c r="MYD54" s="1011"/>
      <c r="MYE54" s="1011"/>
      <c r="MYF54" s="1011"/>
      <c r="MYG54" s="1011"/>
      <c r="MYH54" s="1011"/>
      <c r="MYI54" s="1011"/>
      <c r="MYJ54" s="1011"/>
      <c r="MYK54" s="1011"/>
      <c r="MYL54" s="1011"/>
      <c r="MYM54" s="1011"/>
      <c r="MYN54" s="1011"/>
      <c r="MYO54" s="1011"/>
      <c r="MYP54" s="1011"/>
      <c r="MYQ54" s="1011"/>
      <c r="MYR54" s="1011"/>
      <c r="MYS54" s="1011"/>
      <c r="MYT54" s="1011"/>
      <c r="MYU54" s="1011"/>
      <c r="MYV54" s="1011"/>
      <c r="MYW54" s="1011"/>
      <c r="MYX54" s="1011"/>
      <c r="MYY54" s="1011"/>
      <c r="MYZ54" s="1011"/>
      <c r="MZA54" s="1011"/>
      <c r="MZB54" s="1011"/>
      <c r="MZC54" s="1011"/>
      <c r="MZD54" s="1011"/>
      <c r="MZE54" s="1011"/>
      <c r="MZF54" s="1011"/>
      <c r="MZG54" s="1011"/>
      <c r="MZH54" s="1011"/>
      <c r="MZI54" s="1011"/>
      <c r="MZJ54" s="1011"/>
      <c r="MZK54" s="1011"/>
      <c r="MZL54" s="1011"/>
      <c r="MZM54" s="1011"/>
      <c r="MZN54" s="1011"/>
      <c r="MZO54" s="1011"/>
      <c r="MZP54" s="1011"/>
      <c r="MZQ54" s="1011"/>
      <c r="MZR54" s="1011"/>
      <c r="MZS54" s="1011"/>
      <c r="MZT54" s="1011"/>
      <c r="MZU54" s="1011"/>
      <c r="MZV54" s="1011"/>
      <c r="MZW54" s="1011"/>
      <c r="MZX54" s="1011"/>
      <c r="MZY54" s="1011"/>
      <c r="MZZ54" s="1011"/>
      <c r="NAA54" s="1011"/>
      <c r="NAB54" s="1011"/>
      <c r="NAC54" s="1011"/>
      <c r="NAD54" s="1011"/>
      <c r="NAE54" s="1011"/>
      <c r="NAF54" s="1011"/>
      <c r="NAG54" s="1011"/>
      <c r="NAH54" s="1011"/>
      <c r="NAI54" s="1011"/>
      <c r="NAJ54" s="1011"/>
      <c r="NAK54" s="1011"/>
      <c r="NAL54" s="1011"/>
      <c r="NAM54" s="1011"/>
      <c r="NAN54" s="1011"/>
      <c r="NAO54" s="1011"/>
      <c r="NAP54" s="1011"/>
      <c r="NAQ54" s="1011"/>
      <c r="NAR54" s="1011"/>
      <c r="NAS54" s="1011"/>
      <c r="NAT54" s="1011"/>
      <c r="NAU54" s="1011"/>
      <c r="NAV54" s="1011"/>
      <c r="NAW54" s="1011"/>
      <c r="NAX54" s="1011"/>
      <c r="NAY54" s="1011"/>
      <c r="NAZ54" s="1011"/>
      <c r="NBA54" s="1011"/>
      <c r="NBB54" s="1011"/>
      <c r="NBC54" s="1011"/>
      <c r="NBD54" s="1011"/>
      <c r="NBE54" s="1011"/>
      <c r="NBF54" s="1011"/>
      <c r="NBG54" s="1011"/>
      <c r="NBH54" s="1011"/>
      <c r="NBI54" s="1011"/>
      <c r="NBJ54" s="1011"/>
      <c r="NBK54" s="1011"/>
      <c r="NBL54" s="1011"/>
      <c r="NBM54" s="1011"/>
      <c r="NBN54" s="1011"/>
      <c r="NBO54" s="1011"/>
      <c r="NBP54" s="1011"/>
      <c r="NBQ54" s="1011"/>
      <c r="NBR54" s="1011"/>
      <c r="NBS54" s="1011"/>
      <c r="NBT54" s="1011"/>
      <c r="NBU54" s="1011"/>
      <c r="NBV54" s="1011"/>
      <c r="NBW54" s="1011"/>
      <c r="NBX54" s="1011"/>
      <c r="NBY54" s="1011"/>
      <c r="NBZ54" s="1011"/>
      <c r="NCA54" s="1011"/>
      <c r="NCB54" s="1011"/>
      <c r="NCC54" s="1011"/>
      <c r="NCD54" s="1011"/>
      <c r="NCE54" s="1011"/>
      <c r="NCF54" s="1011"/>
      <c r="NCG54" s="1011"/>
      <c r="NCH54" s="1011"/>
      <c r="NCI54" s="1011"/>
      <c r="NCJ54" s="1011"/>
      <c r="NCK54" s="1011"/>
      <c r="NCL54" s="1011"/>
      <c r="NCM54" s="1011"/>
      <c r="NCN54" s="1011"/>
      <c r="NCO54" s="1011"/>
      <c r="NCP54" s="1011"/>
      <c r="NCQ54" s="1011"/>
      <c r="NCR54" s="1011"/>
      <c r="NCS54" s="1011"/>
      <c r="NCT54" s="1011"/>
      <c r="NCU54" s="1011"/>
      <c r="NCV54" s="1011"/>
      <c r="NCW54" s="1011"/>
      <c r="NCX54" s="1011"/>
      <c r="NCY54" s="1011"/>
      <c r="NCZ54" s="1011"/>
      <c r="NDA54" s="1011"/>
      <c r="NDB54" s="1011"/>
      <c r="NDC54" s="1011"/>
      <c r="NDD54" s="1011"/>
      <c r="NDE54" s="1011"/>
      <c r="NDF54" s="1011"/>
      <c r="NDG54" s="1011"/>
      <c r="NDH54" s="1011"/>
      <c r="NDI54" s="1011"/>
      <c r="NDJ54" s="1011"/>
      <c r="NDK54" s="1011"/>
      <c r="NDL54" s="1011"/>
      <c r="NDM54" s="1011"/>
      <c r="NDN54" s="1011"/>
      <c r="NDO54" s="1011"/>
      <c r="NDP54" s="1011"/>
      <c r="NDQ54" s="1011"/>
      <c r="NDR54" s="1011"/>
      <c r="NDS54" s="1011"/>
      <c r="NDT54" s="1011"/>
      <c r="NDU54" s="1011"/>
      <c r="NDV54" s="1011"/>
      <c r="NDW54" s="1011"/>
      <c r="NDX54" s="1011"/>
      <c r="NDY54" s="1011"/>
      <c r="NDZ54" s="1011"/>
      <c r="NEA54" s="1011"/>
      <c r="NEB54" s="1011"/>
      <c r="NEC54" s="1011"/>
      <c r="NED54" s="1011"/>
      <c r="NEE54" s="1011"/>
      <c r="NEF54" s="1011"/>
      <c r="NEG54" s="1011"/>
      <c r="NEH54" s="1011"/>
      <c r="NEI54" s="1011"/>
      <c r="NEJ54" s="1011"/>
      <c r="NEK54" s="1011"/>
      <c r="NEL54" s="1011"/>
      <c r="NEM54" s="1011"/>
      <c r="NEN54" s="1011"/>
      <c r="NEO54" s="1011"/>
      <c r="NEP54" s="1011"/>
      <c r="NEQ54" s="1011"/>
      <c r="NER54" s="1011"/>
      <c r="NES54" s="1011"/>
      <c r="NET54" s="1011"/>
      <c r="NEU54" s="1011"/>
      <c r="NEV54" s="1011"/>
      <c r="NEW54" s="1011"/>
      <c r="NEX54" s="1011"/>
      <c r="NEY54" s="1011"/>
      <c r="NEZ54" s="1011"/>
      <c r="NFA54" s="1011"/>
      <c r="NFB54" s="1011"/>
      <c r="NFC54" s="1011"/>
      <c r="NFD54" s="1011"/>
      <c r="NFE54" s="1011"/>
      <c r="NFF54" s="1011"/>
      <c r="NFG54" s="1011"/>
      <c r="NFH54" s="1011"/>
      <c r="NFI54" s="1011"/>
      <c r="NFJ54" s="1011"/>
      <c r="NFK54" s="1011"/>
      <c r="NFL54" s="1011"/>
      <c r="NFM54" s="1011"/>
      <c r="NFN54" s="1011"/>
      <c r="NFO54" s="1011"/>
      <c r="NFP54" s="1011"/>
      <c r="NFQ54" s="1011"/>
      <c r="NFR54" s="1011"/>
      <c r="NFS54" s="1011"/>
      <c r="NFT54" s="1011"/>
      <c r="NFU54" s="1011"/>
      <c r="NFV54" s="1011"/>
      <c r="NFW54" s="1011"/>
      <c r="NFX54" s="1011"/>
      <c r="NFY54" s="1011"/>
      <c r="NFZ54" s="1011"/>
      <c r="NGA54" s="1011"/>
      <c r="NGB54" s="1011"/>
      <c r="NGC54" s="1011"/>
      <c r="NGD54" s="1011"/>
      <c r="NGE54" s="1011"/>
      <c r="NGF54" s="1011"/>
      <c r="NGG54" s="1011"/>
      <c r="NGH54" s="1011"/>
      <c r="NGI54" s="1011"/>
      <c r="NGJ54" s="1011"/>
      <c r="NGK54" s="1011"/>
      <c r="NGL54" s="1011"/>
      <c r="NGM54" s="1011"/>
      <c r="NGN54" s="1011"/>
      <c r="NGO54" s="1011"/>
      <c r="NGP54" s="1011"/>
      <c r="NGQ54" s="1011"/>
      <c r="NGR54" s="1011"/>
      <c r="NGS54" s="1011"/>
      <c r="NGT54" s="1011"/>
      <c r="NGU54" s="1011"/>
      <c r="NGV54" s="1011"/>
      <c r="NGW54" s="1011"/>
      <c r="NGX54" s="1011"/>
      <c r="NGY54" s="1011"/>
      <c r="NGZ54" s="1011"/>
      <c r="NHA54" s="1011"/>
      <c r="NHB54" s="1011"/>
      <c r="NHC54" s="1011"/>
      <c r="NHD54" s="1011"/>
      <c r="NHE54" s="1011"/>
      <c r="NHF54" s="1011"/>
      <c r="NHG54" s="1011"/>
      <c r="NHH54" s="1011"/>
      <c r="NHI54" s="1011"/>
      <c r="NHJ54" s="1011"/>
      <c r="NHK54" s="1011"/>
      <c r="NHL54" s="1011"/>
      <c r="NHM54" s="1011"/>
      <c r="NHN54" s="1011"/>
      <c r="NHO54" s="1011"/>
      <c r="NHP54" s="1011"/>
      <c r="NHQ54" s="1011"/>
      <c r="NHR54" s="1011"/>
      <c r="NHS54" s="1011"/>
      <c r="NHT54" s="1011"/>
      <c r="NHU54" s="1011"/>
      <c r="NHV54" s="1011"/>
      <c r="NHW54" s="1011"/>
      <c r="NHX54" s="1011"/>
      <c r="NHY54" s="1011"/>
      <c r="NHZ54" s="1011"/>
      <c r="NIA54" s="1011"/>
      <c r="NIB54" s="1011"/>
      <c r="NIC54" s="1011"/>
      <c r="NID54" s="1011"/>
      <c r="NIE54" s="1011"/>
      <c r="NIF54" s="1011"/>
      <c r="NIG54" s="1011"/>
      <c r="NIH54" s="1011"/>
      <c r="NII54" s="1011"/>
      <c r="NIJ54" s="1011"/>
      <c r="NIK54" s="1011"/>
      <c r="NIL54" s="1011"/>
      <c r="NIM54" s="1011"/>
      <c r="NIN54" s="1011"/>
      <c r="NIO54" s="1011"/>
      <c r="NIP54" s="1011"/>
      <c r="NIQ54" s="1011"/>
      <c r="NIR54" s="1011"/>
      <c r="NIS54" s="1011"/>
      <c r="NIT54" s="1011"/>
      <c r="NIU54" s="1011"/>
      <c r="NIV54" s="1011"/>
      <c r="NIW54" s="1011"/>
      <c r="NIX54" s="1011"/>
      <c r="NIY54" s="1011"/>
      <c r="NIZ54" s="1011"/>
      <c r="NJA54" s="1011"/>
      <c r="NJB54" s="1011"/>
      <c r="NJC54" s="1011"/>
      <c r="NJD54" s="1011"/>
      <c r="NJE54" s="1011"/>
      <c r="NJF54" s="1011"/>
      <c r="NJG54" s="1011"/>
      <c r="NJH54" s="1011"/>
      <c r="NJI54" s="1011"/>
      <c r="NJJ54" s="1011"/>
      <c r="NJK54" s="1011"/>
      <c r="NJL54" s="1011"/>
      <c r="NJM54" s="1011"/>
      <c r="NJN54" s="1011"/>
      <c r="NJO54" s="1011"/>
      <c r="NJP54" s="1011"/>
      <c r="NJQ54" s="1011"/>
      <c r="NJR54" s="1011"/>
      <c r="NJS54" s="1011"/>
      <c r="NJT54" s="1011"/>
      <c r="NJU54" s="1011"/>
      <c r="NJV54" s="1011"/>
      <c r="NJW54" s="1011"/>
      <c r="NJX54" s="1011"/>
      <c r="NJY54" s="1011"/>
      <c r="NJZ54" s="1011"/>
      <c r="NKA54" s="1011"/>
      <c r="NKB54" s="1011"/>
      <c r="NKC54" s="1011"/>
      <c r="NKD54" s="1011"/>
      <c r="NKE54" s="1011"/>
      <c r="NKF54" s="1011"/>
      <c r="NKG54" s="1011"/>
      <c r="NKH54" s="1011"/>
      <c r="NKI54" s="1011"/>
      <c r="NKJ54" s="1011"/>
      <c r="NKK54" s="1011"/>
      <c r="NKL54" s="1011"/>
      <c r="NKM54" s="1011"/>
      <c r="NKN54" s="1011"/>
      <c r="NKO54" s="1011"/>
      <c r="NKP54" s="1011"/>
      <c r="NKQ54" s="1011"/>
      <c r="NKR54" s="1011"/>
      <c r="NKS54" s="1011"/>
      <c r="NKT54" s="1011"/>
      <c r="NKU54" s="1011"/>
      <c r="NKV54" s="1011"/>
      <c r="NKW54" s="1011"/>
      <c r="NKX54" s="1011"/>
      <c r="NKY54" s="1011"/>
      <c r="NKZ54" s="1011"/>
      <c r="NLA54" s="1011"/>
      <c r="NLB54" s="1011"/>
      <c r="NLC54" s="1011"/>
      <c r="NLD54" s="1011"/>
      <c r="NLE54" s="1011"/>
      <c r="NLF54" s="1011"/>
      <c r="NLG54" s="1011"/>
      <c r="NLH54" s="1011"/>
      <c r="NLI54" s="1011"/>
      <c r="NLJ54" s="1011"/>
      <c r="NLK54" s="1011"/>
      <c r="NLL54" s="1011"/>
      <c r="NLM54" s="1011"/>
      <c r="NLN54" s="1011"/>
      <c r="NLO54" s="1011"/>
      <c r="NLP54" s="1011"/>
      <c r="NLQ54" s="1011"/>
      <c r="NLR54" s="1011"/>
      <c r="NLS54" s="1011"/>
      <c r="NLT54" s="1011"/>
      <c r="NLU54" s="1011"/>
      <c r="NLV54" s="1011"/>
      <c r="NLW54" s="1011"/>
      <c r="NLX54" s="1011"/>
      <c r="NLY54" s="1011"/>
      <c r="NLZ54" s="1011"/>
      <c r="NMA54" s="1011"/>
      <c r="NMB54" s="1011"/>
      <c r="NMC54" s="1011"/>
      <c r="NMD54" s="1011"/>
      <c r="NME54" s="1011"/>
      <c r="NMF54" s="1011"/>
      <c r="NMG54" s="1011"/>
      <c r="NMH54" s="1011"/>
      <c r="NMI54" s="1011"/>
      <c r="NMJ54" s="1011"/>
      <c r="NMK54" s="1011"/>
      <c r="NML54" s="1011"/>
      <c r="NMM54" s="1011"/>
      <c r="NMN54" s="1011"/>
      <c r="NMO54" s="1011"/>
      <c r="NMP54" s="1011"/>
      <c r="NMQ54" s="1011"/>
      <c r="NMR54" s="1011"/>
      <c r="NMS54" s="1011"/>
      <c r="NMT54" s="1011"/>
      <c r="NMU54" s="1011"/>
      <c r="NMV54" s="1011"/>
      <c r="NMW54" s="1011"/>
      <c r="NMX54" s="1011"/>
      <c r="NMY54" s="1011"/>
      <c r="NMZ54" s="1011"/>
      <c r="NNA54" s="1011"/>
      <c r="NNB54" s="1011"/>
      <c r="NNC54" s="1011"/>
      <c r="NND54" s="1011"/>
      <c r="NNE54" s="1011"/>
      <c r="NNF54" s="1011"/>
      <c r="NNG54" s="1011"/>
      <c r="NNH54" s="1011"/>
      <c r="NNI54" s="1011"/>
      <c r="NNJ54" s="1011"/>
      <c r="NNK54" s="1011"/>
      <c r="NNL54" s="1011"/>
      <c r="NNM54" s="1011"/>
      <c r="NNN54" s="1011"/>
      <c r="NNO54" s="1011"/>
      <c r="NNP54" s="1011"/>
      <c r="NNQ54" s="1011"/>
      <c r="NNR54" s="1011"/>
      <c r="NNS54" s="1011"/>
      <c r="NNT54" s="1011"/>
      <c r="NNU54" s="1011"/>
      <c r="NNV54" s="1011"/>
      <c r="NNW54" s="1011"/>
      <c r="NNX54" s="1011"/>
      <c r="NNY54" s="1011"/>
      <c r="NNZ54" s="1011"/>
      <c r="NOA54" s="1011"/>
      <c r="NOB54" s="1011"/>
      <c r="NOC54" s="1011"/>
      <c r="NOD54" s="1011"/>
      <c r="NOE54" s="1011"/>
      <c r="NOF54" s="1011"/>
      <c r="NOG54" s="1011"/>
      <c r="NOH54" s="1011"/>
      <c r="NOI54" s="1011"/>
      <c r="NOJ54" s="1011"/>
      <c r="NOK54" s="1011"/>
      <c r="NOL54" s="1011"/>
      <c r="NOM54" s="1011"/>
      <c r="NON54" s="1011"/>
      <c r="NOO54" s="1011"/>
      <c r="NOP54" s="1011"/>
      <c r="NOQ54" s="1011"/>
      <c r="NOR54" s="1011"/>
      <c r="NOS54" s="1011"/>
      <c r="NOT54" s="1011"/>
      <c r="NOU54" s="1011"/>
      <c r="NOV54" s="1011"/>
      <c r="NOW54" s="1011"/>
      <c r="NOX54" s="1011"/>
      <c r="NOY54" s="1011"/>
      <c r="NOZ54" s="1011"/>
      <c r="NPA54" s="1011"/>
      <c r="NPB54" s="1011"/>
      <c r="NPC54" s="1011"/>
      <c r="NPD54" s="1011"/>
      <c r="NPE54" s="1011"/>
      <c r="NPF54" s="1011"/>
      <c r="NPG54" s="1011"/>
      <c r="NPH54" s="1011"/>
      <c r="NPI54" s="1011"/>
      <c r="NPJ54" s="1011"/>
      <c r="NPK54" s="1011"/>
      <c r="NPL54" s="1011"/>
      <c r="NPM54" s="1011"/>
      <c r="NPN54" s="1011"/>
      <c r="NPO54" s="1011"/>
      <c r="NPP54" s="1011"/>
      <c r="NPQ54" s="1011"/>
      <c r="NPR54" s="1011"/>
      <c r="NPS54" s="1011"/>
      <c r="NPT54" s="1011"/>
      <c r="NPU54" s="1011"/>
      <c r="NPV54" s="1011"/>
      <c r="NPW54" s="1011"/>
      <c r="NPX54" s="1011"/>
      <c r="NPY54" s="1011"/>
      <c r="NPZ54" s="1011"/>
      <c r="NQA54" s="1011"/>
      <c r="NQB54" s="1011"/>
      <c r="NQC54" s="1011"/>
      <c r="NQD54" s="1011"/>
      <c r="NQE54" s="1011"/>
      <c r="NQF54" s="1011"/>
      <c r="NQG54" s="1011"/>
      <c r="NQH54" s="1011"/>
      <c r="NQI54" s="1011"/>
      <c r="NQJ54" s="1011"/>
      <c r="NQK54" s="1011"/>
      <c r="NQL54" s="1011"/>
      <c r="NQM54" s="1011"/>
      <c r="NQN54" s="1011"/>
      <c r="NQO54" s="1011"/>
      <c r="NQP54" s="1011"/>
      <c r="NQQ54" s="1011"/>
      <c r="NQR54" s="1011"/>
      <c r="NQS54" s="1011"/>
      <c r="NQT54" s="1011"/>
      <c r="NQU54" s="1011"/>
      <c r="NQV54" s="1011"/>
      <c r="NQW54" s="1011"/>
      <c r="NQX54" s="1011"/>
      <c r="NQY54" s="1011"/>
      <c r="NQZ54" s="1011"/>
      <c r="NRA54" s="1011"/>
      <c r="NRB54" s="1011"/>
      <c r="NRC54" s="1011"/>
      <c r="NRD54" s="1011"/>
      <c r="NRE54" s="1011"/>
      <c r="NRF54" s="1011"/>
      <c r="NRG54" s="1011"/>
      <c r="NRH54" s="1011"/>
      <c r="NRI54" s="1011"/>
      <c r="NRJ54" s="1011"/>
      <c r="NRK54" s="1011"/>
      <c r="NRL54" s="1011"/>
      <c r="NRM54" s="1011"/>
      <c r="NRN54" s="1011"/>
      <c r="NRO54" s="1011"/>
      <c r="NRP54" s="1011"/>
      <c r="NRQ54" s="1011"/>
      <c r="NRR54" s="1011"/>
      <c r="NRS54" s="1011"/>
      <c r="NRT54" s="1011"/>
      <c r="NRU54" s="1011"/>
      <c r="NRV54" s="1011"/>
      <c r="NRW54" s="1011"/>
      <c r="NRX54" s="1011"/>
      <c r="NRY54" s="1011"/>
      <c r="NRZ54" s="1011"/>
      <c r="NSA54" s="1011"/>
      <c r="NSB54" s="1011"/>
      <c r="NSC54" s="1011"/>
      <c r="NSD54" s="1011"/>
      <c r="NSE54" s="1011"/>
      <c r="NSF54" s="1011"/>
      <c r="NSG54" s="1011"/>
      <c r="NSH54" s="1011"/>
      <c r="NSI54" s="1011"/>
      <c r="NSJ54" s="1011"/>
      <c r="NSK54" s="1011"/>
      <c r="NSL54" s="1011"/>
      <c r="NSM54" s="1011"/>
      <c r="NSN54" s="1011"/>
      <c r="NSO54" s="1011"/>
      <c r="NSP54" s="1011"/>
      <c r="NSQ54" s="1011"/>
      <c r="NSR54" s="1011"/>
      <c r="NSS54" s="1011"/>
      <c r="NST54" s="1011"/>
      <c r="NSU54" s="1011"/>
      <c r="NSV54" s="1011"/>
      <c r="NSW54" s="1011"/>
      <c r="NSX54" s="1011"/>
      <c r="NSY54" s="1011"/>
      <c r="NSZ54" s="1011"/>
      <c r="NTA54" s="1011"/>
      <c r="NTB54" s="1011"/>
      <c r="NTC54" s="1011"/>
      <c r="NTD54" s="1011"/>
      <c r="NTE54" s="1011"/>
      <c r="NTF54" s="1011"/>
      <c r="NTG54" s="1011"/>
      <c r="NTH54" s="1011"/>
      <c r="NTI54" s="1011"/>
      <c r="NTJ54" s="1011"/>
      <c r="NTK54" s="1011"/>
      <c r="NTL54" s="1011"/>
      <c r="NTM54" s="1011"/>
      <c r="NTN54" s="1011"/>
      <c r="NTO54" s="1011"/>
      <c r="NTP54" s="1011"/>
      <c r="NTQ54" s="1011"/>
      <c r="NTR54" s="1011"/>
      <c r="NTS54" s="1011"/>
      <c r="NTT54" s="1011"/>
      <c r="NTU54" s="1011"/>
      <c r="NTV54" s="1011"/>
      <c r="NTW54" s="1011"/>
      <c r="NTX54" s="1011"/>
      <c r="NTY54" s="1011"/>
      <c r="NTZ54" s="1011"/>
      <c r="NUA54" s="1011"/>
      <c r="NUB54" s="1011"/>
      <c r="NUC54" s="1011"/>
      <c r="NUD54" s="1011"/>
      <c r="NUE54" s="1011"/>
      <c r="NUF54" s="1011"/>
      <c r="NUG54" s="1011"/>
      <c r="NUH54" s="1011"/>
      <c r="NUI54" s="1011"/>
      <c r="NUJ54" s="1011"/>
      <c r="NUK54" s="1011"/>
      <c r="NUL54" s="1011"/>
      <c r="NUM54" s="1011"/>
      <c r="NUN54" s="1011"/>
      <c r="NUO54" s="1011"/>
      <c r="NUP54" s="1011"/>
      <c r="NUQ54" s="1011"/>
      <c r="NUR54" s="1011"/>
      <c r="NUS54" s="1011"/>
      <c r="NUT54" s="1011"/>
      <c r="NUU54" s="1011"/>
      <c r="NUV54" s="1011"/>
      <c r="NUW54" s="1011"/>
      <c r="NUX54" s="1011"/>
      <c r="NUY54" s="1011"/>
      <c r="NUZ54" s="1011"/>
      <c r="NVA54" s="1011"/>
      <c r="NVB54" s="1011"/>
      <c r="NVC54" s="1011"/>
      <c r="NVD54" s="1011"/>
      <c r="NVE54" s="1011"/>
      <c r="NVF54" s="1011"/>
      <c r="NVG54" s="1011"/>
      <c r="NVH54" s="1011"/>
      <c r="NVI54" s="1011"/>
      <c r="NVJ54" s="1011"/>
      <c r="NVK54" s="1011"/>
      <c r="NVL54" s="1011"/>
      <c r="NVM54" s="1011"/>
      <c r="NVN54" s="1011"/>
      <c r="NVO54" s="1011"/>
      <c r="NVP54" s="1011"/>
      <c r="NVQ54" s="1011"/>
      <c r="NVR54" s="1011"/>
      <c r="NVS54" s="1011"/>
      <c r="NVT54" s="1011"/>
      <c r="NVU54" s="1011"/>
      <c r="NVV54" s="1011"/>
      <c r="NVW54" s="1011"/>
      <c r="NVX54" s="1011"/>
      <c r="NVY54" s="1011"/>
      <c r="NVZ54" s="1011"/>
      <c r="NWA54" s="1011"/>
      <c r="NWB54" s="1011"/>
      <c r="NWC54" s="1011"/>
      <c r="NWD54" s="1011"/>
      <c r="NWE54" s="1011"/>
      <c r="NWF54" s="1011"/>
      <c r="NWG54" s="1011"/>
      <c r="NWH54" s="1011"/>
      <c r="NWI54" s="1011"/>
      <c r="NWJ54" s="1011"/>
      <c r="NWK54" s="1011"/>
      <c r="NWL54" s="1011"/>
      <c r="NWM54" s="1011"/>
      <c r="NWN54" s="1011"/>
      <c r="NWO54" s="1011"/>
      <c r="NWP54" s="1011"/>
      <c r="NWQ54" s="1011"/>
      <c r="NWR54" s="1011"/>
      <c r="NWS54" s="1011"/>
      <c r="NWT54" s="1011"/>
      <c r="NWU54" s="1011"/>
      <c r="NWV54" s="1011"/>
      <c r="NWW54" s="1011"/>
      <c r="NWX54" s="1011"/>
      <c r="NWY54" s="1011"/>
      <c r="NWZ54" s="1011"/>
      <c r="NXA54" s="1011"/>
      <c r="NXB54" s="1011"/>
      <c r="NXC54" s="1011"/>
      <c r="NXD54" s="1011"/>
      <c r="NXE54" s="1011"/>
      <c r="NXF54" s="1011"/>
      <c r="NXG54" s="1011"/>
      <c r="NXH54" s="1011"/>
      <c r="NXI54" s="1011"/>
      <c r="NXJ54" s="1011"/>
      <c r="NXK54" s="1011"/>
      <c r="NXL54" s="1011"/>
      <c r="NXM54" s="1011"/>
      <c r="NXN54" s="1011"/>
      <c r="NXO54" s="1011"/>
      <c r="NXP54" s="1011"/>
      <c r="NXQ54" s="1011"/>
      <c r="NXR54" s="1011"/>
      <c r="NXS54" s="1011"/>
      <c r="NXT54" s="1011"/>
      <c r="NXU54" s="1011"/>
      <c r="NXV54" s="1011"/>
      <c r="NXW54" s="1011"/>
      <c r="NXX54" s="1011"/>
      <c r="NXY54" s="1011"/>
      <c r="NXZ54" s="1011"/>
      <c r="NYA54" s="1011"/>
      <c r="NYB54" s="1011"/>
      <c r="NYC54" s="1011"/>
      <c r="NYD54" s="1011"/>
      <c r="NYE54" s="1011"/>
      <c r="NYF54" s="1011"/>
      <c r="NYG54" s="1011"/>
      <c r="NYH54" s="1011"/>
      <c r="NYI54" s="1011"/>
      <c r="NYJ54" s="1011"/>
      <c r="NYK54" s="1011"/>
      <c r="NYL54" s="1011"/>
      <c r="NYM54" s="1011"/>
      <c r="NYN54" s="1011"/>
      <c r="NYO54" s="1011"/>
      <c r="NYP54" s="1011"/>
      <c r="NYQ54" s="1011"/>
      <c r="NYR54" s="1011"/>
      <c r="NYS54" s="1011"/>
      <c r="NYT54" s="1011"/>
      <c r="NYU54" s="1011"/>
      <c r="NYV54" s="1011"/>
      <c r="NYW54" s="1011"/>
      <c r="NYX54" s="1011"/>
      <c r="NYY54" s="1011"/>
      <c r="NYZ54" s="1011"/>
      <c r="NZA54" s="1011"/>
      <c r="NZB54" s="1011"/>
      <c r="NZC54" s="1011"/>
      <c r="NZD54" s="1011"/>
      <c r="NZE54" s="1011"/>
      <c r="NZF54" s="1011"/>
      <c r="NZG54" s="1011"/>
      <c r="NZH54" s="1011"/>
      <c r="NZI54" s="1011"/>
      <c r="NZJ54" s="1011"/>
      <c r="NZK54" s="1011"/>
      <c r="NZL54" s="1011"/>
      <c r="NZM54" s="1011"/>
      <c r="NZN54" s="1011"/>
      <c r="NZO54" s="1011"/>
      <c r="NZP54" s="1011"/>
      <c r="NZQ54" s="1011"/>
      <c r="NZR54" s="1011"/>
      <c r="NZS54" s="1011"/>
      <c r="NZT54" s="1011"/>
      <c r="NZU54" s="1011"/>
      <c r="NZV54" s="1011"/>
      <c r="NZW54" s="1011"/>
      <c r="NZX54" s="1011"/>
      <c r="NZY54" s="1011"/>
      <c r="NZZ54" s="1011"/>
      <c r="OAA54" s="1011"/>
      <c r="OAB54" s="1011"/>
      <c r="OAC54" s="1011"/>
      <c r="OAD54" s="1011"/>
      <c r="OAE54" s="1011"/>
      <c r="OAF54" s="1011"/>
      <c r="OAG54" s="1011"/>
      <c r="OAH54" s="1011"/>
      <c r="OAI54" s="1011"/>
      <c r="OAJ54" s="1011"/>
      <c r="OAK54" s="1011"/>
      <c r="OAL54" s="1011"/>
      <c r="OAM54" s="1011"/>
      <c r="OAN54" s="1011"/>
      <c r="OAO54" s="1011"/>
      <c r="OAP54" s="1011"/>
      <c r="OAQ54" s="1011"/>
      <c r="OAR54" s="1011"/>
      <c r="OAS54" s="1011"/>
      <c r="OAT54" s="1011"/>
      <c r="OAU54" s="1011"/>
      <c r="OAV54" s="1011"/>
      <c r="OAW54" s="1011"/>
      <c r="OAX54" s="1011"/>
      <c r="OAY54" s="1011"/>
      <c r="OAZ54" s="1011"/>
      <c r="OBA54" s="1011"/>
      <c r="OBB54" s="1011"/>
      <c r="OBC54" s="1011"/>
      <c r="OBD54" s="1011"/>
      <c r="OBE54" s="1011"/>
      <c r="OBF54" s="1011"/>
      <c r="OBG54" s="1011"/>
      <c r="OBH54" s="1011"/>
      <c r="OBI54" s="1011"/>
      <c r="OBJ54" s="1011"/>
      <c r="OBK54" s="1011"/>
      <c r="OBL54" s="1011"/>
      <c r="OBM54" s="1011"/>
      <c r="OBN54" s="1011"/>
      <c r="OBO54" s="1011"/>
      <c r="OBP54" s="1011"/>
      <c r="OBQ54" s="1011"/>
      <c r="OBR54" s="1011"/>
      <c r="OBS54" s="1011"/>
      <c r="OBT54" s="1011"/>
      <c r="OBU54" s="1011"/>
      <c r="OBV54" s="1011"/>
      <c r="OBW54" s="1011"/>
      <c r="OBX54" s="1011"/>
      <c r="OBY54" s="1011"/>
      <c r="OBZ54" s="1011"/>
      <c r="OCA54" s="1011"/>
      <c r="OCB54" s="1011"/>
      <c r="OCC54" s="1011"/>
      <c r="OCD54" s="1011"/>
      <c r="OCE54" s="1011"/>
      <c r="OCF54" s="1011"/>
      <c r="OCG54" s="1011"/>
      <c r="OCH54" s="1011"/>
      <c r="OCI54" s="1011"/>
      <c r="OCJ54" s="1011"/>
      <c r="OCK54" s="1011"/>
      <c r="OCL54" s="1011"/>
      <c r="OCM54" s="1011"/>
      <c r="OCN54" s="1011"/>
      <c r="OCO54" s="1011"/>
      <c r="OCP54" s="1011"/>
      <c r="OCQ54" s="1011"/>
      <c r="OCR54" s="1011"/>
      <c r="OCS54" s="1011"/>
      <c r="OCT54" s="1011"/>
      <c r="OCU54" s="1011"/>
      <c r="OCV54" s="1011"/>
      <c r="OCW54" s="1011"/>
      <c r="OCX54" s="1011"/>
      <c r="OCY54" s="1011"/>
      <c r="OCZ54" s="1011"/>
      <c r="ODA54" s="1011"/>
      <c r="ODB54" s="1011"/>
      <c r="ODC54" s="1011"/>
      <c r="ODD54" s="1011"/>
      <c r="ODE54" s="1011"/>
      <c r="ODF54" s="1011"/>
      <c r="ODG54" s="1011"/>
      <c r="ODH54" s="1011"/>
      <c r="ODI54" s="1011"/>
      <c r="ODJ54" s="1011"/>
      <c r="ODK54" s="1011"/>
      <c r="ODL54" s="1011"/>
      <c r="ODM54" s="1011"/>
      <c r="ODN54" s="1011"/>
      <c r="ODO54" s="1011"/>
      <c r="ODP54" s="1011"/>
      <c r="ODQ54" s="1011"/>
      <c r="ODR54" s="1011"/>
      <c r="ODS54" s="1011"/>
      <c r="ODT54" s="1011"/>
      <c r="ODU54" s="1011"/>
      <c r="ODV54" s="1011"/>
      <c r="ODW54" s="1011"/>
      <c r="ODX54" s="1011"/>
      <c r="ODY54" s="1011"/>
      <c r="ODZ54" s="1011"/>
      <c r="OEA54" s="1011"/>
      <c r="OEB54" s="1011"/>
      <c r="OEC54" s="1011"/>
      <c r="OED54" s="1011"/>
      <c r="OEE54" s="1011"/>
      <c r="OEF54" s="1011"/>
      <c r="OEG54" s="1011"/>
      <c r="OEH54" s="1011"/>
      <c r="OEI54" s="1011"/>
      <c r="OEJ54" s="1011"/>
      <c r="OEK54" s="1011"/>
      <c r="OEL54" s="1011"/>
      <c r="OEM54" s="1011"/>
      <c r="OEN54" s="1011"/>
      <c r="OEO54" s="1011"/>
      <c r="OEP54" s="1011"/>
      <c r="OEQ54" s="1011"/>
      <c r="OER54" s="1011"/>
      <c r="OES54" s="1011"/>
      <c r="OET54" s="1011"/>
      <c r="OEU54" s="1011"/>
      <c r="OEV54" s="1011"/>
      <c r="OEW54" s="1011"/>
      <c r="OEX54" s="1011"/>
      <c r="OEY54" s="1011"/>
      <c r="OEZ54" s="1011"/>
      <c r="OFA54" s="1011"/>
      <c r="OFB54" s="1011"/>
      <c r="OFC54" s="1011"/>
      <c r="OFD54" s="1011"/>
      <c r="OFE54" s="1011"/>
      <c r="OFF54" s="1011"/>
      <c r="OFG54" s="1011"/>
      <c r="OFH54" s="1011"/>
      <c r="OFI54" s="1011"/>
      <c r="OFJ54" s="1011"/>
      <c r="OFK54" s="1011"/>
      <c r="OFL54" s="1011"/>
      <c r="OFM54" s="1011"/>
      <c r="OFN54" s="1011"/>
      <c r="OFO54" s="1011"/>
      <c r="OFP54" s="1011"/>
      <c r="OFQ54" s="1011"/>
      <c r="OFR54" s="1011"/>
      <c r="OFS54" s="1011"/>
      <c r="OFT54" s="1011"/>
      <c r="OFU54" s="1011"/>
      <c r="OFV54" s="1011"/>
      <c r="OFW54" s="1011"/>
      <c r="OFX54" s="1011"/>
      <c r="OFY54" s="1011"/>
      <c r="OFZ54" s="1011"/>
      <c r="OGA54" s="1011"/>
      <c r="OGB54" s="1011"/>
      <c r="OGC54" s="1011"/>
      <c r="OGD54" s="1011"/>
      <c r="OGE54" s="1011"/>
      <c r="OGF54" s="1011"/>
      <c r="OGG54" s="1011"/>
      <c r="OGH54" s="1011"/>
      <c r="OGI54" s="1011"/>
      <c r="OGJ54" s="1011"/>
      <c r="OGK54" s="1011"/>
      <c r="OGL54" s="1011"/>
      <c r="OGM54" s="1011"/>
      <c r="OGN54" s="1011"/>
      <c r="OGO54" s="1011"/>
      <c r="OGP54" s="1011"/>
      <c r="OGQ54" s="1011"/>
      <c r="OGR54" s="1011"/>
      <c r="OGS54" s="1011"/>
      <c r="OGT54" s="1011"/>
      <c r="OGU54" s="1011"/>
      <c r="OGV54" s="1011"/>
      <c r="OGW54" s="1011"/>
      <c r="OGX54" s="1011"/>
      <c r="OGY54" s="1011"/>
      <c r="OGZ54" s="1011"/>
      <c r="OHA54" s="1011"/>
      <c r="OHB54" s="1011"/>
      <c r="OHC54" s="1011"/>
      <c r="OHD54" s="1011"/>
      <c r="OHE54" s="1011"/>
      <c r="OHF54" s="1011"/>
      <c r="OHG54" s="1011"/>
      <c r="OHH54" s="1011"/>
      <c r="OHI54" s="1011"/>
      <c r="OHJ54" s="1011"/>
      <c r="OHK54" s="1011"/>
      <c r="OHL54" s="1011"/>
      <c r="OHM54" s="1011"/>
      <c r="OHN54" s="1011"/>
      <c r="OHO54" s="1011"/>
      <c r="OHP54" s="1011"/>
      <c r="OHQ54" s="1011"/>
      <c r="OHR54" s="1011"/>
      <c r="OHS54" s="1011"/>
      <c r="OHT54" s="1011"/>
      <c r="OHU54" s="1011"/>
      <c r="OHV54" s="1011"/>
      <c r="OHW54" s="1011"/>
      <c r="OHX54" s="1011"/>
      <c r="OHY54" s="1011"/>
      <c r="OHZ54" s="1011"/>
      <c r="OIA54" s="1011"/>
      <c r="OIB54" s="1011"/>
      <c r="OIC54" s="1011"/>
      <c r="OID54" s="1011"/>
      <c r="OIE54" s="1011"/>
      <c r="OIF54" s="1011"/>
      <c r="OIG54" s="1011"/>
      <c r="OIH54" s="1011"/>
      <c r="OII54" s="1011"/>
      <c r="OIJ54" s="1011"/>
      <c r="OIK54" s="1011"/>
      <c r="OIL54" s="1011"/>
      <c r="OIM54" s="1011"/>
      <c r="OIN54" s="1011"/>
      <c r="OIO54" s="1011"/>
      <c r="OIP54" s="1011"/>
      <c r="OIQ54" s="1011"/>
      <c r="OIR54" s="1011"/>
      <c r="OIS54" s="1011"/>
      <c r="OIT54" s="1011"/>
      <c r="OIU54" s="1011"/>
      <c r="OIV54" s="1011"/>
      <c r="OIW54" s="1011"/>
      <c r="OIX54" s="1011"/>
      <c r="OIY54" s="1011"/>
      <c r="OIZ54" s="1011"/>
      <c r="OJA54" s="1011"/>
      <c r="OJB54" s="1011"/>
      <c r="OJC54" s="1011"/>
      <c r="OJD54" s="1011"/>
      <c r="OJE54" s="1011"/>
      <c r="OJF54" s="1011"/>
      <c r="OJG54" s="1011"/>
      <c r="OJH54" s="1011"/>
      <c r="OJI54" s="1011"/>
      <c r="OJJ54" s="1011"/>
      <c r="OJK54" s="1011"/>
      <c r="OJL54" s="1011"/>
      <c r="OJM54" s="1011"/>
      <c r="OJN54" s="1011"/>
      <c r="OJO54" s="1011"/>
      <c r="OJP54" s="1011"/>
      <c r="OJQ54" s="1011"/>
      <c r="OJR54" s="1011"/>
      <c r="OJS54" s="1011"/>
      <c r="OJT54" s="1011"/>
      <c r="OJU54" s="1011"/>
      <c r="OJV54" s="1011"/>
      <c r="OJW54" s="1011"/>
      <c r="OJX54" s="1011"/>
      <c r="OJY54" s="1011"/>
      <c r="OJZ54" s="1011"/>
      <c r="OKA54" s="1011"/>
      <c r="OKB54" s="1011"/>
      <c r="OKC54" s="1011"/>
      <c r="OKD54" s="1011"/>
      <c r="OKE54" s="1011"/>
      <c r="OKF54" s="1011"/>
      <c r="OKG54" s="1011"/>
      <c r="OKH54" s="1011"/>
      <c r="OKI54" s="1011"/>
      <c r="OKJ54" s="1011"/>
      <c r="OKK54" s="1011"/>
      <c r="OKL54" s="1011"/>
      <c r="OKM54" s="1011"/>
      <c r="OKN54" s="1011"/>
      <c r="OKO54" s="1011"/>
      <c r="OKP54" s="1011"/>
      <c r="OKQ54" s="1011"/>
      <c r="OKR54" s="1011"/>
      <c r="OKS54" s="1011"/>
      <c r="OKT54" s="1011"/>
      <c r="OKU54" s="1011"/>
      <c r="OKV54" s="1011"/>
      <c r="OKW54" s="1011"/>
      <c r="OKX54" s="1011"/>
      <c r="OKY54" s="1011"/>
      <c r="OKZ54" s="1011"/>
      <c r="OLA54" s="1011"/>
      <c r="OLB54" s="1011"/>
      <c r="OLC54" s="1011"/>
      <c r="OLD54" s="1011"/>
      <c r="OLE54" s="1011"/>
      <c r="OLF54" s="1011"/>
      <c r="OLG54" s="1011"/>
      <c r="OLH54" s="1011"/>
      <c r="OLI54" s="1011"/>
      <c r="OLJ54" s="1011"/>
      <c r="OLK54" s="1011"/>
      <c r="OLL54" s="1011"/>
      <c r="OLM54" s="1011"/>
      <c r="OLN54" s="1011"/>
      <c r="OLO54" s="1011"/>
      <c r="OLP54" s="1011"/>
      <c r="OLQ54" s="1011"/>
      <c r="OLR54" s="1011"/>
      <c r="OLS54" s="1011"/>
      <c r="OLT54" s="1011"/>
      <c r="OLU54" s="1011"/>
      <c r="OLV54" s="1011"/>
      <c r="OLW54" s="1011"/>
      <c r="OLX54" s="1011"/>
      <c r="OLY54" s="1011"/>
      <c r="OLZ54" s="1011"/>
      <c r="OMA54" s="1011"/>
      <c r="OMB54" s="1011"/>
      <c r="OMC54" s="1011"/>
      <c r="OMD54" s="1011"/>
      <c r="OME54" s="1011"/>
      <c r="OMF54" s="1011"/>
      <c r="OMG54" s="1011"/>
      <c r="OMH54" s="1011"/>
      <c r="OMI54" s="1011"/>
      <c r="OMJ54" s="1011"/>
      <c r="OMK54" s="1011"/>
      <c r="OML54" s="1011"/>
      <c r="OMM54" s="1011"/>
      <c r="OMN54" s="1011"/>
      <c r="OMO54" s="1011"/>
      <c r="OMP54" s="1011"/>
      <c r="OMQ54" s="1011"/>
      <c r="OMR54" s="1011"/>
      <c r="OMS54" s="1011"/>
      <c r="OMT54" s="1011"/>
      <c r="OMU54" s="1011"/>
      <c r="OMV54" s="1011"/>
      <c r="OMW54" s="1011"/>
      <c r="OMX54" s="1011"/>
      <c r="OMY54" s="1011"/>
      <c r="OMZ54" s="1011"/>
      <c r="ONA54" s="1011"/>
      <c r="ONB54" s="1011"/>
      <c r="ONC54" s="1011"/>
      <c r="OND54" s="1011"/>
      <c r="ONE54" s="1011"/>
      <c r="ONF54" s="1011"/>
      <c r="ONG54" s="1011"/>
      <c r="ONH54" s="1011"/>
      <c r="ONI54" s="1011"/>
      <c r="ONJ54" s="1011"/>
      <c r="ONK54" s="1011"/>
      <c r="ONL54" s="1011"/>
      <c r="ONM54" s="1011"/>
      <c r="ONN54" s="1011"/>
      <c r="ONO54" s="1011"/>
      <c r="ONP54" s="1011"/>
      <c r="ONQ54" s="1011"/>
      <c r="ONR54" s="1011"/>
      <c r="ONS54" s="1011"/>
      <c r="ONT54" s="1011"/>
      <c r="ONU54" s="1011"/>
      <c r="ONV54" s="1011"/>
      <c r="ONW54" s="1011"/>
      <c r="ONX54" s="1011"/>
      <c r="ONY54" s="1011"/>
      <c r="ONZ54" s="1011"/>
      <c r="OOA54" s="1011"/>
      <c r="OOB54" s="1011"/>
      <c r="OOC54" s="1011"/>
      <c r="OOD54" s="1011"/>
      <c r="OOE54" s="1011"/>
      <c r="OOF54" s="1011"/>
      <c r="OOG54" s="1011"/>
      <c r="OOH54" s="1011"/>
      <c r="OOI54" s="1011"/>
      <c r="OOJ54" s="1011"/>
      <c r="OOK54" s="1011"/>
      <c r="OOL54" s="1011"/>
      <c r="OOM54" s="1011"/>
      <c r="OON54" s="1011"/>
      <c r="OOO54" s="1011"/>
      <c r="OOP54" s="1011"/>
      <c r="OOQ54" s="1011"/>
      <c r="OOR54" s="1011"/>
      <c r="OOS54" s="1011"/>
      <c r="OOT54" s="1011"/>
      <c r="OOU54" s="1011"/>
      <c r="OOV54" s="1011"/>
      <c r="OOW54" s="1011"/>
      <c r="OOX54" s="1011"/>
      <c r="OOY54" s="1011"/>
      <c r="OOZ54" s="1011"/>
      <c r="OPA54" s="1011"/>
      <c r="OPB54" s="1011"/>
      <c r="OPC54" s="1011"/>
      <c r="OPD54" s="1011"/>
      <c r="OPE54" s="1011"/>
      <c r="OPF54" s="1011"/>
      <c r="OPG54" s="1011"/>
      <c r="OPH54" s="1011"/>
      <c r="OPI54" s="1011"/>
      <c r="OPJ54" s="1011"/>
      <c r="OPK54" s="1011"/>
      <c r="OPL54" s="1011"/>
      <c r="OPM54" s="1011"/>
      <c r="OPN54" s="1011"/>
      <c r="OPO54" s="1011"/>
      <c r="OPP54" s="1011"/>
      <c r="OPQ54" s="1011"/>
      <c r="OPR54" s="1011"/>
      <c r="OPS54" s="1011"/>
      <c r="OPT54" s="1011"/>
      <c r="OPU54" s="1011"/>
      <c r="OPV54" s="1011"/>
      <c r="OPW54" s="1011"/>
      <c r="OPX54" s="1011"/>
      <c r="OPY54" s="1011"/>
      <c r="OPZ54" s="1011"/>
      <c r="OQA54" s="1011"/>
      <c r="OQB54" s="1011"/>
      <c r="OQC54" s="1011"/>
      <c r="OQD54" s="1011"/>
      <c r="OQE54" s="1011"/>
      <c r="OQF54" s="1011"/>
      <c r="OQG54" s="1011"/>
      <c r="OQH54" s="1011"/>
      <c r="OQI54" s="1011"/>
      <c r="OQJ54" s="1011"/>
      <c r="OQK54" s="1011"/>
      <c r="OQL54" s="1011"/>
      <c r="OQM54" s="1011"/>
      <c r="OQN54" s="1011"/>
      <c r="OQO54" s="1011"/>
      <c r="OQP54" s="1011"/>
      <c r="OQQ54" s="1011"/>
      <c r="OQR54" s="1011"/>
      <c r="OQS54" s="1011"/>
      <c r="OQT54" s="1011"/>
      <c r="OQU54" s="1011"/>
      <c r="OQV54" s="1011"/>
      <c r="OQW54" s="1011"/>
      <c r="OQX54" s="1011"/>
      <c r="OQY54" s="1011"/>
      <c r="OQZ54" s="1011"/>
      <c r="ORA54" s="1011"/>
      <c r="ORB54" s="1011"/>
      <c r="ORC54" s="1011"/>
      <c r="ORD54" s="1011"/>
      <c r="ORE54" s="1011"/>
      <c r="ORF54" s="1011"/>
      <c r="ORG54" s="1011"/>
      <c r="ORH54" s="1011"/>
      <c r="ORI54" s="1011"/>
      <c r="ORJ54" s="1011"/>
      <c r="ORK54" s="1011"/>
      <c r="ORL54" s="1011"/>
      <c r="ORM54" s="1011"/>
      <c r="ORN54" s="1011"/>
      <c r="ORO54" s="1011"/>
      <c r="ORP54" s="1011"/>
      <c r="ORQ54" s="1011"/>
      <c r="ORR54" s="1011"/>
      <c r="ORS54" s="1011"/>
      <c r="ORT54" s="1011"/>
      <c r="ORU54" s="1011"/>
      <c r="ORV54" s="1011"/>
      <c r="ORW54" s="1011"/>
      <c r="ORX54" s="1011"/>
      <c r="ORY54" s="1011"/>
      <c r="ORZ54" s="1011"/>
      <c r="OSA54" s="1011"/>
      <c r="OSB54" s="1011"/>
      <c r="OSC54" s="1011"/>
      <c r="OSD54" s="1011"/>
      <c r="OSE54" s="1011"/>
      <c r="OSF54" s="1011"/>
      <c r="OSG54" s="1011"/>
      <c r="OSH54" s="1011"/>
      <c r="OSI54" s="1011"/>
      <c r="OSJ54" s="1011"/>
      <c r="OSK54" s="1011"/>
      <c r="OSL54" s="1011"/>
      <c r="OSM54" s="1011"/>
      <c r="OSN54" s="1011"/>
      <c r="OSO54" s="1011"/>
      <c r="OSP54" s="1011"/>
      <c r="OSQ54" s="1011"/>
      <c r="OSR54" s="1011"/>
      <c r="OSS54" s="1011"/>
      <c r="OST54" s="1011"/>
      <c r="OSU54" s="1011"/>
      <c r="OSV54" s="1011"/>
      <c r="OSW54" s="1011"/>
      <c r="OSX54" s="1011"/>
      <c r="OSY54" s="1011"/>
      <c r="OSZ54" s="1011"/>
      <c r="OTA54" s="1011"/>
      <c r="OTB54" s="1011"/>
      <c r="OTC54" s="1011"/>
      <c r="OTD54" s="1011"/>
      <c r="OTE54" s="1011"/>
      <c r="OTF54" s="1011"/>
      <c r="OTG54" s="1011"/>
      <c r="OTH54" s="1011"/>
      <c r="OTI54" s="1011"/>
      <c r="OTJ54" s="1011"/>
      <c r="OTK54" s="1011"/>
      <c r="OTL54" s="1011"/>
      <c r="OTM54" s="1011"/>
      <c r="OTN54" s="1011"/>
      <c r="OTO54" s="1011"/>
      <c r="OTP54" s="1011"/>
      <c r="OTQ54" s="1011"/>
      <c r="OTR54" s="1011"/>
      <c r="OTS54" s="1011"/>
      <c r="OTT54" s="1011"/>
      <c r="OTU54" s="1011"/>
      <c r="OTV54" s="1011"/>
      <c r="OTW54" s="1011"/>
      <c r="OTX54" s="1011"/>
      <c r="OTY54" s="1011"/>
      <c r="OTZ54" s="1011"/>
      <c r="OUA54" s="1011"/>
      <c r="OUB54" s="1011"/>
      <c r="OUC54" s="1011"/>
      <c r="OUD54" s="1011"/>
      <c r="OUE54" s="1011"/>
      <c r="OUF54" s="1011"/>
      <c r="OUG54" s="1011"/>
      <c r="OUH54" s="1011"/>
      <c r="OUI54" s="1011"/>
      <c r="OUJ54" s="1011"/>
      <c r="OUK54" s="1011"/>
      <c r="OUL54" s="1011"/>
      <c r="OUM54" s="1011"/>
      <c r="OUN54" s="1011"/>
      <c r="OUO54" s="1011"/>
      <c r="OUP54" s="1011"/>
      <c r="OUQ54" s="1011"/>
      <c r="OUR54" s="1011"/>
      <c r="OUS54" s="1011"/>
      <c r="OUT54" s="1011"/>
      <c r="OUU54" s="1011"/>
      <c r="OUV54" s="1011"/>
      <c r="OUW54" s="1011"/>
      <c r="OUX54" s="1011"/>
      <c r="OUY54" s="1011"/>
      <c r="OUZ54" s="1011"/>
      <c r="OVA54" s="1011"/>
      <c r="OVB54" s="1011"/>
      <c r="OVC54" s="1011"/>
      <c r="OVD54" s="1011"/>
      <c r="OVE54" s="1011"/>
      <c r="OVF54" s="1011"/>
      <c r="OVG54" s="1011"/>
      <c r="OVH54" s="1011"/>
      <c r="OVI54" s="1011"/>
      <c r="OVJ54" s="1011"/>
      <c r="OVK54" s="1011"/>
      <c r="OVL54" s="1011"/>
      <c r="OVM54" s="1011"/>
      <c r="OVN54" s="1011"/>
      <c r="OVO54" s="1011"/>
      <c r="OVP54" s="1011"/>
      <c r="OVQ54" s="1011"/>
      <c r="OVR54" s="1011"/>
      <c r="OVS54" s="1011"/>
      <c r="OVT54" s="1011"/>
      <c r="OVU54" s="1011"/>
      <c r="OVV54" s="1011"/>
      <c r="OVW54" s="1011"/>
      <c r="OVX54" s="1011"/>
      <c r="OVY54" s="1011"/>
      <c r="OVZ54" s="1011"/>
      <c r="OWA54" s="1011"/>
      <c r="OWB54" s="1011"/>
      <c r="OWC54" s="1011"/>
      <c r="OWD54" s="1011"/>
      <c r="OWE54" s="1011"/>
      <c r="OWF54" s="1011"/>
      <c r="OWG54" s="1011"/>
      <c r="OWH54" s="1011"/>
      <c r="OWI54" s="1011"/>
      <c r="OWJ54" s="1011"/>
      <c r="OWK54" s="1011"/>
      <c r="OWL54" s="1011"/>
      <c r="OWM54" s="1011"/>
      <c r="OWN54" s="1011"/>
      <c r="OWO54" s="1011"/>
      <c r="OWP54" s="1011"/>
      <c r="OWQ54" s="1011"/>
      <c r="OWR54" s="1011"/>
      <c r="OWS54" s="1011"/>
      <c r="OWT54" s="1011"/>
      <c r="OWU54" s="1011"/>
      <c r="OWV54" s="1011"/>
      <c r="OWW54" s="1011"/>
      <c r="OWX54" s="1011"/>
      <c r="OWY54" s="1011"/>
      <c r="OWZ54" s="1011"/>
      <c r="OXA54" s="1011"/>
      <c r="OXB54" s="1011"/>
      <c r="OXC54" s="1011"/>
      <c r="OXD54" s="1011"/>
      <c r="OXE54" s="1011"/>
      <c r="OXF54" s="1011"/>
      <c r="OXG54" s="1011"/>
      <c r="OXH54" s="1011"/>
      <c r="OXI54" s="1011"/>
      <c r="OXJ54" s="1011"/>
      <c r="OXK54" s="1011"/>
      <c r="OXL54" s="1011"/>
      <c r="OXM54" s="1011"/>
      <c r="OXN54" s="1011"/>
      <c r="OXO54" s="1011"/>
      <c r="OXP54" s="1011"/>
      <c r="OXQ54" s="1011"/>
      <c r="OXR54" s="1011"/>
      <c r="OXS54" s="1011"/>
      <c r="OXT54" s="1011"/>
      <c r="OXU54" s="1011"/>
      <c r="OXV54" s="1011"/>
      <c r="OXW54" s="1011"/>
      <c r="OXX54" s="1011"/>
      <c r="OXY54" s="1011"/>
      <c r="OXZ54" s="1011"/>
      <c r="OYA54" s="1011"/>
      <c r="OYB54" s="1011"/>
      <c r="OYC54" s="1011"/>
      <c r="OYD54" s="1011"/>
      <c r="OYE54" s="1011"/>
      <c r="OYF54" s="1011"/>
      <c r="OYG54" s="1011"/>
      <c r="OYH54" s="1011"/>
      <c r="OYI54" s="1011"/>
      <c r="OYJ54" s="1011"/>
      <c r="OYK54" s="1011"/>
      <c r="OYL54" s="1011"/>
      <c r="OYM54" s="1011"/>
      <c r="OYN54" s="1011"/>
      <c r="OYO54" s="1011"/>
      <c r="OYP54" s="1011"/>
      <c r="OYQ54" s="1011"/>
      <c r="OYR54" s="1011"/>
      <c r="OYS54" s="1011"/>
      <c r="OYT54" s="1011"/>
      <c r="OYU54" s="1011"/>
      <c r="OYV54" s="1011"/>
      <c r="OYW54" s="1011"/>
      <c r="OYX54" s="1011"/>
      <c r="OYY54" s="1011"/>
      <c r="OYZ54" s="1011"/>
      <c r="OZA54" s="1011"/>
      <c r="OZB54" s="1011"/>
      <c r="OZC54" s="1011"/>
      <c r="OZD54" s="1011"/>
      <c r="OZE54" s="1011"/>
      <c r="OZF54" s="1011"/>
      <c r="OZG54" s="1011"/>
      <c r="OZH54" s="1011"/>
      <c r="OZI54" s="1011"/>
      <c r="OZJ54" s="1011"/>
      <c r="OZK54" s="1011"/>
      <c r="OZL54" s="1011"/>
      <c r="OZM54" s="1011"/>
      <c r="OZN54" s="1011"/>
      <c r="OZO54" s="1011"/>
      <c r="OZP54" s="1011"/>
      <c r="OZQ54" s="1011"/>
      <c r="OZR54" s="1011"/>
      <c r="OZS54" s="1011"/>
      <c r="OZT54" s="1011"/>
      <c r="OZU54" s="1011"/>
      <c r="OZV54" s="1011"/>
      <c r="OZW54" s="1011"/>
      <c r="OZX54" s="1011"/>
      <c r="OZY54" s="1011"/>
      <c r="OZZ54" s="1011"/>
      <c r="PAA54" s="1011"/>
      <c r="PAB54" s="1011"/>
      <c r="PAC54" s="1011"/>
      <c r="PAD54" s="1011"/>
      <c r="PAE54" s="1011"/>
      <c r="PAF54" s="1011"/>
      <c r="PAG54" s="1011"/>
      <c r="PAH54" s="1011"/>
      <c r="PAI54" s="1011"/>
      <c r="PAJ54" s="1011"/>
      <c r="PAK54" s="1011"/>
      <c r="PAL54" s="1011"/>
      <c r="PAM54" s="1011"/>
      <c r="PAN54" s="1011"/>
      <c r="PAO54" s="1011"/>
      <c r="PAP54" s="1011"/>
      <c r="PAQ54" s="1011"/>
      <c r="PAR54" s="1011"/>
      <c r="PAS54" s="1011"/>
      <c r="PAT54" s="1011"/>
      <c r="PAU54" s="1011"/>
      <c r="PAV54" s="1011"/>
      <c r="PAW54" s="1011"/>
      <c r="PAX54" s="1011"/>
      <c r="PAY54" s="1011"/>
      <c r="PAZ54" s="1011"/>
      <c r="PBA54" s="1011"/>
      <c r="PBB54" s="1011"/>
      <c r="PBC54" s="1011"/>
      <c r="PBD54" s="1011"/>
      <c r="PBE54" s="1011"/>
      <c r="PBF54" s="1011"/>
      <c r="PBG54" s="1011"/>
      <c r="PBH54" s="1011"/>
      <c r="PBI54" s="1011"/>
      <c r="PBJ54" s="1011"/>
      <c r="PBK54" s="1011"/>
      <c r="PBL54" s="1011"/>
      <c r="PBM54" s="1011"/>
      <c r="PBN54" s="1011"/>
      <c r="PBO54" s="1011"/>
      <c r="PBP54" s="1011"/>
      <c r="PBQ54" s="1011"/>
      <c r="PBR54" s="1011"/>
      <c r="PBS54" s="1011"/>
      <c r="PBT54" s="1011"/>
      <c r="PBU54" s="1011"/>
      <c r="PBV54" s="1011"/>
      <c r="PBW54" s="1011"/>
      <c r="PBX54" s="1011"/>
      <c r="PBY54" s="1011"/>
      <c r="PBZ54" s="1011"/>
      <c r="PCA54" s="1011"/>
      <c r="PCB54" s="1011"/>
      <c r="PCC54" s="1011"/>
      <c r="PCD54" s="1011"/>
      <c r="PCE54" s="1011"/>
      <c r="PCF54" s="1011"/>
      <c r="PCG54" s="1011"/>
      <c r="PCH54" s="1011"/>
      <c r="PCI54" s="1011"/>
      <c r="PCJ54" s="1011"/>
      <c r="PCK54" s="1011"/>
      <c r="PCL54" s="1011"/>
      <c r="PCM54" s="1011"/>
      <c r="PCN54" s="1011"/>
      <c r="PCO54" s="1011"/>
      <c r="PCP54" s="1011"/>
      <c r="PCQ54" s="1011"/>
      <c r="PCR54" s="1011"/>
      <c r="PCS54" s="1011"/>
      <c r="PCT54" s="1011"/>
      <c r="PCU54" s="1011"/>
      <c r="PCV54" s="1011"/>
      <c r="PCW54" s="1011"/>
      <c r="PCX54" s="1011"/>
      <c r="PCY54" s="1011"/>
      <c r="PCZ54" s="1011"/>
      <c r="PDA54" s="1011"/>
      <c r="PDB54" s="1011"/>
      <c r="PDC54" s="1011"/>
      <c r="PDD54" s="1011"/>
      <c r="PDE54" s="1011"/>
      <c r="PDF54" s="1011"/>
      <c r="PDG54" s="1011"/>
      <c r="PDH54" s="1011"/>
      <c r="PDI54" s="1011"/>
      <c r="PDJ54" s="1011"/>
      <c r="PDK54" s="1011"/>
      <c r="PDL54" s="1011"/>
      <c r="PDM54" s="1011"/>
      <c r="PDN54" s="1011"/>
      <c r="PDO54" s="1011"/>
      <c r="PDP54" s="1011"/>
      <c r="PDQ54" s="1011"/>
      <c r="PDR54" s="1011"/>
      <c r="PDS54" s="1011"/>
      <c r="PDT54" s="1011"/>
      <c r="PDU54" s="1011"/>
      <c r="PDV54" s="1011"/>
      <c r="PDW54" s="1011"/>
      <c r="PDX54" s="1011"/>
      <c r="PDY54" s="1011"/>
      <c r="PDZ54" s="1011"/>
      <c r="PEA54" s="1011"/>
      <c r="PEB54" s="1011"/>
      <c r="PEC54" s="1011"/>
      <c r="PED54" s="1011"/>
      <c r="PEE54" s="1011"/>
      <c r="PEF54" s="1011"/>
      <c r="PEG54" s="1011"/>
      <c r="PEH54" s="1011"/>
      <c r="PEI54" s="1011"/>
      <c r="PEJ54" s="1011"/>
      <c r="PEK54" s="1011"/>
      <c r="PEL54" s="1011"/>
      <c r="PEM54" s="1011"/>
      <c r="PEN54" s="1011"/>
      <c r="PEO54" s="1011"/>
      <c r="PEP54" s="1011"/>
      <c r="PEQ54" s="1011"/>
      <c r="PER54" s="1011"/>
      <c r="PES54" s="1011"/>
      <c r="PET54" s="1011"/>
      <c r="PEU54" s="1011"/>
      <c r="PEV54" s="1011"/>
      <c r="PEW54" s="1011"/>
      <c r="PEX54" s="1011"/>
      <c r="PEY54" s="1011"/>
      <c r="PEZ54" s="1011"/>
      <c r="PFA54" s="1011"/>
      <c r="PFB54" s="1011"/>
      <c r="PFC54" s="1011"/>
      <c r="PFD54" s="1011"/>
      <c r="PFE54" s="1011"/>
      <c r="PFF54" s="1011"/>
      <c r="PFG54" s="1011"/>
      <c r="PFH54" s="1011"/>
      <c r="PFI54" s="1011"/>
      <c r="PFJ54" s="1011"/>
      <c r="PFK54" s="1011"/>
      <c r="PFL54" s="1011"/>
      <c r="PFM54" s="1011"/>
      <c r="PFN54" s="1011"/>
      <c r="PFO54" s="1011"/>
      <c r="PFP54" s="1011"/>
      <c r="PFQ54" s="1011"/>
      <c r="PFR54" s="1011"/>
      <c r="PFS54" s="1011"/>
      <c r="PFT54" s="1011"/>
      <c r="PFU54" s="1011"/>
      <c r="PFV54" s="1011"/>
      <c r="PFW54" s="1011"/>
      <c r="PFX54" s="1011"/>
      <c r="PFY54" s="1011"/>
      <c r="PFZ54" s="1011"/>
      <c r="PGA54" s="1011"/>
      <c r="PGB54" s="1011"/>
      <c r="PGC54" s="1011"/>
      <c r="PGD54" s="1011"/>
      <c r="PGE54" s="1011"/>
      <c r="PGF54" s="1011"/>
      <c r="PGG54" s="1011"/>
      <c r="PGH54" s="1011"/>
      <c r="PGI54" s="1011"/>
      <c r="PGJ54" s="1011"/>
      <c r="PGK54" s="1011"/>
      <c r="PGL54" s="1011"/>
      <c r="PGM54" s="1011"/>
      <c r="PGN54" s="1011"/>
      <c r="PGO54" s="1011"/>
      <c r="PGP54" s="1011"/>
      <c r="PGQ54" s="1011"/>
      <c r="PGR54" s="1011"/>
      <c r="PGS54" s="1011"/>
      <c r="PGT54" s="1011"/>
      <c r="PGU54" s="1011"/>
      <c r="PGV54" s="1011"/>
      <c r="PGW54" s="1011"/>
      <c r="PGX54" s="1011"/>
      <c r="PGY54" s="1011"/>
      <c r="PGZ54" s="1011"/>
      <c r="PHA54" s="1011"/>
      <c r="PHB54" s="1011"/>
      <c r="PHC54" s="1011"/>
      <c r="PHD54" s="1011"/>
      <c r="PHE54" s="1011"/>
      <c r="PHF54" s="1011"/>
      <c r="PHG54" s="1011"/>
      <c r="PHH54" s="1011"/>
      <c r="PHI54" s="1011"/>
      <c r="PHJ54" s="1011"/>
      <c r="PHK54" s="1011"/>
      <c r="PHL54" s="1011"/>
      <c r="PHM54" s="1011"/>
      <c r="PHN54" s="1011"/>
      <c r="PHO54" s="1011"/>
      <c r="PHP54" s="1011"/>
      <c r="PHQ54" s="1011"/>
      <c r="PHR54" s="1011"/>
      <c r="PHS54" s="1011"/>
      <c r="PHT54" s="1011"/>
      <c r="PHU54" s="1011"/>
      <c r="PHV54" s="1011"/>
      <c r="PHW54" s="1011"/>
      <c r="PHX54" s="1011"/>
      <c r="PHY54" s="1011"/>
      <c r="PHZ54" s="1011"/>
      <c r="PIA54" s="1011"/>
      <c r="PIB54" s="1011"/>
      <c r="PIC54" s="1011"/>
      <c r="PID54" s="1011"/>
      <c r="PIE54" s="1011"/>
      <c r="PIF54" s="1011"/>
      <c r="PIG54" s="1011"/>
      <c r="PIH54" s="1011"/>
      <c r="PII54" s="1011"/>
      <c r="PIJ54" s="1011"/>
      <c r="PIK54" s="1011"/>
      <c r="PIL54" s="1011"/>
      <c r="PIM54" s="1011"/>
      <c r="PIN54" s="1011"/>
      <c r="PIO54" s="1011"/>
      <c r="PIP54" s="1011"/>
      <c r="PIQ54" s="1011"/>
      <c r="PIR54" s="1011"/>
      <c r="PIS54" s="1011"/>
      <c r="PIT54" s="1011"/>
      <c r="PIU54" s="1011"/>
      <c r="PIV54" s="1011"/>
      <c r="PIW54" s="1011"/>
      <c r="PIX54" s="1011"/>
      <c r="PIY54" s="1011"/>
      <c r="PIZ54" s="1011"/>
      <c r="PJA54" s="1011"/>
      <c r="PJB54" s="1011"/>
      <c r="PJC54" s="1011"/>
      <c r="PJD54" s="1011"/>
      <c r="PJE54" s="1011"/>
      <c r="PJF54" s="1011"/>
      <c r="PJG54" s="1011"/>
      <c r="PJH54" s="1011"/>
      <c r="PJI54" s="1011"/>
      <c r="PJJ54" s="1011"/>
      <c r="PJK54" s="1011"/>
      <c r="PJL54" s="1011"/>
      <c r="PJM54" s="1011"/>
      <c r="PJN54" s="1011"/>
      <c r="PJO54" s="1011"/>
      <c r="PJP54" s="1011"/>
      <c r="PJQ54" s="1011"/>
      <c r="PJR54" s="1011"/>
      <c r="PJS54" s="1011"/>
      <c r="PJT54" s="1011"/>
      <c r="PJU54" s="1011"/>
      <c r="PJV54" s="1011"/>
      <c r="PJW54" s="1011"/>
      <c r="PJX54" s="1011"/>
      <c r="PJY54" s="1011"/>
      <c r="PJZ54" s="1011"/>
      <c r="PKA54" s="1011"/>
      <c r="PKB54" s="1011"/>
      <c r="PKC54" s="1011"/>
      <c r="PKD54" s="1011"/>
      <c r="PKE54" s="1011"/>
      <c r="PKF54" s="1011"/>
      <c r="PKG54" s="1011"/>
      <c r="PKH54" s="1011"/>
      <c r="PKI54" s="1011"/>
      <c r="PKJ54" s="1011"/>
      <c r="PKK54" s="1011"/>
      <c r="PKL54" s="1011"/>
      <c r="PKM54" s="1011"/>
      <c r="PKN54" s="1011"/>
      <c r="PKO54" s="1011"/>
      <c r="PKP54" s="1011"/>
      <c r="PKQ54" s="1011"/>
      <c r="PKR54" s="1011"/>
      <c r="PKS54" s="1011"/>
      <c r="PKT54" s="1011"/>
      <c r="PKU54" s="1011"/>
      <c r="PKV54" s="1011"/>
      <c r="PKW54" s="1011"/>
      <c r="PKX54" s="1011"/>
      <c r="PKY54" s="1011"/>
      <c r="PKZ54" s="1011"/>
      <c r="PLA54" s="1011"/>
      <c r="PLB54" s="1011"/>
      <c r="PLC54" s="1011"/>
      <c r="PLD54" s="1011"/>
      <c r="PLE54" s="1011"/>
      <c r="PLF54" s="1011"/>
      <c r="PLG54" s="1011"/>
      <c r="PLH54" s="1011"/>
      <c r="PLI54" s="1011"/>
      <c r="PLJ54" s="1011"/>
      <c r="PLK54" s="1011"/>
      <c r="PLL54" s="1011"/>
      <c r="PLM54" s="1011"/>
      <c r="PLN54" s="1011"/>
      <c r="PLO54" s="1011"/>
      <c r="PLP54" s="1011"/>
      <c r="PLQ54" s="1011"/>
      <c r="PLR54" s="1011"/>
      <c r="PLS54" s="1011"/>
      <c r="PLT54" s="1011"/>
      <c r="PLU54" s="1011"/>
      <c r="PLV54" s="1011"/>
      <c r="PLW54" s="1011"/>
      <c r="PLX54" s="1011"/>
      <c r="PLY54" s="1011"/>
      <c r="PLZ54" s="1011"/>
      <c r="PMA54" s="1011"/>
      <c r="PMB54" s="1011"/>
      <c r="PMC54" s="1011"/>
      <c r="PMD54" s="1011"/>
      <c r="PME54" s="1011"/>
      <c r="PMF54" s="1011"/>
      <c r="PMG54" s="1011"/>
      <c r="PMH54" s="1011"/>
      <c r="PMI54" s="1011"/>
      <c r="PMJ54" s="1011"/>
      <c r="PMK54" s="1011"/>
      <c r="PML54" s="1011"/>
      <c r="PMM54" s="1011"/>
      <c r="PMN54" s="1011"/>
      <c r="PMO54" s="1011"/>
      <c r="PMP54" s="1011"/>
      <c r="PMQ54" s="1011"/>
      <c r="PMR54" s="1011"/>
      <c r="PMS54" s="1011"/>
      <c r="PMT54" s="1011"/>
      <c r="PMU54" s="1011"/>
      <c r="PMV54" s="1011"/>
      <c r="PMW54" s="1011"/>
      <c r="PMX54" s="1011"/>
      <c r="PMY54" s="1011"/>
      <c r="PMZ54" s="1011"/>
      <c r="PNA54" s="1011"/>
      <c r="PNB54" s="1011"/>
      <c r="PNC54" s="1011"/>
      <c r="PND54" s="1011"/>
      <c r="PNE54" s="1011"/>
      <c r="PNF54" s="1011"/>
      <c r="PNG54" s="1011"/>
      <c r="PNH54" s="1011"/>
      <c r="PNI54" s="1011"/>
      <c r="PNJ54" s="1011"/>
      <c r="PNK54" s="1011"/>
      <c r="PNL54" s="1011"/>
      <c r="PNM54" s="1011"/>
      <c r="PNN54" s="1011"/>
      <c r="PNO54" s="1011"/>
      <c r="PNP54" s="1011"/>
      <c r="PNQ54" s="1011"/>
      <c r="PNR54" s="1011"/>
      <c r="PNS54" s="1011"/>
      <c r="PNT54" s="1011"/>
      <c r="PNU54" s="1011"/>
      <c r="PNV54" s="1011"/>
      <c r="PNW54" s="1011"/>
      <c r="PNX54" s="1011"/>
      <c r="PNY54" s="1011"/>
      <c r="PNZ54" s="1011"/>
      <c r="POA54" s="1011"/>
      <c r="POB54" s="1011"/>
      <c r="POC54" s="1011"/>
      <c r="POD54" s="1011"/>
      <c r="POE54" s="1011"/>
      <c r="POF54" s="1011"/>
      <c r="POG54" s="1011"/>
      <c r="POH54" s="1011"/>
      <c r="POI54" s="1011"/>
      <c r="POJ54" s="1011"/>
      <c r="POK54" s="1011"/>
      <c r="POL54" s="1011"/>
      <c r="POM54" s="1011"/>
      <c r="PON54" s="1011"/>
      <c r="POO54" s="1011"/>
      <c r="POP54" s="1011"/>
      <c r="POQ54" s="1011"/>
      <c r="POR54" s="1011"/>
      <c r="POS54" s="1011"/>
      <c r="POT54" s="1011"/>
      <c r="POU54" s="1011"/>
      <c r="POV54" s="1011"/>
      <c r="POW54" s="1011"/>
      <c r="POX54" s="1011"/>
      <c r="POY54" s="1011"/>
      <c r="POZ54" s="1011"/>
      <c r="PPA54" s="1011"/>
      <c r="PPB54" s="1011"/>
      <c r="PPC54" s="1011"/>
      <c r="PPD54" s="1011"/>
      <c r="PPE54" s="1011"/>
      <c r="PPF54" s="1011"/>
      <c r="PPG54" s="1011"/>
      <c r="PPH54" s="1011"/>
      <c r="PPI54" s="1011"/>
      <c r="PPJ54" s="1011"/>
      <c r="PPK54" s="1011"/>
      <c r="PPL54" s="1011"/>
      <c r="PPM54" s="1011"/>
      <c r="PPN54" s="1011"/>
      <c r="PPO54" s="1011"/>
      <c r="PPP54" s="1011"/>
      <c r="PPQ54" s="1011"/>
      <c r="PPR54" s="1011"/>
      <c r="PPS54" s="1011"/>
      <c r="PPT54" s="1011"/>
      <c r="PPU54" s="1011"/>
      <c r="PPV54" s="1011"/>
      <c r="PPW54" s="1011"/>
      <c r="PPX54" s="1011"/>
      <c r="PPY54" s="1011"/>
      <c r="PPZ54" s="1011"/>
      <c r="PQA54" s="1011"/>
      <c r="PQB54" s="1011"/>
      <c r="PQC54" s="1011"/>
      <c r="PQD54" s="1011"/>
      <c r="PQE54" s="1011"/>
      <c r="PQF54" s="1011"/>
      <c r="PQG54" s="1011"/>
      <c r="PQH54" s="1011"/>
      <c r="PQI54" s="1011"/>
      <c r="PQJ54" s="1011"/>
      <c r="PQK54" s="1011"/>
      <c r="PQL54" s="1011"/>
      <c r="PQM54" s="1011"/>
      <c r="PQN54" s="1011"/>
      <c r="PQO54" s="1011"/>
      <c r="PQP54" s="1011"/>
      <c r="PQQ54" s="1011"/>
      <c r="PQR54" s="1011"/>
      <c r="PQS54" s="1011"/>
      <c r="PQT54" s="1011"/>
      <c r="PQU54" s="1011"/>
      <c r="PQV54" s="1011"/>
      <c r="PQW54" s="1011"/>
      <c r="PQX54" s="1011"/>
      <c r="PQY54" s="1011"/>
      <c r="PQZ54" s="1011"/>
      <c r="PRA54" s="1011"/>
      <c r="PRB54" s="1011"/>
      <c r="PRC54" s="1011"/>
      <c r="PRD54" s="1011"/>
      <c r="PRE54" s="1011"/>
      <c r="PRF54" s="1011"/>
      <c r="PRG54" s="1011"/>
      <c r="PRH54" s="1011"/>
      <c r="PRI54" s="1011"/>
      <c r="PRJ54" s="1011"/>
      <c r="PRK54" s="1011"/>
      <c r="PRL54" s="1011"/>
      <c r="PRM54" s="1011"/>
      <c r="PRN54" s="1011"/>
      <c r="PRO54" s="1011"/>
      <c r="PRP54" s="1011"/>
      <c r="PRQ54" s="1011"/>
      <c r="PRR54" s="1011"/>
      <c r="PRS54" s="1011"/>
      <c r="PRT54" s="1011"/>
      <c r="PRU54" s="1011"/>
      <c r="PRV54" s="1011"/>
      <c r="PRW54" s="1011"/>
      <c r="PRX54" s="1011"/>
      <c r="PRY54" s="1011"/>
      <c r="PRZ54" s="1011"/>
      <c r="PSA54" s="1011"/>
      <c r="PSB54" s="1011"/>
      <c r="PSC54" s="1011"/>
      <c r="PSD54" s="1011"/>
      <c r="PSE54" s="1011"/>
      <c r="PSF54" s="1011"/>
      <c r="PSG54" s="1011"/>
      <c r="PSH54" s="1011"/>
      <c r="PSI54" s="1011"/>
      <c r="PSJ54" s="1011"/>
      <c r="PSK54" s="1011"/>
      <c r="PSL54" s="1011"/>
      <c r="PSM54" s="1011"/>
      <c r="PSN54" s="1011"/>
      <c r="PSO54" s="1011"/>
      <c r="PSP54" s="1011"/>
      <c r="PSQ54" s="1011"/>
      <c r="PSR54" s="1011"/>
      <c r="PSS54" s="1011"/>
      <c r="PST54" s="1011"/>
      <c r="PSU54" s="1011"/>
      <c r="PSV54" s="1011"/>
      <c r="PSW54" s="1011"/>
      <c r="PSX54" s="1011"/>
      <c r="PSY54" s="1011"/>
      <c r="PSZ54" s="1011"/>
      <c r="PTA54" s="1011"/>
      <c r="PTB54" s="1011"/>
      <c r="PTC54" s="1011"/>
      <c r="PTD54" s="1011"/>
      <c r="PTE54" s="1011"/>
      <c r="PTF54" s="1011"/>
      <c r="PTG54" s="1011"/>
      <c r="PTH54" s="1011"/>
      <c r="PTI54" s="1011"/>
      <c r="PTJ54" s="1011"/>
      <c r="PTK54" s="1011"/>
      <c r="PTL54" s="1011"/>
      <c r="PTM54" s="1011"/>
      <c r="PTN54" s="1011"/>
      <c r="PTO54" s="1011"/>
      <c r="PTP54" s="1011"/>
      <c r="PTQ54" s="1011"/>
      <c r="PTR54" s="1011"/>
      <c r="PTS54" s="1011"/>
      <c r="PTT54" s="1011"/>
      <c r="PTU54" s="1011"/>
      <c r="PTV54" s="1011"/>
      <c r="PTW54" s="1011"/>
      <c r="PTX54" s="1011"/>
      <c r="PTY54" s="1011"/>
      <c r="PTZ54" s="1011"/>
      <c r="PUA54" s="1011"/>
      <c r="PUB54" s="1011"/>
      <c r="PUC54" s="1011"/>
      <c r="PUD54" s="1011"/>
      <c r="PUE54" s="1011"/>
      <c r="PUF54" s="1011"/>
      <c r="PUG54" s="1011"/>
      <c r="PUH54" s="1011"/>
      <c r="PUI54" s="1011"/>
      <c r="PUJ54" s="1011"/>
      <c r="PUK54" s="1011"/>
      <c r="PUL54" s="1011"/>
      <c r="PUM54" s="1011"/>
      <c r="PUN54" s="1011"/>
      <c r="PUO54" s="1011"/>
      <c r="PUP54" s="1011"/>
      <c r="PUQ54" s="1011"/>
      <c r="PUR54" s="1011"/>
      <c r="PUS54" s="1011"/>
      <c r="PUT54" s="1011"/>
      <c r="PUU54" s="1011"/>
      <c r="PUV54" s="1011"/>
      <c r="PUW54" s="1011"/>
      <c r="PUX54" s="1011"/>
      <c r="PUY54" s="1011"/>
      <c r="PUZ54" s="1011"/>
      <c r="PVA54" s="1011"/>
      <c r="PVB54" s="1011"/>
      <c r="PVC54" s="1011"/>
      <c r="PVD54" s="1011"/>
      <c r="PVE54" s="1011"/>
      <c r="PVF54" s="1011"/>
      <c r="PVG54" s="1011"/>
      <c r="PVH54" s="1011"/>
      <c r="PVI54" s="1011"/>
      <c r="PVJ54" s="1011"/>
      <c r="PVK54" s="1011"/>
      <c r="PVL54" s="1011"/>
      <c r="PVM54" s="1011"/>
      <c r="PVN54" s="1011"/>
      <c r="PVO54" s="1011"/>
      <c r="PVP54" s="1011"/>
      <c r="PVQ54" s="1011"/>
      <c r="PVR54" s="1011"/>
      <c r="PVS54" s="1011"/>
      <c r="PVT54" s="1011"/>
      <c r="PVU54" s="1011"/>
      <c r="PVV54" s="1011"/>
      <c r="PVW54" s="1011"/>
      <c r="PVX54" s="1011"/>
      <c r="PVY54" s="1011"/>
      <c r="PVZ54" s="1011"/>
      <c r="PWA54" s="1011"/>
      <c r="PWB54" s="1011"/>
      <c r="PWC54" s="1011"/>
      <c r="PWD54" s="1011"/>
      <c r="PWE54" s="1011"/>
      <c r="PWF54" s="1011"/>
      <c r="PWG54" s="1011"/>
      <c r="PWH54" s="1011"/>
      <c r="PWI54" s="1011"/>
      <c r="PWJ54" s="1011"/>
      <c r="PWK54" s="1011"/>
      <c r="PWL54" s="1011"/>
      <c r="PWM54" s="1011"/>
      <c r="PWN54" s="1011"/>
      <c r="PWO54" s="1011"/>
      <c r="PWP54" s="1011"/>
      <c r="PWQ54" s="1011"/>
      <c r="PWR54" s="1011"/>
      <c r="PWS54" s="1011"/>
      <c r="PWT54" s="1011"/>
      <c r="PWU54" s="1011"/>
      <c r="PWV54" s="1011"/>
      <c r="PWW54" s="1011"/>
      <c r="PWX54" s="1011"/>
      <c r="PWY54" s="1011"/>
      <c r="PWZ54" s="1011"/>
      <c r="PXA54" s="1011"/>
      <c r="PXB54" s="1011"/>
      <c r="PXC54" s="1011"/>
      <c r="PXD54" s="1011"/>
      <c r="PXE54" s="1011"/>
      <c r="PXF54" s="1011"/>
      <c r="PXG54" s="1011"/>
      <c r="PXH54" s="1011"/>
      <c r="PXI54" s="1011"/>
      <c r="PXJ54" s="1011"/>
      <c r="PXK54" s="1011"/>
      <c r="PXL54" s="1011"/>
      <c r="PXM54" s="1011"/>
      <c r="PXN54" s="1011"/>
      <c r="PXO54" s="1011"/>
      <c r="PXP54" s="1011"/>
      <c r="PXQ54" s="1011"/>
      <c r="PXR54" s="1011"/>
      <c r="PXS54" s="1011"/>
      <c r="PXT54" s="1011"/>
      <c r="PXU54" s="1011"/>
      <c r="PXV54" s="1011"/>
      <c r="PXW54" s="1011"/>
      <c r="PXX54" s="1011"/>
      <c r="PXY54" s="1011"/>
      <c r="PXZ54" s="1011"/>
      <c r="PYA54" s="1011"/>
      <c r="PYB54" s="1011"/>
      <c r="PYC54" s="1011"/>
      <c r="PYD54" s="1011"/>
      <c r="PYE54" s="1011"/>
      <c r="PYF54" s="1011"/>
      <c r="PYG54" s="1011"/>
      <c r="PYH54" s="1011"/>
      <c r="PYI54" s="1011"/>
      <c r="PYJ54" s="1011"/>
      <c r="PYK54" s="1011"/>
      <c r="PYL54" s="1011"/>
      <c r="PYM54" s="1011"/>
      <c r="PYN54" s="1011"/>
      <c r="PYO54" s="1011"/>
      <c r="PYP54" s="1011"/>
      <c r="PYQ54" s="1011"/>
      <c r="PYR54" s="1011"/>
      <c r="PYS54" s="1011"/>
      <c r="PYT54" s="1011"/>
      <c r="PYU54" s="1011"/>
      <c r="PYV54" s="1011"/>
      <c r="PYW54" s="1011"/>
      <c r="PYX54" s="1011"/>
      <c r="PYY54" s="1011"/>
      <c r="PYZ54" s="1011"/>
      <c r="PZA54" s="1011"/>
      <c r="PZB54" s="1011"/>
      <c r="PZC54" s="1011"/>
      <c r="PZD54" s="1011"/>
      <c r="PZE54" s="1011"/>
      <c r="PZF54" s="1011"/>
      <c r="PZG54" s="1011"/>
      <c r="PZH54" s="1011"/>
      <c r="PZI54" s="1011"/>
      <c r="PZJ54" s="1011"/>
      <c r="PZK54" s="1011"/>
      <c r="PZL54" s="1011"/>
      <c r="PZM54" s="1011"/>
      <c r="PZN54" s="1011"/>
      <c r="PZO54" s="1011"/>
      <c r="PZP54" s="1011"/>
      <c r="PZQ54" s="1011"/>
      <c r="PZR54" s="1011"/>
      <c r="PZS54" s="1011"/>
      <c r="PZT54" s="1011"/>
      <c r="PZU54" s="1011"/>
      <c r="PZV54" s="1011"/>
      <c r="PZW54" s="1011"/>
      <c r="PZX54" s="1011"/>
      <c r="PZY54" s="1011"/>
      <c r="PZZ54" s="1011"/>
      <c r="QAA54" s="1011"/>
      <c r="QAB54" s="1011"/>
      <c r="QAC54" s="1011"/>
      <c r="QAD54" s="1011"/>
      <c r="QAE54" s="1011"/>
      <c r="QAF54" s="1011"/>
      <c r="QAG54" s="1011"/>
      <c r="QAH54" s="1011"/>
      <c r="QAI54" s="1011"/>
      <c r="QAJ54" s="1011"/>
      <c r="QAK54" s="1011"/>
      <c r="QAL54" s="1011"/>
      <c r="QAM54" s="1011"/>
      <c r="QAN54" s="1011"/>
      <c r="QAO54" s="1011"/>
      <c r="QAP54" s="1011"/>
      <c r="QAQ54" s="1011"/>
      <c r="QAR54" s="1011"/>
      <c r="QAS54" s="1011"/>
      <c r="QAT54" s="1011"/>
      <c r="QAU54" s="1011"/>
      <c r="QAV54" s="1011"/>
      <c r="QAW54" s="1011"/>
      <c r="QAX54" s="1011"/>
      <c r="QAY54" s="1011"/>
      <c r="QAZ54" s="1011"/>
      <c r="QBA54" s="1011"/>
      <c r="QBB54" s="1011"/>
      <c r="QBC54" s="1011"/>
      <c r="QBD54" s="1011"/>
      <c r="QBE54" s="1011"/>
      <c r="QBF54" s="1011"/>
      <c r="QBG54" s="1011"/>
      <c r="QBH54" s="1011"/>
      <c r="QBI54" s="1011"/>
      <c r="QBJ54" s="1011"/>
      <c r="QBK54" s="1011"/>
      <c r="QBL54" s="1011"/>
      <c r="QBM54" s="1011"/>
      <c r="QBN54" s="1011"/>
      <c r="QBO54" s="1011"/>
      <c r="QBP54" s="1011"/>
      <c r="QBQ54" s="1011"/>
      <c r="QBR54" s="1011"/>
      <c r="QBS54" s="1011"/>
      <c r="QBT54" s="1011"/>
      <c r="QBU54" s="1011"/>
      <c r="QBV54" s="1011"/>
      <c r="QBW54" s="1011"/>
      <c r="QBX54" s="1011"/>
      <c r="QBY54" s="1011"/>
      <c r="QBZ54" s="1011"/>
      <c r="QCA54" s="1011"/>
      <c r="QCB54" s="1011"/>
      <c r="QCC54" s="1011"/>
      <c r="QCD54" s="1011"/>
      <c r="QCE54" s="1011"/>
      <c r="QCF54" s="1011"/>
      <c r="QCG54" s="1011"/>
      <c r="QCH54" s="1011"/>
      <c r="QCI54" s="1011"/>
      <c r="QCJ54" s="1011"/>
      <c r="QCK54" s="1011"/>
      <c r="QCL54" s="1011"/>
      <c r="QCM54" s="1011"/>
      <c r="QCN54" s="1011"/>
      <c r="QCO54" s="1011"/>
      <c r="QCP54" s="1011"/>
      <c r="QCQ54" s="1011"/>
      <c r="QCR54" s="1011"/>
      <c r="QCS54" s="1011"/>
      <c r="QCT54" s="1011"/>
      <c r="QCU54" s="1011"/>
      <c r="QCV54" s="1011"/>
      <c r="QCW54" s="1011"/>
      <c r="QCX54" s="1011"/>
      <c r="QCY54" s="1011"/>
      <c r="QCZ54" s="1011"/>
      <c r="QDA54" s="1011"/>
      <c r="QDB54" s="1011"/>
      <c r="QDC54" s="1011"/>
      <c r="QDD54" s="1011"/>
      <c r="QDE54" s="1011"/>
      <c r="QDF54" s="1011"/>
      <c r="QDG54" s="1011"/>
      <c r="QDH54" s="1011"/>
      <c r="QDI54" s="1011"/>
      <c r="QDJ54" s="1011"/>
      <c r="QDK54" s="1011"/>
      <c r="QDL54" s="1011"/>
      <c r="QDM54" s="1011"/>
      <c r="QDN54" s="1011"/>
      <c r="QDO54" s="1011"/>
      <c r="QDP54" s="1011"/>
      <c r="QDQ54" s="1011"/>
      <c r="QDR54" s="1011"/>
      <c r="QDS54" s="1011"/>
      <c r="QDT54" s="1011"/>
      <c r="QDU54" s="1011"/>
      <c r="QDV54" s="1011"/>
      <c r="QDW54" s="1011"/>
      <c r="QDX54" s="1011"/>
      <c r="QDY54" s="1011"/>
      <c r="QDZ54" s="1011"/>
      <c r="QEA54" s="1011"/>
      <c r="QEB54" s="1011"/>
      <c r="QEC54" s="1011"/>
      <c r="QED54" s="1011"/>
      <c r="QEE54" s="1011"/>
      <c r="QEF54" s="1011"/>
      <c r="QEG54" s="1011"/>
      <c r="QEH54" s="1011"/>
      <c r="QEI54" s="1011"/>
      <c r="QEJ54" s="1011"/>
      <c r="QEK54" s="1011"/>
      <c r="QEL54" s="1011"/>
      <c r="QEM54" s="1011"/>
      <c r="QEN54" s="1011"/>
      <c r="QEO54" s="1011"/>
      <c r="QEP54" s="1011"/>
      <c r="QEQ54" s="1011"/>
      <c r="QER54" s="1011"/>
      <c r="QES54" s="1011"/>
      <c r="QET54" s="1011"/>
      <c r="QEU54" s="1011"/>
      <c r="QEV54" s="1011"/>
      <c r="QEW54" s="1011"/>
      <c r="QEX54" s="1011"/>
      <c r="QEY54" s="1011"/>
      <c r="QEZ54" s="1011"/>
      <c r="QFA54" s="1011"/>
      <c r="QFB54" s="1011"/>
      <c r="QFC54" s="1011"/>
      <c r="QFD54" s="1011"/>
      <c r="QFE54" s="1011"/>
      <c r="QFF54" s="1011"/>
      <c r="QFG54" s="1011"/>
      <c r="QFH54" s="1011"/>
      <c r="QFI54" s="1011"/>
      <c r="QFJ54" s="1011"/>
      <c r="QFK54" s="1011"/>
      <c r="QFL54" s="1011"/>
      <c r="QFM54" s="1011"/>
      <c r="QFN54" s="1011"/>
      <c r="QFO54" s="1011"/>
      <c r="QFP54" s="1011"/>
      <c r="QFQ54" s="1011"/>
      <c r="QFR54" s="1011"/>
      <c r="QFS54" s="1011"/>
      <c r="QFT54" s="1011"/>
      <c r="QFU54" s="1011"/>
      <c r="QFV54" s="1011"/>
      <c r="QFW54" s="1011"/>
      <c r="QFX54" s="1011"/>
      <c r="QFY54" s="1011"/>
      <c r="QFZ54" s="1011"/>
      <c r="QGA54" s="1011"/>
      <c r="QGB54" s="1011"/>
      <c r="QGC54" s="1011"/>
      <c r="QGD54" s="1011"/>
      <c r="QGE54" s="1011"/>
      <c r="QGF54" s="1011"/>
      <c r="QGG54" s="1011"/>
      <c r="QGH54" s="1011"/>
      <c r="QGI54" s="1011"/>
      <c r="QGJ54" s="1011"/>
      <c r="QGK54" s="1011"/>
      <c r="QGL54" s="1011"/>
      <c r="QGM54" s="1011"/>
      <c r="QGN54" s="1011"/>
      <c r="QGO54" s="1011"/>
      <c r="QGP54" s="1011"/>
      <c r="QGQ54" s="1011"/>
      <c r="QGR54" s="1011"/>
      <c r="QGS54" s="1011"/>
      <c r="QGT54" s="1011"/>
      <c r="QGU54" s="1011"/>
      <c r="QGV54" s="1011"/>
      <c r="QGW54" s="1011"/>
      <c r="QGX54" s="1011"/>
      <c r="QGY54" s="1011"/>
      <c r="QGZ54" s="1011"/>
      <c r="QHA54" s="1011"/>
      <c r="QHB54" s="1011"/>
      <c r="QHC54" s="1011"/>
      <c r="QHD54" s="1011"/>
      <c r="QHE54" s="1011"/>
      <c r="QHF54" s="1011"/>
      <c r="QHG54" s="1011"/>
      <c r="QHH54" s="1011"/>
      <c r="QHI54" s="1011"/>
      <c r="QHJ54" s="1011"/>
      <c r="QHK54" s="1011"/>
      <c r="QHL54" s="1011"/>
      <c r="QHM54" s="1011"/>
      <c r="QHN54" s="1011"/>
      <c r="QHO54" s="1011"/>
      <c r="QHP54" s="1011"/>
      <c r="QHQ54" s="1011"/>
      <c r="QHR54" s="1011"/>
      <c r="QHS54" s="1011"/>
      <c r="QHT54" s="1011"/>
      <c r="QHU54" s="1011"/>
      <c r="QHV54" s="1011"/>
      <c r="QHW54" s="1011"/>
      <c r="QHX54" s="1011"/>
      <c r="QHY54" s="1011"/>
      <c r="QHZ54" s="1011"/>
      <c r="QIA54" s="1011"/>
      <c r="QIB54" s="1011"/>
      <c r="QIC54" s="1011"/>
      <c r="QID54" s="1011"/>
      <c r="QIE54" s="1011"/>
      <c r="QIF54" s="1011"/>
      <c r="QIG54" s="1011"/>
      <c r="QIH54" s="1011"/>
      <c r="QII54" s="1011"/>
      <c r="QIJ54" s="1011"/>
      <c r="QIK54" s="1011"/>
      <c r="QIL54" s="1011"/>
      <c r="QIM54" s="1011"/>
      <c r="QIN54" s="1011"/>
      <c r="QIO54" s="1011"/>
      <c r="QIP54" s="1011"/>
      <c r="QIQ54" s="1011"/>
      <c r="QIR54" s="1011"/>
      <c r="QIS54" s="1011"/>
      <c r="QIT54" s="1011"/>
      <c r="QIU54" s="1011"/>
      <c r="QIV54" s="1011"/>
      <c r="QIW54" s="1011"/>
      <c r="QIX54" s="1011"/>
      <c r="QIY54" s="1011"/>
      <c r="QIZ54" s="1011"/>
      <c r="QJA54" s="1011"/>
      <c r="QJB54" s="1011"/>
      <c r="QJC54" s="1011"/>
      <c r="QJD54" s="1011"/>
      <c r="QJE54" s="1011"/>
      <c r="QJF54" s="1011"/>
      <c r="QJG54" s="1011"/>
      <c r="QJH54" s="1011"/>
      <c r="QJI54" s="1011"/>
      <c r="QJJ54" s="1011"/>
      <c r="QJK54" s="1011"/>
      <c r="QJL54" s="1011"/>
      <c r="QJM54" s="1011"/>
      <c r="QJN54" s="1011"/>
      <c r="QJO54" s="1011"/>
      <c r="QJP54" s="1011"/>
      <c r="QJQ54" s="1011"/>
      <c r="QJR54" s="1011"/>
      <c r="QJS54" s="1011"/>
      <c r="QJT54" s="1011"/>
      <c r="QJU54" s="1011"/>
      <c r="QJV54" s="1011"/>
      <c r="QJW54" s="1011"/>
      <c r="QJX54" s="1011"/>
      <c r="QJY54" s="1011"/>
      <c r="QJZ54" s="1011"/>
      <c r="QKA54" s="1011"/>
      <c r="QKB54" s="1011"/>
      <c r="QKC54" s="1011"/>
      <c r="QKD54" s="1011"/>
      <c r="QKE54" s="1011"/>
      <c r="QKF54" s="1011"/>
      <c r="QKG54" s="1011"/>
      <c r="QKH54" s="1011"/>
      <c r="QKI54" s="1011"/>
      <c r="QKJ54" s="1011"/>
      <c r="QKK54" s="1011"/>
      <c r="QKL54" s="1011"/>
      <c r="QKM54" s="1011"/>
      <c r="QKN54" s="1011"/>
      <c r="QKO54" s="1011"/>
      <c r="QKP54" s="1011"/>
      <c r="QKQ54" s="1011"/>
      <c r="QKR54" s="1011"/>
      <c r="QKS54" s="1011"/>
      <c r="QKT54" s="1011"/>
      <c r="QKU54" s="1011"/>
      <c r="QKV54" s="1011"/>
      <c r="QKW54" s="1011"/>
      <c r="QKX54" s="1011"/>
      <c r="QKY54" s="1011"/>
      <c r="QKZ54" s="1011"/>
      <c r="QLA54" s="1011"/>
      <c r="QLB54" s="1011"/>
      <c r="QLC54" s="1011"/>
      <c r="QLD54" s="1011"/>
      <c r="QLE54" s="1011"/>
      <c r="QLF54" s="1011"/>
      <c r="QLG54" s="1011"/>
      <c r="QLH54" s="1011"/>
      <c r="QLI54" s="1011"/>
      <c r="QLJ54" s="1011"/>
      <c r="QLK54" s="1011"/>
      <c r="QLL54" s="1011"/>
      <c r="QLM54" s="1011"/>
      <c r="QLN54" s="1011"/>
      <c r="QLO54" s="1011"/>
      <c r="QLP54" s="1011"/>
      <c r="QLQ54" s="1011"/>
      <c r="QLR54" s="1011"/>
      <c r="QLS54" s="1011"/>
      <c r="QLT54" s="1011"/>
      <c r="QLU54" s="1011"/>
      <c r="QLV54" s="1011"/>
      <c r="QLW54" s="1011"/>
      <c r="QLX54" s="1011"/>
      <c r="QLY54" s="1011"/>
      <c r="QLZ54" s="1011"/>
      <c r="QMA54" s="1011"/>
      <c r="QMB54" s="1011"/>
      <c r="QMC54" s="1011"/>
      <c r="QMD54" s="1011"/>
      <c r="QME54" s="1011"/>
      <c r="QMF54" s="1011"/>
      <c r="QMG54" s="1011"/>
      <c r="QMH54" s="1011"/>
      <c r="QMI54" s="1011"/>
      <c r="QMJ54" s="1011"/>
      <c r="QMK54" s="1011"/>
      <c r="QML54" s="1011"/>
      <c r="QMM54" s="1011"/>
      <c r="QMN54" s="1011"/>
      <c r="QMO54" s="1011"/>
      <c r="QMP54" s="1011"/>
      <c r="QMQ54" s="1011"/>
      <c r="QMR54" s="1011"/>
      <c r="QMS54" s="1011"/>
      <c r="QMT54" s="1011"/>
      <c r="QMU54" s="1011"/>
      <c r="QMV54" s="1011"/>
      <c r="QMW54" s="1011"/>
      <c r="QMX54" s="1011"/>
      <c r="QMY54" s="1011"/>
      <c r="QMZ54" s="1011"/>
      <c r="QNA54" s="1011"/>
      <c r="QNB54" s="1011"/>
      <c r="QNC54" s="1011"/>
      <c r="QND54" s="1011"/>
      <c r="QNE54" s="1011"/>
      <c r="QNF54" s="1011"/>
      <c r="QNG54" s="1011"/>
      <c r="QNH54" s="1011"/>
      <c r="QNI54" s="1011"/>
      <c r="QNJ54" s="1011"/>
      <c r="QNK54" s="1011"/>
      <c r="QNL54" s="1011"/>
      <c r="QNM54" s="1011"/>
      <c r="QNN54" s="1011"/>
      <c r="QNO54" s="1011"/>
      <c r="QNP54" s="1011"/>
      <c r="QNQ54" s="1011"/>
      <c r="QNR54" s="1011"/>
      <c r="QNS54" s="1011"/>
      <c r="QNT54" s="1011"/>
      <c r="QNU54" s="1011"/>
      <c r="QNV54" s="1011"/>
      <c r="QNW54" s="1011"/>
      <c r="QNX54" s="1011"/>
      <c r="QNY54" s="1011"/>
      <c r="QNZ54" s="1011"/>
      <c r="QOA54" s="1011"/>
      <c r="QOB54" s="1011"/>
      <c r="QOC54" s="1011"/>
      <c r="QOD54" s="1011"/>
      <c r="QOE54" s="1011"/>
      <c r="QOF54" s="1011"/>
      <c r="QOG54" s="1011"/>
      <c r="QOH54" s="1011"/>
      <c r="QOI54" s="1011"/>
      <c r="QOJ54" s="1011"/>
      <c r="QOK54" s="1011"/>
      <c r="QOL54" s="1011"/>
      <c r="QOM54" s="1011"/>
      <c r="QON54" s="1011"/>
      <c r="QOO54" s="1011"/>
      <c r="QOP54" s="1011"/>
      <c r="QOQ54" s="1011"/>
      <c r="QOR54" s="1011"/>
      <c r="QOS54" s="1011"/>
      <c r="QOT54" s="1011"/>
      <c r="QOU54" s="1011"/>
      <c r="QOV54" s="1011"/>
      <c r="QOW54" s="1011"/>
      <c r="QOX54" s="1011"/>
      <c r="QOY54" s="1011"/>
      <c r="QOZ54" s="1011"/>
      <c r="QPA54" s="1011"/>
      <c r="QPB54" s="1011"/>
      <c r="QPC54" s="1011"/>
      <c r="QPD54" s="1011"/>
      <c r="QPE54" s="1011"/>
      <c r="QPF54" s="1011"/>
      <c r="QPG54" s="1011"/>
      <c r="QPH54" s="1011"/>
      <c r="QPI54" s="1011"/>
      <c r="QPJ54" s="1011"/>
      <c r="QPK54" s="1011"/>
      <c r="QPL54" s="1011"/>
      <c r="QPM54" s="1011"/>
      <c r="QPN54" s="1011"/>
      <c r="QPO54" s="1011"/>
      <c r="QPP54" s="1011"/>
      <c r="QPQ54" s="1011"/>
      <c r="QPR54" s="1011"/>
      <c r="QPS54" s="1011"/>
      <c r="QPT54" s="1011"/>
      <c r="QPU54" s="1011"/>
      <c r="QPV54" s="1011"/>
      <c r="QPW54" s="1011"/>
      <c r="QPX54" s="1011"/>
      <c r="QPY54" s="1011"/>
      <c r="QPZ54" s="1011"/>
      <c r="QQA54" s="1011"/>
      <c r="QQB54" s="1011"/>
      <c r="QQC54" s="1011"/>
      <c r="QQD54" s="1011"/>
      <c r="QQE54" s="1011"/>
      <c r="QQF54" s="1011"/>
      <c r="QQG54" s="1011"/>
      <c r="QQH54" s="1011"/>
      <c r="QQI54" s="1011"/>
      <c r="QQJ54" s="1011"/>
      <c r="QQK54" s="1011"/>
      <c r="QQL54" s="1011"/>
      <c r="QQM54" s="1011"/>
      <c r="QQN54" s="1011"/>
      <c r="QQO54" s="1011"/>
      <c r="QQP54" s="1011"/>
      <c r="QQQ54" s="1011"/>
      <c r="QQR54" s="1011"/>
      <c r="QQS54" s="1011"/>
      <c r="QQT54" s="1011"/>
      <c r="QQU54" s="1011"/>
      <c r="QQV54" s="1011"/>
      <c r="QQW54" s="1011"/>
      <c r="QQX54" s="1011"/>
      <c r="QQY54" s="1011"/>
      <c r="QQZ54" s="1011"/>
      <c r="QRA54" s="1011"/>
      <c r="QRB54" s="1011"/>
      <c r="QRC54" s="1011"/>
      <c r="QRD54" s="1011"/>
      <c r="QRE54" s="1011"/>
      <c r="QRF54" s="1011"/>
      <c r="QRG54" s="1011"/>
      <c r="QRH54" s="1011"/>
      <c r="QRI54" s="1011"/>
      <c r="QRJ54" s="1011"/>
      <c r="QRK54" s="1011"/>
      <c r="QRL54" s="1011"/>
      <c r="QRM54" s="1011"/>
      <c r="QRN54" s="1011"/>
      <c r="QRO54" s="1011"/>
      <c r="QRP54" s="1011"/>
      <c r="QRQ54" s="1011"/>
      <c r="QRR54" s="1011"/>
      <c r="QRS54" s="1011"/>
      <c r="QRT54" s="1011"/>
      <c r="QRU54" s="1011"/>
      <c r="QRV54" s="1011"/>
      <c r="QRW54" s="1011"/>
      <c r="QRX54" s="1011"/>
      <c r="QRY54" s="1011"/>
      <c r="QRZ54" s="1011"/>
      <c r="QSA54" s="1011"/>
      <c r="QSB54" s="1011"/>
      <c r="QSC54" s="1011"/>
      <c r="QSD54" s="1011"/>
      <c r="QSE54" s="1011"/>
      <c r="QSF54" s="1011"/>
      <c r="QSG54" s="1011"/>
      <c r="QSH54" s="1011"/>
      <c r="QSI54" s="1011"/>
      <c r="QSJ54" s="1011"/>
      <c r="QSK54" s="1011"/>
      <c r="QSL54" s="1011"/>
      <c r="QSM54" s="1011"/>
      <c r="QSN54" s="1011"/>
      <c r="QSO54" s="1011"/>
      <c r="QSP54" s="1011"/>
      <c r="QSQ54" s="1011"/>
      <c r="QSR54" s="1011"/>
      <c r="QSS54" s="1011"/>
      <c r="QST54" s="1011"/>
      <c r="QSU54" s="1011"/>
      <c r="QSV54" s="1011"/>
      <c r="QSW54" s="1011"/>
      <c r="QSX54" s="1011"/>
      <c r="QSY54" s="1011"/>
      <c r="QSZ54" s="1011"/>
      <c r="QTA54" s="1011"/>
      <c r="QTB54" s="1011"/>
      <c r="QTC54" s="1011"/>
      <c r="QTD54" s="1011"/>
      <c r="QTE54" s="1011"/>
      <c r="QTF54" s="1011"/>
      <c r="QTG54" s="1011"/>
      <c r="QTH54" s="1011"/>
      <c r="QTI54" s="1011"/>
      <c r="QTJ54" s="1011"/>
      <c r="QTK54" s="1011"/>
      <c r="QTL54" s="1011"/>
      <c r="QTM54" s="1011"/>
      <c r="QTN54" s="1011"/>
      <c r="QTO54" s="1011"/>
      <c r="QTP54" s="1011"/>
      <c r="QTQ54" s="1011"/>
      <c r="QTR54" s="1011"/>
      <c r="QTS54" s="1011"/>
      <c r="QTT54" s="1011"/>
      <c r="QTU54" s="1011"/>
      <c r="QTV54" s="1011"/>
      <c r="QTW54" s="1011"/>
      <c r="QTX54" s="1011"/>
      <c r="QTY54" s="1011"/>
      <c r="QTZ54" s="1011"/>
      <c r="QUA54" s="1011"/>
      <c r="QUB54" s="1011"/>
      <c r="QUC54" s="1011"/>
      <c r="QUD54" s="1011"/>
      <c r="QUE54" s="1011"/>
      <c r="QUF54" s="1011"/>
      <c r="QUG54" s="1011"/>
      <c r="QUH54" s="1011"/>
      <c r="QUI54" s="1011"/>
      <c r="QUJ54" s="1011"/>
      <c r="QUK54" s="1011"/>
      <c r="QUL54" s="1011"/>
      <c r="QUM54" s="1011"/>
      <c r="QUN54" s="1011"/>
      <c r="QUO54" s="1011"/>
      <c r="QUP54" s="1011"/>
      <c r="QUQ54" s="1011"/>
      <c r="QUR54" s="1011"/>
      <c r="QUS54" s="1011"/>
      <c r="QUT54" s="1011"/>
      <c r="QUU54" s="1011"/>
      <c r="QUV54" s="1011"/>
      <c r="QUW54" s="1011"/>
      <c r="QUX54" s="1011"/>
      <c r="QUY54" s="1011"/>
      <c r="QUZ54" s="1011"/>
      <c r="QVA54" s="1011"/>
      <c r="QVB54" s="1011"/>
      <c r="QVC54" s="1011"/>
      <c r="QVD54" s="1011"/>
      <c r="QVE54" s="1011"/>
      <c r="QVF54" s="1011"/>
      <c r="QVG54" s="1011"/>
      <c r="QVH54" s="1011"/>
      <c r="QVI54" s="1011"/>
      <c r="QVJ54" s="1011"/>
      <c r="QVK54" s="1011"/>
      <c r="QVL54" s="1011"/>
      <c r="QVM54" s="1011"/>
      <c r="QVN54" s="1011"/>
      <c r="QVO54" s="1011"/>
      <c r="QVP54" s="1011"/>
      <c r="QVQ54" s="1011"/>
      <c r="QVR54" s="1011"/>
      <c r="QVS54" s="1011"/>
      <c r="QVT54" s="1011"/>
      <c r="QVU54" s="1011"/>
      <c r="QVV54" s="1011"/>
      <c r="QVW54" s="1011"/>
      <c r="QVX54" s="1011"/>
      <c r="QVY54" s="1011"/>
      <c r="QVZ54" s="1011"/>
      <c r="QWA54" s="1011"/>
      <c r="QWB54" s="1011"/>
      <c r="QWC54" s="1011"/>
      <c r="QWD54" s="1011"/>
      <c r="QWE54" s="1011"/>
      <c r="QWF54" s="1011"/>
      <c r="QWG54" s="1011"/>
      <c r="QWH54" s="1011"/>
      <c r="QWI54" s="1011"/>
      <c r="QWJ54" s="1011"/>
      <c r="QWK54" s="1011"/>
      <c r="QWL54" s="1011"/>
      <c r="QWM54" s="1011"/>
      <c r="QWN54" s="1011"/>
      <c r="QWO54" s="1011"/>
      <c r="QWP54" s="1011"/>
      <c r="QWQ54" s="1011"/>
      <c r="QWR54" s="1011"/>
      <c r="QWS54" s="1011"/>
      <c r="QWT54" s="1011"/>
      <c r="QWU54" s="1011"/>
      <c r="QWV54" s="1011"/>
      <c r="QWW54" s="1011"/>
      <c r="QWX54" s="1011"/>
      <c r="QWY54" s="1011"/>
      <c r="QWZ54" s="1011"/>
      <c r="QXA54" s="1011"/>
      <c r="QXB54" s="1011"/>
      <c r="QXC54" s="1011"/>
      <c r="QXD54" s="1011"/>
      <c r="QXE54" s="1011"/>
      <c r="QXF54" s="1011"/>
      <c r="QXG54" s="1011"/>
      <c r="QXH54" s="1011"/>
      <c r="QXI54" s="1011"/>
      <c r="QXJ54" s="1011"/>
      <c r="QXK54" s="1011"/>
      <c r="QXL54" s="1011"/>
      <c r="QXM54" s="1011"/>
      <c r="QXN54" s="1011"/>
      <c r="QXO54" s="1011"/>
      <c r="QXP54" s="1011"/>
      <c r="QXQ54" s="1011"/>
      <c r="QXR54" s="1011"/>
      <c r="QXS54" s="1011"/>
      <c r="QXT54" s="1011"/>
      <c r="QXU54" s="1011"/>
      <c r="QXV54" s="1011"/>
      <c r="QXW54" s="1011"/>
      <c r="QXX54" s="1011"/>
      <c r="QXY54" s="1011"/>
      <c r="QXZ54" s="1011"/>
      <c r="QYA54" s="1011"/>
      <c r="QYB54" s="1011"/>
      <c r="QYC54" s="1011"/>
      <c r="QYD54" s="1011"/>
      <c r="QYE54" s="1011"/>
      <c r="QYF54" s="1011"/>
      <c r="QYG54" s="1011"/>
      <c r="QYH54" s="1011"/>
      <c r="QYI54" s="1011"/>
      <c r="QYJ54" s="1011"/>
      <c r="QYK54" s="1011"/>
      <c r="QYL54" s="1011"/>
      <c r="QYM54" s="1011"/>
      <c r="QYN54" s="1011"/>
      <c r="QYO54" s="1011"/>
      <c r="QYP54" s="1011"/>
      <c r="QYQ54" s="1011"/>
      <c r="QYR54" s="1011"/>
      <c r="QYS54" s="1011"/>
      <c r="QYT54" s="1011"/>
      <c r="QYU54" s="1011"/>
      <c r="QYV54" s="1011"/>
      <c r="QYW54" s="1011"/>
      <c r="QYX54" s="1011"/>
      <c r="QYY54" s="1011"/>
      <c r="QYZ54" s="1011"/>
      <c r="QZA54" s="1011"/>
      <c r="QZB54" s="1011"/>
      <c r="QZC54" s="1011"/>
      <c r="QZD54" s="1011"/>
      <c r="QZE54" s="1011"/>
      <c r="QZF54" s="1011"/>
      <c r="QZG54" s="1011"/>
      <c r="QZH54" s="1011"/>
      <c r="QZI54" s="1011"/>
      <c r="QZJ54" s="1011"/>
      <c r="QZK54" s="1011"/>
      <c r="QZL54" s="1011"/>
      <c r="QZM54" s="1011"/>
      <c r="QZN54" s="1011"/>
      <c r="QZO54" s="1011"/>
      <c r="QZP54" s="1011"/>
      <c r="QZQ54" s="1011"/>
      <c r="QZR54" s="1011"/>
      <c r="QZS54" s="1011"/>
      <c r="QZT54" s="1011"/>
      <c r="QZU54" s="1011"/>
      <c r="QZV54" s="1011"/>
      <c r="QZW54" s="1011"/>
      <c r="QZX54" s="1011"/>
      <c r="QZY54" s="1011"/>
      <c r="QZZ54" s="1011"/>
      <c r="RAA54" s="1011"/>
      <c r="RAB54" s="1011"/>
      <c r="RAC54" s="1011"/>
      <c r="RAD54" s="1011"/>
      <c r="RAE54" s="1011"/>
      <c r="RAF54" s="1011"/>
      <c r="RAG54" s="1011"/>
      <c r="RAH54" s="1011"/>
      <c r="RAI54" s="1011"/>
      <c r="RAJ54" s="1011"/>
      <c r="RAK54" s="1011"/>
      <c r="RAL54" s="1011"/>
      <c r="RAM54" s="1011"/>
      <c r="RAN54" s="1011"/>
      <c r="RAO54" s="1011"/>
      <c r="RAP54" s="1011"/>
      <c r="RAQ54" s="1011"/>
      <c r="RAR54" s="1011"/>
      <c r="RAS54" s="1011"/>
      <c r="RAT54" s="1011"/>
      <c r="RAU54" s="1011"/>
      <c r="RAV54" s="1011"/>
      <c r="RAW54" s="1011"/>
      <c r="RAX54" s="1011"/>
      <c r="RAY54" s="1011"/>
      <c r="RAZ54" s="1011"/>
      <c r="RBA54" s="1011"/>
      <c r="RBB54" s="1011"/>
      <c r="RBC54" s="1011"/>
      <c r="RBD54" s="1011"/>
      <c r="RBE54" s="1011"/>
      <c r="RBF54" s="1011"/>
      <c r="RBG54" s="1011"/>
      <c r="RBH54" s="1011"/>
      <c r="RBI54" s="1011"/>
      <c r="RBJ54" s="1011"/>
      <c r="RBK54" s="1011"/>
      <c r="RBL54" s="1011"/>
      <c r="RBM54" s="1011"/>
      <c r="RBN54" s="1011"/>
      <c r="RBO54" s="1011"/>
      <c r="RBP54" s="1011"/>
      <c r="RBQ54" s="1011"/>
      <c r="RBR54" s="1011"/>
      <c r="RBS54" s="1011"/>
      <c r="RBT54" s="1011"/>
      <c r="RBU54" s="1011"/>
      <c r="RBV54" s="1011"/>
      <c r="RBW54" s="1011"/>
      <c r="RBX54" s="1011"/>
      <c r="RBY54" s="1011"/>
      <c r="RBZ54" s="1011"/>
      <c r="RCA54" s="1011"/>
      <c r="RCB54" s="1011"/>
      <c r="RCC54" s="1011"/>
      <c r="RCD54" s="1011"/>
      <c r="RCE54" s="1011"/>
      <c r="RCF54" s="1011"/>
      <c r="RCG54" s="1011"/>
      <c r="RCH54" s="1011"/>
      <c r="RCI54" s="1011"/>
      <c r="RCJ54" s="1011"/>
      <c r="RCK54" s="1011"/>
      <c r="RCL54" s="1011"/>
      <c r="RCM54" s="1011"/>
      <c r="RCN54" s="1011"/>
      <c r="RCO54" s="1011"/>
      <c r="RCP54" s="1011"/>
      <c r="RCQ54" s="1011"/>
      <c r="RCR54" s="1011"/>
      <c r="RCS54" s="1011"/>
      <c r="RCT54" s="1011"/>
      <c r="RCU54" s="1011"/>
      <c r="RCV54" s="1011"/>
      <c r="RCW54" s="1011"/>
      <c r="RCX54" s="1011"/>
      <c r="RCY54" s="1011"/>
      <c r="RCZ54" s="1011"/>
      <c r="RDA54" s="1011"/>
      <c r="RDB54" s="1011"/>
      <c r="RDC54" s="1011"/>
      <c r="RDD54" s="1011"/>
      <c r="RDE54" s="1011"/>
      <c r="RDF54" s="1011"/>
      <c r="RDG54" s="1011"/>
      <c r="RDH54" s="1011"/>
      <c r="RDI54" s="1011"/>
      <c r="RDJ54" s="1011"/>
      <c r="RDK54" s="1011"/>
      <c r="RDL54" s="1011"/>
      <c r="RDM54" s="1011"/>
      <c r="RDN54" s="1011"/>
      <c r="RDO54" s="1011"/>
      <c r="RDP54" s="1011"/>
      <c r="RDQ54" s="1011"/>
      <c r="RDR54" s="1011"/>
      <c r="RDS54" s="1011"/>
      <c r="RDT54" s="1011"/>
      <c r="RDU54" s="1011"/>
      <c r="RDV54" s="1011"/>
      <c r="RDW54" s="1011"/>
      <c r="RDX54" s="1011"/>
      <c r="RDY54" s="1011"/>
      <c r="RDZ54" s="1011"/>
      <c r="REA54" s="1011"/>
      <c r="REB54" s="1011"/>
      <c r="REC54" s="1011"/>
      <c r="RED54" s="1011"/>
      <c r="REE54" s="1011"/>
      <c r="REF54" s="1011"/>
      <c r="REG54" s="1011"/>
      <c r="REH54" s="1011"/>
      <c r="REI54" s="1011"/>
      <c r="REJ54" s="1011"/>
      <c r="REK54" s="1011"/>
      <c r="REL54" s="1011"/>
      <c r="REM54" s="1011"/>
      <c r="REN54" s="1011"/>
      <c r="REO54" s="1011"/>
      <c r="REP54" s="1011"/>
      <c r="REQ54" s="1011"/>
      <c r="RER54" s="1011"/>
      <c r="RES54" s="1011"/>
      <c r="RET54" s="1011"/>
      <c r="REU54" s="1011"/>
      <c r="REV54" s="1011"/>
      <c r="REW54" s="1011"/>
      <c r="REX54" s="1011"/>
      <c r="REY54" s="1011"/>
      <c r="REZ54" s="1011"/>
      <c r="RFA54" s="1011"/>
      <c r="RFB54" s="1011"/>
      <c r="RFC54" s="1011"/>
      <c r="RFD54" s="1011"/>
      <c r="RFE54" s="1011"/>
      <c r="RFF54" s="1011"/>
      <c r="RFG54" s="1011"/>
      <c r="RFH54" s="1011"/>
      <c r="RFI54" s="1011"/>
      <c r="RFJ54" s="1011"/>
      <c r="RFK54" s="1011"/>
      <c r="RFL54" s="1011"/>
      <c r="RFM54" s="1011"/>
      <c r="RFN54" s="1011"/>
      <c r="RFO54" s="1011"/>
      <c r="RFP54" s="1011"/>
      <c r="RFQ54" s="1011"/>
      <c r="RFR54" s="1011"/>
      <c r="RFS54" s="1011"/>
      <c r="RFT54" s="1011"/>
      <c r="RFU54" s="1011"/>
      <c r="RFV54" s="1011"/>
      <c r="RFW54" s="1011"/>
      <c r="RFX54" s="1011"/>
      <c r="RFY54" s="1011"/>
      <c r="RFZ54" s="1011"/>
      <c r="RGA54" s="1011"/>
      <c r="RGB54" s="1011"/>
      <c r="RGC54" s="1011"/>
      <c r="RGD54" s="1011"/>
      <c r="RGE54" s="1011"/>
      <c r="RGF54" s="1011"/>
      <c r="RGG54" s="1011"/>
      <c r="RGH54" s="1011"/>
      <c r="RGI54" s="1011"/>
      <c r="RGJ54" s="1011"/>
      <c r="RGK54" s="1011"/>
      <c r="RGL54" s="1011"/>
      <c r="RGM54" s="1011"/>
      <c r="RGN54" s="1011"/>
      <c r="RGO54" s="1011"/>
      <c r="RGP54" s="1011"/>
      <c r="RGQ54" s="1011"/>
      <c r="RGR54" s="1011"/>
      <c r="RGS54" s="1011"/>
      <c r="RGT54" s="1011"/>
      <c r="RGU54" s="1011"/>
      <c r="RGV54" s="1011"/>
      <c r="RGW54" s="1011"/>
      <c r="RGX54" s="1011"/>
      <c r="RGY54" s="1011"/>
      <c r="RGZ54" s="1011"/>
      <c r="RHA54" s="1011"/>
      <c r="RHB54" s="1011"/>
      <c r="RHC54" s="1011"/>
      <c r="RHD54" s="1011"/>
      <c r="RHE54" s="1011"/>
      <c r="RHF54" s="1011"/>
      <c r="RHG54" s="1011"/>
      <c r="RHH54" s="1011"/>
      <c r="RHI54" s="1011"/>
      <c r="RHJ54" s="1011"/>
      <c r="RHK54" s="1011"/>
      <c r="RHL54" s="1011"/>
      <c r="RHM54" s="1011"/>
      <c r="RHN54" s="1011"/>
      <c r="RHO54" s="1011"/>
      <c r="RHP54" s="1011"/>
      <c r="RHQ54" s="1011"/>
      <c r="RHR54" s="1011"/>
      <c r="RHS54" s="1011"/>
      <c r="RHT54" s="1011"/>
      <c r="RHU54" s="1011"/>
      <c r="RHV54" s="1011"/>
      <c r="RHW54" s="1011"/>
      <c r="RHX54" s="1011"/>
      <c r="RHY54" s="1011"/>
      <c r="RHZ54" s="1011"/>
      <c r="RIA54" s="1011"/>
      <c r="RIB54" s="1011"/>
      <c r="RIC54" s="1011"/>
      <c r="RID54" s="1011"/>
      <c r="RIE54" s="1011"/>
      <c r="RIF54" s="1011"/>
      <c r="RIG54" s="1011"/>
      <c r="RIH54" s="1011"/>
      <c r="RII54" s="1011"/>
      <c r="RIJ54" s="1011"/>
      <c r="RIK54" s="1011"/>
      <c r="RIL54" s="1011"/>
      <c r="RIM54" s="1011"/>
      <c r="RIN54" s="1011"/>
      <c r="RIO54" s="1011"/>
      <c r="RIP54" s="1011"/>
      <c r="RIQ54" s="1011"/>
      <c r="RIR54" s="1011"/>
      <c r="RIS54" s="1011"/>
      <c r="RIT54" s="1011"/>
      <c r="RIU54" s="1011"/>
      <c r="RIV54" s="1011"/>
      <c r="RIW54" s="1011"/>
      <c r="RIX54" s="1011"/>
      <c r="RIY54" s="1011"/>
      <c r="RIZ54" s="1011"/>
      <c r="RJA54" s="1011"/>
      <c r="RJB54" s="1011"/>
      <c r="RJC54" s="1011"/>
      <c r="RJD54" s="1011"/>
      <c r="RJE54" s="1011"/>
      <c r="RJF54" s="1011"/>
      <c r="RJG54" s="1011"/>
      <c r="RJH54" s="1011"/>
      <c r="RJI54" s="1011"/>
      <c r="RJJ54" s="1011"/>
      <c r="RJK54" s="1011"/>
      <c r="RJL54" s="1011"/>
      <c r="RJM54" s="1011"/>
      <c r="RJN54" s="1011"/>
      <c r="RJO54" s="1011"/>
      <c r="RJP54" s="1011"/>
      <c r="RJQ54" s="1011"/>
      <c r="RJR54" s="1011"/>
      <c r="RJS54" s="1011"/>
      <c r="RJT54" s="1011"/>
      <c r="RJU54" s="1011"/>
      <c r="RJV54" s="1011"/>
      <c r="RJW54" s="1011"/>
      <c r="RJX54" s="1011"/>
      <c r="RJY54" s="1011"/>
      <c r="RJZ54" s="1011"/>
      <c r="RKA54" s="1011"/>
      <c r="RKB54" s="1011"/>
      <c r="RKC54" s="1011"/>
      <c r="RKD54" s="1011"/>
      <c r="RKE54" s="1011"/>
      <c r="RKF54" s="1011"/>
      <c r="RKG54" s="1011"/>
      <c r="RKH54" s="1011"/>
      <c r="RKI54" s="1011"/>
      <c r="RKJ54" s="1011"/>
      <c r="RKK54" s="1011"/>
      <c r="RKL54" s="1011"/>
      <c r="RKM54" s="1011"/>
      <c r="RKN54" s="1011"/>
      <c r="RKO54" s="1011"/>
      <c r="RKP54" s="1011"/>
      <c r="RKQ54" s="1011"/>
      <c r="RKR54" s="1011"/>
      <c r="RKS54" s="1011"/>
      <c r="RKT54" s="1011"/>
      <c r="RKU54" s="1011"/>
      <c r="RKV54" s="1011"/>
      <c r="RKW54" s="1011"/>
      <c r="RKX54" s="1011"/>
      <c r="RKY54" s="1011"/>
      <c r="RKZ54" s="1011"/>
      <c r="RLA54" s="1011"/>
      <c r="RLB54" s="1011"/>
      <c r="RLC54" s="1011"/>
      <c r="RLD54" s="1011"/>
      <c r="RLE54" s="1011"/>
      <c r="RLF54" s="1011"/>
      <c r="RLG54" s="1011"/>
      <c r="RLH54" s="1011"/>
      <c r="RLI54" s="1011"/>
      <c r="RLJ54" s="1011"/>
      <c r="RLK54" s="1011"/>
      <c r="RLL54" s="1011"/>
      <c r="RLM54" s="1011"/>
      <c r="RLN54" s="1011"/>
      <c r="RLO54" s="1011"/>
      <c r="RLP54" s="1011"/>
      <c r="RLQ54" s="1011"/>
      <c r="RLR54" s="1011"/>
      <c r="RLS54" s="1011"/>
      <c r="RLT54" s="1011"/>
      <c r="RLU54" s="1011"/>
      <c r="RLV54" s="1011"/>
      <c r="RLW54" s="1011"/>
      <c r="RLX54" s="1011"/>
      <c r="RLY54" s="1011"/>
      <c r="RLZ54" s="1011"/>
      <c r="RMA54" s="1011"/>
      <c r="RMB54" s="1011"/>
      <c r="RMC54" s="1011"/>
      <c r="RMD54" s="1011"/>
      <c r="RME54" s="1011"/>
      <c r="RMF54" s="1011"/>
      <c r="RMG54" s="1011"/>
      <c r="RMH54" s="1011"/>
      <c r="RMI54" s="1011"/>
      <c r="RMJ54" s="1011"/>
      <c r="RMK54" s="1011"/>
      <c r="RML54" s="1011"/>
      <c r="RMM54" s="1011"/>
      <c r="RMN54" s="1011"/>
      <c r="RMO54" s="1011"/>
      <c r="RMP54" s="1011"/>
      <c r="RMQ54" s="1011"/>
      <c r="RMR54" s="1011"/>
      <c r="RMS54" s="1011"/>
      <c r="RMT54" s="1011"/>
      <c r="RMU54" s="1011"/>
      <c r="RMV54" s="1011"/>
      <c r="RMW54" s="1011"/>
      <c r="RMX54" s="1011"/>
      <c r="RMY54" s="1011"/>
      <c r="RMZ54" s="1011"/>
      <c r="RNA54" s="1011"/>
      <c r="RNB54" s="1011"/>
      <c r="RNC54" s="1011"/>
      <c r="RND54" s="1011"/>
      <c r="RNE54" s="1011"/>
      <c r="RNF54" s="1011"/>
      <c r="RNG54" s="1011"/>
      <c r="RNH54" s="1011"/>
      <c r="RNI54" s="1011"/>
      <c r="RNJ54" s="1011"/>
      <c r="RNK54" s="1011"/>
      <c r="RNL54" s="1011"/>
      <c r="RNM54" s="1011"/>
      <c r="RNN54" s="1011"/>
      <c r="RNO54" s="1011"/>
      <c r="RNP54" s="1011"/>
      <c r="RNQ54" s="1011"/>
      <c r="RNR54" s="1011"/>
      <c r="RNS54" s="1011"/>
      <c r="RNT54" s="1011"/>
      <c r="RNU54" s="1011"/>
      <c r="RNV54" s="1011"/>
      <c r="RNW54" s="1011"/>
      <c r="RNX54" s="1011"/>
      <c r="RNY54" s="1011"/>
      <c r="RNZ54" s="1011"/>
      <c r="ROA54" s="1011"/>
      <c r="ROB54" s="1011"/>
      <c r="ROC54" s="1011"/>
      <c r="ROD54" s="1011"/>
      <c r="ROE54" s="1011"/>
      <c r="ROF54" s="1011"/>
      <c r="ROG54" s="1011"/>
      <c r="ROH54" s="1011"/>
      <c r="ROI54" s="1011"/>
      <c r="ROJ54" s="1011"/>
      <c r="ROK54" s="1011"/>
      <c r="ROL54" s="1011"/>
      <c r="ROM54" s="1011"/>
      <c r="RON54" s="1011"/>
      <c r="ROO54" s="1011"/>
      <c r="ROP54" s="1011"/>
      <c r="ROQ54" s="1011"/>
      <c r="ROR54" s="1011"/>
      <c r="ROS54" s="1011"/>
      <c r="ROT54" s="1011"/>
      <c r="ROU54" s="1011"/>
      <c r="ROV54" s="1011"/>
      <c r="ROW54" s="1011"/>
      <c r="ROX54" s="1011"/>
      <c r="ROY54" s="1011"/>
      <c r="ROZ54" s="1011"/>
      <c r="RPA54" s="1011"/>
      <c r="RPB54" s="1011"/>
      <c r="RPC54" s="1011"/>
      <c r="RPD54" s="1011"/>
      <c r="RPE54" s="1011"/>
      <c r="RPF54" s="1011"/>
      <c r="RPG54" s="1011"/>
      <c r="RPH54" s="1011"/>
      <c r="RPI54" s="1011"/>
      <c r="RPJ54" s="1011"/>
      <c r="RPK54" s="1011"/>
      <c r="RPL54" s="1011"/>
      <c r="RPM54" s="1011"/>
      <c r="RPN54" s="1011"/>
      <c r="RPO54" s="1011"/>
      <c r="RPP54" s="1011"/>
      <c r="RPQ54" s="1011"/>
      <c r="RPR54" s="1011"/>
      <c r="RPS54" s="1011"/>
      <c r="RPT54" s="1011"/>
      <c r="RPU54" s="1011"/>
      <c r="RPV54" s="1011"/>
      <c r="RPW54" s="1011"/>
      <c r="RPX54" s="1011"/>
      <c r="RPY54" s="1011"/>
      <c r="RPZ54" s="1011"/>
      <c r="RQA54" s="1011"/>
      <c r="RQB54" s="1011"/>
      <c r="RQC54" s="1011"/>
      <c r="RQD54" s="1011"/>
      <c r="RQE54" s="1011"/>
      <c r="RQF54" s="1011"/>
      <c r="RQG54" s="1011"/>
      <c r="RQH54" s="1011"/>
      <c r="RQI54" s="1011"/>
      <c r="RQJ54" s="1011"/>
      <c r="RQK54" s="1011"/>
      <c r="RQL54" s="1011"/>
      <c r="RQM54" s="1011"/>
      <c r="RQN54" s="1011"/>
      <c r="RQO54" s="1011"/>
      <c r="RQP54" s="1011"/>
      <c r="RQQ54" s="1011"/>
      <c r="RQR54" s="1011"/>
      <c r="RQS54" s="1011"/>
      <c r="RQT54" s="1011"/>
      <c r="RQU54" s="1011"/>
      <c r="RQV54" s="1011"/>
      <c r="RQW54" s="1011"/>
      <c r="RQX54" s="1011"/>
      <c r="RQY54" s="1011"/>
      <c r="RQZ54" s="1011"/>
      <c r="RRA54" s="1011"/>
      <c r="RRB54" s="1011"/>
      <c r="RRC54" s="1011"/>
      <c r="RRD54" s="1011"/>
      <c r="RRE54" s="1011"/>
      <c r="RRF54" s="1011"/>
      <c r="RRG54" s="1011"/>
      <c r="RRH54" s="1011"/>
      <c r="RRI54" s="1011"/>
      <c r="RRJ54" s="1011"/>
      <c r="RRK54" s="1011"/>
      <c r="RRL54" s="1011"/>
      <c r="RRM54" s="1011"/>
      <c r="RRN54" s="1011"/>
      <c r="RRO54" s="1011"/>
      <c r="RRP54" s="1011"/>
      <c r="RRQ54" s="1011"/>
      <c r="RRR54" s="1011"/>
      <c r="RRS54" s="1011"/>
      <c r="RRT54" s="1011"/>
      <c r="RRU54" s="1011"/>
      <c r="RRV54" s="1011"/>
      <c r="RRW54" s="1011"/>
      <c r="RRX54" s="1011"/>
      <c r="RRY54" s="1011"/>
      <c r="RRZ54" s="1011"/>
      <c r="RSA54" s="1011"/>
      <c r="RSB54" s="1011"/>
      <c r="RSC54" s="1011"/>
      <c r="RSD54" s="1011"/>
      <c r="RSE54" s="1011"/>
      <c r="RSF54" s="1011"/>
      <c r="RSG54" s="1011"/>
      <c r="RSH54" s="1011"/>
      <c r="RSI54" s="1011"/>
      <c r="RSJ54" s="1011"/>
      <c r="RSK54" s="1011"/>
      <c r="RSL54" s="1011"/>
      <c r="RSM54" s="1011"/>
      <c r="RSN54" s="1011"/>
      <c r="RSO54" s="1011"/>
      <c r="RSP54" s="1011"/>
      <c r="RSQ54" s="1011"/>
      <c r="RSR54" s="1011"/>
      <c r="RSS54" s="1011"/>
      <c r="RST54" s="1011"/>
      <c r="RSU54" s="1011"/>
      <c r="RSV54" s="1011"/>
      <c r="RSW54" s="1011"/>
      <c r="RSX54" s="1011"/>
      <c r="RSY54" s="1011"/>
      <c r="RSZ54" s="1011"/>
      <c r="RTA54" s="1011"/>
      <c r="RTB54" s="1011"/>
      <c r="RTC54" s="1011"/>
      <c r="RTD54" s="1011"/>
      <c r="RTE54" s="1011"/>
      <c r="RTF54" s="1011"/>
      <c r="RTG54" s="1011"/>
      <c r="RTH54" s="1011"/>
      <c r="RTI54" s="1011"/>
      <c r="RTJ54" s="1011"/>
      <c r="RTK54" s="1011"/>
      <c r="RTL54" s="1011"/>
      <c r="RTM54" s="1011"/>
      <c r="RTN54" s="1011"/>
      <c r="RTO54" s="1011"/>
      <c r="RTP54" s="1011"/>
      <c r="RTQ54" s="1011"/>
      <c r="RTR54" s="1011"/>
      <c r="RTS54" s="1011"/>
      <c r="RTT54" s="1011"/>
      <c r="RTU54" s="1011"/>
      <c r="RTV54" s="1011"/>
      <c r="RTW54" s="1011"/>
      <c r="RTX54" s="1011"/>
      <c r="RTY54" s="1011"/>
      <c r="RTZ54" s="1011"/>
      <c r="RUA54" s="1011"/>
      <c r="RUB54" s="1011"/>
      <c r="RUC54" s="1011"/>
      <c r="RUD54" s="1011"/>
      <c r="RUE54" s="1011"/>
      <c r="RUF54" s="1011"/>
      <c r="RUG54" s="1011"/>
      <c r="RUH54" s="1011"/>
      <c r="RUI54" s="1011"/>
      <c r="RUJ54" s="1011"/>
      <c r="RUK54" s="1011"/>
      <c r="RUL54" s="1011"/>
      <c r="RUM54" s="1011"/>
      <c r="RUN54" s="1011"/>
      <c r="RUO54" s="1011"/>
      <c r="RUP54" s="1011"/>
      <c r="RUQ54" s="1011"/>
      <c r="RUR54" s="1011"/>
      <c r="RUS54" s="1011"/>
      <c r="RUT54" s="1011"/>
      <c r="RUU54" s="1011"/>
      <c r="RUV54" s="1011"/>
      <c r="RUW54" s="1011"/>
      <c r="RUX54" s="1011"/>
      <c r="RUY54" s="1011"/>
      <c r="RUZ54" s="1011"/>
      <c r="RVA54" s="1011"/>
      <c r="RVB54" s="1011"/>
      <c r="RVC54" s="1011"/>
      <c r="RVD54" s="1011"/>
      <c r="RVE54" s="1011"/>
      <c r="RVF54" s="1011"/>
      <c r="RVG54" s="1011"/>
      <c r="RVH54" s="1011"/>
      <c r="RVI54" s="1011"/>
      <c r="RVJ54" s="1011"/>
      <c r="RVK54" s="1011"/>
      <c r="RVL54" s="1011"/>
      <c r="RVM54" s="1011"/>
      <c r="RVN54" s="1011"/>
      <c r="RVO54" s="1011"/>
      <c r="RVP54" s="1011"/>
      <c r="RVQ54" s="1011"/>
      <c r="RVR54" s="1011"/>
      <c r="RVS54" s="1011"/>
      <c r="RVT54" s="1011"/>
      <c r="RVU54" s="1011"/>
      <c r="RVV54" s="1011"/>
      <c r="RVW54" s="1011"/>
      <c r="RVX54" s="1011"/>
      <c r="RVY54" s="1011"/>
      <c r="RVZ54" s="1011"/>
      <c r="RWA54" s="1011"/>
      <c r="RWB54" s="1011"/>
      <c r="RWC54" s="1011"/>
      <c r="RWD54" s="1011"/>
      <c r="RWE54" s="1011"/>
      <c r="RWF54" s="1011"/>
      <c r="RWG54" s="1011"/>
      <c r="RWH54" s="1011"/>
      <c r="RWI54" s="1011"/>
      <c r="RWJ54" s="1011"/>
      <c r="RWK54" s="1011"/>
      <c r="RWL54" s="1011"/>
      <c r="RWM54" s="1011"/>
      <c r="RWN54" s="1011"/>
      <c r="RWO54" s="1011"/>
      <c r="RWP54" s="1011"/>
      <c r="RWQ54" s="1011"/>
      <c r="RWR54" s="1011"/>
      <c r="RWS54" s="1011"/>
      <c r="RWT54" s="1011"/>
      <c r="RWU54" s="1011"/>
      <c r="RWV54" s="1011"/>
      <c r="RWW54" s="1011"/>
      <c r="RWX54" s="1011"/>
      <c r="RWY54" s="1011"/>
      <c r="RWZ54" s="1011"/>
      <c r="RXA54" s="1011"/>
      <c r="RXB54" s="1011"/>
      <c r="RXC54" s="1011"/>
      <c r="RXD54" s="1011"/>
      <c r="RXE54" s="1011"/>
      <c r="RXF54" s="1011"/>
      <c r="RXG54" s="1011"/>
      <c r="RXH54" s="1011"/>
      <c r="RXI54" s="1011"/>
      <c r="RXJ54" s="1011"/>
      <c r="RXK54" s="1011"/>
      <c r="RXL54" s="1011"/>
      <c r="RXM54" s="1011"/>
      <c r="RXN54" s="1011"/>
      <c r="RXO54" s="1011"/>
      <c r="RXP54" s="1011"/>
      <c r="RXQ54" s="1011"/>
      <c r="RXR54" s="1011"/>
      <c r="RXS54" s="1011"/>
      <c r="RXT54" s="1011"/>
      <c r="RXU54" s="1011"/>
      <c r="RXV54" s="1011"/>
      <c r="RXW54" s="1011"/>
      <c r="RXX54" s="1011"/>
      <c r="RXY54" s="1011"/>
      <c r="RXZ54" s="1011"/>
      <c r="RYA54" s="1011"/>
      <c r="RYB54" s="1011"/>
      <c r="RYC54" s="1011"/>
      <c r="RYD54" s="1011"/>
      <c r="RYE54" s="1011"/>
      <c r="RYF54" s="1011"/>
      <c r="RYG54" s="1011"/>
      <c r="RYH54" s="1011"/>
      <c r="RYI54" s="1011"/>
      <c r="RYJ54" s="1011"/>
      <c r="RYK54" s="1011"/>
      <c r="RYL54" s="1011"/>
      <c r="RYM54" s="1011"/>
      <c r="RYN54" s="1011"/>
      <c r="RYO54" s="1011"/>
      <c r="RYP54" s="1011"/>
      <c r="RYQ54" s="1011"/>
      <c r="RYR54" s="1011"/>
      <c r="RYS54" s="1011"/>
      <c r="RYT54" s="1011"/>
      <c r="RYU54" s="1011"/>
      <c r="RYV54" s="1011"/>
      <c r="RYW54" s="1011"/>
      <c r="RYX54" s="1011"/>
      <c r="RYY54" s="1011"/>
      <c r="RYZ54" s="1011"/>
      <c r="RZA54" s="1011"/>
      <c r="RZB54" s="1011"/>
      <c r="RZC54" s="1011"/>
      <c r="RZD54" s="1011"/>
      <c r="RZE54" s="1011"/>
      <c r="RZF54" s="1011"/>
      <c r="RZG54" s="1011"/>
      <c r="RZH54" s="1011"/>
      <c r="RZI54" s="1011"/>
      <c r="RZJ54" s="1011"/>
      <c r="RZK54" s="1011"/>
      <c r="RZL54" s="1011"/>
      <c r="RZM54" s="1011"/>
      <c r="RZN54" s="1011"/>
      <c r="RZO54" s="1011"/>
      <c r="RZP54" s="1011"/>
      <c r="RZQ54" s="1011"/>
      <c r="RZR54" s="1011"/>
      <c r="RZS54" s="1011"/>
      <c r="RZT54" s="1011"/>
      <c r="RZU54" s="1011"/>
      <c r="RZV54" s="1011"/>
      <c r="RZW54" s="1011"/>
      <c r="RZX54" s="1011"/>
      <c r="RZY54" s="1011"/>
      <c r="RZZ54" s="1011"/>
      <c r="SAA54" s="1011"/>
      <c r="SAB54" s="1011"/>
      <c r="SAC54" s="1011"/>
      <c r="SAD54" s="1011"/>
      <c r="SAE54" s="1011"/>
      <c r="SAF54" s="1011"/>
      <c r="SAG54" s="1011"/>
      <c r="SAH54" s="1011"/>
      <c r="SAI54" s="1011"/>
      <c r="SAJ54" s="1011"/>
      <c r="SAK54" s="1011"/>
      <c r="SAL54" s="1011"/>
      <c r="SAM54" s="1011"/>
      <c r="SAN54" s="1011"/>
      <c r="SAO54" s="1011"/>
      <c r="SAP54" s="1011"/>
      <c r="SAQ54" s="1011"/>
      <c r="SAR54" s="1011"/>
      <c r="SAS54" s="1011"/>
      <c r="SAT54" s="1011"/>
      <c r="SAU54" s="1011"/>
      <c r="SAV54" s="1011"/>
      <c r="SAW54" s="1011"/>
      <c r="SAX54" s="1011"/>
      <c r="SAY54" s="1011"/>
      <c r="SAZ54" s="1011"/>
      <c r="SBA54" s="1011"/>
      <c r="SBB54" s="1011"/>
      <c r="SBC54" s="1011"/>
      <c r="SBD54" s="1011"/>
      <c r="SBE54" s="1011"/>
      <c r="SBF54" s="1011"/>
      <c r="SBG54" s="1011"/>
      <c r="SBH54" s="1011"/>
      <c r="SBI54" s="1011"/>
      <c r="SBJ54" s="1011"/>
      <c r="SBK54" s="1011"/>
      <c r="SBL54" s="1011"/>
      <c r="SBM54" s="1011"/>
      <c r="SBN54" s="1011"/>
      <c r="SBO54" s="1011"/>
      <c r="SBP54" s="1011"/>
      <c r="SBQ54" s="1011"/>
      <c r="SBR54" s="1011"/>
      <c r="SBS54" s="1011"/>
      <c r="SBT54" s="1011"/>
      <c r="SBU54" s="1011"/>
      <c r="SBV54" s="1011"/>
      <c r="SBW54" s="1011"/>
      <c r="SBX54" s="1011"/>
      <c r="SBY54" s="1011"/>
      <c r="SBZ54" s="1011"/>
      <c r="SCA54" s="1011"/>
      <c r="SCB54" s="1011"/>
      <c r="SCC54" s="1011"/>
      <c r="SCD54" s="1011"/>
      <c r="SCE54" s="1011"/>
      <c r="SCF54" s="1011"/>
      <c r="SCG54" s="1011"/>
      <c r="SCH54" s="1011"/>
      <c r="SCI54" s="1011"/>
      <c r="SCJ54" s="1011"/>
      <c r="SCK54" s="1011"/>
      <c r="SCL54" s="1011"/>
      <c r="SCM54" s="1011"/>
      <c r="SCN54" s="1011"/>
      <c r="SCO54" s="1011"/>
      <c r="SCP54" s="1011"/>
      <c r="SCQ54" s="1011"/>
      <c r="SCR54" s="1011"/>
      <c r="SCS54" s="1011"/>
      <c r="SCT54" s="1011"/>
      <c r="SCU54" s="1011"/>
      <c r="SCV54" s="1011"/>
      <c r="SCW54" s="1011"/>
      <c r="SCX54" s="1011"/>
      <c r="SCY54" s="1011"/>
      <c r="SCZ54" s="1011"/>
      <c r="SDA54" s="1011"/>
      <c r="SDB54" s="1011"/>
      <c r="SDC54" s="1011"/>
      <c r="SDD54" s="1011"/>
      <c r="SDE54" s="1011"/>
      <c r="SDF54" s="1011"/>
      <c r="SDG54" s="1011"/>
      <c r="SDH54" s="1011"/>
      <c r="SDI54" s="1011"/>
      <c r="SDJ54" s="1011"/>
      <c r="SDK54" s="1011"/>
      <c r="SDL54" s="1011"/>
      <c r="SDM54" s="1011"/>
      <c r="SDN54" s="1011"/>
      <c r="SDO54" s="1011"/>
      <c r="SDP54" s="1011"/>
      <c r="SDQ54" s="1011"/>
      <c r="SDR54" s="1011"/>
      <c r="SDS54" s="1011"/>
      <c r="SDT54" s="1011"/>
      <c r="SDU54" s="1011"/>
      <c r="SDV54" s="1011"/>
      <c r="SDW54" s="1011"/>
      <c r="SDX54" s="1011"/>
      <c r="SDY54" s="1011"/>
      <c r="SDZ54" s="1011"/>
      <c r="SEA54" s="1011"/>
      <c r="SEB54" s="1011"/>
      <c r="SEC54" s="1011"/>
      <c r="SED54" s="1011"/>
      <c r="SEE54" s="1011"/>
      <c r="SEF54" s="1011"/>
      <c r="SEG54" s="1011"/>
      <c r="SEH54" s="1011"/>
      <c r="SEI54" s="1011"/>
      <c r="SEJ54" s="1011"/>
      <c r="SEK54" s="1011"/>
      <c r="SEL54" s="1011"/>
      <c r="SEM54" s="1011"/>
      <c r="SEN54" s="1011"/>
      <c r="SEO54" s="1011"/>
      <c r="SEP54" s="1011"/>
      <c r="SEQ54" s="1011"/>
      <c r="SER54" s="1011"/>
      <c r="SES54" s="1011"/>
      <c r="SET54" s="1011"/>
      <c r="SEU54" s="1011"/>
      <c r="SEV54" s="1011"/>
      <c r="SEW54" s="1011"/>
      <c r="SEX54" s="1011"/>
      <c r="SEY54" s="1011"/>
      <c r="SEZ54" s="1011"/>
      <c r="SFA54" s="1011"/>
      <c r="SFB54" s="1011"/>
      <c r="SFC54" s="1011"/>
      <c r="SFD54" s="1011"/>
      <c r="SFE54" s="1011"/>
      <c r="SFF54" s="1011"/>
      <c r="SFG54" s="1011"/>
      <c r="SFH54" s="1011"/>
      <c r="SFI54" s="1011"/>
      <c r="SFJ54" s="1011"/>
      <c r="SFK54" s="1011"/>
      <c r="SFL54" s="1011"/>
      <c r="SFM54" s="1011"/>
      <c r="SFN54" s="1011"/>
      <c r="SFO54" s="1011"/>
      <c r="SFP54" s="1011"/>
      <c r="SFQ54" s="1011"/>
      <c r="SFR54" s="1011"/>
      <c r="SFS54" s="1011"/>
      <c r="SFT54" s="1011"/>
      <c r="SFU54" s="1011"/>
      <c r="SFV54" s="1011"/>
      <c r="SFW54" s="1011"/>
      <c r="SFX54" s="1011"/>
      <c r="SFY54" s="1011"/>
      <c r="SFZ54" s="1011"/>
      <c r="SGA54" s="1011"/>
      <c r="SGB54" s="1011"/>
      <c r="SGC54" s="1011"/>
      <c r="SGD54" s="1011"/>
      <c r="SGE54" s="1011"/>
      <c r="SGF54" s="1011"/>
      <c r="SGG54" s="1011"/>
      <c r="SGH54" s="1011"/>
      <c r="SGI54" s="1011"/>
      <c r="SGJ54" s="1011"/>
      <c r="SGK54" s="1011"/>
      <c r="SGL54" s="1011"/>
      <c r="SGM54" s="1011"/>
      <c r="SGN54" s="1011"/>
      <c r="SGO54" s="1011"/>
      <c r="SGP54" s="1011"/>
      <c r="SGQ54" s="1011"/>
      <c r="SGR54" s="1011"/>
      <c r="SGS54" s="1011"/>
      <c r="SGT54" s="1011"/>
      <c r="SGU54" s="1011"/>
      <c r="SGV54" s="1011"/>
      <c r="SGW54" s="1011"/>
      <c r="SGX54" s="1011"/>
      <c r="SGY54" s="1011"/>
      <c r="SGZ54" s="1011"/>
      <c r="SHA54" s="1011"/>
      <c r="SHB54" s="1011"/>
      <c r="SHC54" s="1011"/>
      <c r="SHD54" s="1011"/>
      <c r="SHE54" s="1011"/>
      <c r="SHF54" s="1011"/>
      <c r="SHG54" s="1011"/>
      <c r="SHH54" s="1011"/>
      <c r="SHI54" s="1011"/>
      <c r="SHJ54" s="1011"/>
      <c r="SHK54" s="1011"/>
      <c r="SHL54" s="1011"/>
      <c r="SHM54" s="1011"/>
      <c r="SHN54" s="1011"/>
      <c r="SHO54" s="1011"/>
      <c r="SHP54" s="1011"/>
      <c r="SHQ54" s="1011"/>
      <c r="SHR54" s="1011"/>
      <c r="SHS54" s="1011"/>
      <c r="SHT54" s="1011"/>
      <c r="SHU54" s="1011"/>
      <c r="SHV54" s="1011"/>
      <c r="SHW54" s="1011"/>
      <c r="SHX54" s="1011"/>
      <c r="SHY54" s="1011"/>
      <c r="SHZ54" s="1011"/>
      <c r="SIA54" s="1011"/>
      <c r="SIB54" s="1011"/>
      <c r="SIC54" s="1011"/>
      <c r="SID54" s="1011"/>
      <c r="SIE54" s="1011"/>
      <c r="SIF54" s="1011"/>
      <c r="SIG54" s="1011"/>
      <c r="SIH54" s="1011"/>
      <c r="SII54" s="1011"/>
      <c r="SIJ54" s="1011"/>
      <c r="SIK54" s="1011"/>
      <c r="SIL54" s="1011"/>
      <c r="SIM54" s="1011"/>
      <c r="SIN54" s="1011"/>
      <c r="SIO54" s="1011"/>
      <c r="SIP54" s="1011"/>
      <c r="SIQ54" s="1011"/>
      <c r="SIR54" s="1011"/>
      <c r="SIS54" s="1011"/>
      <c r="SIT54" s="1011"/>
      <c r="SIU54" s="1011"/>
      <c r="SIV54" s="1011"/>
      <c r="SIW54" s="1011"/>
      <c r="SIX54" s="1011"/>
      <c r="SIY54" s="1011"/>
      <c r="SIZ54" s="1011"/>
      <c r="SJA54" s="1011"/>
      <c r="SJB54" s="1011"/>
      <c r="SJC54" s="1011"/>
      <c r="SJD54" s="1011"/>
      <c r="SJE54" s="1011"/>
      <c r="SJF54" s="1011"/>
      <c r="SJG54" s="1011"/>
      <c r="SJH54" s="1011"/>
      <c r="SJI54" s="1011"/>
      <c r="SJJ54" s="1011"/>
      <c r="SJK54" s="1011"/>
      <c r="SJL54" s="1011"/>
      <c r="SJM54" s="1011"/>
      <c r="SJN54" s="1011"/>
      <c r="SJO54" s="1011"/>
      <c r="SJP54" s="1011"/>
      <c r="SJQ54" s="1011"/>
      <c r="SJR54" s="1011"/>
      <c r="SJS54" s="1011"/>
      <c r="SJT54" s="1011"/>
      <c r="SJU54" s="1011"/>
      <c r="SJV54" s="1011"/>
      <c r="SJW54" s="1011"/>
      <c r="SJX54" s="1011"/>
      <c r="SJY54" s="1011"/>
      <c r="SJZ54" s="1011"/>
      <c r="SKA54" s="1011"/>
      <c r="SKB54" s="1011"/>
      <c r="SKC54" s="1011"/>
      <c r="SKD54" s="1011"/>
      <c r="SKE54" s="1011"/>
      <c r="SKF54" s="1011"/>
      <c r="SKG54" s="1011"/>
      <c r="SKH54" s="1011"/>
      <c r="SKI54" s="1011"/>
      <c r="SKJ54" s="1011"/>
      <c r="SKK54" s="1011"/>
      <c r="SKL54" s="1011"/>
      <c r="SKM54" s="1011"/>
      <c r="SKN54" s="1011"/>
      <c r="SKO54" s="1011"/>
      <c r="SKP54" s="1011"/>
      <c r="SKQ54" s="1011"/>
      <c r="SKR54" s="1011"/>
      <c r="SKS54" s="1011"/>
      <c r="SKT54" s="1011"/>
      <c r="SKU54" s="1011"/>
      <c r="SKV54" s="1011"/>
      <c r="SKW54" s="1011"/>
      <c r="SKX54" s="1011"/>
      <c r="SKY54" s="1011"/>
      <c r="SKZ54" s="1011"/>
      <c r="SLA54" s="1011"/>
      <c r="SLB54" s="1011"/>
      <c r="SLC54" s="1011"/>
      <c r="SLD54" s="1011"/>
      <c r="SLE54" s="1011"/>
      <c r="SLF54" s="1011"/>
      <c r="SLG54" s="1011"/>
      <c r="SLH54" s="1011"/>
      <c r="SLI54" s="1011"/>
      <c r="SLJ54" s="1011"/>
      <c r="SLK54" s="1011"/>
      <c r="SLL54" s="1011"/>
      <c r="SLM54" s="1011"/>
      <c r="SLN54" s="1011"/>
      <c r="SLO54" s="1011"/>
      <c r="SLP54" s="1011"/>
      <c r="SLQ54" s="1011"/>
      <c r="SLR54" s="1011"/>
      <c r="SLS54" s="1011"/>
      <c r="SLT54" s="1011"/>
      <c r="SLU54" s="1011"/>
      <c r="SLV54" s="1011"/>
      <c r="SLW54" s="1011"/>
      <c r="SLX54" s="1011"/>
      <c r="SLY54" s="1011"/>
      <c r="SLZ54" s="1011"/>
      <c r="SMA54" s="1011"/>
      <c r="SMB54" s="1011"/>
      <c r="SMC54" s="1011"/>
      <c r="SMD54" s="1011"/>
      <c r="SME54" s="1011"/>
      <c r="SMF54" s="1011"/>
      <c r="SMG54" s="1011"/>
      <c r="SMH54" s="1011"/>
      <c r="SMI54" s="1011"/>
      <c r="SMJ54" s="1011"/>
      <c r="SMK54" s="1011"/>
      <c r="SML54" s="1011"/>
      <c r="SMM54" s="1011"/>
      <c r="SMN54" s="1011"/>
      <c r="SMO54" s="1011"/>
      <c r="SMP54" s="1011"/>
      <c r="SMQ54" s="1011"/>
      <c r="SMR54" s="1011"/>
      <c r="SMS54" s="1011"/>
      <c r="SMT54" s="1011"/>
      <c r="SMU54" s="1011"/>
      <c r="SMV54" s="1011"/>
      <c r="SMW54" s="1011"/>
      <c r="SMX54" s="1011"/>
      <c r="SMY54" s="1011"/>
      <c r="SMZ54" s="1011"/>
      <c r="SNA54" s="1011"/>
      <c r="SNB54" s="1011"/>
      <c r="SNC54" s="1011"/>
      <c r="SND54" s="1011"/>
      <c r="SNE54" s="1011"/>
      <c r="SNF54" s="1011"/>
      <c r="SNG54" s="1011"/>
      <c r="SNH54" s="1011"/>
      <c r="SNI54" s="1011"/>
      <c r="SNJ54" s="1011"/>
      <c r="SNK54" s="1011"/>
      <c r="SNL54" s="1011"/>
      <c r="SNM54" s="1011"/>
      <c r="SNN54" s="1011"/>
      <c r="SNO54" s="1011"/>
      <c r="SNP54" s="1011"/>
      <c r="SNQ54" s="1011"/>
      <c r="SNR54" s="1011"/>
      <c r="SNS54" s="1011"/>
      <c r="SNT54" s="1011"/>
      <c r="SNU54" s="1011"/>
      <c r="SNV54" s="1011"/>
      <c r="SNW54" s="1011"/>
      <c r="SNX54" s="1011"/>
      <c r="SNY54" s="1011"/>
      <c r="SNZ54" s="1011"/>
      <c r="SOA54" s="1011"/>
      <c r="SOB54" s="1011"/>
      <c r="SOC54" s="1011"/>
      <c r="SOD54" s="1011"/>
      <c r="SOE54" s="1011"/>
      <c r="SOF54" s="1011"/>
      <c r="SOG54" s="1011"/>
      <c r="SOH54" s="1011"/>
      <c r="SOI54" s="1011"/>
      <c r="SOJ54" s="1011"/>
      <c r="SOK54" s="1011"/>
      <c r="SOL54" s="1011"/>
      <c r="SOM54" s="1011"/>
      <c r="SON54" s="1011"/>
      <c r="SOO54" s="1011"/>
      <c r="SOP54" s="1011"/>
      <c r="SOQ54" s="1011"/>
      <c r="SOR54" s="1011"/>
      <c r="SOS54" s="1011"/>
      <c r="SOT54" s="1011"/>
      <c r="SOU54" s="1011"/>
      <c r="SOV54" s="1011"/>
      <c r="SOW54" s="1011"/>
      <c r="SOX54" s="1011"/>
      <c r="SOY54" s="1011"/>
      <c r="SOZ54" s="1011"/>
      <c r="SPA54" s="1011"/>
      <c r="SPB54" s="1011"/>
      <c r="SPC54" s="1011"/>
      <c r="SPD54" s="1011"/>
      <c r="SPE54" s="1011"/>
      <c r="SPF54" s="1011"/>
      <c r="SPG54" s="1011"/>
      <c r="SPH54" s="1011"/>
      <c r="SPI54" s="1011"/>
      <c r="SPJ54" s="1011"/>
      <c r="SPK54" s="1011"/>
      <c r="SPL54" s="1011"/>
      <c r="SPM54" s="1011"/>
      <c r="SPN54" s="1011"/>
      <c r="SPO54" s="1011"/>
      <c r="SPP54" s="1011"/>
      <c r="SPQ54" s="1011"/>
      <c r="SPR54" s="1011"/>
      <c r="SPS54" s="1011"/>
      <c r="SPT54" s="1011"/>
      <c r="SPU54" s="1011"/>
      <c r="SPV54" s="1011"/>
      <c r="SPW54" s="1011"/>
      <c r="SPX54" s="1011"/>
      <c r="SPY54" s="1011"/>
      <c r="SPZ54" s="1011"/>
      <c r="SQA54" s="1011"/>
      <c r="SQB54" s="1011"/>
      <c r="SQC54" s="1011"/>
      <c r="SQD54" s="1011"/>
      <c r="SQE54" s="1011"/>
      <c r="SQF54" s="1011"/>
      <c r="SQG54" s="1011"/>
      <c r="SQH54" s="1011"/>
      <c r="SQI54" s="1011"/>
      <c r="SQJ54" s="1011"/>
      <c r="SQK54" s="1011"/>
      <c r="SQL54" s="1011"/>
      <c r="SQM54" s="1011"/>
      <c r="SQN54" s="1011"/>
      <c r="SQO54" s="1011"/>
      <c r="SQP54" s="1011"/>
      <c r="SQQ54" s="1011"/>
      <c r="SQR54" s="1011"/>
      <c r="SQS54" s="1011"/>
      <c r="SQT54" s="1011"/>
      <c r="SQU54" s="1011"/>
      <c r="SQV54" s="1011"/>
      <c r="SQW54" s="1011"/>
      <c r="SQX54" s="1011"/>
      <c r="SQY54" s="1011"/>
      <c r="SQZ54" s="1011"/>
      <c r="SRA54" s="1011"/>
      <c r="SRB54" s="1011"/>
      <c r="SRC54" s="1011"/>
      <c r="SRD54" s="1011"/>
      <c r="SRE54" s="1011"/>
      <c r="SRF54" s="1011"/>
      <c r="SRG54" s="1011"/>
      <c r="SRH54" s="1011"/>
      <c r="SRI54" s="1011"/>
      <c r="SRJ54" s="1011"/>
      <c r="SRK54" s="1011"/>
      <c r="SRL54" s="1011"/>
      <c r="SRM54" s="1011"/>
      <c r="SRN54" s="1011"/>
      <c r="SRO54" s="1011"/>
      <c r="SRP54" s="1011"/>
      <c r="SRQ54" s="1011"/>
      <c r="SRR54" s="1011"/>
      <c r="SRS54" s="1011"/>
      <c r="SRT54" s="1011"/>
      <c r="SRU54" s="1011"/>
      <c r="SRV54" s="1011"/>
      <c r="SRW54" s="1011"/>
      <c r="SRX54" s="1011"/>
      <c r="SRY54" s="1011"/>
      <c r="SRZ54" s="1011"/>
      <c r="SSA54" s="1011"/>
      <c r="SSB54" s="1011"/>
      <c r="SSC54" s="1011"/>
      <c r="SSD54" s="1011"/>
      <c r="SSE54" s="1011"/>
      <c r="SSF54" s="1011"/>
      <c r="SSG54" s="1011"/>
      <c r="SSH54" s="1011"/>
      <c r="SSI54" s="1011"/>
      <c r="SSJ54" s="1011"/>
      <c r="SSK54" s="1011"/>
      <c r="SSL54" s="1011"/>
      <c r="SSM54" s="1011"/>
      <c r="SSN54" s="1011"/>
      <c r="SSO54" s="1011"/>
      <c r="SSP54" s="1011"/>
      <c r="SSQ54" s="1011"/>
      <c r="SSR54" s="1011"/>
      <c r="SSS54" s="1011"/>
      <c r="SST54" s="1011"/>
      <c r="SSU54" s="1011"/>
      <c r="SSV54" s="1011"/>
      <c r="SSW54" s="1011"/>
      <c r="SSX54" s="1011"/>
      <c r="SSY54" s="1011"/>
      <c r="SSZ54" s="1011"/>
      <c r="STA54" s="1011"/>
      <c r="STB54" s="1011"/>
      <c r="STC54" s="1011"/>
      <c r="STD54" s="1011"/>
      <c r="STE54" s="1011"/>
      <c r="STF54" s="1011"/>
      <c r="STG54" s="1011"/>
      <c r="STH54" s="1011"/>
      <c r="STI54" s="1011"/>
      <c r="STJ54" s="1011"/>
      <c r="STK54" s="1011"/>
      <c r="STL54" s="1011"/>
      <c r="STM54" s="1011"/>
      <c r="STN54" s="1011"/>
      <c r="STO54" s="1011"/>
      <c r="STP54" s="1011"/>
      <c r="STQ54" s="1011"/>
      <c r="STR54" s="1011"/>
      <c r="STS54" s="1011"/>
      <c r="STT54" s="1011"/>
      <c r="STU54" s="1011"/>
      <c r="STV54" s="1011"/>
      <c r="STW54" s="1011"/>
      <c r="STX54" s="1011"/>
      <c r="STY54" s="1011"/>
      <c r="STZ54" s="1011"/>
      <c r="SUA54" s="1011"/>
      <c r="SUB54" s="1011"/>
      <c r="SUC54" s="1011"/>
      <c r="SUD54" s="1011"/>
      <c r="SUE54" s="1011"/>
      <c r="SUF54" s="1011"/>
      <c r="SUG54" s="1011"/>
      <c r="SUH54" s="1011"/>
      <c r="SUI54" s="1011"/>
      <c r="SUJ54" s="1011"/>
      <c r="SUK54" s="1011"/>
      <c r="SUL54" s="1011"/>
      <c r="SUM54" s="1011"/>
      <c r="SUN54" s="1011"/>
      <c r="SUO54" s="1011"/>
      <c r="SUP54" s="1011"/>
      <c r="SUQ54" s="1011"/>
      <c r="SUR54" s="1011"/>
      <c r="SUS54" s="1011"/>
      <c r="SUT54" s="1011"/>
      <c r="SUU54" s="1011"/>
      <c r="SUV54" s="1011"/>
      <c r="SUW54" s="1011"/>
      <c r="SUX54" s="1011"/>
      <c r="SUY54" s="1011"/>
      <c r="SUZ54" s="1011"/>
      <c r="SVA54" s="1011"/>
      <c r="SVB54" s="1011"/>
      <c r="SVC54" s="1011"/>
      <c r="SVD54" s="1011"/>
      <c r="SVE54" s="1011"/>
      <c r="SVF54" s="1011"/>
      <c r="SVG54" s="1011"/>
      <c r="SVH54" s="1011"/>
      <c r="SVI54" s="1011"/>
      <c r="SVJ54" s="1011"/>
      <c r="SVK54" s="1011"/>
      <c r="SVL54" s="1011"/>
      <c r="SVM54" s="1011"/>
      <c r="SVN54" s="1011"/>
      <c r="SVO54" s="1011"/>
      <c r="SVP54" s="1011"/>
      <c r="SVQ54" s="1011"/>
      <c r="SVR54" s="1011"/>
      <c r="SVS54" s="1011"/>
      <c r="SVT54" s="1011"/>
      <c r="SVU54" s="1011"/>
      <c r="SVV54" s="1011"/>
      <c r="SVW54" s="1011"/>
      <c r="SVX54" s="1011"/>
      <c r="SVY54" s="1011"/>
      <c r="SVZ54" s="1011"/>
      <c r="SWA54" s="1011"/>
      <c r="SWB54" s="1011"/>
      <c r="SWC54" s="1011"/>
      <c r="SWD54" s="1011"/>
      <c r="SWE54" s="1011"/>
      <c r="SWF54" s="1011"/>
      <c r="SWG54" s="1011"/>
      <c r="SWH54" s="1011"/>
      <c r="SWI54" s="1011"/>
      <c r="SWJ54" s="1011"/>
      <c r="SWK54" s="1011"/>
      <c r="SWL54" s="1011"/>
      <c r="SWM54" s="1011"/>
      <c r="SWN54" s="1011"/>
      <c r="SWO54" s="1011"/>
      <c r="SWP54" s="1011"/>
      <c r="SWQ54" s="1011"/>
      <c r="SWR54" s="1011"/>
      <c r="SWS54" s="1011"/>
      <c r="SWT54" s="1011"/>
      <c r="SWU54" s="1011"/>
      <c r="SWV54" s="1011"/>
      <c r="SWW54" s="1011"/>
      <c r="SWX54" s="1011"/>
      <c r="SWY54" s="1011"/>
      <c r="SWZ54" s="1011"/>
      <c r="SXA54" s="1011"/>
      <c r="SXB54" s="1011"/>
      <c r="SXC54" s="1011"/>
      <c r="SXD54" s="1011"/>
      <c r="SXE54" s="1011"/>
      <c r="SXF54" s="1011"/>
      <c r="SXG54" s="1011"/>
      <c r="SXH54" s="1011"/>
      <c r="SXI54" s="1011"/>
      <c r="SXJ54" s="1011"/>
      <c r="SXK54" s="1011"/>
      <c r="SXL54" s="1011"/>
      <c r="SXM54" s="1011"/>
      <c r="SXN54" s="1011"/>
      <c r="SXO54" s="1011"/>
      <c r="SXP54" s="1011"/>
      <c r="SXQ54" s="1011"/>
      <c r="SXR54" s="1011"/>
      <c r="SXS54" s="1011"/>
      <c r="SXT54" s="1011"/>
      <c r="SXU54" s="1011"/>
      <c r="SXV54" s="1011"/>
      <c r="SXW54" s="1011"/>
      <c r="SXX54" s="1011"/>
      <c r="SXY54" s="1011"/>
      <c r="SXZ54" s="1011"/>
      <c r="SYA54" s="1011"/>
      <c r="SYB54" s="1011"/>
      <c r="SYC54" s="1011"/>
      <c r="SYD54" s="1011"/>
      <c r="SYE54" s="1011"/>
      <c r="SYF54" s="1011"/>
      <c r="SYG54" s="1011"/>
      <c r="SYH54" s="1011"/>
      <c r="SYI54" s="1011"/>
      <c r="SYJ54" s="1011"/>
      <c r="SYK54" s="1011"/>
      <c r="SYL54" s="1011"/>
      <c r="SYM54" s="1011"/>
      <c r="SYN54" s="1011"/>
      <c r="SYO54" s="1011"/>
      <c r="SYP54" s="1011"/>
      <c r="SYQ54" s="1011"/>
      <c r="SYR54" s="1011"/>
      <c r="SYS54" s="1011"/>
      <c r="SYT54" s="1011"/>
      <c r="SYU54" s="1011"/>
      <c r="SYV54" s="1011"/>
      <c r="SYW54" s="1011"/>
      <c r="SYX54" s="1011"/>
      <c r="SYY54" s="1011"/>
      <c r="SYZ54" s="1011"/>
      <c r="SZA54" s="1011"/>
      <c r="SZB54" s="1011"/>
      <c r="SZC54" s="1011"/>
      <c r="SZD54" s="1011"/>
      <c r="SZE54" s="1011"/>
      <c r="SZF54" s="1011"/>
      <c r="SZG54" s="1011"/>
      <c r="SZH54" s="1011"/>
      <c r="SZI54" s="1011"/>
      <c r="SZJ54" s="1011"/>
      <c r="SZK54" s="1011"/>
      <c r="SZL54" s="1011"/>
      <c r="SZM54" s="1011"/>
      <c r="SZN54" s="1011"/>
      <c r="SZO54" s="1011"/>
      <c r="SZP54" s="1011"/>
      <c r="SZQ54" s="1011"/>
      <c r="SZR54" s="1011"/>
      <c r="SZS54" s="1011"/>
      <c r="SZT54" s="1011"/>
      <c r="SZU54" s="1011"/>
      <c r="SZV54" s="1011"/>
      <c r="SZW54" s="1011"/>
      <c r="SZX54" s="1011"/>
      <c r="SZY54" s="1011"/>
      <c r="SZZ54" s="1011"/>
      <c r="TAA54" s="1011"/>
      <c r="TAB54" s="1011"/>
      <c r="TAC54" s="1011"/>
      <c r="TAD54" s="1011"/>
      <c r="TAE54" s="1011"/>
      <c r="TAF54" s="1011"/>
      <c r="TAG54" s="1011"/>
      <c r="TAH54" s="1011"/>
      <c r="TAI54" s="1011"/>
      <c r="TAJ54" s="1011"/>
      <c r="TAK54" s="1011"/>
      <c r="TAL54" s="1011"/>
      <c r="TAM54" s="1011"/>
      <c r="TAN54" s="1011"/>
      <c r="TAO54" s="1011"/>
      <c r="TAP54" s="1011"/>
      <c r="TAQ54" s="1011"/>
      <c r="TAR54" s="1011"/>
      <c r="TAS54" s="1011"/>
      <c r="TAT54" s="1011"/>
      <c r="TAU54" s="1011"/>
      <c r="TAV54" s="1011"/>
      <c r="TAW54" s="1011"/>
      <c r="TAX54" s="1011"/>
      <c r="TAY54" s="1011"/>
      <c r="TAZ54" s="1011"/>
      <c r="TBA54" s="1011"/>
      <c r="TBB54" s="1011"/>
      <c r="TBC54" s="1011"/>
      <c r="TBD54" s="1011"/>
      <c r="TBE54" s="1011"/>
      <c r="TBF54" s="1011"/>
      <c r="TBG54" s="1011"/>
      <c r="TBH54" s="1011"/>
      <c r="TBI54" s="1011"/>
      <c r="TBJ54" s="1011"/>
      <c r="TBK54" s="1011"/>
      <c r="TBL54" s="1011"/>
      <c r="TBM54" s="1011"/>
      <c r="TBN54" s="1011"/>
      <c r="TBO54" s="1011"/>
      <c r="TBP54" s="1011"/>
      <c r="TBQ54" s="1011"/>
      <c r="TBR54" s="1011"/>
      <c r="TBS54" s="1011"/>
      <c r="TBT54" s="1011"/>
      <c r="TBU54" s="1011"/>
      <c r="TBV54" s="1011"/>
      <c r="TBW54" s="1011"/>
      <c r="TBX54" s="1011"/>
      <c r="TBY54" s="1011"/>
      <c r="TBZ54" s="1011"/>
      <c r="TCA54" s="1011"/>
      <c r="TCB54" s="1011"/>
      <c r="TCC54" s="1011"/>
      <c r="TCD54" s="1011"/>
      <c r="TCE54" s="1011"/>
      <c r="TCF54" s="1011"/>
      <c r="TCG54" s="1011"/>
      <c r="TCH54" s="1011"/>
      <c r="TCI54" s="1011"/>
      <c r="TCJ54" s="1011"/>
      <c r="TCK54" s="1011"/>
      <c r="TCL54" s="1011"/>
      <c r="TCM54" s="1011"/>
      <c r="TCN54" s="1011"/>
      <c r="TCO54" s="1011"/>
      <c r="TCP54" s="1011"/>
      <c r="TCQ54" s="1011"/>
      <c r="TCR54" s="1011"/>
      <c r="TCS54" s="1011"/>
      <c r="TCT54" s="1011"/>
      <c r="TCU54" s="1011"/>
      <c r="TCV54" s="1011"/>
      <c r="TCW54" s="1011"/>
      <c r="TCX54" s="1011"/>
      <c r="TCY54" s="1011"/>
      <c r="TCZ54" s="1011"/>
      <c r="TDA54" s="1011"/>
      <c r="TDB54" s="1011"/>
      <c r="TDC54" s="1011"/>
      <c r="TDD54" s="1011"/>
      <c r="TDE54" s="1011"/>
      <c r="TDF54" s="1011"/>
      <c r="TDG54" s="1011"/>
      <c r="TDH54" s="1011"/>
      <c r="TDI54" s="1011"/>
      <c r="TDJ54" s="1011"/>
      <c r="TDK54" s="1011"/>
      <c r="TDL54" s="1011"/>
      <c r="TDM54" s="1011"/>
      <c r="TDN54" s="1011"/>
      <c r="TDO54" s="1011"/>
      <c r="TDP54" s="1011"/>
      <c r="TDQ54" s="1011"/>
      <c r="TDR54" s="1011"/>
      <c r="TDS54" s="1011"/>
      <c r="TDT54" s="1011"/>
      <c r="TDU54" s="1011"/>
      <c r="TDV54" s="1011"/>
      <c r="TDW54" s="1011"/>
      <c r="TDX54" s="1011"/>
      <c r="TDY54" s="1011"/>
      <c r="TDZ54" s="1011"/>
      <c r="TEA54" s="1011"/>
      <c r="TEB54" s="1011"/>
      <c r="TEC54" s="1011"/>
      <c r="TED54" s="1011"/>
      <c r="TEE54" s="1011"/>
      <c r="TEF54" s="1011"/>
      <c r="TEG54" s="1011"/>
      <c r="TEH54" s="1011"/>
      <c r="TEI54" s="1011"/>
      <c r="TEJ54" s="1011"/>
      <c r="TEK54" s="1011"/>
      <c r="TEL54" s="1011"/>
      <c r="TEM54" s="1011"/>
      <c r="TEN54" s="1011"/>
      <c r="TEO54" s="1011"/>
      <c r="TEP54" s="1011"/>
      <c r="TEQ54" s="1011"/>
      <c r="TER54" s="1011"/>
      <c r="TES54" s="1011"/>
      <c r="TET54" s="1011"/>
      <c r="TEU54" s="1011"/>
      <c r="TEV54" s="1011"/>
      <c r="TEW54" s="1011"/>
      <c r="TEX54" s="1011"/>
      <c r="TEY54" s="1011"/>
      <c r="TEZ54" s="1011"/>
      <c r="TFA54" s="1011"/>
      <c r="TFB54" s="1011"/>
      <c r="TFC54" s="1011"/>
      <c r="TFD54" s="1011"/>
      <c r="TFE54" s="1011"/>
      <c r="TFF54" s="1011"/>
      <c r="TFG54" s="1011"/>
      <c r="TFH54" s="1011"/>
      <c r="TFI54" s="1011"/>
      <c r="TFJ54" s="1011"/>
      <c r="TFK54" s="1011"/>
      <c r="TFL54" s="1011"/>
      <c r="TFM54" s="1011"/>
      <c r="TFN54" s="1011"/>
      <c r="TFO54" s="1011"/>
      <c r="TFP54" s="1011"/>
      <c r="TFQ54" s="1011"/>
      <c r="TFR54" s="1011"/>
      <c r="TFS54" s="1011"/>
      <c r="TFT54" s="1011"/>
      <c r="TFU54" s="1011"/>
      <c r="TFV54" s="1011"/>
      <c r="TFW54" s="1011"/>
      <c r="TFX54" s="1011"/>
      <c r="TFY54" s="1011"/>
      <c r="TFZ54" s="1011"/>
      <c r="TGA54" s="1011"/>
      <c r="TGB54" s="1011"/>
      <c r="TGC54" s="1011"/>
      <c r="TGD54" s="1011"/>
      <c r="TGE54" s="1011"/>
      <c r="TGF54" s="1011"/>
      <c r="TGG54" s="1011"/>
      <c r="TGH54" s="1011"/>
      <c r="TGI54" s="1011"/>
      <c r="TGJ54" s="1011"/>
      <c r="TGK54" s="1011"/>
      <c r="TGL54" s="1011"/>
      <c r="TGM54" s="1011"/>
      <c r="TGN54" s="1011"/>
      <c r="TGO54" s="1011"/>
      <c r="TGP54" s="1011"/>
      <c r="TGQ54" s="1011"/>
      <c r="TGR54" s="1011"/>
      <c r="TGS54" s="1011"/>
      <c r="TGT54" s="1011"/>
      <c r="TGU54" s="1011"/>
      <c r="TGV54" s="1011"/>
      <c r="TGW54" s="1011"/>
      <c r="TGX54" s="1011"/>
      <c r="TGY54" s="1011"/>
      <c r="TGZ54" s="1011"/>
      <c r="THA54" s="1011"/>
      <c r="THB54" s="1011"/>
      <c r="THC54" s="1011"/>
      <c r="THD54" s="1011"/>
      <c r="THE54" s="1011"/>
      <c r="THF54" s="1011"/>
      <c r="THG54" s="1011"/>
      <c r="THH54" s="1011"/>
      <c r="THI54" s="1011"/>
      <c r="THJ54" s="1011"/>
      <c r="THK54" s="1011"/>
      <c r="THL54" s="1011"/>
      <c r="THM54" s="1011"/>
      <c r="THN54" s="1011"/>
      <c r="THO54" s="1011"/>
      <c r="THP54" s="1011"/>
      <c r="THQ54" s="1011"/>
      <c r="THR54" s="1011"/>
      <c r="THS54" s="1011"/>
      <c r="THT54" s="1011"/>
      <c r="THU54" s="1011"/>
      <c r="THV54" s="1011"/>
      <c r="THW54" s="1011"/>
      <c r="THX54" s="1011"/>
      <c r="THY54" s="1011"/>
      <c r="THZ54" s="1011"/>
      <c r="TIA54" s="1011"/>
      <c r="TIB54" s="1011"/>
      <c r="TIC54" s="1011"/>
      <c r="TID54" s="1011"/>
      <c r="TIE54" s="1011"/>
      <c r="TIF54" s="1011"/>
      <c r="TIG54" s="1011"/>
      <c r="TIH54" s="1011"/>
      <c r="TII54" s="1011"/>
      <c r="TIJ54" s="1011"/>
      <c r="TIK54" s="1011"/>
      <c r="TIL54" s="1011"/>
      <c r="TIM54" s="1011"/>
      <c r="TIN54" s="1011"/>
      <c r="TIO54" s="1011"/>
      <c r="TIP54" s="1011"/>
      <c r="TIQ54" s="1011"/>
      <c r="TIR54" s="1011"/>
      <c r="TIS54" s="1011"/>
      <c r="TIT54" s="1011"/>
      <c r="TIU54" s="1011"/>
      <c r="TIV54" s="1011"/>
      <c r="TIW54" s="1011"/>
      <c r="TIX54" s="1011"/>
      <c r="TIY54" s="1011"/>
      <c r="TIZ54" s="1011"/>
      <c r="TJA54" s="1011"/>
      <c r="TJB54" s="1011"/>
      <c r="TJC54" s="1011"/>
      <c r="TJD54" s="1011"/>
      <c r="TJE54" s="1011"/>
      <c r="TJF54" s="1011"/>
      <c r="TJG54" s="1011"/>
      <c r="TJH54" s="1011"/>
      <c r="TJI54" s="1011"/>
      <c r="TJJ54" s="1011"/>
      <c r="TJK54" s="1011"/>
      <c r="TJL54" s="1011"/>
      <c r="TJM54" s="1011"/>
      <c r="TJN54" s="1011"/>
      <c r="TJO54" s="1011"/>
      <c r="TJP54" s="1011"/>
      <c r="TJQ54" s="1011"/>
      <c r="TJR54" s="1011"/>
      <c r="TJS54" s="1011"/>
      <c r="TJT54" s="1011"/>
      <c r="TJU54" s="1011"/>
      <c r="TJV54" s="1011"/>
      <c r="TJW54" s="1011"/>
      <c r="TJX54" s="1011"/>
      <c r="TJY54" s="1011"/>
      <c r="TJZ54" s="1011"/>
      <c r="TKA54" s="1011"/>
      <c r="TKB54" s="1011"/>
      <c r="TKC54" s="1011"/>
      <c r="TKD54" s="1011"/>
      <c r="TKE54" s="1011"/>
      <c r="TKF54" s="1011"/>
      <c r="TKG54" s="1011"/>
      <c r="TKH54" s="1011"/>
      <c r="TKI54" s="1011"/>
      <c r="TKJ54" s="1011"/>
      <c r="TKK54" s="1011"/>
      <c r="TKL54" s="1011"/>
      <c r="TKM54" s="1011"/>
      <c r="TKN54" s="1011"/>
      <c r="TKO54" s="1011"/>
      <c r="TKP54" s="1011"/>
      <c r="TKQ54" s="1011"/>
      <c r="TKR54" s="1011"/>
      <c r="TKS54" s="1011"/>
      <c r="TKT54" s="1011"/>
      <c r="TKU54" s="1011"/>
      <c r="TKV54" s="1011"/>
      <c r="TKW54" s="1011"/>
      <c r="TKX54" s="1011"/>
      <c r="TKY54" s="1011"/>
      <c r="TKZ54" s="1011"/>
      <c r="TLA54" s="1011"/>
      <c r="TLB54" s="1011"/>
      <c r="TLC54" s="1011"/>
      <c r="TLD54" s="1011"/>
      <c r="TLE54" s="1011"/>
      <c r="TLF54" s="1011"/>
      <c r="TLG54" s="1011"/>
      <c r="TLH54" s="1011"/>
      <c r="TLI54" s="1011"/>
      <c r="TLJ54" s="1011"/>
      <c r="TLK54" s="1011"/>
      <c r="TLL54" s="1011"/>
      <c r="TLM54" s="1011"/>
      <c r="TLN54" s="1011"/>
      <c r="TLO54" s="1011"/>
      <c r="TLP54" s="1011"/>
      <c r="TLQ54" s="1011"/>
      <c r="TLR54" s="1011"/>
      <c r="TLS54" s="1011"/>
      <c r="TLT54" s="1011"/>
      <c r="TLU54" s="1011"/>
      <c r="TLV54" s="1011"/>
      <c r="TLW54" s="1011"/>
      <c r="TLX54" s="1011"/>
      <c r="TLY54" s="1011"/>
      <c r="TLZ54" s="1011"/>
      <c r="TMA54" s="1011"/>
      <c r="TMB54" s="1011"/>
      <c r="TMC54" s="1011"/>
      <c r="TMD54" s="1011"/>
      <c r="TME54" s="1011"/>
      <c r="TMF54" s="1011"/>
      <c r="TMG54" s="1011"/>
      <c r="TMH54" s="1011"/>
      <c r="TMI54" s="1011"/>
      <c r="TMJ54" s="1011"/>
      <c r="TMK54" s="1011"/>
      <c r="TML54" s="1011"/>
      <c r="TMM54" s="1011"/>
      <c r="TMN54" s="1011"/>
      <c r="TMO54" s="1011"/>
      <c r="TMP54" s="1011"/>
      <c r="TMQ54" s="1011"/>
      <c r="TMR54" s="1011"/>
      <c r="TMS54" s="1011"/>
      <c r="TMT54" s="1011"/>
      <c r="TMU54" s="1011"/>
      <c r="TMV54" s="1011"/>
      <c r="TMW54" s="1011"/>
      <c r="TMX54" s="1011"/>
      <c r="TMY54" s="1011"/>
      <c r="TMZ54" s="1011"/>
      <c r="TNA54" s="1011"/>
      <c r="TNB54" s="1011"/>
      <c r="TNC54" s="1011"/>
      <c r="TND54" s="1011"/>
      <c r="TNE54" s="1011"/>
      <c r="TNF54" s="1011"/>
      <c r="TNG54" s="1011"/>
      <c r="TNH54" s="1011"/>
      <c r="TNI54" s="1011"/>
      <c r="TNJ54" s="1011"/>
      <c r="TNK54" s="1011"/>
      <c r="TNL54" s="1011"/>
      <c r="TNM54" s="1011"/>
      <c r="TNN54" s="1011"/>
      <c r="TNO54" s="1011"/>
      <c r="TNP54" s="1011"/>
      <c r="TNQ54" s="1011"/>
      <c r="TNR54" s="1011"/>
      <c r="TNS54" s="1011"/>
      <c r="TNT54" s="1011"/>
      <c r="TNU54" s="1011"/>
      <c r="TNV54" s="1011"/>
      <c r="TNW54" s="1011"/>
      <c r="TNX54" s="1011"/>
      <c r="TNY54" s="1011"/>
      <c r="TNZ54" s="1011"/>
      <c r="TOA54" s="1011"/>
      <c r="TOB54" s="1011"/>
      <c r="TOC54" s="1011"/>
      <c r="TOD54" s="1011"/>
      <c r="TOE54" s="1011"/>
      <c r="TOF54" s="1011"/>
      <c r="TOG54" s="1011"/>
      <c r="TOH54" s="1011"/>
      <c r="TOI54" s="1011"/>
      <c r="TOJ54" s="1011"/>
      <c r="TOK54" s="1011"/>
      <c r="TOL54" s="1011"/>
      <c r="TOM54" s="1011"/>
      <c r="TON54" s="1011"/>
      <c r="TOO54" s="1011"/>
      <c r="TOP54" s="1011"/>
      <c r="TOQ54" s="1011"/>
      <c r="TOR54" s="1011"/>
      <c r="TOS54" s="1011"/>
      <c r="TOT54" s="1011"/>
      <c r="TOU54" s="1011"/>
      <c r="TOV54" s="1011"/>
      <c r="TOW54" s="1011"/>
      <c r="TOX54" s="1011"/>
      <c r="TOY54" s="1011"/>
      <c r="TOZ54" s="1011"/>
      <c r="TPA54" s="1011"/>
      <c r="TPB54" s="1011"/>
      <c r="TPC54" s="1011"/>
      <c r="TPD54" s="1011"/>
      <c r="TPE54" s="1011"/>
      <c r="TPF54" s="1011"/>
      <c r="TPG54" s="1011"/>
      <c r="TPH54" s="1011"/>
      <c r="TPI54" s="1011"/>
      <c r="TPJ54" s="1011"/>
      <c r="TPK54" s="1011"/>
      <c r="TPL54" s="1011"/>
      <c r="TPM54" s="1011"/>
      <c r="TPN54" s="1011"/>
      <c r="TPO54" s="1011"/>
      <c r="TPP54" s="1011"/>
      <c r="TPQ54" s="1011"/>
      <c r="TPR54" s="1011"/>
      <c r="TPS54" s="1011"/>
      <c r="TPT54" s="1011"/>
      <c r="TPU54" s="1011"/>
      <c r="TPV54" s="1011"/>
      <c r="TPW54" s="1011"/>
      <c r="TPX54" s="1011"/>
      <c r="TPY54" s="1011"/>
      <c r="TPZ54" s="1011"/>
      <c r="TQA54" s="1011"/>
      <c r="TQB54" s="1011"/>
      <c r="TQC54" s="1011"/>
      <c r="TQD54" s="1011"/>
      <c r="TQE54" s="1011"/>
      <c r="TQF54" s="1011"/>
      <c r="TQG54" s="1011"/>
      <c r="TQH54" s="1011"/>
      <c r="TQI54" s="1011"/>
      <c r="TQJ54" s="1011"/>
      <c r="TQK54" s="1011"/>
      <c r="TQL54" s="1011"/>
      <c r="TQM54" s="1011"/>
      <c r="TQN54" s="1011"/>
      <c r="TQO54" s="1011"/>
      <c r="TQP54" s="1011"/>
      <c r="TQQ54" s="1011"/>
      <c r="TQR54" s="1011"/>
      <c r="TQS54" s="1011"/>
      <c r="TQT54" s="1011"/>
      <c r="TQU54" s="1011"/>
      <c r="TQV54" s="1011"/>
      <c r="TQW54" s="1011"/>
      <c r="TQX54" s="1011"/>
      <c r="TQY54" s="1011"/>
      <c r="TQZ54" s="1011"/>
      <c r="TRA54" s="1011"/>
      <c r="TRB54" s="1011"/>
      <c r="TRC54" s="1011"/>
      <c r="TRD54" s="1011"/>
      <c r="TRE54" s="1011"/>
      <c r="TRF54" s="1011"/>
      <c r="TRG54" s="1011"/>
      <c r="TRH54" s="1011"/>
      <c r="TRI54" s="1011"/>
      <c r="TRJ54" s="1011"/>
      <c r="TRK54" s="1011"/>
      <c r="TRL54" s="1011"/>
      <c r="TRM54" s="1011"/>
      <c r="TRN54" s="1011"/>
      <c r="TRO54" s="1011"/>
      <c r="TRP54" s="1011"/>
      <c r="TRQ54" s="1011"/>
      <c r="TRR54" s="1011"/>
      <c r="TRS54" s="1011"/>
      <c r="TRT54" s="1011"/>
      <c r="TRU54" s="1011"/>
      <c r="TRV54" s="1011"/>
      <c r="TRW54" s="1011"/>
      <c r="TRX54" s="1011"/>
      <c r="TRY54" s="1011"/>
      <c r="TRZ54" s="1011"/>
      <c r="TSA54" s="1011"/>
      <c r="TSB54" s="1011"/>
      <c r="TSC54" s="1011"/>
      <c r="TSD54" s="1011"/>
      <c r="TSE54" s="1011"/>
      <c r="TSF54" s="1011"/>
      <c r="TSG54" s="1011"/>
      <c r="TSH54" s="1011"/>
      <c r="TSI54" s="1011"/>
      <c r="TSJ54" s="1011"/>
      <c r="TSK54" s="1011"/>
      <c r="TSL54" s="1011"/>
      <c r="TSM54" s="1011"/>
      <c r="TSN54" s="1011"/>
      <c r="TSO54" s="1011"/>
      <c r="TSP54" s="1011"/>
      <c r="TSQ54" s="1011"/>
      <c r="TSR54" s="1011"/>
      <c r="TSS54" s="1011"/>
      <c r="TST54" s="1011"/>
      <c r="TSU54" s="1011"/>
      <c r="TSV54" s="1011"/>
      <c r="TSW54" s="1011"/>
      <c r="TSX54" s="1011"/>
      <c r="TSY54" s="1011"/>
      <c r="TSZ54" s="1011"/>
      <c r="TTA54" s="1011"/>
      <c r="TTB54" s="1011"/>
      <c r="TTC54" s="1011"/>
      <c r="TTD54" s="1011"/>
      <c r="TTE54" s="1011"/>
      <c r="TTF54" s="1011"/>
      <c r="TTG54" s="1011"/>
      <c r="TTH54" s="1011"/>
      <c r="TTI54" s="1011"/>
      <c r="TTJ54" s="1011"/>
      <c r="TTK54" s="1011"/>
      <c r="TTL54" s="1011"/>
      <c r="TTM54" s="1011"/>
      <c r="TTN54" s="1011"/>
      <c r="TTO54" s="1011"/>
      <c r="TTP54" s="1011"/>
      <c r="TTQ54" s="1011"/>
      <c r="TTR54" s="1011"/>
      <c r="TTS54" s="1011"/>
      <c r="TTT54" s="1011"/>
      <c r="TTU54" s="1011"/>
      <c r="TTV54" s="1011"/>
      <c r="TTW54" s="1011"/>
      <c r="TTX54" s="1011"/>
      <c r="TTY54" s="1011"/>
      <c r="TTZ54" s="1011"/>
      <c r="TUA54" s="1011"/>
      <c r="TUB54" s="1011"/>
      <c r="TUC54" s="1011"/>
      <c r="TUD54" s="1011"/>
      <c r="TUE54" s="1011"/>
      <c r="TUF54" s="1011"/>
      <c r="TUG54" s="1011"/>
      <c r="TUH54" s="1011"/>
      <c r="TUI54" s="1011"/>
      <c r="TUJ54" s="1011"/>
      <c r="TUK54" s="1011"/>
      <c r="TUL54" s="1011"/>
      <c r="TUM54" s="1011"/>
      <c r="TUN54" s="1011"/>
      <c r="TUO54" s="1011"/>
      <c r="TUP54" s="1011"/>
      <c r="TUQ54" s="1011"/>
      <c r="TUR54" s="1011"/>
      <c r="TUS54" s="1011"/>
      <c r="TUT54" s="1011"/>
      <c r="TUU54" s="1011"/>
      <c r="TUV54" s="1011"/>
      <c r="TUW54" s="1011"/>
      <c r="TUX54" s="1011"/>
      <c r="TUY54" s="1011"/>
      <c r="TUZ54" s="1011"/>
      <c r="TVA54" s="1011"/>
      <c r="TVB54" s="1011"/>
      <c r="TVC54" s="1011"/>
      <c r="TVD54" s="1011"/>
      <c r="TVE54" s="1011"/>
      <c r="TVF54" s="1011"/>
      <c r="TVG54" s="1011"/>
      <c r="TVH54" s="1011"/>
      <c r="TVI54" s="1011"/>
      <c r="TVJ54" s="1011"/>
      <c r="TVK54" s="1011"/>
      <c r="TVL54" s="1011"/>
      <c r="TVM54" s="1011"/>
      <c r="TVN54" s="1011"/>
      <c r="TVO54" s="1011"/>
      <c r="TVP54" s="1011"/>
      <c r="TVQ54" s="1011"/>
      <c r="TVR54" s="1011"/>
      <c r="TVS54" s="1011"/>
      <c r="TVT54" s="1011"/>
      <c r="TVU54" s="1011"/>
      <c r="TVV54" s="1011"/>
      <c r="TVW54" s="1011"/>
      <c r="TVX54" s="1011"/>
      <c r="TVY54" s="1011"/>
      <c r="TVZ54" s="1011"/>
      <c r="TWA54" s="1011"/>
      <c r="TWB54" s="1011"/>
      <c r="TWC54" s="1011"/>
      <c r="TWD54" s="1011"/>
      <c r="TWE54" s="1011"/>
      <c r="TWF54" s="1011"/>
      <c r="TWG54" s="1011"/>
      <c r="TWH54" s="1011"/>
      <c r="TWI54" s="1011"/>
      <c r="TWJ54" s="1011"/>
      <c r="TWK54" s="1011"/>
      <c r="TWL54" s="1011"/>
      <c r="TWM54" s="1011"/>
      <c r="TWN54" s="1011"/>
      <c r="TWO54" s="1011"/>
      <c r="TWP54" s="1011"/>
      <c r="TWQ54" s="1011"/>
      <c r="TWR54" s="1011"/>
      <c r="TWS54" s="1011"/>
      <c r="TWT54" s="1011"/>
      <c r="TWU54" s="1011"/>
      <c r="TWV54" s="1011"/>
      <c r="TWW54" s="1011"/>
      <c r="TWX54" s="1011"/>
      <c r="TWY54" s="1011"/>
      <c r="TWZ54" s="1011"/>
      <c r="TXA54" s="1011"/>
      <c r="TXB54" s="1011"/>
      <c r="TXC54" s="1011"/>
      <c r="TXD54" s="1011"/>
      <c r="TXE54" s="1011"/>
      <c r="TXF54" s="1011"/>
      <c r="TXG54" s="1011"/>
      <c r="TXH54" s="1011"/>
      <c r="TXI54" s="1011"/>
      <c r="TXJ54" s="1011"/>
      <c r="TXK54" s="1011"/>
      <c r="TXL54" s="1011"/>
      <c r="TXM54" s="1011"/>
      <c r="TXN54" s="1011"/>
      <c r="TXO54" s="1011"/>
      <c r="TXP54" s="1011"/>
      <c r="TXQ54" s="1011"/>
      <c r="TXR54" s="1011"/>
      <c r="TXS54" s="1011"/>
      <c r="TXT54" s="1011"/>
      <c r="TXU54" s="1011"/>
      <c r="TXV54" s="1011"/>
      <c r="TXW54" s="1011"/>
      <c r="TXX54" s="1011"/>
      <c r="TXY54" s="1011"/>
      <c r="TXZ54" s="1011"/>
      <c r="TYA54" s="1011"/>
      <c r="TYB54" s="1011"/>
      <c r="TYC54" s="1011"/>
      <c r="TYD54" s="1011"/>
      <c r="TYE54" s="1011"/>
      <c r="TYF54" s="1011"/>
      <c r="TYG54" s="1011"/>
      <c r="TYH54" s="1011"/>
      <c r="TYI54" s="1011"/>
      <c r="TYJ54" s="1011"/>
      <c r="TYK54" s="1011"/>
      <c r="TYL54" s="1011"/>
      <c r="TYM54" s="1011"/>
      <c r="TYN54" s="1011"/>
      <c r="TYO54" s="1011"/>
      <c r="TYP54" s="1011"/>
      <c r="TYQ54" s="1011"/>
      <c r="TYR54" s="1011"/>
      <c r="TYS54" s="1011"/>
      <c r="TYT54" s="1011"/>
      <c r="TYU54" s="1011"/>
      <c r="TYV54" s="1011"/>
      <c r="TYW54" s="1011"/>
      <c r="TYX54" s="1011"/>
      <c r="TYY54" s="1011"/>
      <c r="TYZ54" s="1011"/>
      <c r="TZA54" s="1011"/>
      <c r="TZB54" s="1011"/>
      <c r="TZC54" s="1011"/>
      <c r="TZD54" s="1011"/>
      <c r="TZE54" s="1011"/>
      <c r="TZF54" s="1011"/>
      <c r="TZG54" s="1011"/>
      <c r="TZH54" s="1011"/>
      <c r="TZI54" s="1011"/>
      <c r="TZJ54" s="1011"/>
      <c r="TZK54" s="1011"/>
      <c r="TZL54" s="1011"/>
      <c r="TZM54" s="1011"/>
      <c r="TZN54" s="1011"/>
      <c r="TZO54" s="1011"/>
      <c r="TZP54" s="1011"/>
      <c r="TZQ54" s="1011"/>
      <c r="TZR54" s="1011"/>
      <c r="TZS54" s="1011"/>
      <c r="TZT54" s="1011"/>
      <c r="TZU54" s="1011"/>
      <c r="TZV54" s="1011"/>
      <c r="TZW54" s="1011"/>
      <c r="TZX54" s="1011"/>
      <c r="TZY54" s="1011"/>
      <c r="TZZ54" s="1011"/>
      <c r="UAA54" s="1011"/>
      <c r="UAB54" s="1011"/>
      <c r="UAC54" s="1011"/>
      <c r="UAD54" s="1011"/>
      <c r="UAE54" s="1011"/>
      <c r="UAF54" s="1011"/>
      <c r="UAG54" s="1011"/>
      <c r="UAH54" s="1011"/>
      <c r="UAI54" s="1011"/>
      <c r="UAJ54" s="1011"/>
      <c r="UAK54" s="1011"/>
      <c r="UAL54" s="1011"/>
      <c r="UAM54" s="1011"/>
      <c r="UAN54" s="1011"/>
      <c r="UAO54" s="1011"/>
      <c r="UAP54" s="1011"/>
      <c r="UAQ54" s="1011"/>
      <c r="UAR54" s="1011"/>
      <c r="UAS54" s="1011"/>
      <c r="UAT54" s="1011"/>
      <c r="UAU54" s="1011"/>
      <c r="UAV54" s="1011"/>
      <c r="UAW54" s="1011"/>
      <c r="UAX54" s="1011"/>
      <c r="UAY54" s="1011"/>
      <c r="UAZ54" s="1011"/>
      <c r="UBA54" s="1011"/>
      <c r="UBB54" s="1011"/>
      <c r="UBC54" s="1011"/>
      <c r="UBD54" s="1011"/>
      <c r="UBE54" s="1011"/>
      <c r="UBF54" s="1011"/>
      <c r="UBG54" s="1011"/>
      <c r="UBH54" s="1011"/>
      <c r="UBI54" s="1011"/>
      <c r="UBJ54" s="1011"/>
      <c r="UBK54" s="1011"/>
      <c r="UBL54" s="1011"/>
      <c r="UBM54" s="1011"/>
      <c r="UBN54" s="1011"/>
      <c r="UBO54" s="1011"/>
      <c r="UBP54" s="1011"/>
      <c r="UBQ54" s="1011"/>
      <c r="UBR54" s="1011"/>
      <c r="UBS54" s="1011"/>
      <c r="UBT54" s="1011"/>
      <c r="UBU54" s="1011"/>
      <c r="UBV54" s="1011"/>
      <c r="UBW54" s="1011"/>
      <c r="UBX54" s="1011"/>
      <c r="UBY54" s="1011"/>
      <c r="UBZ54" s="1011"/>
      <c r="UCA54" s="1011"/>
      <c r="UCB54" s="1011"/>
      <c r="UCC54" s="1011"/>
      <c r="UCD54" s="1011"/>
      <c r="UCE54" s="1011"/>
      <c r="UCF54" s="1011"/>
      <c r="UCG54" s="1011"/>
      <c r="UCH54" s="1011"/>
      <c r="UCI54" s="1011"/>
      <c r="UCJ54" s="1011"/>
      <c r="UCK54" s="1011"/>
      <c r="UCL54" s="1011"/>
      <c r="UCM54" s="1011"/>
      <c r="UCN54" s="1011"/>
      <c r="UCO54" s="1011"/>
      <c r="UCP54" s="1011"/>
      <c r="UCQ54" s="1011"/>
      <c r="UCR54" s="1011"/>
      <c r="UCS54" s="1011"/>
      <c r="UCT54" s="1011"/>
      <c r="UCU54" s="1011"/>
      <c r="UCV54" s="1011"/>
      <c r="UCW54" s="1011"/>
      <c r="UCX54" s="1011"/>
      <c r="UCY54" s="1011"/>
      <c r="UCZ54" s="1011"/>
      <c r="UDA54" s="1011"/>
      <c r="UDB54" s="1011"/>
      <c r="UDC54" s="1011"/>
      <c r="UDD54" s="1011"/>
      <c r="UDE54" s="1011"/>
      <c r="UDF54" s="1011"/>
      <c r="UDG54" s="1011"/>
      <c r="UDH54" s="1011"/>
      <c r="UDI54" s="1011"/>
      <c r="UDJ54" s="1011"/>
      <c r="UDK54" s="1011"/>
      <c r="UDL54" s="1011"/>
      <c r="UDM54" s="1011"/>
      <c r="UDN54" s="1011"/>
      <c r="UDO54" s="1011"/>
      <c r="UDP54" s="1011"/>
      <c r="UDQ54" s="1011"/>
      <c r="UDR54" s="1011"/>
      <c r="UDS54" s="1011"/>
      <c r="UDT54" s="1011"/>
      <c r="UDU54" s="1011"/>
      <c r="UDV54" s="1011"/>
      <c r="UDW54" s="1011"/>
      <c r="UDX54" s="1011"/>
      <c r="UDY54" s="1011"/>
      <c r="UDZ54" s="1011"/>
      <c r="UEA54" s="1011"/>
      <c r="UEB54" s="1011"/>
      <c r="UEC54" s="1011"/>
      <c r="UED54" s="1011"/>
      <c r="UEE54" s="1011"/>
      <c r="UEF54" s="1011"/>
      <c r="UEG54" s="1011"/>
      <c r="UEH54" s="1011"/>
      <c r="UEI54" s="1011"/>
      <c r="UEJ54" s="1011"/>
      <c r="UEK54" s="1011"/>
      <c r="UEL54" s="1011"/>
      <c r="UEM54" s="1011"/>
      <c r="UEN54" s="1011"/>
      <c r="UEO54" s="1011"/>
      <c r="UEP54" s="1011"/>
      <c r="UEQ54" s="1011"/>
      <c r="UER54" s="1011"/>
      <c r="UES54" s="1011"/>
      <c r="UET54" s="1011"/>
      <c r="UEU54" s="1011"/>
      <c r="UEV54" s="1011"/>
      <c r="UEW54" s="1011"/>
      <c r="UEX54" s="1011"/>
      <c r="UEY54" s="1011"/>
      <c r="UEZ54" s="1011"/>
      <c r="UFA54" s="1011"/>
      <c r="UFB54" s="1011"/>
      <c r="UFC54" s="1011"/>
      <c r="UFD54" s="1011"/>
      <c r="UFE54" s="1011"/>
      <c r="UFF54" s="1011"/>
      <c r="UFG54" s="1011"/>
      <c r="UFH54" s="1011"/>
      <c r="UFI54" s="1011"/>
      <c r="UFJ54" s="1011"/>
      <c r="UFK54" s="1011"/>
      <c r="UFL54" s="1011"/>
      <c r="UFM54" s="1011"/>
      <c r="UFN54" s="1011"/>
      <c r="UFO54" s="1011"/>
      <c r="UFP54" s="1011"/>
      <c r="UFQ54" s="1011"/>
      <c r="UFR54" s="1011"/>
      <c r="UFS54" s="1011"/>
      <c r="UFT54" s="1011"/>
      <c r="UFU54" s="1011"/>
      <c r="UFV54" s="1011"/>
      <c r="UFW54" s="1011"/>
      <c r="UFX54" s="1011"/>
      <c r="UFY54" s="1011"/>
      <c r="UFZ54" s="1011"/>
      <c r="UGA54" s="1011"/>
      <c r="UGB54" s="1011"/>
      <c r="UGC54" s="1011"/>
      <c r="UGD54" s="1011"/>
      <c r="UGE54" s="1011"/>
      <c r="UGF54" s="1011"/>
      <c r="UGG54" s="1011"/>
      <c r="UGH54" s="1011"/>
      <c r="UGI54" s="1011"/>
      <c r="UGJ54" s="1011"/>
      <c r="UGK54" s="1011"/>
      <c r="UGL54" s="1011"/>
      <c r="UGM54" s="1011"/>
      <c r="UGN54" s="1011"/>
      <c r="UGO54" s="1011"/>
      <c r="UGP54" s="1011"/>
      <c r="UGQ54" s="1011"/>
      <c r="UGR54" s="1011"/>
      <c r="UGS54" s="1011"/>
      <c r="UGT54" s="1011"/>
      <c r="UGU54" s="1011"/>
      <c r="UGV54" s="1011"/>
      <c r="UGW54" s="1011"/>
      <c r="UGX54" s="1011"/>
      <c r="UGY54" s="1011"/>
      <c r="UGZ54" s="1011"/>
      <c r="UHA54" s="1011"/>
      <c r="UHB54" s="1011"/>
      <c r="UHC54" s="1011"/>
      <c r="UHD54" s="1011"/>
      <c r="UHE54" s="1011"/>
      <c r="UHF54" s="1011"/>
      <c r="UHG54" s="1011"/>
      <c r="UHH54" s="1011"/>
      <c r="UHI54" s="1011"/>
      <c r="UHJ54" s="1011"/>
      <c r="UHK54" s="1011"/>
      <c r="UHL54" s="1011"/>
      <c r="UHM54" s="1011"/>
      <c r="UHN54" s="1011"/>
      <c r="UHO54" s="1011"/>
      <c r="UHP54" s="1011"/>
      <c r="UHQ54" s="1011"/>
      <c r="UHR54" s="1011"/>
      <c r="UHS54" s="1011"/>
      <c r="UHT54" s="1011"/>
      <c r="UHU54" s="1011"/>
      <c r="UHV54" s="1011"/>
      <c r="UHW54" s="1011"/>
      <c r="UHX54" s="1011"/>
      <c r="UHY54" s="1011"/>
      <c r="UHZ54" s="1011"/>
      <c r="UIA54" s="1011"/>
      <c r="UIB54" s="1011"/>
      <c r="UIC54" s="1011"/>
      <c r="UID54" s="1011"/>
      <c r="UIE54" s="1011"/>
      <c r="UIF54" s="1011"/>
      <c r="UIG54" s="1011"/>
      <c r="UIH54" s="1011"/>
      <c r="UII54" s="1011"/>
      <c r="UIJ54" s="1011"/>
      <c r="UIK54" s="1011"/>
      <c r="UIL54" s="1011"/>
      <c r="UIM54" s="1011"/>
      <c r="UIN54" s="1011"/>
      <c r="UIO54" s="1011"/>
      <c r="UIP54" s="1011"/>
      <c r="UIQ54" s="1011"/>
      <c r="UIR54" s="1011"/>
      <c r="UIS54" s="1011"/>
      <c r="UIT54" s="1011"/>
      <c r="UIU54" s="1011"/>
      <c r="UIV54" s="1011"/>
      <c r="UIW54" s="1011"/>
      <c r="UIX54" s="1011"/>
      <c r="UIY54" s="1011"/>
      <c r="UIZ54" s="1011"/>
      <c r="UJA54" s="1011"/>
      <c r="UJB54" s="1011"/>
      <c r="UJC54" s="1011"/>
      <c r="UJD54" s="1011"/>
      <c r="UJE54" s="1011"/>
      <c r="UJF54" s="1011"/>
      <c r="UJG54" s="1011"/>
      <c r="UJH54" s="1011"/>
      <c r="UJI54" s="1011"/>
      <c r="UJJ54" s="1011"/>
      <c r="UJK54" s="1011"/>
      <c r="UJL54" s="1011"/>
      <c r="UJM54" s="1011"/>
      <c r="UJN54" s="1011"/>
      <c r="UJO54" s="1011"/>
      <c r="UJP54" s="1011"/>
      <c r="UJQ54" s="1011"/>
      <c r="UJR54" s="1011"/>
      <c r="UJS54" s="1011"/>
      <c r="UJT54" s="1011"/>
      <c r="UJU54" s="1011"/>
      <c r="UJV54" s="1011"/>
      <c r="UJW54" s="1011"/>
      <c r="UJX54" s="1011"/>
      <c r="UJY54" s="1011"/>
      <c r="UJZ54" s="1011"/>
      <c r="UKA54" s="1011"/>
      <c r="UKB54" s="1011"/>
      <c r="UKC54" s="1011"/>
      <c r="UKD54" s="1011"/>
      <c r="UKE54" s="1011"/>
      <c r="UKF54" s="1011"/>
      <c r="UKG54" s="1011"/>
      <c r="UKH54" s="1011"/>
      <c r="UKI54" s="1011"/>
      <c r="UKJ54" s="1011"/>
      <c r="UKK54" s="1011"/>
      <c r="UKL54" s="1011"/>
      <c r="UKM54" s="1011"/>
      <c r="UKN54" s="1011"/>
      <c r="UKO54" s="1011"/>
      <c r="UKP54" s="1011"/>
      <c r="UKQ54" s="1011"/>
      <c r="UKR54" s="1011"/>
      <c r="UKS54" s="1011"/>
      <c r="UKT54" s="1011"/>
      <c r="UKU54" s="1011"/>
      <c r="UKV54" s="1011"/>
      <c r="UKW54" s="1011"/>
      <c r="UKX54" s="1011"/>
      <c r="UKY54" s="1011"/>
      <c r="UKZ54" s="1011"/>
      <c r="ULA54" s="1011"/>
      <c r="ULB54" s="1011"/>
      <c r="ULC54" s="1011"/>
      <c r="ULD54" s="1011"/>
      <c r="ULE54" s="1011"/>
      <c r="ULF54" s="1011"/>
      <c r="ULG54" s="1011"/>
      <c r="ULH54" s="1011"/>
      <c r="ULI54" s="1011"/>
      <c r="ULJ54" s="1011"/>
      <c r="ULK54" s="1011"/>
      <c r="ULL54" s="1011"/>
      <c r="ULM54" s="1011"/>
      <c r="ULN54" s="1011"/>
      <c r="ULO54" s="1011"/>
      <c r="ULP54" s="1011"/>
      <c r="ULQ54" s="1011"/>
      <c r="ULR54" s="1011"/>
      <c r="ULS54" s="1011"/>
      <c r="ULT54" s="1011"/>
      <c r="ULU54" s="1011"/>
      <c r="ULV54" s="1011"/>
      <c r="ULW54" s="1011"/>
      <c r="ULX54" s="1011"/>
      <c r="ULY54" s="1011"/>
      <c r="ULZ54" s="1011"/>
      <c r="UMA54" s="1011"/>
      <c r="UMB54" s="1011"/>
      <c r="UMC54" s="1011"/>
      <c r="UMD54" s="1011"/>
      <c r="UME54" s="1011"/>
      <c r="UMF54" s="1011"/>
      <c r="UMG54" s="1011"/>
      <c r="UMH54" s="1011"/>
      <c r="UMI54" s="1011"/>
      <c r="UMJ54" s="1011"/>
      <c r="UMK54" s="1011"/>
      <c r="UML54" s="1011"/>
      <c r="UMM54" s="1011"/>
      <c r="UMN54" s="1011"/>
      <c r="UMO54" s="1011"/>
      <c r="UMP54" s="1011"/>
      <c r="UMQ54" s="1011"/>
      <c r="UMR54" s="1011"/>
      <c r="UMS54" s="1011"/>
      <c r="UMT54" s="1011"/>
      <c r="UMU54" s="1011"/>
      <c r="UMV54" s="1011"/>
      <c r="UMW54" s="1011"/>
      <c r="UMX54" s="1011"/>
      <c r="UMY54" s="1011"/>
      <c r="UMZ54" s="1011"/>
      <c r="UNA54" s="1011"/>
      <c r="UNB54" s="1011"/>
      <c r="UNC54" s="1011"/>
      <c r="UND54" s="1011"/>
      <c r="UNE54" s="1011"/>
      <c r="UNF54" s="1011"/>
      <c r="UNG54" s="1011"/>
      <c r="UNH54" s="1011"/>
      <c r="UNI54" s="1011"/>
      <c r="UNJ54" s="1011"/>
      <c r="UNK54" s="1011"/>
      <c r="UNL54" s="1011"/>
      <c r="UNM54" s="1011"/>
      <c r="UNN54" s="1011"/>
      <c r="UNO54" s="1011"/>
      <c r="UNP54" s="1011"/>
      <c r="UNQ54" s="1011"/>
      <c r="UNR54" s="1011"/>
      <c r="UNS54" s="1011"/>
      <c r="UNT54" s="1011"/>
      <c r="UNU54" s="1011"/>
      <c r="UNV54" s="1011"/>
      <c r="UNW54" s="1011"/>
      <c r="UNX54" s="1011"/>
      <c r="UNY54" s="1011"/>
      <c r="UNZ54" s="1011"/>
      <c r="UOA54" s="1011"/>
      <c r="UOB54" s="1011"/>
      <c r="UOC54" s="1011"/>
      <c r="UOD54" s="1011"/>
      <c r="UOE54" s="1011"/>
      <c r="UOF54" s="1011"/>
      <c r="UOG54" s="1011"/>
      <c r="UOH54" s="1011"/>
      <c r="UOI54" s="1011"/>
      <c r="UOJ54" s="1011"/>
      <c r="UOK54" s="1011"/>
      <c r="UOL54" s="1011"/>
      <c r="UOM54" s="1011"/>
      <c r="UON54" s="1011"/>
      <c r="UOO54" s="1011"/>
      <c r="UOP54" s="1011"/>
      <c r="UOQ54" s="1011"/>
      <c r="UOR54" s="1011"/>
      <c r="UOS54" s="1011"/>
      <c r="UOT54" s="1011"/>
      <c r="UOU54" s="1011"/>
      <c r="UOV54" s="1011"/>
      <c r="UOW54" s="1011"/>
      <c r="UOX54" s="1011"/>
      <c r="UOY54" s="1011"/>
      <c r="UOZ54" s="1011"/>
      <c r="UPA54" s="1011"/>
      <c r="UPB54" s="1011"/>
      <c r="UPC54" s="1011"/>
      <c r="UPD54" s="1011"/>
      <c r="UPE54" s="1011"/>
      <c r="UPF54" s="1011"/>
      <c r="UPG54" s="1011"/>
      <c r="UPH54" s="1011"/>
      <c r="UPI54" s="1011"/>
      <c r="UPJ54" s="1011"/>
      <c r="UPK54" s="1011"/>
      <c r="UPL54" s="1011"/>
      <c r="UPM54" s="1011"/>
      <c r="UPN54" s="1011"/>
      <c r="UPO54" s="1011"/>
      <c r="UPP54" s="1011"/>
      <c r="UPQ54" s="1011"/>
      <c r="UPR54" s="1011"/>
      <c r="UPS54" s="1011"/>
      <c r="UPT54" s="1011"/>
      <c r="UPU54" s="1011"/>
      <c r="UPV54" s="1011"/>
      <c r="UPW54" s="1011"/>
      <c r="UPX54" s="1011"/>
      <c r="UPY54" s="1011"/>
      <c r="UPZ54" s="1011"/>
      <c r="UQA54" s="1011"/>
      <c r="UQB54" s="1011"/>
      <c r="UQC54" s="1011"/>
      <c r="UQD54" s="1011"/>
      <c r="UQE54" s="1011"/>
      <c r="UQF54" s="1011"/>
      <c r="UQG54" s="1011"/>
      <c r="UQH54" s="1011"/>
      <c r="UQI54" s="1011"/>
      <c r="UQJ54" s="1011"/>
      <c r="UQK54" s="1011"/>
      <c r="UQL54" s="1011"/>
      <c r="UQM54" s="1011"/>
      <c r="UQN54" s="1011"/>
      <c r="UQO54" s="1011"/>
      <c r="UQP54" s="1011"/>
      <c r="UQQ54" s="1011"/>
      <c r="UQR54" s="1011"/>
      <c r="UQS54" s="1011"/>
      <c r="UQT54" s="1011"/>
      <c r="UQU54" s="1011"/>
      <c r="UQV54" s="1011"/>
      <c r="UQW54" s="1011"/>
      <c r="UQX54" s="1011"/>
      <c r="UQY54" s="1011"/>
      <c r="UQZ54" s="1011"/>
      <c r="URA54" s="1011"/>
      <c r="URB54" s="1011"/>
      <c r="URC54" s="1011"/>
      <c r="URD54" s="1011"/>
      <c r="URE54" s="1011"/>
      <c r="URF54" s="1011"/>
      <c r="URG54" s="1011"/>
      <c r="URH54" s="1011"/>
      <c r="URI54" s="1011"/>
      <c r="URJ54" s="1011"/>
      <c r="URK54" s="1011"/>
      <c r="URL54" s="1011"/>
      <c r="URM54" s="1011"/>
      <c r="URN54" s="1011"/>
      <c r="URO54" s="1011"/>
      <c r="URP54" s="1011"/>
      <c r="URQ54" s="1011"/>
      <c r="URR54" s="1011"/>
      <c r="URS54" s="1011"/>
      <c r="URT54" s="1011"/>
      <c r="URU54" s="1011"/>
      <c r="URV54" s="1011"/>
      <c r="URW54" s="1011"/>
      <c r="URX54" s="1011"/>
      <c r="URY54" s="1011"/>
      <c r="URZ54" s="1011"/>
      <c r="USA54" s="1011"/>
      <c r="USB54" s="1011"/>
      <c r="USC54" s="1011"/>
      <c r="USD54" s="1011"/>
      <c r="USE54" s="1011"/>
      <c r="USF54" s="1011"/>
      <c r="USG54" s="1011"/>
      <c r="USH54" s="1011"/>
      <c r="USI54" s="1011"/>
      <c r="USJ54" s="1011"/>
      <c r="USK54" s="1011"/>
      <c r="USL54" s="1011"/>
      <c r="USM54" s="1011"/>
      <c r="USN54" s="1011"/>
      <c r="USO54" s="1011"/>
      <c r="USP54" s="1011"/>
      <c r="USQ54" s="1011"/>
      <c r="USR54" s="1011"/>
      <c r="USS54" s="1011"/>
      <c r="UST54" s="1011"/>
      <c r="USU54" s="1011"/>
      <c r="USV54" s="1011"/>
      <c r="USW54" s="1011"/>
      <c r="USX54" s="1011"/>
      <c r="USY54" s="1011"/>
      <c r="USZ54" s="1011"/>
      <c r="UTA54" s="1011"/>
      <c r="UTB54" s="1011"/>
      <c r="UTC54" s="1011"/>
      <c r="UTD54" s="1011"/>
      <c r="UTE54" s="1011"/>
      <c r="UTF54" s="1011"/>
      <c r="UTG54" s="1011"/>
      <c r="UTH54" s="1011"/>
      <c r="UTI54" s="1011"/>
      <c r="UTJ54" s="1011"/>
      <c r="UTK54" s="1011"/>
      <c r="UTL54" s="1011"/>
      <c r="UTM54" s="1011"/>
      <c r="UTN54" s="1011"/>
      <c r="UTO54" s="1011"/>
      <c r="UTP54" s="1011"/>
      <c r="UTQ54" s="1011"/>
      <c r="UTR54" s="1011"/>
      <c r="UTS54" s="1011"/>
      <c r="UTT54" s="1011"/>
      <c r="UTU54" s="1011"/>
      <c r="UTV54" s="1011"/>
      <c r="UTW54" s="1011"/>
      <c r="UTX54" s="1011"/>
      <c r="UTY54" s="1011"/>
      <c r="UTZ54" s="1011"/>
      <c r="UUA54" s="1011"/>
      <c r="UUB54" s="1011"/>
      <c r="UUC54" s="1011"/>
      <c r="UUD54" s="1011"/>
      <c r="UUE54" s="1011"/>
      <c r="UUF54" s="1011"/>
      <c r="UUG54" s="1011"/>
      <c r="UUH54" s="1011"/>
      <c r="UUI54" s="1011"/>
      <c r="UUJ54" s="1011"/>
      <c r="UUK54" s="1011"/>
      <c r="UUL54" s="1011"/>
      <c r="UUM54" s="1011"/>
      <c r="UUN54" s="1011"/>
      <c r="UUO54" s="1011"/>
      <c r="UUP54" s="1011"/>
      <c r="UUQ54" s="1011"/>
      <c r="UUR54" s="1011"/>
      <c r="UUS54" s="1011"/>
      <c r="UUT54" s="1011"/>
      <c r="UUU54" s="1011"/>
      <c r="UUV54" s="1011"/>
      <c r="UUW54" s="1011"/>
      <c r="UUX54" s="1011"/>
      <c r="UUY54" s="1011"/>
      <c r="UUZ54" s="1011"/>
      <c r="UVA54" s="1011"/>
      <c r="UVB54" s="1011"/>
      <c r="UVC54" s="1011"/>
      <c r="UVD54" s="1011"/>
      <c r="UVE54" s="1011"/>
      <c r="UVF54" s="1011"/>
      <c r="UVG54" s="1011"/>
      <c r="UVH54" s="1011"/>
      <c r="UVI54" s="1011"/>
      <c r="UVJ54" s="1011"/>
      <c r="UVK54" s="1011"/>
      <c r="UVL54" s="1011"/>
      <c r="UVM54" s="1011"/>
      <c r="UVN54" s="1011"/>
      <c r="UVO54" s="1011"/>
      <c r="UVP54" s="1011"/>
      <c r="UVQ54" s="1011"/>
      <c r="UVR54" s="1011"/>
      <c r="UVS54" s="1011"/>
      <c r="UVT54" s="1011"/>
      <c r="UVU54" s="1011"/>
      <c r="UVV54" s="1011"/>
      <c r="UVW54" s="1011"/>
      <c r="UVX54" s="1011"/>
      <c r="UVY54" s="1011"/>
      <c r="UVZ54" s="1011"/>
      <c r="UWA54" s="1011"/>
      <c r="UWB54" s="1011"/>
      <c r="UWC54" s="1011"/>
      <c r="UWD54" s="1011"/>
      <c r="UWE54" s="1011"/>
      <c r="UWF54" s="1011"/>
      <c r="UWG54" s="1011"/>
      <c r="UWH54" s="1011"/>
      <c r="UWI54" s="1011"/>
      <c r="UWJ54" s="1011"/>
      <c r="UWK54" s="1011"/>
      <c r="UWL54" s="1011"/>
      <c r="UWM54" s="1011"/>
      <c r="UWN54" s="1011"/>
      <c r="UWO54" s="1011"/>
      <c r="UWP54" s="1011"/>
      <c r="UWQ54" s="1011"/>
      <c r="UWR54" s="1011"/>
      <c r="UWS54" s="1011"/>
      <c r="UWT54" s="1011"/>
      <c r="UWU54" s="1011"/>
      <c r="UWV54" s="1011"/>
      <c r="UWW54" s="1011"/>
      <c r="UWX54" s="1011"/>
      <c r="UWY54" s="1011"/>
      <c r="UWZ54" s="1011"/>
      <c r="UXA54" s="1011"/>
      <c r="UXB54" s="1011"/>
      <c r="UXC54" s="1011"/>
      <c r="UXD54" s="1011"/>
      <c r="UXE54" s="1011"/>
      <c r="UXF54" s="1011"/>
      <c r="UXG54" s="1011"/>
      <c r="UXH54" s="1011"/>
      <c r="UXI54" s="1011"/>
      <c r="UXJ54" s="1011"/>
      <c r="UXK54" s="1011"/>
      <c r="UXL54" s="1011"/>
      <c r="UXM54" s="1011"/>
      <c r="UXN54" s="1011"/>
      <c r="UXO54" s="1011"/>
      <c r="UXP54" s="1011"/>
      <c r="UXQ54" s="1011"/>
      <c r="UXR54" s="1011"/>
      <c r="UXS54" s="1011"/>
      <c r="UXT54" s="1011"/>
      <c r="UXU54" s="1011"/>
      <c r="UXV54" s="1011"/>
      <c r="UXW54" s="1011"/>
      <c r="UXX54" s="1011"/>
      <c r="UXY54" s="1011"/>
      <c r="UXZ54" s="1011"/>
      <c r="UYA54" s="1011"/>
      <c r="UYB54" s="1011"/>
      <c r="UYC54" s="1011"/>
      <c r="UYD54" s="1011"/>
      <c r="UYE54" s="1011"/>
      <c r="UYF54" s="1011"/>
      <c r="UYG54" s="1011"/>
      <c r="UYH54" s="1011"/>
      <c r="UYI54" s="1011"/>
      <c r="UYJ54" s="1011"/>
      <c r="UYK54" s="1011"/>
      <c r="UYL54" s="1011"/>
      <c r="UYM54" s="1011"/>
      <c r="UYN54" s="1011"/>
      <c r="UYO54" s="1011"/>
      <c r="UYP54" s="1011"/>
      <c r="UYQ54" s="1011"/>
      <c r="UYR54" s="1011"/>
      <c r="UYS54" s="1011"/>
      <c r="UYT54" s="1011"/>
      <c r="UYU54" s="1011"/>
      <c r="UYV54" s="1011"/>
      <c r="UYW54" s="1011"/>
      <c r="UYX54" s="1011"/>
      <c r="UYY54" s="1011"/>
      <c r="UYZ54" s="1011"/>
      <c r="UZA54" s="1011"/>
      <c r="UZB54" s="1011"/>
      <c r="UZC54" s="1011"/>
      <c r="UZD54" s="1011"/>
      <c r="UZE54" s="1011"/>
      <c r="UZF54" s="1011"/>
      <c r="UZG54" s="1011"/>
      <c r="UZH54" s="1011"/>
      <c r="UZI54" s="1011"/>
      <c r="UZJ54" s="1011"/>
      <c r="UZK54" s="1011"/>
      <c r="UZL54" s="1011"/>
      <c r="UZM54" s="1011"/>
      <c r="UZN54" s="1011"/>
      <c r="UZO54" s="1011"/>
      <c r="UZP54" s="1011"/>
      <c r="UZQ54" s="1011"/>
      <c r="UZR54" s="1011"/>
      <c r="UZS54" s="1011"/>
      <c r="UZT54" s="1011"/>
      <c r="UZU54" s="1011"/>
      <c r="UZV54" s="1011"/>
      <c r="UZW54" s="1011"/>
      <c r="UZX54" s="1011"/>
      <c r="UZY54" s="1011"/>
      <c r="UZZ54" s="1011"/>
      <c r="VAA54" s="1011"/>
      <c r="VAB54" s="1011"/>
      <c r="VAC54" s="1011"/>
      <c r="VAD54" s="1011"/>
      <c r="VAE54" s="1011"/>
      <c r="VAF54" s="1011"/>
      <c r="VAG54" s="1011"/>
      <c r="VAH54" s="1011"/>
      <c r="VAI54" s="1011"/>
      <c r="VAJ54" s="1011"/>
      <c r="VAK54" s="1011"/>
      <c r="VAL54" s="1011"/>
      <c r="VAM54" s="1011"/>
      <c r="VAN54" s="1011"/>
      <c r="VAO54" s="1011"/>
      <c r="VAP54" s="1011"/>
      <c r="VAQ54" s="1011"/>
      <c r="VAR54" s="1011"/>
      <c r="VAS54" s="1011"/>
      <c r="VAT54" s="1011"/>
      <c r="VAU54" s="1011"/>
      <c r="VAV54" s="1011"/>
      <c r="VAW54" s="1011"/>
      <c r="VAX54" s="1011"/>
      <c r="VAY54" s="1011"/>
      <c r="VAZ54" s="1011"/>
      <c r="VBA54" s="1011"/>
      <c r="VBB54" s="1011"/>
      <c r="VBC54" s="1011"/>
      <c r="VBD54" s="1011"/>
      <c r="VBE54" s="1011"/>
      <c r="VBF54" s="1011"/>
      <c r="VBG54" s="1011"/>
      <c r="VBH54" s="1011"/>
      <c r="VBI54" s="1011"/>
      <c r="VBJ54" s="1011"/>
      <c r="VBK54" s="1011"/>
      <c r="VBL54" s="1011"/>
      <c r="VBM54" s="1011"/>
      <c r="VBN54" s="1011"/>
      <c r="VBO54" s="1011"/>
      <c r="VBP54" s="1011"/>
      <c r="VBQ54" s="1011"/>
      <c r="VBR54" s="1011"/>
      <c r="VBS54" s="1011"/>
      <c r="VBT54" s="1011"/>
      <c r="VBU54" s="1011"/>
      <c r="VBV54" s="1011"/>
      <c r="VBW54" s="1011"/>
      <c r="VBX54" s="1011"/>
      <c r="VBY54" s="1011"/>
      <c r="VBZ54" s="1011"/>
      <c r="VCA54" s="1011"/>
      <c r="VCB54" s="1011"/>
      <c r="VCC54" s="1011"/>
      <c r="VCD54" s="1011"/>
      <c r="VCE54" s="1011"/>
      <c r="VCF54" s="1011"/>
      <c r="VCG54" s="1011"/>
      <c r="VCH54" s="1011"/>
      <c r="VCI54" s="1011"/>
      <c r="VCJ54" s="1011"/>
      <c r="VCK54" s="1011"/>
      <c r="VCL54" s="1011"/>
      <c r="VCM54" s="1011"/>
      <c r="VCN54" s="1011"/>
      <c r="VCO54" s="1011"/>
      <c r="VCP54" s="1011"/>
      <c r="VCQ54" s="1011"/>
      <c r="VCR54" s="1011"/>
      <c r="VCS54" s="1011"/>
      <c r="VCT54" s="1011"/>
      <c r="VCU54" s="1011"/>
      <c r="VCV54" s="1011"/>
      <c r="VCW54" s="1011"/>
      <c r="VCX54" s="1011"/>
      <c r="VCY54" s="1011"/>
      <c r="VCZ54" s="1011"/>
      <c r="VDA54" s="1011"/>
      <c r="VDB54" s="1011"/>
      <c r="VDC54" s="1011"/>
      <c r="VDD54" s="1011"/>
      <c r="VDE54" s="1011"/>
      <c r="VDF54" s="1011"/>
      <c r="VDG54" s="1011"/>
      <c r="VDH54" s="1011"/>
      <c r="VDI54" s="1011"/>
      <c r="VDJ54" s="1011"/>
      <c r="VDK54" s="1011"/>
      <c r="VDL54" s="1011"/>
      <c r="VDM54" s="1011"/>
      <c r="VDN54" s="1011"/>
      <c r="VDO54" s="1011"/>
      <c r="VDP54" s="1011"/>
      <c r="VDQ54" s="1011"/>
      <c r="VDR54" s="1011"/>
      <c r="VDS54" s="1011"/>
      <c r="VDT54" s="1011"/>
      <c r="VDU54" s="1011"/>
      <c r="VDV54" s="1011"/>
      <c r="VDW54" s="1011"/>
      <c r="VDX54" s="1011"/>
      <c r="VDY54" s="1011"/>
      <c r="VDZ54" s="1011"/>
      <c r="VEA54" s="1011"/>
      <c r="VEB54" s="1011"/>
      <c r="VEC54" s="1011"/>
      <c r="VED54" s="1011"/>
      <c r="VEE54" s="1011"/>
      <c r="VEF54" s="1011"/>
      <c r="VEG54" s="1011"/>
      <c r="VEH54" s="1011"/>
      <c r="VEI54" s="1011"/>
      <c r="VEJ54" s="1011"/>
      <c r="VEK54" s="1011"/>
      <c r="VEL54" s="1011"/>
      <c r="VEM54" s="1011"/>
      <c r="VEN54" s="1011"/>
      <c r="VEO54" s="1011"/>
      <c r="VEP54" s="1011"/>
      <c r="VEQ54" s="1011"/>
      <c r="VER54" s="1011"/>
      <c r="VES54" s="1011"/>
      <c r="VET54" s="1011"/>
      <c r="VEU54" s="1011"/>
      <c r="VEV54" s="1011"/>
      <c r="VEW54" s="1011"/>
      <c r="VEX54" s="1011"/>
      <c r="VEY54" s="1011"/>
      <c r="VEZ54" s="1011"/>
      <c r="VFA54" s="1011"/>
      <c r="VFB54" s="1011"/>
      <c r="VFC54" s="1011"/>
      <c r="VFD54" s="1011"/>
      <c r="VFE54" s="1011"/>
      <c r="VFF54" s="1011"/>
      <c r="VFG54" s="1011"/>
      <c r="VFH54" s="1011"/>
      <c r="VFI54" s="1011"/>
      <c r="VFJ54" s="1011"/>
      <c r="VFK54" s="1011"/>
      <c r="VFL54" s="1011"/>
      <c r="VFM54" s="1011"/>
      <c r="VFN54" s="1011"/>
      <c r="VFO54" s="1011"/>
      <c r="VFP54" s="1011"/>
      <c r="VFQ54" s="1011"/>
      <c r="VFR54" s="1011"/>
      <c r="VFS54" s="1011"/>
      <c r="VFT54" s="1011"/>
      <c r="VFU54" s="1011"/>
      <c r="VFV54" s="1011"/>
      <c r="VFW54" s="1011"/>
      <c r="VFX54" s="1011"/>
      <c r="VFY54" s="1011"/>
      <c r="VFZ54" s="1011"/>
      <c r="VGA54" s="1011"/>
      <c r="VGB54" s="1011"/>
      <c r="VGC54" s="1011"/>
      <c r="VGD54" s="1011"/>
      <c r="VGE54" s="1011"/>
      <c r="VGF54" s="1011"/>
      <c r="VGG54" s="1011"/>
      <c r="VGH54" s="1011"/>
      <c r="VGI54" s="1011"/>
      <c r="VGJ54" s="1011"/>
      <c r="VGK54" s="1011"/>
      <c r="VGL54" s="1011"/>
      <c r="VGM54" s="1011"/>
      <c r="VGN54" s="1011"/>
      <c r="VGO54" s="1011"/>
      <c r="VGP54" s="1011"/>
      <c r="VGQ54" s="1011"/>
      <c r="VGR54" s="1011"/>
      <c r="VGS54" s="1011"/>
      <c r="VGT54" s="1011"/>
      <c r="VGU54" s="1011"/>
      <c r="VGV54" s="1011"/>
      <c r="VGW54" s="1011"/>
      <c r="VGX54" s="1011"/>
      <c r="VGY54" s="1011"/>
      <c r="VGZ54" s="1011"/>
      <c r="VHA54" s="1011"/>
      <c r="VHB54" s="1011"/>
      <c r="VHC54" s="1011"/>
      <c r="VHD54" s="1011"/>
      <c r="VHE54" s="1011"/>
      <c r="VHF54" s="1011"/>
      <c r="VHG54" s="1011"/>
      <c r="VHH54" s="1011"/>
      <c r="VHI54" s="1011"/>
      <c r="VHJ54" s="1011"/>
      <c r="VHK54" s="1011"/>
      <c r="VHL54" s="1011"/>
      <c r="VHM54" s="1011"/>
      <c r="VHN54" s="1011"/>
      <c r="VHO54" s="1011"/>
      <c r="VHP54" s="1011"/>
      <c r="VHQ54" s="1011"/>
      <c r="VHR54" s="1011"/>
      <c r="VHS54" s="1011"/>
      <c r="VHT54" s="1011"/>
      <c r="VHU54" s="1011"/>
      <c r="VHV54" s="1011"/>
      <c r="VHW54" s="1011"/>
      <c r="VHX54" s="1011"/>
      <c r="VHY54" s="1011"/>
      <c r="VHZ54" s="1011"/>
      <c r="VIA54" s="1011"/>
      <c r="VIB54" s="1011"/>
      <c r="VIC54" s="1011"/>
      <c r="VID54" s="1011"/>
      <c r="VIE54" s="1011"/>
      <c r="VIF54" s="1011"/>
      <c r="VIG54" s="1011"/>
      <c r="VIH54" s="1011"/>
      <c r="VII54" s="1011"/>
      <c r="VIJ54" s="1011"/>
      <c r="VIK54" s="1011"/>
      <c r="VIL54" s="1011"/>
      <c r="VIM54" s="1011"/>
      <c r="VIN54" s="1011"/>
      <c r="VIO54" s="1011"/>
      <c r="VIP54" s="1011"/>
      <c r="VIQ54" s="1011"/>
      <c r="VIR54" s="1011"/>
      <c r="VIS54" s="1011"/>
      <c r="VIT54" s="1011"/>
      <c r="VIU54" s="1011"/>
      <c r="VIV54" s="1011"/>
      <c r="VIW54" s="1011"/>
      <c r="VIX54" s="1011"/>
      <c r="VIY54" s="1011"/>
      <c r="VIZ54" s="1011"/>
      <c r="VJA54" s="1011"/>
      <c r="VJB54" s="1011"/>
      <c r="VJC54" s="1011"/>
      <c r="VJD54" s="1011"/>
      <c r="VJE54" s="1011"/>
      <c r="VJF54" s="1011"/>
      <c r="VJG54" s="1011"/>
      <c r="VJH54" s="1011"/>
      <c r="VJI54" s="1011"/>
      <c r="VJJ54" s="1011"/>
      <c r="VJK54" s="1011"/>
      <c r="VJL54" s="1011"/>
      <c r="VJM54" s="1011"/>
      <c r="VJN54" s="1011"/>
      <c r="VJO54" s="1011"/>
      <c r="VJP54" s="1011"/>
      <c r="VJQ54" s="1011"/>
      <c r="VJR54" s="1011"/>
      <c r="VJS54" s="1011"/>
      <c r="VJT54" s="1011"/>
      <c r="VJU54" s="1011"/>
      <c r="VJV54" s="1011"/>
      <c r="VJW54" s="1011"/>
      <c r="VJX54" s="1011"/>
      <c r="VJY54" s="1011"/>
      <c r="VJZ54" s="1011"/>
      <c r="VKA54" s="1011"/>
      <c r="VKB54" s="1011"/>
      <c r="VKC54" s="1011"/>
      <c r="VKD54" s="1011"/>
      <c r="VKE54" s="1011"/>
      <c r="VKF54" s="1011"/>
      <c r="VKG54" s="1011"/>
      <c r="VKH54" s="1011"/>
      <c r="VKI54" s="1011"/>
      <c r="VKJ54" s="1011"/>
      <c r="VKK54" s="1011"/>
      <c r="VKL54" s="1011"/>
      <c r="VKM54" s="1011"/>
      <c r="VKN54" s="1011"/>
      <c r="VKO54" s="1011"/>
      <c r="VKP54" s="1011"/>
      <c r="VKQ54" s="1011"/>
      <c r="VKR54" s="1011"/>
      <c r="VKS54" s="1011"/>
      <c r="VKT54" s="1011"/>
      <c r="VKU54" s="1011"/>
      <c r="VKV54" s="1011"/>
      <c r="VKW54" s="1011"/>
      <c r="VKX54" s="1011"/>
      <c r="VKY54" s="1011"/>
      <c r="VKZ54" s="1011"/>
      <c r="VLA54" s="1011"/>
      <c r="VLB54" s="1011"/>
      <c r="VLC54" s="1011"/>
      <c r="VLD54" s="1011"/>
      <c r="VLE54" s="1011"/>
      <c r="VLF54" s="1011"/>
      <c r="VLG54" s="1011"/>
      <c r="VLH54" s="1011"/>
      <c r="VLI54" s="1011"/>
      <c r="VLJ54" s="1011"/>
      <c r="VLK54" s="1011"/>
      <c r="VLL54" s="1011"/>
      <c r="VLM54" s="1011"/>
      <c r="VLN54" s="1011"/>
      <c r="VLO54" s="1011"/>
      <c r="VLP54" s="1011"/>
      <c r="VLQ54" s="1011"/>
      <c r="VLR54" s="1011"/>
      <c r="VLS54" s="1011"/>
      <c r="VLT54" s="1011"/>
      <c r="VLU54" s="1011"/>
      <c r="VLV54" s="1011"/>
      <c r="VLW54" s="1011"/>
      <c r="VLX54" s="1011"/>
      <c r="VLY54" s="1011"/>
      <c r="VLZ54" s="1011"/>
      <c r="VMA54" s="1011"/>
      <c r="VMB54" s="1011"/>
      <c r="VMC54" s="1011"/>
      <c r="VMD54" s="1011"/>
      <c r="VME54" s="1011"/>
      <c r="VMF54" s="1011"/>
      <c r="VMG54" s="1011"/>
      <c r="VMH54" s="1011"/>
      <c r="VMI54" s="1011"/>
      <c r="VMJ54" s="1011"/>
      <c r="VMK54" s="1011"/>
      <c r="VML54" s="1011"/>
      <c r="VMM54" s="1011"/>
      <c r="VMN54" s="1011"/>
      <c r="VMO54" s="1011"/>
      <c r="VMP54" s="1011"/>
      <c r="VMQ54" s="1011"/>
      <c r="VMR54" s="1011"/>
      <c r="VMS54" s="1011"/>
      <c r="VMT54" s="1011"/>
      <c r="VMU54" s="1011"/>
      <c r="VMV54" s="1011"/>
      <c r="VMW54" s="1011"/>
      <c r="VMX54" s="1011"/>
      <c r="VMY54" s="1011"/>
      <c r="VMZ54" s="1011"/>
      <c r="VNA54" s="1011"/>
      <c r="VNB54" s="1011"/>
      <c r="VNC54" s="1011"/>
      <c r="VND54" s="1011"/>
      <c r="VNE54" s="1011"/>
      <c r="VNF54" s="1011"/>
      <c r="VNG54" s="1011"/>
      <c r="VNH54" s="1011"/>
      <c r="VNI54" s="1011"/>
      <c r="VNJ54" s="1011"/>
      <c r="VNK54" s="1011"/>
      <c r="VNL54" s="1011"/>
      <c r="VNM54" s="1011"/>
      <c r="VNN54" s="1011"/>
      <c r="VNO54" s="1011"/>
      <c r="VNP54" s="1011"/>
      <c r="VNQ54" s="1011"/>
      <c r="VNR54" s="1011"/>
      <c r="VNS54" s="1011"/>
      <c r="VNT54" s="1011"/>
      <c r="VNU54" s="1011"/>
      <c r="VNV54" s="1011"/>
      <c r="VNW54" s="1011"/>
      <c r="VNX54" s="1011"/>
      <c r="VNY54" s="1011"/>
      <c r="VNZ54" s="1011"/>
      <c r="VOA54" s="1011"/>
      <c r="VOB54" s="1011"/>
      <c r="VOC54" s="1011"/>
      <c r="VOD54" s="1011"/>
      <c r="VOE54" s="1011"/>
      <c r="VOF54" s="1011"/>
      <c r="VOG54" s="1011"/>
      <c r="VOH54" s="1011"/>
      <c r="VOI54" s="1011"/>
      <c r="VOJ54" s="1011"/>
      <c r="VOK54" s="1011"/>
      <c r="VOL54" s="1011"/>
      <c r="VOM54" s="1011"/>
      <c r="VON54" s="1011"/>
      <c r="VOO54" s="1011"/>
      <c r="VOP54" s="1011"/>
      <c r="VOQ54" s="1011"/>
      <c r="VOR54" s="1011"/>
      <c r="VOS54" s="1011"/>
      <c r="VOT54" s="1011"/>
      <c r="VOU54" s="1011"/>
      <c r="VOV54" s="1011"/>
      <c r="VOW54" s="1011"/>
      <c r="VOX54" s="1011"/>
      <c r="VOY54" s="1011"/>
      <c r="VOZ54" s="1011"/>
      <c r="VPA54" s="1011"/>
      <c r="VPB54" s="1011"/>
      <c r="VPC54" s="1011"/>
      <c r="VPD54" s="1011"/>
      <c r="VPE54" s="1011"/>
      <c r="VPF54" s="1011"/>
      <c r="VPG54" s="1011"/>
      <c r="VPH54" s="1011"/>
      <c r="VPI54" s="1011"/>
      <c r="VPJ54" s="1011"/>
      <c r="VPK54" s="1011"/>
      <c r="VPL54" s="1011"/>
      <c r="VPM54" s="1011"/>
      <c r="VPN54" s="1011"/>
      <c r="VPO54" s="1011"/>
      <c r="VPP54" s="1011"/>
      <c r="VPQ54" s="1011"/>
      <c r="VPR54" s="1011"/>
      <c r="VPS54" s="1011"/>
      <c r="VPT54" s="1011"/>
      <c r="VPU54" s="1011"/>
      <c r="VPV54" s="1011"/>
      <c r="VPW54" s="1011"/>
      <c r="VPX54" s="1011"/>
      <c r="VPY54" s="1011"/>
      <c r="VPZ54" s="1011"/>
      <c r="VQA54" s="1011"/>
      <c r="VQB54" s="1011"/>
      <c r="VQC54" s="1011"/>
      <c r="VQD54" s="1011"/>
      <c r="VQE54" s="1011"/>
      <c r="VQF54" s="1011"/>
      <c r="VQG54" s="1011"/>
      <c r="VQH54" s="1011"/>
      <c r="VQI54" s="1011"/>
      <c r="VQJ54" s="1011"/>
      <c r="VQK54" s="1011"/>
      <c r="VQL54" s="1011"/>
      <c r="VQM54" s="1011"/>
      <c r="VQN54" s="1011"/>
      <c r="VQO54" s="1011"/>
      <c r="VQP54" s="1011"/>
      <c r="VQQ54" s="1011"/>
      <c r="VQR54" s="1011"/>
      <c r="VQS54" s="1011"/>
      <c r="VQT54" s="1011"/>
      <c r="VQU54" s="1011"/>
      <c r="VQV54" s="1011"/>
      <c r="VQW54" s="1011"/>
      <c r="VQX54" s="1011"/>
      <c r="VQY54" s="1011"/>
      <c r="VQZ54" s="1011"/>
      <c r="VRA54" s="1011"/>
      <c r="VRB54" s="1011"/>
      <c r="VRC54" s="1011"/>
      <c r="VRD54" s="1011"/>
      <c r="VRE54" s="1011"/>
      <c r="VRF54" s="1011"/>
      <c r="VRG54" s="1011"/>
      <c r="VRH54" s="1011"/>
      <c r="VRI54" s="1011"/>
      <c r="VRJ54" s="1011"/>
      <c r="VRK54" s="1011"/>
      <c r="VRL54" s="1011"/>
      <c r="VRM54" s="1011"/>
      <c r="VRN54" s="1011"/>
      <c r="VRO54" s="1011"/>
      <c r="VRP54" s="1011"/>
      <c r="VRQ54" s="1011"/>
      <c r="VRR54" s="1011"/>
      <c r="VRS54" s="1011"/>
      <c r="VRT54" s="1011"/>
      <c r="VRU54" s="1011"/>
      <c r="VRV54" s="1011"/>
      <c r="VRW54" s="1011"/>
      <c r="VRX54" s="1011"/>
      <c r="VRY54" s="1011"/>
      <c r="VRZ54" s="1011"/>
      <c r="VSA54" s="1011"/>
      <c r="VSB54" s="1011"/>
      <c r="VSC54" s="1011"/>
      <c r="VSD54" s="1011"/>
      <c r="VSE54" s="1011"/>
      <c r="VSF54" s="1011"/>
      <c r="VSG54" s="1011"/>
      <c r="VSH54" s="1011"/>
      <c r="VSI54" s="1011"/>
      <c r="VSJ54" s="1011"/>
      <c r="VSK54" s="1011"/>
      <c r="VSL54" s="1011"/>
      <c r="VSM54" s="1011"/>
      <c r="VSN54" s="1011"/>
      <c r="VSO54" s="1011"/>
      <c r="VSP54" s="1011"/>
      <c r="VSQ54" s="1011"/>
      <c r="VSR54" s="1011"/>
      <c r="VSS54" s="1011"/>
      <c r="VST54" s="1011"/>
      <c r="VSU54" s="1011"/>
      <c r="VSV54" s="1011"/>
      <c r="VSW54" s="1011"/>
      <c r="VSX54" s="1011"/>
      <c r="VSY54" s="1011"/>
      <c r="VSZ54" s="1011"/>
      <c r="VTA54" s="1011"/>
      <c r="VTB54" s="1011"/>
      <c r="VTC54" s="1011"/>
      <c r="VTD54" s="1011"/>
      <c r="VTE54" s="1011"/>
      <c r="VTF54" s="1011"/>
      <c r="VTG54" s="1011"/>
      <c r="VTH54" s="1011"/>
      <c r="VTI54" s="1011"/>
      <c r="VTJ54" s="1011"/>
      <c r="VTK54" s="1011"/>
      <c r="VTL54" s="1011"/>
      <c r="VTM54" s="1011"/>
      <c r="VTN54" s="1011"/>
      <c r="VTO54" s="1011"/>
      <c r="VTP54" s="1011"/>
      <c r="VTQ54" s="1011"/>
      <c r="VTR54" s="1011"/>
      <c r="VTS54" s="1011"/>
      <c r="VTT54" s="1011"/>
      <c r="VTU54" s="1011"/>
      <c r="VTV54" s="1011"/>
      <c r="VTW54" s="1011"/>
      <c r="VTX54" s="1011"/>
      <c r="VTY54" s="1011"/>
      <c r="VTZ54" s="1011"/>
      <c r="VUA54" s="1011"/>
      <c r="VUB54" s="1011"/>
      <c r="VUC54" s="1011"/>
      <c r="VUD54" s="1011"/>
      <c r="VUE54" s="1011"/>
      <c r="VUF54" s="1011"/>
      <c r="VUG54" s="1011"/>
      <c r="VUH54" s="1011"/>
      <c r="VUI54" s="1011"/>
      <c r="VUJ54" s="1011"/>
      <c r="VUK54" s="1011"/>
      <c r="VUL54" s="1011"/>
      <c r="VUM54" s="1011"/>
      <c r="VUN54" s="1011"/>
      <c r="VUO54" s="1011"/>
      <c r="VUP54" s="1011"/>
      <c r="VUQ54" s="1011"/>
      <c r="VUR54" s="1011"/>
      <c r="VUS54" s="1011"/>
      <c r="VUT54" s="1011"/>
      <c r="VUU54" s="1011"/>
      <c r="VUV54" s="1011"/>
      <c r="VUW54" s="1011"/>
      <c r="VUX54" s="1011"/>
      <c r="VUY54" s="1011"/>
      <c r="VUZ54" s="1011"/>
      <c r="VVA54" s="1011"/>
      <c r="VVB54" s="1011"/>
      <c r="VVC54" s="1011"/>
      <c r="VVD54" s="1011"/>
      <c r="VVE54" s="1011"/>
      <c r="VVF54" s="1011"/>
      <c r="VVG54" s="1011"/>
      <c r="VVH54" s="1011"/>
      <c r="VVI54" s="1011"/>
      <c r="VVJ54" s="1011"/>
      <c r="VVK54" s="1011"/>
      <c r="VVL54" s="1011"/>
      <c r="VVM54" s="1011"/>
      <c r="VVN54" s="1011"/>
      <c r="VVO54" s="1011"/>
      <c r="VVP54" s="1011"/>
      <c r="VVQ54" s="1011"/>
      <c r="VVR54" s="1011"/>
      <c r="VVS54" s="1011"/>
      <c r="VVT54" s="1011"/>
      <c r="VVU54" s="1011"/>
      <c r="VVV54" s="1011"/>
      <c r="VVW54" s="1011"/>
      <c r="VVX54" s="1011"/>
      <c r="VVY54" s="1011"/>
      <c r="VVZ54" s="1011"/>
      <c r="VWA54" s="1011"/>
      <c r="VWB54" s="1011"/>
      <c r="VWC54" s="1011"/>
      <c r="VWD54" s="1011"/>
      <c r="VWE54" s="1011"/>
      <c r="VWF54" s="1011"/>
      <c r="VWG54" s="1011"/>
      <c r="VWH54" s="1011"/>
      <c r="VWI54" s="1011"/>
      <c r="VWJ54" s="1011"/>
      <c r="VWK54" s="1011"/>
      <c r="VWL54" s="1011"/>
      <c r="VWM54" s="1011"/>
      <c r="VWN54" s="1011"/>
      <c r="VWO54" s="1011"/>
      <c r="VWP54" s="1011"/>
      <c r="VWQ54" s="1011"/>
      <c r="VWR54" s="1011"/>
      <c r="VWS54" s="1011"/>
      <c r="VWT54" s="1011"/>
      <c r="VWU54" s="1011"/>
      <c r="VWV54" s="1011"/>
      <c r="VWW54" s="1011"/>
      <c r="VWX54" s="1011"/>
      <c r="VWY54" s="1011"/>
      <c r="VWZ54" s="1011"/>
      <c r="VXA54" s="1011"/>
      <c r="VXB54" s="1011"/>
      <c r="VXC54" s="1011"/>
      <c r="VXD54" s="1011"/>
      <c r="VXE54" s="1011"/>
      <c r="VXF54" s="1011"/>
      <c r="VXG54" s="1011"/>
      <c r="VXH54" s="1011"/>
      <c r="VXI54" s="1011"/>
      <c r="VXJ54" s="1011"/>
      <c r="VXK54" s="1011"/>
      <c r="VXL54" s="1011"/>
      <c r="VXM54" s="1011"/>
      <c r="VXN54" s="1011"/>
      <c r="VXO54" s="1011"/>
      <c r="VXP54" s="1011"/>
      <c r="VXQ54" s="1011"/>
      <c r="VXR54" s="1011"/>
      <c r="VXS54" s="1011"/>
      <c r="VXT54" s="1011"/>
      <c r="VXU54" s="1011"/>
      <c r="VXV54" s="1011"/>
      <c r="VXW54" s="1011"/>
      <c r="VXX54" s="1011"/>
      <c r="VXY54" s="1011"/>
      <c r="VXZ54" s="1011"/>
      <c r="VYA54" s="1011"/>
      <c r="VYB54" s="1011"/>
      <c r="VYC54" s="1011"/>
      <c r="VYD54" s="1011"/>
      <c r="VYE54" s="1011"/>
      <c r="VYF54" s="1011"/>
      <c r="VYG54" s="1011"/>
      <c r="VYH54" s="1011"/>
      <c r="VYI54" s="1011"/>
      <c r="VYJ54" s="1011"/>
      <c r="VYK54" s="1011"/>
      <c r="VYL54" s="1011"/>
      <c r="VYM54" s="1011"/>
      <c r="VYN54" s="1011"/>
      <c r="VYO54" s="1011"/>
      <c r="VYP54" s="1011"/>
      <c r="VYQ54" s="1011"/>
      <c r="VYR54" s="1011"/>
      <c r="VYS54" s="1011"/>
      <c r="VYT54" s="1011"/>
      <c r="VYU54" s="1011"/>
      <c r="VYV54" s="1011"/>
      <c r="VYW54" s="1011"/>
      <c r="VYX54" s="1011"/>
      <c r="VYY54" s="1011"/>
      <c r="VYZ54" s="1011"/>
      <c r="VZA54" s="1011"/>
      <c r="VZB54" s="1011"/>
      <c r="VZC54" s="1011"/>
      <c r="VZD54" s="1011"/>
      <c r="VZE54" s="1011"/>
      <c r="VZF54" s="1011"/>
      <c r="VZG54" s="1011"/>
      <c r="VZH54" s="1011"/>
      <c r="VZI54" s="1011"/>
      <c r="VZJ54" s="1011"/>
      <c r="VZK54" s="1011"/>
      <c r="VZL54" s="1011"/>
      <c r="VZM54" s="1011"/>
      <c r="VZN54" s="1011"/>
      <c r="VZO54" s="1011"/>
      <c r="VZP54" s="1011"/>
      <c r="VZQ54" s="1011"/>
      <c r="VZR54" s="1011"/>
      <c r="VZS54" s="1011"/>
      <c r="VZT54" s="1011"/>
      <c r="VZU54" s="1011"/>
      <c r="VZV54" s="1011"/>
      <c r="VZW54" s="1011"/>
      <c r="VZX54" s="1011"/>
      <c r="VZY54" s="1011"/>
      <c r="VZZ54" s="1011"/>
      <c r="WAA54" s="1011"/>
      <c r="WAB54" s="1011"/>
      <c r="WAC54" s="1011"/>
      <c r="WAD54" s="1011"/>
      <c r="WAE54" s="1011"/>
      <c r="WAF54" s="1011"/>
      <c r="WAG54" s="1011"/>
      <c r="WAH54" s="1011"/>
      <c r="WAI54" s="1011"/>
      <c r="WAJ54" s="1011"/>
      <c r="WAK54" s="1011"/>
      <c r="WAL54" s="1011"/>
      <c r="WAM54" s="1011"/>
      <c r="WAN54" s="1011"/>
      <c r="WAO54" s="1011"/>
      <c r="WAP54" s="1011"/>
      <c r="WAQ54" s="1011"/>
      <c r="WAR54" s="1011"/>
      <c r="WAS54" s="1011"/>
      <c r="WAT54" s="1011"/>
      <c r="WAU54" s="1011"/>
      <c r="WAV54" s="1011"/>
      <c r="WAW54" s="1011"/>
      <c r="WAX54" s="1011"/>
      <c r="WAY54" s="1011"/>
      <c r="WAZ54" s="1011"/>
      <c r="WBA54" s="1011"/>
      <c r="WBB54" s="1011"/>
      <c r="WBC54" s="1011"/>
      <c r="WBD54" s="1011"/>
      <c r="WBE54" s="1011"/>
      <c r="WBF54" s="1011"/>
      <c r="WBG54" s="1011"/>
      <c r="WBH54" s="1011"/>
      <c r="WBI54" s="1011"/>
      <c r="WBJ54" s="1011"/>
      <c r="WBK54" s="1011"/>
      <c r="WBL54" s="1011"/>
      <c r="WBM54" s="1011"/>
      <c r="WBN54" s="1011"/>
      <c r="WBO54" s="1011"/>
      <c r="WBP54" s="1011"/>
      <c r="WBQ54" s="1011"/>
      <c r="WBR54" s="1011"/>
      <c r="WBS54" s="1011"/>
      <c r="WBT54" s="1011"/>
      <c r="WBU54" s="1011"/>
      <c r="WBV54" s="1011"/>
      <c r="WBW54" s="1011"/>
      <c r="WBX54" s="1011"/>
      <c r="WBY54" s="1011"/>
      <c r="WBZ54" s="1011"/>
      <c r="WCA54" s="1011"/>
      <c r="WCB54" s="1011"/>
      <c r="WCC54" s="1011"/>
      <c r="WCD54" s="1011"/>
      <c r="WCE54" s="1011"/>
      <c r="WCF54" s="1011"/>
      <c r="WCG54" s="1011"/>
      <c r="WCH54" s="1011"/>
      <c r="WCI54" s="1011"/>
      <c r="WCJ54" s="1011"/>
      <c r="WCK54" s="1011"/>
      <c r="WCL54" s="1011"/>
      <c r="WCM54" s="1011"/>
      <c r="WCN54" s="1011"/>
      <c r="WCO54" s="1011"/>
      <c r="WCP54" s="1011"/>
      <c r="WCQ54" s="1011"/>
      <c r="WCR54" s="1011"/>
      <c r="WCS54" s="1011"/>
      <c r="WCT54" s="1011"/>
      <c r="WCU54" s="1011"/>
      <c r="WCV54" s="1011"/>
      <c r="WCW54" s="1011"/>
      <c r="WCX54" s="1011"/>
      <c r="WCY54" s="1011"/>
      <c r="WCZ54" s="1011"/>
      <c r="WDA54" s="1011"/>
      <c r="WDB54" s="1011"/>
      <c r="WDC54" s="1011"/>
      <c r="WDD54" s="1011"/>
      <c r="WDE54" s="1011"/>
      <c r="WDF54" s="1011"/>
      <c r="WDG54" s="1011"/>
      <c r="WDH54" s="1011"/>
      <c r="WDI54" s="1011"/>
      <c r="WDJ54" s="1011"/>
      <c r="WDK54" s="1011"/>
      <c r="WDL54" s="1011"/>
      <c r="WDM54" s="1011"/>
      <c r="WDN54" s="1011"/>
      <c r="WDO54" s="1011"/>
      <c r="WDP54" s="1011"/>
      <c r="WDQ54" s="1011"/>
      <c r="WDR54" s="1011"/>
      <c r="WDS54" s="1011"/>
      <c r="WDT54" s="1011"/>
      <c r="WDU54" s="1011"/>
      <c r="WDV54" s="1011"/>
      <c r="WDW54" s="1011"/>
      <c r="WDX54" s="1011"/>
      <c r="WDY54" s="1011"/>
      <c r="WDZ54" s="1011"/>
      <c r="WEA54" s="1011"/>
      <c r="WEB54" s="1011"/>
      <c r="WEC54" s="1011"/>
      <c r="WED54" s="1011"/>
      <c r="WEE54" s="1011"/>
      <c r="WEF54" s="1011"/>
      <c r="WEG54" s="1011"/>
      <c r="WEH54" s="1011"/>
      <c r="WEI54" s="1011"/>
      <c r="WEJ54" s="1011"/>
      <c r="WEK54" s="1011"/>
      <c r="WEL54" s="1011"/>
      <c r="WEM54" s="1011"/>
      <c r="WEN54" s="1011"/>
      <c r="WEO54" s="1011"/>
      <c r="WEP54" s="1011"/>
      <c r="WEQ54" s="1011"/>
      <c r="WER54" s="1011"/>
      <c r="WES54" s="1011"/>
      <c r="WET54" s="1011"/>
      <c r="WEU54" s="1011"/>
      <c r="WEV54" s="1011"/>
      <c r="WEW54" s="1011"/>
      <c r="WEX54" s="1011"/>
      <c r="WEY54" s="1011"/>
      <c r="WEZ54" s="1011"/>
      <c r="WFA54" s="1011"/>
      <c r="WFB54" s="1011"/>
      <c r="WFC54" s="1011"/>
      <c r="WFD54" s="1011"/>
      <c r="WFE54" s="1011"/>
      <c r="WFF54" s="1011"/>
      <c r="WFG54" s="1011"/>
      <c r="WFH54" s="1011"/>
      <c r="WFI54" s="1011"/>
      <c r="WFJ54" s="1011"/>
      <c r="WFK54" s="1011"/>
      <c r="WFL54" s="1011"/>
      <c r="WFM54" s="1011"/>
      <c r="WFN54" s="1011"/>
      <c r="WFO54" s="1011"/>
      <c r="WFP54" s="1011"/>
      <c r="WFQ54" s="1011"/>
      <c r="WFR54" s="1011"/>
      <c r="WFS54" s="1011"/>
      <c r="WFT54" s="1011"/>
      <c r="WFU54" s="1011"/>
      <c r="WFV54" s="1011"/>
      <c r="WFW54" s="1011"/>
      <c r="WFX54" s="1011"/>
      <c r="WFY54" s="1011"/>
      <c r="WFZ54" s="1011"/>
      <c r="WGA54" s="1011"/>
      <c r="WGB54" s="1011"/>
      <c r="WGC54" s="1011"/>
      <c r="WGD54" s="1011"/>
      <c r="WGE54" s="1011"/>
      <c r="WGF54" s="1011"/>
      <c r="WGG54" s="1011"/>
      <c r="WGH54" s="1011"/>
      <c r="WGI54" s="1011"/>
      <c r="WGJ54" s="1011"/>
      <c r="WGK54" s="1011"/>
      <c r="WGL54" s="1011"/>
      <c r="WGM54" s="1011"/>
      <c r="WGN54" s="1011"/>
      <c r="WGO54" s="1011"/>
      <c r="WGP54" s="1011"/>
      <c r="WGQ54" s="1011"/>
      <c r="WGR54" s="1011"/>
      <c r="WGS54" s="1011"/>
      <c r="WGT54" s="1011"/>
      <c r="WGU54" s="1011"/>
      <c r="WGV54" s="1011"/>
      <c r="WGW54" s="1011"/>
      <c r="WGX54" s="1011"/>
      <c r="WGY54" s="1011"/>
      <c r="WGZ54" s="1011"/>
      <c r="WHA54" s="1011"/>
      <c r="WHB54" s="1011"/>
      <c r="WHC54" s="1011"/>
      <c r="WHD54" s="1011"/>
      <c r="WHE54" s="1011"/>
      <c r="WHF54" s="1011"/>
      <c r="WHG54" s="1011"/>
      <c r="WHH54" s="1011"/>
      <c r="WHI54" s="1011"/>
      <c r="WHJ54" s="1011"/>
      <c r="WHK54" s="1011"/>
      <c r="WHL54" s="1011"/>
      <c r="WHM54" s="1011"/>
      <c r="WHN54" s="1011"/>
      <c r="WHO54" s="1011"/>
      <c r="WHP54" s="1011"/>
      <c r="WHQ54" s="1011"/>
      <c r="WHR54" s="1011"/>
      <c r="WHS54" s="1011"/>
      <c r="WHT54" s="1011"/>
      <c r="WHU54" s="1011"/>
      <c r="WHV54" s="1011"/>
      <c r="WHW54" s="1011"/>
      <c r="WHX54" s="1011"/>
      <c r="WHY54" s="1011"/>
      <c r="WHZ54" s="1011"/>
      <c r="WIA54" s="1011"/>
      <c r="WIB54" s="1011"/>
      <c r="WIC54" s="1011"/>
      <c r="WID54" s="1011"/>
      <c r="WIE54" s="1011"/>
      <c r="WIF54" s="1011"/>
      <c r="WIG54" s="1011"/>
      <c r="WIH54" s="1011"/>
      <c r="WII54" s="1011"/>
      <c r="WIJ54" s="1011"/>
      <c r="WIK54" s="1011"/>
      <c r="WIL54" s="1011"/>
      <c r="WIM54" s="1011"/>
      <c r="WIN54" s="1011"/>
      <c r="WIO54" s="1011"/>
      <c r="WIP54" s="1011"/>
      <c r="WIQ54" s="1011"/>
      <c r="WIR54" s="1011"/>
      <c r="WIS54" s="1011"/>
      <c r="WIT54" s="1011"/>
      <c r="WIU54" s="1011"/>
      <c r="WIV54" s="1011"/>
      <c r="WIW54" s="1011"/>
      <c r="WIX54" s="1011"/>
      <c r="WIY54" s="1011"/>
      <c r="WIZ54" s="1011"/>
      <c r="WJA54" s="1011"/>
      <c r="WJB54" s="1011"/>
      <c r="WJC54" s="1011"/>
      <c r="WJD54" s="1011"/>
      <c r="WJE54" s="1011"/>
      <c r="WJF54" s="1011"/>
      <c r="WJG54" s="1011"/>
      <c r="WJH54" s="1011"/>
      <c r="WJI54" s="1011"/>
      <c r="WJJ54" s="1011"/>
      <c r="WJK54" s="1011"/>
      <c r="WJL54" s="1011"/>
      <c r="WJM54" s="1011"/>
      <c r="WJN54" s="1011"/>
      <c r="WJO54" s="1011"/>
      <c r="WJP54" s="1011"/>
      <c r="WJQ54" s="1011"/>
      <c r="WJR54" s="1011"/>
      <c r="WJS54" s="1011"/>
      <c r="WJT54" s="1011"/>
      <c r="WJU54" s="1011"/>
      <c r="WJV54" s="1011"/>
      <c r="WJW54" s="1011"/>
      <c r="WJX54" s="1011"/>
      <c r="WJY54" s="1011"/>
      <c r="WJZ54" s="1011"/>
      <c r="WKA54" s="1011"/>
      <c r="WKB54" s="1011"/>
      <c r="WKC54" s="1011"/>
      <c r="WKD54" s="1011"/>
      <c r="WKE54" s="1011"/>
      <c r="WKF54" s="1011"/>
      <c r="WKG54" s="1011"/>
      <c r="WKH54" s="1011"/>
      <c r="WKI54" s="1011"/>
      <c r="WKJ54" s="1011"/>
      <c r="WKK54" s="1011"/>
      <c r="WKL54" s="1011"/>
      <c r="WKM54" s="1011"/>
      <c r="WKN54" s="1011"/>
      <c r="WKO54" s="1011"/>
      <c r="WKP54" s="1011"/>
      <c r="WKQ54" s="1011"/>
      <c r="WKR54" s="1011"/>
      <c r="WKS54" s="1011"/>
      <c r="WKT54" s="1011"/>
      <c r="WKU54" s="1011"/>
      <c r="WKV54" s="1011"/>
      <c r="WKW54" s="1011"/>
      <c r="WKX54" s="1011"/>
      <c r="WKY54" s="1011"/>
      <c r="WKZ54" s="1011"/>
      <c r="WLA54" s="1011"/>
      <c r="WLB54" s="1011"/>
      <c r="WLC54" s="1011"/>
      <c r="WLD54" s="1011"/>
      <c r="WLE54" s="1011"/>
      <c r="WLF54" s="1011"/>
      <c r="WLG54" s="1011"/>
      <c r="WLH54" s="1011"/>
      <c r="WLI54" s="1011"/>
      <c r="WLJ54" s="1011"/>
      <c r="WLK54" s="1011"/>
      <c r="WLL54" s="1011"/>
      <c r="WLM54" s="1011"/>
      <c r="WLN54" s="1011"/>
      <c r="WLO54" s="1011"/>
      <c r="WLP54" s="1011"/>
      <c r="WLQ54" s="1011"/>
      <c r="WLR54" s="1011"/>
      <c r="WLS54" s="1011"/>
      <c r="WLT54" s="1011"/>
      <c r="WLU54" s="1011"/>
      <c r="WLV54" s="1011"/>
      <c r="WLW54" s="1011"/>
      <c r="WLX54" s="1011"/>
      <c r="WLY54" s="1011"/>
      <c r="WLZ54" s="1011"/>
      <c r="WMA54" s="1011"/>
      <c r="WMB54" s="1011"/>
      <c r="WMC54" s="1011"/>
      <c r="WMD54" s="1011"/>
      <c r="WME54" s="1011"/>
      <c r="WMF54" s="1011"/>
      <c r="WMG54" s="1011"/>
      <c r="WMH54" s="1011"/>
      <c r="WMI54" s="1011"/>
      <c r="WMJ54" s="1011"/>
      <c r="WMK54" s="1011"/>
      <c r="WML54" s="1011"/>
      <c r="WMM54" s="1011"/>
      <c r="WMN54" s="1011"/>
      <c r="WMO54" s="1011"/>
      <c r="WMP54" s="1011"/>
      <c r="WMQ54" s="1011"/>
      <c r="WMR54" s="1011"/>
      <c r="WMS54" s="1011"/>
      <c r="WMT54" s="1011"/>
      <c r="WMU54" s="1011"/>
      <c r="WMV54" s="1011"/>
      <c r="WMW54" s="1011"/>
      <c r="WMX54" s="1011"/>
      <c r="WMY54" s="1011"/>
      <c r="WMZ54" s="1011"/>
      <c r="WNA54" s="1011"/>
      <c r="WNB54" s="1011"/>
      <c r="WNC54" s="1011"/>
      <c r="WND54" s="1011"/>
      <c r="WNE54" s="1011"/>
      <c r="WNF54" s="1011"/>
      <c r="WNG54" s="1011"/>
      <c r="WNH54" s="1011"/>
      <c r="WNI54" s="1011"/>
      <c r="WNJ54" s="1011"/>
      <c r="WNK54" s="1011"/>
      <c r="WNL54" s="1011"/>
      <c r="WNM54" s="1011"/>
      <c r="WNN54" s="1011"/>
      <c r="WNO54" s="1011"/>
      <c r="WNP54" s="1011"/>
      <c r="WNQ54" s="1011"/>
      <c r="WNR54" s="1011"/>
      <c r="WNS54" s="1011"/>
      <c r="WNT54" s="1011"/>
      <c r="WNU54" s="1011"/>
      <c r="WNV54" s="1011"/>
      <c r="WNW54" s="1011"/>
      <c r="WNX54" s="1011"/>
      <c r="WNY54" s="1011"/>
      <c r="WNZ54" s="1011"/>
      <c r="WOA54" s="1011"/>
      <c r="WOB54" s="1011"/>
      <c r="WOC54" s="1011"/>
      <c r="WOD54" s="1011"/>
      <c r="WOE54" s="1011"/>
      <c r="WOF54" s="1011"/>
      <c r="WOG54" s="1011"/>
      <c r="WOH54" s="1011"/>
      <c r="WOI54" s="1011"/>
      <c r="WOJ54" s="1011"/>
      <c r="WOK54" s="1011"/>
      <c r="WOL54" s="1011"/>
      <c r="WOM54" s="1011"/>
      <c r="WON54" s="1011"/>
      <c r="WOO54" s="1011"/>
      <c r="WOP54" s="1011"/>
      <c r="WOQ54" s="1011"/>
      <c r="WOR54" s="1011"/>
      <c r="WOS54" s="1011"/>
      <c r="WOT54" s="1011"/>
      <c r="WOU54" s="1011"/>
      <c r="WOV54" s="1011"/>
      <c r="WOW54" s="1011"/>
      <c r="WOX54" s="1011"/>
      <c r="WOY54" s="1011"/>
      <c r="WOZ54" s="1011"/>
      <c r="WPA54" s="1011"/>
      <c r="WPB54" s="1011"/>
      <c r="WPC54" s="1011"/>
      <c r="WPD54" s="1011"/>
      <c r="WPE54" s="1011"/>
      <c r="WPF54" s="1011"/>
      <c r="WPG54" s="1011"/>
      <c r="WPH54" s="1011"/>
      <c r="WPI54" s="1011"/>
      <c r="WPJ54" s="1011"/>
      <c r="WPK54" s="1011"/>
      <c r="WPL54" s="1011"/>
      <c r="WPM54" s="1011"/>
      <c r="WPN54" s="1011"/>
      <c r="WPO54" s="1011"/>
      <c r="WPP54" s="1011"/>
      <c r="WPQ54" s="1011"/>
      <c r="WPR54" s="1011"/>
      <c r="WPS54" s="1011"/>
      <c r="WPT54" s="1011"/>
      <c r="WPU54" s="1011"/>
      <c r="WPV54" s="1011"/>
      <c r="WPW54" s="1011"/>
      <c r="WPX54" s="1011"/>
      <c r="WPY54" s="1011"/>
      <c r="WPZ54" s="1011"/>
      <c r="WQA54" s="1011"/>
      <c r="WQB54" s="1011"/>
      <c r="WQC54" s="1011"/>
      <c r="WQD54" s="1011"/>
      <c r="WQE54" s="1011"/>
      <c r="WQF54" s="1011"/>
      <c r="WQG54" s="1011"/>
      <c r="WQH54" s="1011"/>
      <c r="WQI54" s="1011"/>
      <c r="WQJ54" s="1011"/>
      <c r="WQK54" s="1011"/>
      <c r="WQL54" s="1011"/>
      <c r="WQM54" s="1011"/>
      <c r="WQN54" s="1011"/>
      <c r="WQO54" s="1011"/>
      <c r="WQP54" s="1011"/>
      <c r="WQQ54" s="1011"/>
      <c r="WQR54" s="1011"/>
      <c r="WQS54" s="1011"/>
      <c r="WQT54" s="1011"/>
      <c r="WQU54" s="1011"/>
      <c r="WQV54" s="1011"/>
      <c r="WQW54" s="1011"/>
      <c r="WQX54" s="1011"/>
      <c r="WQY54" s="1011"/>
      <c r="WQZ54" s="1011"/>
      <c r="WRA54" s="1011"/>
      <c r="WRB54" s="1011"/>
      <c r="WRC54" s="1011"/>
      <c r="WRD54" s="1011"/>
      <c r="WRE54" s="1011"/>
      <c r="WRF54" s="1011"/>
      <c r="WRG54" s="1011"/>
      <c r="WRH54" s="1011"/>
      <c r="WRI54" s="1011"/>
      <c r="WRJ54" s="1011"/>
      <c r="WRK54" s="1011"/>
      <c r="WRL54" s="1011"/>
      <c r="WRM54" s="1011"/>
      <c r="WRN54" s="1011"/>
      <c r="WRO54" s="1011"/>
      <c r="WRP54" s="1011"/>
      <c r="WRQ54" s="1011"/>
      <c r="WRR54" s="1011"/>
      <c r="WRS54" s="1011"/>
      <c r="WRT54" s="1011"/>
      <c r="WRU54" s="1011"/>
      <c r="WRV54" s="1011"/>
      <c r="WRW54" s="1011"/>
      <c r="WRX54" s="1011"/>
      <c r="WRY54" s="1011"/>
      <c r="WRZ54" s="1011"/>
      <c r="WSA54" s="1011"/>
      <c r="WSB54" s="1011"/>
      <c r="WSC54" s="1011"/>
      <c r="WSD54" s="1011"/>
      <c r="WSE54" s="1011"/>
      <c r="WSF54" s="1011"/>
      <c r="WSG54" s="1011"/>
      <c r="WSH54" s="1011"/>
      <c r="WSI54" s="1011"/>
      <c r="WSJ54" s="1011"/>
      <c r="WSK54" s="1011"/>
      <c r="WSL54" s="1011"/>
      <c r="WSM54" s="1011"/>
      <c r="WSN54" s="1011"/>
      <c r="WSO54" s="1011"/>
      <c r="WSP54" s="1011"/>
      <c r="WSQ54" s="1011"/>
      <c r="WSR54" s="1011"/>
      <c r="WSS54" s="1011"/>
      <c r="WST54" s="1011"/>
      <c r="WSU54" s="1011"/>
      <c r="WSV54" s="1011"/>
      <c r="WSW54" s="1011"/>
      <c r="WSX54" s="1011"/>
      <c r="WSY54" s="1011"/>
      <c r="WSZ54" s="1011"/>
      <c r="WTA54" s="1011"/>
      <c r="WTB54" s="1011"/>
      <c r="WTC54" s="1011"/>
      <c r="WTD54" s="1011"/>
      <c r="WTE54" s="1011"/>
      <c r="WTF54" s="1011"/>
      <c r="WTG54" s="1011"/>
      <c r="WTH54" s="1011"/>
      <c r="WTI54" s="1011"/>
      <c r="WTJ54" s="1011"/>
      <c r="WTK54" s="1011"/>
      <c r="WTL54" s="1011"/>
      <c r="WTM54" s="1011"/>
      <c r="WTN54" s="1011"/>
      <c r="WTO54" s="1011"/>
      <c r="WTP54" s="1011"/>
      <c r="WTQ54" s="1011"/>
      <c r="WTR54" s="1011"/>
      <c r="WTS54" s="1011"/>
      <c r="WTT54" s="1011"/>
      <c r="WTU54" s="1011"/>
      <c r="WTV54" s="1011"/>
      <c r="WTW54" s="1011"/>
      <c r="WTX54" s="1011"/>
      <c r="WTY54" s="1011"/>
      <c r="WTZ54" s="1011"/>
      <c r="WUA54" s="1011"/>
      <c r="WUB54" s="1011"/>
      <c r="WUC54" s="1011"/>
      <c r="WUD54" s="1011"/>
      <c r="WUE54" s="1011"/>
      <c r="WUF54" s="1011"/>
      <c r="WUG54" s="1011"/>
      <c r="WUH54" s="1011"/>
      <c r="WUI54" s="1011"/>
      <c r="WUJ54" s="1011"/>
      <c r="WUK54" s="1011"/>
      <c r="WUL54" s="1011"/>
      <c r="WUM54" s="1011"/>
      <c r="WUN54" s="1011"/>
      <c r="WUO54" s="1011"/>
      <c r="WUP54" s="1011"/>
      <c r="WUQ54" s="1011"/>
      <c r="WUR54" s="1011"/>
      <c r="WUS54" s="1011"/>
      <c r="WUT54" s="1011"/>
      <c r="WUU54" s="1011"/>
      <c r="WUV54" s="1011"/>
      <c r="WUW54" s="1011"/>
      <c r="WUX54" s="1011"/>
      <c r="WUY54" s="1011"/>
      <c r="WUZ54" s="1011"/>
      <c r="WVA54" s="1011"/>
      <c r="WVB54" s="1011"/>
      <c r="WVC54" s="1011"/>
      <c r="WVD54" s="1011"/>
      <c r="WVE54" s="1011"/>
      <c r="WVF54" s="1011"/>
      <c r="WVG54" s="1011"/>
      <c r="WVH54" s="1011"/>
      <c r="WVI54" s="1011"/>
      <c r="WVJ54" s="1011"/>
      <c r="WVK54" s="1011"/>
      <c r="WVL54" s="1011"/>
      <c r="WVM54" s="1011"/>
      <c r="WVN54" s="1011"/>
      <c r="WVO54" s="1011"/>
      <c r="WVP54" s="1011"/>
      <c r="WVQ54" s="1011"/>
      <c r="WVR54" s="1011"/>
      <c r="WVS54" s="1011"/>
      <c r="WVT54" s="1011"/>
      <c r="WVU54" s="1011"/>
      <c r="WVV54" s="1011"/>
      <c r="WVW54" s="1011"/>
      <c r="WVX54" s="1011"/>
      <c r="WVY54" s="1011"/>
      <c r="WVZ54" s="1011"/>
      <c r="WWA54" s="1011"/>
      <c r="WWB54" s="1011"/>
      <c r="WWC54" s="1011"/>
      <c r="WWD54" s="1011"/>
      <c r="WWE54" s="1011"/>
      <c r="WWF54" s="1011"/>
      <c r="WWG54" s="1011"/>
      <c r="WWH54" s="1011"/>
      <c r="WWI54" s="1011"/>
      <c r="WWJ54" s="1011"/>
      <c r="WWK54" s="1011"/>
      <c r="WWL54" s="1011"/>
      <c r="WWM54" s="1011"/>
      <c r="WWN54" s="1011"/>
      <c r="WWO54" s="1011"/>
      <c r="WWP54" s="1011"/>
      <c r="WWQ54" s="1011"/>
      <c r="WWR54" s="1011"/>
      <c r="WWS54" s="1011"/>
      <c r="WWT54" s="1011"/>
      <c r="WWU54" s="1011"/>
      <c r="WWV54" s="1011"/>
      <c r="WWW54" s="1011"/>
      <c r="WWX54" s="1011"/>
      <c r="WWY54" s="1011"/>
      <c r="WWZ54" s="1011"/>
      <c r="WXA54" s="1011"/>
      <c r="WXB54" s="1011"/>
      <c r="WXC54" s="1011"/>
      <c r="WXD54" s="1011"/>
      <c r="WXE54" s="1011"/>
      <c r="WXF54" s="1011"/>
      <c r="WXG54" s="1011"/>
      <c r="WXH54" s="1011"/>
      <c r="WXI54" s="1011"/>
      <c r="WXJ54" s="1011"/>
      <c r="WXK54" s="1011"/>
      <c r="WXL54" s="1011"/>
      <c r="WXM54" s="1011"/>
      <c r="WXN54" s="1011"/>
      <c r="WXO54" s="1011"/>
      <c r="WXP54" s="1011"/>
      <c r="WXQ54" s="1011"/>
      <c r="WXR54" s="1011"/>
      <c r="WXS54" s="1011"/>
      <c r="WXT54" s="1011"/>
      <c r="WXU54" s="1011"/>
      <c r="WXV54" s="1011"/>
      <c r="WXW54" s="1011"/>
      <c r="WXX54" s="1011"/>
      <c r="WXY54" s="1011"/>
      <c r="WXZ54" s="1011"/>
      <c r="WYA54" s="1011"/>
      <c r="WYB54" s="1011"/>
      <c r="WYC54" s="1011"/>
      <c r="WYD54" s="1011"/>
      <c r="WYE54" s="1011"/>
      <c r="WYF54" s="1011"/>
      <c r="WYG54" s="1011"/>
      <c r="WYH54" s="1011"/>
      <c r="WYI54" s="1011"/>
      <c r="WYJ54" s="1011"/>
      <c r="WYK54" s="1011"/>
      <c r="WYL54" s="1011"/>
      <c r="WYM54" s="1011"/>
      <c r="WYN54" s="1011"/>
      <c r="WYO54" s="1011"/>
      <c r="WYP54" s="1011"/>
      <c r="WYQ54" s="1011"/>
      <c r="WYR54" s="1011"/>
      <c r="WYS54" s="1011"/>
      <c r="WYT54" s="1011"/>
      <c r="WYU54" s="1011"/>
      <c r="WYV54" s="1011"/>
      <c r="WYW54" s="1011"/>
      <c r="WYX54" s="1011"/>
      <c r="WYY54" s="1011"/>
      <c r="WYZ54" s="1011"/>
      <c r="WZA54" s="1011"/>
      <c r="WZB54" s="1011"/>
      <c r="WZC54" s="1011"/>
      <c r="WZD54" s="1011"/>
      <c r="WZE54" s="1011"/>
      <c r="WZF54" s="1011"/>
      <c r="WZG54" s="1011"/>
      <c r="WZH54" s="1011"/>
      <c r="WZI54" s="1011"/>
      <c r="WZJ54" s="1011"/>
      <c r="WZK54" s="1011"/>
      <c r="WZL54" s="1011"/>
      <c r="WZM54" s="1011"/>
      <c r="WZN54" s="1011"/>
      <c r="WZO54" s="1011"/>
      <c r="WZP54" s="1011"/>
      <c r="WZQ54" s="1011"/>
      <c r="WZR54" s="1011"/>
      <c r="WZS54" s="1011"/>
      <c r="WZT54" s="1011"/>
      <c r="WZU54" s="1011"/>
      <c r="WZV54" s="1011"/>
      <c r="WZW54" s="1011"/>
      <c r="WZX54" s="1011"/>
      <c r="WZY54" s="1011"/>
      <c r="WZZ54" s="1011"/>
      <c r="XAA54" s="1011"/>
      <c r="XAB54" s="1011"/>
      <c r="XAC54" s="1011"/>
      <c r="XAD54" s="1011"/>
      <c r="XAE54" s="1011"/>
      <c r="XAF54" s="1011"/>
      <c r="XAG54" s="1011"/>
      <c r="XAH54" s="1011"/>
      <c r="XAI54" s="1011"/>
      <c r="XAJ54" s="1011"/>
      <c r="XAK54" s="1011"/>
      <c r="XAL54" s="1011"/>
      <c r="XAM54" s="1011"/>
      <c r="XAN54" s="1011"/>
      <c r="XAO54" s="1011"/>
      <c r="XAP54" s="1011"/>
      <c r="XAQ54" s="1011"/>
      <c r="XAR54" s="1011"/>
      <c r="XAS54" s="1011"/>
      <c r="XAT54" s="1011"/>
      <c r="XAU54" s="1011"/>
      <c r="XAV54" s="1011"/>
      <c r="XAW54" s="1011"/>
      <c r="XAX54" s="1011"/>
      <c r="XAY54" s="1011"/>
      <c r="XAZ54" s="1011"/>
      <c r="XBA54" s="1011"/>
      <c r="XBB54" s="1011"/>
      <c r="XBC54" s="1011"/>
      <c r="XBD54" s="1011"/>
      <c r="XBE54" s="1011"/>
      <c r="XBF54" s="1011"/>
      <c r="XBG54" s="1011"/>
      <c r="XBH54" s="1011"/>
      <c r="XBI54" s="1011"/>
      <c r="XBJ54" s="1011"/>
      <c r="XBK54" s="1011"/>
      <c r="XBL54" s="1011"/>
      <c r="XBM54" s="1011"/>
      <c r="XBN54" s="1011"/>
      <c r="XBO54" s="1011"/>
      <c r="XBP54" s="1011"/>
      <c r="XBQ54" s="1011"/>
      <c r="XBR54" s="1011"/>
      <c r="XBS54" s="1011"/>
      <c r="XBT54" s="1011"/>
      <c r="XBU54" s="1011"/>
      <c r="XBV54" s="1011"/>
      <c r="XBW54" s="1011"/>
      <c r="XBX54" s="1011"/>
      <c r="XBY54" s="1011"/>
      <c r="XBZ54" s="1011"/>
      <c r="XCA54" s="1011"/>
      <c r="XCB54" s="1011"/>
      <c r="XCC54" s="1011"/>
      <c r="XCD54" s="1011"/>
      <c r="XCE54" s="1011"/>
      <c r="XCF54" s="1011"/>
      <c r="XCG54" s="1011"/>
      <c r="XCH54" s="1011"/>
      <c r="XCI54" s="1011"/>
      <c r="XCJ54" s="1011"/>
      <c r="XCK54" s="1011"/>
      <c r="XCL54" s="1011"/>
      <c r="XCM54" s="1011"/>
      <c r="XCN54" s="1011"/>
      <c r="XCO54" s="1011"/>
      <c r="XCP54" s="1011"/>
      <c r="XCQ54" s="1011"/>
      <c r="XCR54" s="1011"/>
      <c r="XCS54" s="1011"/>
      <c r="XCT54" s="1011"/>
      <c r="XCU54" s="1011"/>
      <c r="XCV54" s="1011"/>
      <c r="XCW54" s="1011"/>
      <c r="XCX54" s="1011"/>
      <c r="XCY54" s="1011"/>
      <c r="XCZ54" s="1011"/>
      <c r="XDA54" s="1011"/>
      <c r="XDB54" s="1011"/>
      <c r="XDC54" s="1011"/>
      <c r="XDD54" s="1011"/>
      <c r="XDE54" s="1011"/>
      <c r="XDF54" s="1011"/>
      <c r="XDG54" s="1011"/>
      <c r="XDH54" s="1011"/>
      <c r="XDI54" s="1011"/>
      <c r="XDJ54" s="1011"/>
      <c r="XDK54" s="1011"/>
      <c r="XDL54" s="1011"/>
      <c r="XDM54" s="1011"/>
      <c r="XDN54" s="1011"/>
      <c r="XDO54" s="1011"/>
      <c r="XDP54" s="1011"/>
      <c r="XDQ54" s="1011"/>
      <c r="XDR54" s="1011"/>
      <c r="XDS54" s="1011"/>
      <c r="XDT54" s="1011"/>
      <c r="XDU54" s="1011"/>
      <c r="XDV54" s="1011"/>
      <c r="XDW54" s="1011"/>
      <c r="XDX54" s="1011"/>
      <c r="XDY54" s="1011"/>
      <c r="XDZ54" s="1011"/>
      <c r="XEA54" s="1011"/>
      <c r="XEB54" s="1011"/>
      <c r="XEC54" s="1011"/>
      <c r="XED54" s="1011"/>
      <c r="XEE54" s="1011"/>
      <c r="XEF54" s="1011"/>
      <c r="XEG54" s="1011"/>
      <c r="XEH54" s="1011"/>
      <c r="XEI54" s="1011"/>
      <c r="XEJ54" s="1011"/>
      <c r="XEK54" s="1011"/>
      <c r="XEL54" s="1011"/>
      <c r="XEM54" s="1011"/>
      <c r="XEN54" s="1011"/>
      <c r="XEO54" s="1011"/>
      <c r="XEP54" s="1011"/>
      <c r="XEQ54" s="1011"/>
      <c r="XER54" s="1011"/>
      <c r="XES54" s="1011"/>
      <c r="XET54" s="1011"/>
      <c r="XEU54" s="1011"/>
      <c r="XEV54" s="1011"/>
      <c r="XEW54" s="1011"/>
      <c r="XEX54" s="1011"/>
      <c r="XEY54" s="1011"/>
      <c r="XEZ54" s="1011"/>
      <c r="XFA54" s="1011"/>
      <c r="XFB54" s="1011"/>
      <c r="XFC54" s="1011"/>
    </row>
    <row r="55" spans="1:16383" s="1011" customFormat="1" hidden="1" x14ac:dyDescent="0.25">
      <c r="A55" s="1199" t="s">
        <v>683</v>
      </c>
      <c r="B55" s="1195">
        <v>20000003</v>
      </c>
      <c r="C55" s="1195">
        <v>3</v>
      </c>
      <c r="D55" s="1195" t="s">
        <v>6</v>
      </c>
      <c r="E55" s="1195" t="s">
        <v>244</v>
      </c>
      <c r="F55" s="1196" t="s">
        <v>728</v>
      </c>
      <c r="G55" s="550">
        <f>IFERROR(VLOOKUP(B55,[5]Sheet1!$C:$M,8,0),0)</f>
        <v>3409507596.7199898</v>
      </c>
      <c r="H55" s="550">
        <f>IFERROR(VLOOKUP(B55,[5]Sheet1!$C:$M,9,0),0)</f>
        <v>0</v>
      </c>
      <c r="I55" s="1201">
        <f t="shared" si="0"/>
        <v>3409507596.7199898</v>
      </c>
      <c r="J55" s="550">
        <v>0</v>
      </c>
      <c r="K55" s="550">
        <v>0</v>
      </c>
      <c r="L55" s="550"/>
      <c r="M55" s="1373">
        <f>VLOOKUP(B55,[6]Sheet1!$D:$M,10,0)</f>
        <v>3385169564.52</v>
      </c>
      <c r="N55" s="550">
        <f t="shared" si="1"/>
        <v>24338032.199989796</v>
      </c>
      <c r="O55" s="1012"/>
      <c r="P55" s="1013"/>
      <c r="U55" s="551"/>
      <c r="V55" s="1013"/>
      <c r="W55" s="1013"/>
    </row>
    <row r="56" spans="1:16383" s="1011" customFormat="1" hidden="1" x14ac:dyDescent="0.25">
      <c r="A56" s="1199" t="s">
        <v>683</v>
      </c>
      <c r="B56" s="1195">
        <v>20000004</v>
      </c>
      <c r="C56" s="1195">
        <v>3</v>
      </c>
      <c r="D56" s="1195" t="s">
        <v>6</v>
      </c>
      <c r="E56" s="1195" t="s">
        <v>244</v>
      </c>
      <c r="F56" s="1413" t="s">
        <v>1252</v>
      </c>
      <c r="G56" s="550">
        <f>IFERROR(VLOOKUP(B56,[5]Sheet1!$C:$M,8,0),0)</f>
        <v>0</v>
      </c>
      <c r="H56" s="550">
        <f>IFERROR(VLOOKUP(B56,[5]Sheet1!$C:$M,9,0),0)</f>
        <v>-332477970.79000002</v>
      </c>
      <c r="I56" s="1201">
        <f t="shared" si="0"/>
        <v>-332477970.79000002</v>
      </c>
      <c r="J56" s="550">
        <v>0</v>
      </c>
      <c r="K56" s="550">
        <v>0</v>
      </c>
      <c r="L56" s="550"/>
      <c r="M56" s="1373">
        <f>VLOOKUP(B56,[6]Sheet1!$D:$M,10,0)</f>
        <v>-98387307.799999893</v>
      </c>
      <c r="N56" s="550">
        <f t="shared" si="1"/>
        <v>-234090662.99000013</v>
      </c>
      <c r="O56" s="1012"/>
      <c r="P56" s="1013"/>
      <c r="U56" s="551"/>
      <c r="V56" s="1013"/>
      <c r="W56" s="1013"/>
    </row>
    <row r="57" spans="1:16383" s="1011" customFormat="1" hidden="1" x14ac:dyDescent="0.25">
      <c r="A57" s="1199" t="s">
        <v>683</v>
      </c>
      <c r="B57" s="1195">
        <v>20000007</v>
      </c>
      <c r="C57" s="1195">
        <v>3</v>
      </c>
      <c r="D57" s="1195" t="s">
        <v>6</v>
      </c>
      <c r="E57" s="1195" t="s">
        <v>729</v>
      </c>
      <c r="F57" s="1196" t="s">
        <v>729</v>
      </c>
      <c r="G57" s="550">
        <f>IFERROR(VLOOKUP(B57,[5]Sheet1!$C:$M,8,0),0)</f>
        <v>16903685.710000001</v>
      </c>
      <c r="H57" s="550">
        <f>IFERROR(VLOOKUP(B57,[5]Sheet1!$C:$M,9,0),0)</f>
        <v>0</v>
      </c>
      <c r="I57" s="1201">
        <f t="shared" si="0"/>
        <v>16903685.710000001</v>
      </c>
      <c r="J57" s="550">
        <v>0</v>
      </c>
      <c r="K57" s="550">
        <v>0</v>
      </c>
      <c r="L57" s="550"/>
      <c r="M57" s="1373">
        <f>VLOOKUP(B57,[6]Sheet1!$D:$M,10,0)</f>
        <v>16903685.710000001</v>
      </c>
      <c r="N57" s="550">
        <f t="shared" si="1"/>
        <v>0</v>
      </c>
      <c r="O57" s="1012"/>
      <c r="P57" s="1013"/>
      <c r="U57" s="551"/>
      <c r="V57" s="1013"/>
      <c r="W57" s="1013"/>
    </row>
    <row r="58" spans="1:16383" s="1011" customFormat="1" hidden="1" x14ac:dyDescent="0.25">
      <c r="A58" s="1199" t="s">
        <v>683</v>
      </c>
      <c r="B58" s="1195">
        <v>20000008</v>
      </c>
      <c r="C58" s="1195">
        <v>3</v>
      </c>
      <c r="D58" s="1195" t="s">
        <v>6</v>
      </c>
      <c r="E58" s="1195" t="s">
        <v>729</v>
      </c>
      <c r="F58" s="1413" t="s">
        <v>893</v>
      </c>
      <c r="G58" s="550">
        <f>IFERROR(VLOOKUP(B58,[5]Sheet1!$C:$M,8,0),0)</f>
        <v>0</v>
      </c>
      <c r="H58" s="550">
        <f>IFERROR(VLOOKUP(B58,[5]Sheet1!$C:$M,9,0),0)</f>
        <v>-5123125.78</v>
      </c>
      <c r="I58" s="1201">
        <f t="shared" si="0"/>
        <v>-5123125.78</v>
      </c>
      <c r="J58" s="550">
        <v>0</v>
      </c>
      <c r="K58" s="550">
        <v>0</v>
      </c>
      <c r="L58" s="550"/>
      <c r="M58" s="1373">
        <f>VLOOKUP(B58,[6]Sheet1!$D:$M,10,0)</f>
        <v>-1509878.12</v>
      </c>
      <c r="N58" s="550">
        <f t="shared" si="1"/>
        <v>-3613247.66</v>
      </c>
      <c r="O58" s="1012"/>
      <c r="P58" s="1013"/>
      <c r="U58" s="551"/>
      <c r="V58" s="1013"/>
      <c r="W58" s="1013"/>
    </row>
    <row r="59" spans="1:16383" s="1011" customFormat="1" hidden="1" x14ac:dyDescent="0.25">
      <c r="A59" s="1199" t="s">
        <v>683</v>
      </c>
      <c r="B59" s="1195">
        <v>20000006</v>
      </c>
      <c r="C59" s="1195">
        <v>3</v>
      </c>
      <c r="D59" s="1195" t="s">
        <v>6</v>
      </c>
      <c r="E59" s="1195" t="s">
        <v>1322</v>
      </c>
      <c r="F59" s="1414" t="s">
        <v>1329</v>
      </c>
      <c r="G59" s="550">
        <f>IFERROR(VLOOKUP(B59,[5]Sheet1!$C:$M,8,0),0)</f>
        <v>0</v>
      </c>
      <c r="H59" s="550">
        <f>IFERROR(VLOOKUP(B59,[5]Sheet1!$C:$M,9,0),0)</f>
        <v>-4850245.2300000004</v>
      </c>
      <c r="I59" s="1201">
        <f t="shared" si="0"/>
        <v>-4850245.2300000004</v>
      </c>
      <c r="J59" s="550">
        <v>0</v>
      </c>
      <c r="K59" s="550">
        <v>0</v>
      </c>
      <c r="L59" s="550"/>
      <c r="M59" s="1373">
        <f>VLOOKUP(B59,[6]Sheet1!$D:$M,10,0)</f>
        <v>-1127057.1200000001</v>
      </c>
      <c r="N59" s="550">
        <f t="shared" si="1"/>
        <v>-3723188.1100000003</v>
      </c>
      <c r="O59" s="1012"/>
      <c r="P59" s="1013"/>
      <c r="U59" s="551"/>
      <c r="V59" s="1013"/>
      <c r="W59" s="1013"/>
    </row>
    <row r="60" spans="1:16383" s="1011" customFormat="1" hidden="1" x14ac:dyDescent="0.25">
      <c r="A60" s="1199" t="s">
        <v>683</v>
      </c>
      <c r="B60" s="1195">
        <v>20000010</v>
      </c>
      <c r="C60" s="1195">
        <v>3</v>
      </c>
      <c r="D60" s="1195" t="s">
        <v>6</v>
      </c>
      <c r="E60" s="1195" t="s">
        <v>1323</v>
      </c>
      <c r="F60" s="1413" t="s">
        <v>1330</v>
      </c>
      <c r="G60" s="550">
        <f>IFERROR(VLOOKUP(B60,[5]Sheet1!$C:$M,8,0),0)</f>
        <v>0</v>
      </c>
      <c r="H60" s="550">
        <f>IFERROR(VLOOKUP(B60,[5]Sheet1!$C:$M,9,0),0)</f>
        <v>-2550479.37</v>
      </c>
      <c r="I60" s="1201">
        <f t="shared" si="0"/>
        <v>-2550479.37</v>
      </c>
      <c r="J60" s="550">
        <v>0</v>
      </c>
      <c r="K60" s="550">
        <v>0</v>
      </c>
      <c r="L60" s="550"/>
      <c r="M60" s="1373">
        <f>VLOOKUP(B60,[6]Sheet1!$D:$M,10,0)</f>
        <v>-594660.09999999905</v>
      </c>
      <c r="N60" s="550">
        <f t="shared" si="1"/>
        <v>-1955819.2700000009</v>
      </c>
      <c r="O60" s="1012"/>
      <c r="P60" s="1013"/>
      <c r="U60" s="551"/>
      <c r="V60" s="1013"/>
      <c r="W60" s="1013"/>
    </row>
    <row r="61" spans="1:16383" s="1011" customFormat="1" hidden="1" x14ac:dyDescent="0.25">
      <c r="A61" s="1199" t="s">
        <v>683</v>
      </c>
      <c r="B61" s="1195">
        <v>20000012</v>
      </c>
      <c r="C61" s="1195">
        <v>3</v>
      </c>
      <c r="D61" s="1195" t="s">
        <v>6</v>
      </c>
      <c r="E61" s="1195" t="s">
        <v>1324</v>
      </c>
      <c r="F61" s="1413" t="s">
        <v>1331</v>
      </c>
      <c r="G61" s="550">
        <f>IFERROR(VLOOKUP(B61,[5]Sheet1!$C:$M,8,0),0)</f>
        <v>0</v>
      </c>
      <c r="H61" s="550">
        <f>IFERROR(VLOOKUP(B61,[5]Sheet1!$C:$M,9,0),0)</f>
        <v>-16585173.390000001</v>
      </c>
      <c r="I61" s="1201">
        <f t="shared" si="0"/>
        <v>-16585173.390000001</v>
      </c>
      <c r="J61" s="550">
        <v>0</v>
      </c>
      <c r="K61" s="550">
        <v>0</v>
      </c>
      <c r="L61" s="550"/>
      <c r="M61" s="1373">
        <f>VLOOKUP(B61,[6]Sheet1!$D:$M,10,0)</f>
        <v>-3890620.1499999901</v>
      </c>
      <c r="N61" s="550">
        <f t="shared" si="1"/>
        <v>-12694553.24000001</v>
      </c>
      <c r="O61" s="1012"/>
      <c r="P61" s="1013"/>
      <c r="U61" s="551"/>
      <c r="V61" s="1013"/>
      <c r="W61" s="1013"/>
    </row>
    <row r="62" spans="1:16383" s="1011" customFormat="1" hidden="1" x14ac:dyDescent="0.25">
      <c r="A62" s="1199" t="s">
        <v>683</v>
      </c>
      <c r="B62" s="1195">
        <v>20000016</v>
      </c>
      <c r="C62" s="1195">
        <v>3</v>
      </c>
      <c r="D62" s="1195" t="s">
        <v>6</v>
      </c>
      <c r="E62" s="1195" t="s">
        <v>10</v>
      </c>
      <c r="F62" s="1413" t="s">
        <v>1332</v>
      </c>
      <c r="G62" s="550">
        <f>IFERROR(VLOOKUP(B62,[5]Sheet1!$C:$M,8,0),0)</f>
        <v>0</v>
      </c>
      <c r="H62" s="550">
        <f>IFERROR(VLOOKUP(B62,[5]Sheet1!$C:$M,9,0),0)</f>
        <v>-1796096.11</v>
      </c>
      <c r="I62" s="1201">
        <f t="shared" si="0"/>
        <v>-1796096.11</v>
      </c>
      <c r="J62" s="550">
        <v>0</v>
      </c>
      <c r="K62" s="550">
        <v>0</v>
      </c>
      <c r="L62" s="550"/>
      <c r="M62" s="1373">
        <f>VLOOKUP(B62,[6]Sheet1!$D:$M,10,0)</f>
        <v>-314295.84999999899</v>
      </c>
      <c r="N62" s="550">
        <f t="shared" si="1"/>
        <v>-1481800.2600000012</v>
      </c>
      <c r="O62" s="1012"/>
      <c r="P62" s="1013"/>
      <c r="U62" s="551"/>
      <c r="V62" s="1013"/>
      <c r="W62" s="1013"/>
    </row>
    <row r="63" spans="1:16383" s="1011" customFormat="1" hidden="1" x14ac:dyDescent="0.25">
      <c r="A63" s="1199" t="s">
        <v>683</v>
      </c>
      <c r="B63" s="1195">
        <v>20000017</v>
      </c>
      <c r="C63" s="1195">
        <v>3</v>
      </c>
      <c r="D63" s="1195" t="s">
        <v>6</v>
      </c>
      <c r="E63" s="1195" t="s">
        <v>289</v>
      </c>
      <c r="F63" s="1196" t="s">
        <v>500</v>
      </c>
      <c r="G63" s="550">
        <f>IFERROR(VLOOKUP(B63,[5]Sheet1!$C:$M,8,0),0)</f>
        <v>324389641</v>
      </c>
      <c r="H63" s="550">
        <f>IFERROR(VLOOKUP(B63,[5]Sheet1!$C:$M,9,0),0)</f>
        <v>0</v>
      </c>
      <c r="I63" s="1201">
        <f t="shared" si="0"/>
        <v>324389641</v>
      </c>
      <c r="J63" s="550">
        <v>0</v>
      </c>
      <c r="K63" s="550">
        <v>0</v>
      </c>
      <c r="L63" s="550"/>
      <c r="M63" s="1373">
        <f>VLOOKUP(B63,[6]Sheet1!$D:$M,10,0)</f>
        <v>324389641</v>
      </c>
      <c r="N63" s="550">
        <f t="shared" si="1"/>
        <v>0</v>
      </c>
      <c r="O63" s="1012"/>
      <c r="P63" s="1013"/>
      <c r="U63" s="551"/>
      <c r="V63" s="1013"/>
      <c r="W63" s="1013"/>
    </row>
    <row r="64" spans="1:16383" s="1011" customFormat="1" hidden="1" x14ac:dyDescent="0.25">
      <c r="A64" s="1199" t="s">
        <v>683</v>
      </c>
      <c r="B64" s="1195">
        <v>20000018</v>
      </c>
      <c r="C64" s="1195">
        <v>3</v>
      </c>
      <c r="D64" s="1195" t="s">
        <v>6</v>
      </c>
      <c r="E64" s="1195" t="s">
        <v>289</v>
      </c>
      <c r="F64" s="1413" t="s">
        <v>505</v>
      </c>
      <c r="G64" s="550">
        <f>IFERROR(VLOOKUP(B64,[5]Sheet1!$C:$M,8,0),0)</f>
        <v>0</v>
      </c>
      <c r="H64" s="550">
        <f>IFERROR(VLOOKUP(B64,[5]Sheet1!$C:$M,9,0),0)</f>
        <v>-12764667.18</v>
      </c>
      <c r="I64" s="1201">
        <f t="shared" si="0"/>
        <v>-12764667.18</v>
      </c>
      <c r="J64" s="550">
        <v>0</v>
      </c>
      <c r="K64" s="550">
        <v>0</v>
      </c>
      <c r="L64" s="550"/>
      <c r="M64" s="1373">
        <f>VLOOKUP(B64,[6]Sheet1!$D:$M,10,0)</f>
        <v>-9297332.9299999904</v>
      </c>
      <c r="N64" s="550">
        <f t="shared" si="1"/>
        <v>-3467334.2500000093</v>
      </c>
      <c r="O64" s="1012"/>
      <c r="P64" s="1013"/>
      <c r="U64" s="551"/>
      <c r="V64" s="1013"/>
      <c r="W64" s="1013"/>
    </row>
    <row r="65" spans="1:23" s="1011" customFormat="1" hidden="1" x14ac:dyDescent="0.25">
      <c r="A65" s="1199" t="s">
        <v>683</v>
      </c>
      <c r="B65" s="1195">
        <v>20100000</v>
      </c>
      <c r="C65" s="1195">
        <v>3</v>
      </c>
      <c r="D65" s="1195" t="s">
        <v>6</v>
      </c>
      <c r="E65" s="1195" t="s">
        <v>158</v>
      </c>
      <c r="F65" s="1196" t="s">
        <v>189</v>
      </c>
      <c r="G65" s="550">
        <f>IFERROR(VLOOKUP(B65,[5]Sheet1!$C:$M,8,0),0)</f>
        <v>150735016.47</v>
      </c>
      <c r="H65" s="550">
        <f>IFERROR(VLOOKUP(B65,[5]Sheet1!$C:$M,9,0),0)</f>
        <v>0</v>
      </c>
      <c r="I65" s="1201">
        <f t="shared" si="0"/>
        <v>150735016.47</v>
      </c>
      <c r="J65" s="550">
        <v>0</v>
      </c>
      <c r="K65" s="550">
        <v>0</v>
      </c>
      <c r="L65" s="550"/>
      <c r="M65" s="1373">
        <f>VLOOKUP(B65,[6]Sheet1!$D:$M,10,0)</f>
        <v>37539192.240000002</v>
      </c>
      <c r="N65" s="550">
        <f t="shared" si="1"/>
        <v>113195824.22999999</v>
      </c>
      <c r="O65" s="1012"/>
      <c r="P65" s="1013"/>
      <c r="U65" s="551"/>
      <c r="V65" s="1013"/>
      <c r="W65" s="1013"/>
    </row>
    <row r="66" spans="1:23" s="1011" customFormat="1" hidden="1" x14ac:dyDescent="0.25">
      <c r="A66" s="1199" t="s">
        <v>683</v>
      </c>
      <c r="B66" s="1195">
        <v>20100002</v>
      </c>
      <c r="C66" s="1195">
        <v>3</v>
      </c>
      <c r="D66" s="1195" t="s">
        <v>6</v>
      </c>
      <c r="E66" s="1195" t="s">
        <v>158</v>
      </c>
      <c r="F66" s="1196" t="s">
        <v>1253</v>
      </c>
      <c r="G66" s="550">
        <f>IFERROR(VLOOKUP(B66,[5]Sheet1!$C:$M,8,0),0)</f>
        <v>0</v>
      </c>
      <c r="H66" s="550">
        <f>IFERROR(VLOOKUP(B66,[5]Sheet1!$C:$M,9,0),0)</f>
        <v>-35792254.969999902</v>
      </c>
      <c r="I66" s="1201">
        <f t="shared" si="0"/>
        <v>-35792254.969999902</v>
      </c>
      <c r="J66" s="550">
        <v>0</v>
      </c>
      <c r="K66" s="550">
        <v>0</v>
      </c>
      <c r="L66" s="550"/>
      <c r="M66" s="1373">
        <f>VLOOKUP(B66,[6]Sheet1!$D:$M,10,0)</f>
        <v>0</v>
      </c>
      <c r="N66" s="550">
        <f t="shared" si="1"/>
        <v>-35792254.969999902</v>
      </c>
      <c r="O66" s="1012"/>
      <c r="P66" s="1013"/>
      <c r="U66" s="551"/>
      <c r="V66" s="1013"/>
      <c r="W66" s="1013"/>
    </row>
    <row r="67" spans="1:23" s="1011" customFormat="1" hidden="1" x14ac:dyDescent="0.25">
      <c r="A67" s="1199" t="s">
        <v>683</v>
      </c>
      <c r="B67" s="1195">
        <v>20100004</v>
      </c>
      <c r="C67" s="1195">
        <v>3</v>
      </c>
      <c r="D67" s="1195" t="s">
        <v>6</v>
      </c>
      <c r="E67" s="1195" t="s">
        <v>158</v>
      </c>
      <c r="F67" s="1196" t="s">
        <v>857</v>
      </c>
      <c r="G67" s="550">
        <f>IFERROR(VLOOKUP(B67,[5]Sheet1!$C:$M,8,0),0)</f>
        <v>41000</v>
      </c>
      <c r="H67" s="550">
        <f>IFERROR(VLOOKUP(B67,[5]Sheet1!$C:$M,9,0),0)</f>
        <v>0</v>
      </c>
      <c r="I67" s="1201">
        <f t="shared" si="0"/>
        <v>41000</v>
      </c>
      <c r="J67" s="550">
        <v>0</v>
      </c>
      <c r="K67" s="550">
        <v>0</v>
      </c>
      <c r="L67" s="550"/>
      <c r="M67" s="1373">
        <f>VLOOKUP(B67,[6]Sheet1!$D:$M,10,0)</f>
        <v>41000</v>
      </c>
      <c r="N67" s="550">
        <f t="shared" si="1"/>
        <v>0</v>
      </c>
      <c r="O67" s="1012"/>
      <c r="P67" s="1013"/>
      <c r="U67" s="551"/>
      <c r="V67" s="1013"/>
      <c r="W67" s="1013"/>
    </row>
    <row r="68" spans="1:23" s="1011" customFormat="1" hidden="1" x14ac:dyDescent="0.25">
      <c r="A68" s="1199" t="s">
        <v>683</v>
      </c>
      <c r="B68" s="1195">
        <v>40700034</v>
      </c>
      <c r="C68" s="1195">
        <v>3</v>
      </c>
      <c r="D68" s="1195" t="s">
        <v>6</v>
      </c>
      <c r="E68" s="1195" t="s">
        <v>158</v>
      </c>
      <c r="F68" s="1196" t="s">
        <v>517</v>
      </c>
      <c r="G68" s="550">
        <f>IFERROR(VLOOKUP(B68,[5]Sheet1!$C:$M,8,0),0)</f>
        <v>0</v>
      </c>
      <c r="H68" s="550">
        <f>IFERROR(VLOOKUP(B68,[5]Sheet1!$C:$M,9,0),0)</f>
        <v>0</v>
      </c>
      <c r="I68" s="1201">
        <f t="shared" si="0"/>
        <v>0</v>
      </c>
      <c r="J68" s="550">
        <v>0</v>
      </c>
      <c r="K68" s="550">
        <v>0</v>
      </c>
      <c r="L68" s="550"/>
      <c r="M68" s="1373">
        <f>VLOOKUP(B68,[6]Sheet1!$D:$M,10,0)</f>
        <v>-32419215.73</v>
      </c>
      <c r="N68" s="550">
        <f t="shared" si="1"/>
        <v>32419215.73</v>
      </c>
      <c r="O68" s="1012"/>
      <c r="P68" s="1013"/>
      <c r="Q68" s="1011" t="e">
        <f>VLOOKUP(B68,[7]!Table1[GLAccountNo],1,0)</f>
        <v>#REF!</v>
      </c>
      <c r="U68" s="551"/>
      <c r="V68" s="1013"/>
      <c r="W68" s="1013"/>
    </row>
    <row r="69" spans="1:23" s="1011" customFormat="1" hidden="1" x14ac:dyDescent="0.25">
      <c r="A69" s="1199" t="s">
        <v>683</v>
      </c>
      <c r="B69" s="1195">
        <v>20000005</v>
      </c>
      <c r="C69" s="1195">
        <v>3</v>
      </c>
      <c r="D69" s="1195" t="s">
        <v>6</v>
      </c>
      <c r="E69" s="1195" t="s">
        <v>1322</v>
      </c>
      <c r="F69" s="1195" t="s">
        <v>1322</v>
      </c>
      <c r="G69" s="550">
        <f>IFERROR(VLOOKUP(B69,[5]Sheet1!$C:$M,8,0),0)</f>
        <v>19595727</v>
      </c>
      <c r="H69" s="550">
        <f>IFERROR(VLOOKUP(B69,[5]Sheet1!$C:$M,9,0),0)</f>
        <v>0</v>
      </c>
      <c r="I69" s="1201">
        <f t="shared" si="0"/>
        <v>19595727</v>
      </c>
      <c r="J69" s="550">
        <v>0</v>
      </c>
      <c r="K69" s="550">
        <v>0</v>
      </c>
      <c r="L69" s="550"/>
      <c r="M69" s="1373">
        <f>VLOOKUP(B69,[6]Sheet1!$D:$M,10,0)</f>
        <v>19595727</v>
      </c>
      <c r="N69" s="550">
        <f t="shared" si="1"/>
        <v>0</v>
      </c>
      <c r="O69" s="1012"/>
      <c r="P69" s="1013"/>
      <c r="U69" s="551"/>
      <c r="V69" s="1013"/>
      <c r="W69" s="1013"/>
    </row>
    <row r="70" spans="1:23" s="1011" customFormat="1" hidden="1" x14ac:dyDescent="0.25">
      <c r="A70" s="1199" t="s">
        <v>683</v>
      </c>
      <c r="B70" s="1195">
        <v>20000009</v>
      </c>
      <c r="C70" s="1195">
        <v>3</v>
      </c>
      <c r="D70" s="1195" t="s">
        <v>6</v>
      </c>
      <c r="E70" s="1195" t="s">
        <v>1323</v>
      </c>
      <c r="F70" s="1195" t="s">
        <v>1323</v>
      </c>
      <c r="G70" s="550">
        <f>IFERROR(VLOOKUP(B70,[5]Sheet1!$C:$M,8,0),0)</f>
        <v>20587570.109999899</v>
      </c>
      <c r="H70" s="550">
        <f>IFERROR(VLOOKUP(B70,[5]Sheet1!$C:$M,9,0),0)</f>
        <v>0</v>
      </c>
      <c r="I70" s="1201">
        <f t="shared" si="0"/>
        <v>20587570.109999899</v>
      </c>
      <c r="J70" s="550">
        <v>0</v>
      </c>
      <c r="K70" s="550">
        <v>0</v>
      </c>
      <c r="L70" s="550"/>
      <c r="M70" s="1373">
        <f>VLOOKUP(B70,[6]Sheet1!$D:$M,10,0)</f>
        <v>20587570.109999899</v>
      </c>
      <c r="N70" s="550">
        <f t="shared" si="1"/>
        <v>0</v>
      </c>
      <c r="O70" s="1012"/>
      <c r="P70" s="1013"/>
      <c r="U70" s="551"/>
      <c r="V70" s="1013"/>
      <c r="W70" s="1013"/>
    </row>
    <row r="71" spans="1:23" s="1011" customFormat="1" hidden="1" x14ac:dyDescent="0.25">
      <c r="A71" s="1199" t="s">
        <v>683</v>
      </c>
      <c r="B71" s="1195">
        <v>20000011</v>
      </c>
      <c r="C71" s="1195">
        <v>3</v>
      </c>
      <c r="D71" s="1195" t="s">
        <v>6</v>
      </c>
      <c r="E71" s="1195" t="s">
        <v>1324</v>
      </c>
      <c r="F71" s="1195" t="s">
        <v>1324</v>
      </c>
      <c r="G71" s="550">
        <f>IFERROR(VLOOKUP(B71,[5]Sheet1!$C:$M,8,0),0)</f>
        <v>133955865.7</v>
      </c>
      <c r="H71" s="550">
        <f>IFERROR(VLOOKUP(B71,[5]Sheet1!$C:$M,9,0),0)</f>
        <v>0</v>
      </c>
      <c r="I71" s="1201">
        <f t="shared" ref="I71:I134" si="4">G71+H71</f>
        <v>133955865.7</v>
      </c>
      <c r="J71" s="550">
        <v>0</v>
      </c>
      <c r="K71" s="550">
        <v>0</v>
      </c>
      <c r="L71" s="550"/>
      <c r="M71" s="1373">
        <f>VLOOKUP(B71,[6]Sheet1!$D:$M,10,0)</f>
        <v>133494755.59</v>
      </c>
      <c r="N71" s="550">
        <f t="shared" ref="N71:N134" si="5">I71-M71</f>
        <v>461110.1099999994</v>
      </c>
      <c r="O71" s="1012"/>
      <c r="P71" s="1013"/>
      <c r="U71" s="551"/>
      <c r="V71" s="1013"/>
      <c r="W71" s="1013"/>
    </row>
    <row r="72" spans="1:23" s="1011" customFormat="1" hidden="1" x14ac:dyDescent="0.25">
      <c r="A72" s="1199" t="s">
        <v>683</v>
      </c>
      <c r="B72" s="1195">
        <v>20000015</v>
      </c>
      <c r="C72" s="1195">
        <v>3</v>
      </c>
      <c r="D72" s="1195" t="s">
        <v>6</v>
      </c>
      <c r="E72" s="1195" t="s">
        <v>10</v>
      </c>
      <c r="F72" s="1195" t="s">
        <v>1325</v>
      </c>
      <c r="G72" s="550">
        <f>IFERROR(VLOOKUP(B72,[5]Sheet1!$C:$M,8,0),0)</f>
        <v>4679369.24</v>
      </c>
      <c r="H72" s="550">
        <f>IFERROR(VLOOKUP(B72,[5]Sheet1!$C:$M,9,0),0)</f>
        <v>0</v>
      </c>
      <c r="I72" s="1201">
        <f t="shared" si="4"/>
        <v>4679369.24</v>
      </c>
      <c r="J72" s="550">
        <v>0</v>
      </c>
      <c r="K72" s="550">
        <v>0</v>
      </c>
      <c r="L72" s="550"/>
      <c r="M72" s="1373">
        <f>VLOOKUP(B72,[6]Sheet1!$D:$M,10,0)</f>
        <v>4679369.24</v>
      </c>
      <c r="N72" s="550">
        <f t="shared" si="5"/>
        <v>0</v>
      </c>
      <c r="O72" s="1012"/>
      <c r="P72" s="1013"/>
      <c r="U72" s="551"/>
      <c r="V72" s="1013"/>
      <c r="W72" s="1013"/>
    </row>
    <row r="73" spans="1:23" s="1011" customFormat="1" hidden="1" x14ac:dyDescent="0.25">
      <c r="A73" s="1199" t="s">
        <v>683</v>
      </c>
      <c r="B73" s="1195">
        <v>20100003</v>
      </c>
      <c r="C73" s="1195">
        <v>3</v>
      </c>
      <c r="D73" s="1195" t="s">
        <v>6</v>
      </c>
      <c r="E73" s="1195" t="s">
        <v>158</v>
      </c>
      <c r="F73" s="1196" t="s">
        <v>1326</v>
      </c>
      <c r="G73" s="550">
        <f>IFERROR(VLOOKUP(B73,[5]Sheet1!$C:$M,8,0),0)</f>
        <v>0</v>
      </c>
      <c r="H73" s="550">
        <f>IFERROR(VLOOKUP(B73,[5]Sheet1!$C:$M,9,0),0)</f>
        <v>-41060</v>
      </c>
      <c r="I73" s="1201">
        <f t="shared" si="4"/>
        <v>-41060</v>
      </c>
      <c r="J73" s="550">
        <v>0</v>
      </c>
      <c r="K73" s="550">
        <v>0</v>
      </c>
      <c r="L73" s="550"/>
      <c r="M73" s="1373">
        <f>VLOOKUP(B73,[6]Sheet1!$D:$M,10,0)</f>
        <v>-41060</v>
      </c>
      <c r="N73" s="550">
        <f t="shared" si="5"/>
        <v>0</v>
      </c>
      <c r="O73" s="1012"/>
      <c r="P73" s="1013"/>
      <c r="U73" s="551"/>
      <c r="V73" s="1013"/>
      <c r="W73" s="1013"/>
    </row>
    <row r="74" spans="1:23" s="1011" customFormat="1" hidden="1" x14ac:dyDescent="0.25">
      <c r="A74" s="1199" t="s">
        <v>683</v>
      </c>
      <c r="B74" s="1195">
        <v>20300000</v>
      </c>
      <c r="C74" s="1195">
        <v>5</v>
      </c>
      <c r="D74" s="1195" t="s">
        <v>152</v>
      </c>
      <c r="E74" s="1195" t="s">
        <v>175</v>
      </c>
      <c r="F74" s="1196" t="s">
        <v>731</v>
      </c>
      <c r="G74" s="550">
        <f>IFERROR(VLOOKUP(B74,[5]Sheet1!$C:$M,8,0),0)</f>
        <v>34062381.859999903</v>
      </c>
      <c r="H74" s="550">
        <f>IFERROR(VLOOKUP(B74,[5]Sheet1!$C:$M,9,0),0)</f>
        <v>0</v>
      </c>
      <c r="I74" s="1201">
        <f t="shared" si="4"/>
        <v>34062381.859999903</v>
      </c>
      <c r="J74" s="550">
        <v>0</v>
      </c>
      <c r="K74" s="550">
        <v>0</v>
      </c>
      <c r="L74" s="550"/>
      <c r="M74" s="1373">
        <f>VLOOKUP(B74,[6]Sheet1!$D:$M,10,0)</f>
        <v>28163904</v>
      </c>
      <c r="N74" s="550">
        <f t="shared" si="5"/>
        <v>5898477.8599999025</v>
      </c>
      <c r="O74" s="1012"/>
      <c r="P74" s="1013"/>
      <c r="U74" s="551"/>
      <c r="V74" s="1013"/>
      <c r="W74" s="1013"/>
    </row>
    <row r="75" spans="1:23" s="1011" customFormat="1" hidden="1" x14ac:dyDescent="0.25">
      <c r="A75" s="1199" t="s">
        <v>683</v>
      </c>
      <c r="B75" s="1195">
        <v>20300004</v>
      </c>
      <c r="C75" s="1195">
        <v>5</v>
      </c>
      <c r="D75" s="1195" t="s">
        <v>152</v>
      </c>
      <c r="E75" s="1195" t="s">
        <v>175</v>
      </c>
      <c r="F75" s="1196" t="s">
        <v>1254</v>
      </c>
      <c r="G75" s="550">
        <f>IFERROR(VLOOKUP(B75,[5]Sheet1!$C:$M,8,0),0)</f>
        <v>1000</v>
      </c>
      <c r="H75" s="550">
        <f>IFERROR(VLOOKUP(B75,[5]Sheet1!$C:$M,9,0),0)</f>
        <v>0</v>
      </c>
      <c r="I75" s="1201">
        <f t="shared" si="4"/>
        <v>1000</v>
      </c>
      <c r="J75" s="550">
        <v>0</v>
      </c>
      <c r="K75" s="550">
        <v>0</v>
      </c>
      <c r="L75" s="550"/>
      <c r="M75" s="1373">
        <f>VLOOKUP(B75,[6]Sheet1!$D:$M,10,0)</f>
        <v>1000</v>
      </c>
      <c r="N75" s="550">
        <f t="shared" si="5"/>
        <v>0</v>
      </c>
      <c r="O75" s="1012"/>
      <c r="P75" s="1013"/>
      <c r="U75" s="551"/>
      <c r="V75" s="1013"/>
      <c r="W75" s="1013"/>
    </row>
    <row r="76" spans="1:23" s="1385" customFormat="1" hidden="1" x14ac:dyDescent="0.25">
      <c r="A76" s="1421" t="s">
        <v>26</v>
      </c>
      <c r="B76" s="1375">
        <v>20400001</v>
      </c>
      <c r="C76" s="1375">
        <v>16</v>
      </c>
      <c r="D76" s="1375" t="s">
        <v>31</v>
      </c>
      <c r="E76" s="1375" t="s">
        <v>31</v>
      </c>
      <c r="F76" s="1376" t="s">
        <v>1255</v>
      </c>
      <c r="G76" s="1377">
        <v>95917.279999999897</v>
      </c>
      <c r="H76" s="1377">
        <v>0</v>
      </c>
      <c r="I76" s="1378">
        <f t="shared" si="4"/>
        <v>95917.279999999897</v>
      </c>
      <c r="J76" s="1379"/>
      <c r="K76" s="1377">
        <f t="shared" ref="K76" si="6">I76-J76</f>
        <v>95917.279999999897</v>
      </c>
      <c r="L76" s="1377">
        <f t="shared" ref="L76" si="7">I76-J76-K76</f>
        <v>0</v>
      </c>
      <c r="M76" s="1380">
        <f>VLOOKUP(B76,[6]Sheet1!$D:$M,10,0)</f>
        <v>95917.279999999897</v>
      </c>
      <c r="N76" s="1377">
        <f t="shared" si="5"/>
        <v>0</v>
      </c>
      <c r="O76" s="1383"/>
      <c r="P76" s="1384"/>
      <c r="U76" s="551"/>
      <c r="V76" s="1013"/>
      <c r="W76" s="1384"/>
    </row>
    <row r="77" spans="1:23" s="1011" customFormat="1" hidden="1" x14ac:dyDescent="0.25">
      <c r="A77" s="1199" t="s">
        <v>683</v>
      </c>
      <c r="B77" s="1195">
        <v>20500000</v>
      </c>
      <c r="C77" s="1195">
        <v>8</v>
      </c>
      <c r="D77" s="1195" t="s">
        <v>159</v>
      </c>
      <c r="E77" s="1195" t="s">
        <v>1709</v>
      </c>
      <c r="F77" s="1196" t="s">
        <v>732</v>
      </c>
      <c r="G77" s="550">
        <f>IFERROR(VLOOKUP(B77,[5]Sheet1!$C:$M,8,0),0)</f>
        <v>152184826.02000001</v>
      </c>
      <c r="H77" s="550">
        <f>IFERROR(VLOOKUP(B77,[5]Sheet1!$C:$M,9,0),0)</f>
        <v>0</v>
      </c>
      <c r="I77" s="1201">
        <f t="shared" si="4"/>
        <v>152184826.02000001</v>
      </c>
      <c r="J77" s="550">
        <v>0</v>
      </c>
      <c r="K77" s="550">
        <v>0</v>
      </c>
      <c r="L77" s="550"/>
      <c r="M77" s="1373">
        <f>VLOOKUP(B77,[6]Sheet1!$D:$M,10,0)</f>
        <v>116440482.87</v>
      </c>
      <c r="N77" s="550">
        <f t="shared" si="5"/>
        <v>35744343.150000006</v>
      </c>
      <c r="O77" s="1012"/>
      <c r="P77" s="1013"/>
      <c r="U77" s="551"/>
      <c r="V77" s="1013"/>
      <c r="W77" s="1013"/>
    </row>
    <row r="78" spans="1:23" s="1011" customFormat="1" hidden="1" x14ac:dyDescent="0.25">
      <c r="A78" s="1199" t="s">
        <v>683</v>
      </c>
      <c r="B78" s="1195">
        <v>20500001</v>
      </c>
      <c r="C78" s="1195">
        <v>8</v>
      </c>
      <c r="D78" s="1195" t="s">
        <v>159</v>
      </c>
      <c r="E78" s="1195" t="s">
        <v>839</v>
      </c>
      <c r="F78" s="1196" t="s">
        <v>1256</v>
      </c>
      <c r="G78" s="550">
        <f>IFERROR(VLOOKUP(B78,[5]Sheet1!$C:$M,8,0),0)</f>
        <v>1251508.97</v>
      </c>
      <c r="H78" s="550">
        <f>IFERROR(VLOOKUP(B78,[5]Sheet1!$C:$M,9,0),0)</f>
        <v>0</v>
      </c>
      <c r="I78" s="1201">
        <f t="shared" si="4"/>
        <v>1251508.97</v>
      </c>
      <c r="J78" s="550">
        <v>0</v>
      </c>
      <c r="K78" s="550">
        <v>0</v>
      </c>
      <c r="L78" s="550"/>
      <c r="M78" s="1373">
        <f>VLOOKUP(B78,[6]Sheet1!$D:$M,10,0)</f>
        <v>5085105.6699999897</v>
      </c>
      <c r="N78" s="550">
        <f t="shared" si="5"/>
        <v>-3833596.6999999899</v>
      </c>
      <c r="O78" s="1012"/>
      <c r="P78" s="1013"/>
      <c r="U78" s="551"/>
      <c r="V78" s="1013"/>
      <c r="W78" s="1013"/>
    </row>
    <row r="79" spans="1:23" s="1011" customFormat="1" hidden="1" x14ac:dyDescent="0.25">
      <c r="A79" s="1199" t="s">
        <v>683</v>
      </c>
      <c r="B79" s="1195">
        <v>20500002</v>
      </c>
      <c r="C79" s="1195">
        <v>8</v>
      </c>
      <c r="D79" s="1195" t="s">
        <v>159</v>
      </c>
      <c r="E79" s="1195" t="s">
        <v>735</v>
      </c>
      <c r="F79" s="1196" t="s">
        <v>1192</v>
      </c>
      <c r="G79" s="550">
        <f>IFERROR(VLOOKUP(B79,[5]Sheet1!$C:$M,8,0),0)</f>
        <v>4992245.99</v>
      </c>
      <c r="H79" s="550">
        <f>IFERROR(VLOOKUP(B79,[5]Sheet1!$C:$M,9,0),0)</f>
        <v>0</v>
      </c>
      <c r="I79" s="1201">
        <f t="shared" si="4"/>
        <v>4992245.99</v>
      </c>
      <c r="J79" s="550">
        <v>0</v>
      </c>
      <c r="K79" s="550">
        <v>0</v>
      </c>
      <c r="L79" s="550"/>
      <c r="M79" s="1373">
        <f>VLOOKUP(B79,[6]Sheet1!$D:$M,10,0)</f>
        <v>2473584.6</v>
      </c>
      <c r="N79" s="550">
        <f t="shared" si="5"/>
        <v>2518661.39</v>
      </c>
      <c r="O79" s="1012"/>
      <c r="P79" s="1013"/>
      <c r="U79" s="551"/>
      <c r="V79" s="1013"/>
      <c r="W79" s="1013"/>
    </row>
    <row r="80" spans="1:23" s="1011" customFormat="1" hidden="1" x14ac:dyDescent="0.25">
      <c r="A80" s="1199" t="s">
        <v>683</v>
      </c>
      <c r="B80" s="1195">
        <v>20500003</v>
      </c>
      <c r="C80" s="1195">
        <v>8</v>
      </c>
      <c r="D80" s="1195" t="s">
        <v>159</v>
      </c>
      <c r="E80" s="1195" t="s">
        <v>733</v>
      </c>
      <c r="F80" s="1196" t="s">
        <v>734</v>
      </c>
      <c r="G80" s="550">
        <f>IFERROR(VLOOKUP(B80,[5]Sheet1!$C:$M,8,0),0)</f>
        <v>186323305.09999901</v>
      </c>
      <c r="H80" s="550">
        <f>IFERROR(VLOOKUP(B80,[5]Sheet1!$C:$M,9,0),0)</f>
        <v>0</v>
      </c>
      <c r="I80" s="1201">
        <f t="shared" si="4"/>
        <v>186323305.09999901</v>
      </c>
      <c r="J80" s="550">
        <v>0</v>
      </c>
      <c r="K80" s="550">
        <v>0</v>
      </c>
      <c r="L80" s="550"/>
      <c r="M80" s="1373">
        <f>VLOOKUP(B80,[6]Sheet1!$D:$M,10,0)</f>
        <v>147255794.99000001</v>
      </c>
      <c r="N80" s="550">
        <f t="shared" si="5"/>
        <v>39067510.109999001</v>
      </c>
      <c r="O80" s="1012"/>
      <c r="P80" s="1013"/>
      <c r="U80" s="551"/>
      <c r="V80" s="1013"/>
      <c r="W80" s="1013"/>
    </row>
    <row r="81" spans="1:29" s="1011" customFormat="1" hidden="1" x14ac:dyDescent="0.25">
      <c r="A81" s="1199" t="s">
        <v>683</v>
      </c>
      <c r="B81" s="1195">
        <v>20500005</v>
      </c>
      <c r="C81" s="1195">
        <v>8</v>
      </c>
      <c r="D81" s="1195" t="s">
        <v>159</v>
      </c>
      <c r="E81" s="1195" t="s">
        <v>735</v>
      </c>
      <c r="F81" s="1196" t="s">
        <v>736</v>
      </c>
      <c r="G81" s="550">
        <f>IFERROR(VLOOKUP(B81,[5]Sheet1!$C:$M,8,0),0)</f>
        <v>31250536.309999902</v>
      </c>
      <c r="H81" s="550">
        <f>IFERROR(VLOOKUP(B81,[5]Sheet1!$C:$M,9,0),0)</f>
        <v>0</v>
      </c>
      <c r="I81" s="1201">
        <f t="shared" si="4"/>
        <v>31250536.309999902</v>
      </c>
      <c r="J81" s="550">
        <v>0</v>
      </c>
      <c r="K81" s="550">
        <v>0</v>
      </c>
      <c r="L81" s="550"/>
      <c r="M81" s="1373">
        <f>VLOOKUP(B81,[6]Sheet1!$D:$M,10,0)</f>
        <v>11148095.59</v>
      </c>
      <c r="N81" s="550">
        <f t="shared" si="5"/>
        <v>20102440.719999902</v>
      </c>
      <c r="O81" s="1012"/>
      <c r="P81" s="1013"/>
      <c r="U81" s="551"/>
      <c r="V81" s="1013"/>
      <c r="W81" s="1013"/>
    </row>
    <row r="82" spans="1:29" hidden="1" x14ac:dyDescent="0.25">
      <c r="A82" s="1199" t="s">
        <v>683</v>
      </c>
      <c r="B82" s="1199">
        <v>20500006</v>
      </c>
      <c r="C82" s="1195">
        <v>8</v>
      </c>
      <c r="D82" s="1195" t="s">
        <v>159</v>
      </c>
      <c r="E82" s="1199" t="s">
        <v>891</v>
      </c>
      <c r="F82" s="1196" t="s">
        <v>1257</v>
      </c>
      <c r="G82" s="550">
        <f>IFERROR(VLOOKUP(B82,[5]Sheet1!$C:$M,8,0),0)</f>
        <v>227359886.90000001</v>
      </c>
      <c r="H82" s="550">
        <f>IFERROR(VLOOKUP(B82,[5]Sheet1!$C:$M,9,0),0)</f>
        <v>0</v>
      </c>
      <c r="I82" s="1201">
        <f t="shared" si="4"/>
        <v>227359886.90000001</v>
      </c>
      <c r="J82" s="550">
        <v>0</v>
      </c>
      <c r="K82" s="550">
        <v>0</v>
      </c>
      <c r="L82" s="550"/>
      <c r="M82" s="1373">
        <f>VLOOKUP(B82,[6]Sheet1!$D:$M,10,0)</f>
        <v>0</v>
      </c>
      <c r="N82" s="550">
        <f t="shared" si="5"/>
        <v>227359886.90000001</v>
      </c>
      <c r="U82" s="551"/>
      <c r="V82" s="1013"/>
    </row>
    <row r="83" spans="1:29" s="1011" customFormat="1" hidden="1" x14ac:dyDescent="0.25">
      <c r="A83" s="1199" t="s">
        <v>683</v>
      </c>
      <c r="B83" s="1195">
        <v>20500008</v>
      </c>
      <c r="C83" s="1195">
        <v>8</v>
      </c>
      <c r="D83" s="1195" t="s">
        <v>159</v>
      </c>
      <c r="E83" s="1195" t="s">
        <v>733</v>
      </c>
      <c r="F83" s="1196" t="s">
        <v>1258</v>
      </c>
      <c r="G83" s="550">
        <f>IFERROR(VLOOKUP(B83,[5]Sheet1!$C:$M,8,0),0)</f>
        <v>0</v>
      </c>
      <c r="H83" s="550">
        <f>IFERROR(VLOOKUP(B83,[5]Sheet1!$C:$M,9,0),0)</f>
        <v>-3185656.14</v>
      </c>
      <c r="I83" s="1201">
        <f t="shared" si="4"/>
        <v>-3185656.14</v>
      </c>
      <c r="J83" s="550">
        <v>0</v>
      </c>
      <c r="K83" s="550">
        <v>0</v>
      </c>
      <c r="L83" s="1398"/>
      <c r="M83" s="1373">
        <f>VLOOKUP(B83,[6]Sheet1!$D:$M,10,0)</f>
        <v>-117896</v>
      </c>
      <c r="N83" s="550">
        <f t="shared" si="5"/>
        <v>-3067760.14</v>
      </c>
      <c r="O83" s="1408"/>
      <c r="P83" s="1013"/>
      <c r="Q83" s="1409"/>
      <c r="R83" s="1410">
        <f>-R181</f>
        <v>-18995242</v>
      </c>
      <c r="U83" s="551"/>
      <c r="V83" s="1013"/>
      <c r="W83" s="1013"/>
    </row>
    <row r="84" spans="1:29" s="1011" customFormat="1" hidden="1" x14ac:dyDescent="0.25">
      <c r="A84" s="1199" t="s">
        <v>683</v>
      </c>
      <c r="B84" s="1195">
        <v>20600001</v>
      </c>
      <c r="C84" s="1195">
        <v>9</v>
      </c>
      <c r="D84" s="1195" t="s">
        <v>737</v>
      </c>
      <c r="E84" s="1195" t="s">
        <v>738</v>
      </c>
      <c r="F84" s="1196" t="s">
        <v>739</v>
      </c>
      <c r="G84" s="550">
        <f>IFERROR(VLOOKUP(B84,[5]Sheet1!$C:$M,8,0),0)</f>
        <v>108663807.14</v>
      </c>
      <c r="H84" s="550">
        <f>IFERROR(VLOOKUP(B84,[5]Sheet1!$C:$M,9,0),0)</f>
        <v>0</v>
      </c>
      <c r="I84" s="1201">
        <f t="shared" si="4"/>
        <v>108663807.14</v>
      </c>
      <c r="J84" s="550">
        <v>0</v>
      </c>
      <c r="K84" s="550">
        <v>0</v>
      </c>
      <c r="L84" s="550"/>
      <c r="M84" s="1373">
        <f>VLOOKUP(B84,[6]Sheet1!$D:$M,10,0)</f>
        <v>62518613.170000002</v>
      </c>
      <c r="N84" s="550">
        <f t="shared" si="5"/>
        <v>46145193.969999999</v>
      </c>
      <c r="O84" s="1012"/>
      <c r="P84" s="1013"/>
      <c r="U84" s="551"/>
      <c r="V84" s="1013"/>
      <c r="W84" s="1013"/>
    </row>
    <row r="85" spans="1:29" s="1011" customFormat="1" hidden="1" x14ac:dyDescent="0.25">
      <c r="A85" s="1199" t="s">
        <v>683</v>
      </c>
      <c r="B85" s="1195">
        <v>20600004</v>
      </c>
      <c r="C85" s="1195">
        <v>9</v>
      </c>
      <c r="D85" s="1195" t="s">
        <v>737</v>
      </c>
      <c r="E85" s="1195" t="s">
        <v>738</v>
      </c>
      <c r="F85" s="1196" t="s">
        <v>740</v>
      </c>
      <c r="G85" s="550">
        <f>IFERROR(VLOOKUP(B85,[5]Sheet1!$C:$M,8,0),0)</f>
        <v>162126.5</v>
      </c>
      <c r="H85" s="550">
        <f>IFERROR(VLOOKUP(B85,[5]Sheet1!$C:$M,9,0),0)</f>
        <v>0</v>
      </c>
      <c r="I85" s="1201">
        <f t="shared" si="4"/>
        <v>162126.5</v>
      </c>
      <c r="J85" s="550">
        <v>0</v>
      </c>
      <c r="K85" s="550">
        <v>0</v>
      </c>
      <c r="L85" s="550"/>
      <c r="M85" s="1373">
        <f>VLOOKUP(B85,[6]Sheet1!$D:$M,10,0)</f>
        <v>561124.69999999902</v>
      </c>
      <c r="N85" s="550">
        <f t="shared" si="5"/>
        <v>-398998.19999999902</v>
      </c>
      <c r="O85" s="1012"/>
      <c r="P85" s="1013"/>
      <c r="U85" s="551"/>
      <c r="V85" s="1013"/>
      <c r="W85" s="1013"/>
    </row>
    <row r="86" spans="1:29" s="1011" customFormat="1" hidden="1" x14ac:dyDescent="0.25">
      <c r="A86" s="1199" t="s">
        <v>683</v>
      </c>
      <c r="B86" s="1199">
        <v>20600006</v>
      </c>
      <c r="C86" s="1195">
        <v>9</v>
      </c>
      <c r="D86" s="1199" t="s">
        <v>737</v>
      </c>
      <c r="E86" s="1195" t="s">
        <v>738</v>
      </c>
      <c r="F86" s="1196" t="s">
        <v>873</v>
      </c>
      <c r="G86" s="550">
        <f>IFERROR(VLOOKUP(B86,[5]Sheet1!$C:$M,8,0),0)</f>
        <v>0</v>
      </c>
      <c r="H86" s="550">
        <f>IFERROR(VLOOKUP(B86,[5]Sheet1!$C:$M,9,0),0)</f>
        <v>-265383125.389999</v>
      </c>
      <c r="I86" s="1201">
        <f t="shared" si="4"/>
        <v>-265383125.389999</v>
      </c>
      <c r="J86" s="550">
        <v>0</v>
      </c>
      <c r="K86" s="550">
        <v>0</v>
      </c>
      <c r="L86" s="550"/>
      <c r="M86" s="1373" t="e">
        <f>VLOOKUP(B86,[6]Sheet1!$D:$M,10,0)</f>
        <v>#N/A</v>
      </c>
      <c r="N86" s="550" t="e">
        <f t="shared" si="5"/>
        <v>#N/A</v>
      </c>
      <c r="O86" s="1012"/>
      <c r="P86" s="1013"/>
      <c r="U86" s="551"/>
      <c r="V86" s="1013"/>
      <c r="W86" s="1013"/>
    </row>
    <row r="87" spans="1:29" s="1011" customFormat="1" hidden="1" x14ac:dyDescent="0.25">
      <c r="A87" s="1199" t="s">
        <v>683</v>
      </c>
      <c r="B87" s="1195">
        <v>20600009</v>
      </c>
      <c r="C87" s="1195">
        <v>9</v>
      </c>
      <c r="D87" s="1195" t="s">
        <v>737</v>
      </c>
      <c r="E87" s="1195" t="s">
        <v>738</v>
      </c>
      <c r="F87" s="1196" t="s">
        <v>741</v>
      </c>
      <c r="G87" s="550">
        <f>IFERROR(VLOOKUP(B87,[5]Sheet1!$C:$M,8,0),0)</f>
        <v>0</v>
      </c>
      <c r="H87" s="550">
        <f>IFERROR(VLOOKUP(B87,[5]Sheet1!$C:$M,9,0),0)</f>
        <v>-901805.07999999903</v>
      </c>
      <c r="I87" s="1201">
        <f t="shared" si="4"/>
        <v>-901805.07999999903</v>
      </c>
      <c r="J87" s="550">
        <v>0</v>
      </c>
      <c r="K87" s="550">
        <v>0</v>
      </c>
      <c r="L87" s="550"/>
      <c r="M87" s="1373">
        <f>VLOOKUP(B87,[6]Sheet1!$D:$M,10,0)</f>
        <v>-3393920.35</v>
      </c>
      <c r="N87" s="550">
        <f t="shared" si="5"/>
        <v>2492115.2700000009</v>
      </c>
      <c r="O87" s="1012"/>
      <c r="P87" s="1013"/>
      <c r="U87" s="551"/>
      <c r="V87" s="1013"/>
      <c r="W87" s="1013"/>
    </row>
    <row r="88" spans="1:29" s="1011" customFormat="1" hidden="1" x14ac:dyDescent="0.25">
      <c r="A88" s="1199" t="s">
        <v>683</v>
      </c>
      <c r="B88" s="1195">
        <v>20800110</v>
      </c>
      <c r="C88" s="1195">
        <v>10</v>
      </c>
      <c r="D88" s="1195" t="s">
        <v>1235</v>
      </c>
      <c r="E88" s="1195" t="s">
        <v>121</v>
      </c>
      <c r="F88" s="1196" t="s">
        <v>1259</v>
      </c>
      <c r="G88" s="550">
        <f>IFERROR(VLOOKUP(B88,[5]Sheet1!$C:$M,8,0),0)</f>
        <v>475424.47999999899</v>
      </c>
      <c r="H88" s="550">
        <f>IFERROR(VLOOKUP(B88,[5]Sheet1!$C:$M,9,0),0)</f>
        <v>0</v>
      </c>
      <c r="I88" s="1412">
        <f t="shared" si="4"/>
        <v>475424.47999999899</v>
      </c>
      <c r="J88" s="550">
        <v>0</v>
      </c>
      <c r="K88" s="550">
        <v>0</v>
      </c>
      <c r="L88" s="550"/>
      <c r="M88" s="1373">
        <f>VLOOKUP(B88,[6]Sheet1!$D:$M,10,0)</f>
        <v>475424.47999999899</v>
      </c>
      <c r="N88" s="550">
        <f t="shared" si="5"/>
        <v>0</v>
      </c>
      <c r="O88" s="1012"/>
      <c r="P88" s="1013"/>
      <c r="U88" s="551"/>
      <c r="V88" s="1013"/>
      <c r="W88" s="1013"/>
    </row>
    <row r="89" spans="1:29" s="1011" customFormat="1" hidden="1" x14ac:dyDescent="0.25">
      <c r="A89" s="1199" t="s">
        <v>683</v>
      </c>
      <c r="B89" s="1195">
        <v>20800111</v>
      </c>
      <c r="C89" s="1195">
        <v>10</v>
      </c>
      <c r="D89" s="1195" t="s">
        <v>1235</v>
      </c>
      <c r="E89" s="1195" t="s">
        <v>121</v>
      </c>
      <c r="F89" s="1196" t="s">
        <v>1259</v>
      </c>
      <c r="G89" s="550">
        <f>IFERROR(VLOOKUP(B89,[5]Sheet1!$C:$M,8,0),0)</f>
        <v>3510039824.27</v>
      </c>
      <c r="H89" s="550">
        <f>IFERROR(VLOOKUP(B89,[5]Sheet1!$C:$M,9,0),0)</f>
        <v>0</v>
      </c>
      <c r="I89" s="1412">
        <f t="shared" si="4"/>
        <v>3510039824.27</v>
      </c>
      <c r="J89" s="550">
        <v>0</v>
      </c>
      <c r="K89" s="550">
        <v>0</v>
      </c>
      <c r="L89" s="550"/>
      <c r="M89" s="1373">
        <f>VLOOKUP(B89,[6]Sheet1!$D:$M,10,0)</f>
        <v>1428141623.03</v>
      </c>
      <c r="N89" s="550">
        <f t="shared" si="5"/>
        <v>2081898201.24</v>
      </c>
      <c r="O89" s="1012"/>
      <c r="P89" s="1013"/>
      <c r="U89" s="551"/>
      <c r="V89" s="1013"/>
      <c r="W89" s="1013"/>
    </row>
    <row r="90" spans="1:29" s="1011" customFormat="1" hidden="1" x14ac:dyDescent="0.25">
      <c r="A90" s="1199" t="s">
        <v>683</v>
      </c>
      <c r="B90" s="1195">
        <v>20800112</v>
      </c>
      <c r="C90" s="1195">
        <v>10</v>
      </c>
      <c r="D90" s="1195" t="s">
        <v>1235</v>
      </c>
      <c r="E90" s="1195" t="s">
        <v>121</v>
      </c>
      <c r="F90" s="1196" t="s">
        <v>1259</v>
      </c>
      <c r="G90" s="550">
        <f>IFERROR(VLOOKUP(B90,[5]Sheet1!$C:$M,8,0),0)</f>
        <v>0</v>
      </c>
      <c r="H90" s="550">
        <f>IFERROR(VLOOKUP(B90,[5]Sheet1!$C:$M,9,0),0)</f>
        <v>-3507438144.1900001</v>
      </c>
      <c r="I90" s="1412">
        <f t="shared" si="4"/>
        <v>-3507438144.1900001</v>
      </c>
      <c r="J90" s="550">
        <v>0</v>
      </c>
      <c r="K90" s="550">
        <v>0</v>
      </c>
      <c r="L90" s="550"/>
      <c r="M90" s="1373">
        <f>VLOOKUP(B90,[6]Sheet1!$D:$M,10,0)</f>
        <v>-1474266639.6400001</v>
      </c>
      <c r="N90" s="550">
        <f t="shared" si="5"/>
        <v>-2033171504.55</v>
      </c>
      <c r="O90" s="1012"/>
      <c r="P90" s="1013"/>
      <c r="U90" s="551"/>
      <c r="V90" s="1013"/>
      <c r="W90" s="1013"/>
    </row>
    <row r="91" spans="1:29" s="1011" customFormat="1" hidden="1" x14ac:dyDescent="0.25">
      <c r="A91" s="1199" t="s">
        <v>683</v>
      </c>
      <c r="B91" s="1195">
        <v>20800121</v>
      </c>
      <c r="C91" s="1195">
        <v>10</v>
      </c>
      <c r="D91" s="1195" t="s">
        <v>1235</v>
      </c>
      <c r="E91" s="1195" t="s">
        <v>121</v>
      </c>
      <c r="F91" s="1196" t="s">
        <v>1260</v>
      </c>
      <c r="G91" s="550">
        <f>IFERROR(VLOOKUP(B91,[5]Sheet1!$C:$M,8,0),0)</f>
        <v>6324596796.96</v>
      </c>
      <c r="H91" s="550">
        <f>IFERROR(VLOOKUP(B91,[5]Sheet1!$C:$M,9,0),0)</f>
        <v>0</v>
      </c>
      <c r="I91" s="1412">
        <f t="shared" si="4"/>
        <v>6324596796.96</v>
      </c>
      <c r="J91" s="550">
        <v>0</v>
      </c>
      <c r="K91" s="550">
        <v>0</v>
      </c>
      <c r="L91" s="550"/>
      <c r="M91" s="1373">
        <f>VLOOKUP(B91,[6]Sheet1!$D:$M,10,0)</f>
        <v>5701610870.0799904</v>
      </c>
      <c r="N91" s="550">
        <f t="shared" si="5"/>
        <v>622985926.88000965</v>
      </c>
      <c r="O91" s="1012"/>
      <c r="P91" s="1013"/>
      <c r="U91" s="551"/>
      <c r="V91" s="1013"/>
      <c r="W91" s="1013"/>
    </row>
    <row r="92" spans="1:29" s="1011" customFormat="1" hidden="1" x14ac:dyDescent="0.25">
      <c r="A92" s="1199" t="s">
        <v>683</v>
      </c>
      <c r="B92" s="1195">
        <v>20800122</v>
      </c>
      <c r="C92" s="1195">
        <v>10</v>
      </c>
      <c r="D92" s="1195" t="s">
        <v>1235</v>
      </c>
      <c r="E92" s="1195" t="s">
        <v>121</v>
      </c>
      <c r="F92" s="1196" t="s">
        <v>1260</v>
      </c>
      <c r="G92" s="550">
        <f>IFERROR(VLOOKUP(B92,[5]Sheet1!$C:$M,8,0),0)</f>
        <v>0</v>
      </c>
      <c r="H92" s="550">
        <f>IFERROR(VLOOKUP(B92,[5]Sheet1!$C:$M,9,0),0)</f>
        <v>-6324596796.96</v>
      </c>
      <c r="I92" s="1201">
        <f t="shared" si="4"/>
        <v>-6324596796.96</v>
      </c>
      <c r="J92" s="550">
        <v>0</v>
      </c>
      <c r="K92" s="550">
        <v>0</v>
      </c>
      <c r="L92" s="550"/>
      <c r="M92" s="1373">
        <f>VLOOKUP(B92,[6]Sheet1!$D:$M,10,0)</f>
        <v>-5698398592.0799904</v>
      </c>
      <c r="N92" s="550">
        <f t="shared" si="5"/>
        <v>-626198204.88000965</v>
      </c>
      <c r="O92" s="1012"/>
      <c r="P92" s="1013"/>
      <c r="U92" s="551"/>
      <c r="V92" s="1013"/>
      <c r="W92" s="1013"/>
    </row>
    <row r="93" spans="1:29" s="1011" customFormat="1" hidden="1" x14ac:dyDescent="0.25">
      <c r="A93" s="1199" t="s">
        <v>683</v>
      </c>
      <c r="B93" s="1195">
        <v>20900003</v>
      </c>
      <c r="C93" s="1195">
        <v>5</v>
      </c>
      <c r="D93" s="1195" t="s">
        <v>1235</v>
      </c>
      <c r="E93" s="1202" t="s">
        <v>742</v>
      </c>
      <c r="F93" s="1196" t="s">
        <v>743</v>
      </c>
      <c r="G93" s="550">
        <f>IFERROR(VLOOKUP(B93,[5]Sheet1!$C:$M,8,0),0)</f>
        <v>5409283</v>
      </c>
      <c r="H93" s="550">
        <f>IFERROR(VLOOKUP(B93,[5]Sheet1!$C:$M,9,0),0)</f>
        <v>0</v>
      </c>
      <c r="I93" s="1201">
        <f t="shared" si="4"/>
        <v>5409283</v>
      </c>
      <c r="J93" s="550">
        <v>0</v>
      </c>
      <c r="K93" s="550">
        <v>0</v>
      </c>
      <c r="L93" s="550"/>
      <c r="M93" s="1373">
        <f>VLOOKUP(B93,[6]Sheet1!$D:$M,10,0)</f>
        <v>5194985</v>
      </c>
      <c r="N93" s="550">
        <f t="shared" si="5"/>
        <v>214298</v>
      </c>
      <c r="O93" s="1012"/>
      <c r="P93" s="1013"/>
      <c r="U93" s="551"/>
      <c r="V93" s="1013"/>
      <c r="W93" s="1013"/>
    </row>
    <row r="94" spans="1:29" s="1011" customFormat="1" hidden="1" x14ac:dyDescent="0.25">
      <c r="A94" s="1199" t="s">
        <v>683</v>
      </c>
      <c r="B94" s="1195">
        <v>21000003</v>
      </c>
      <c r="C94" s="1199">
        <v>6</v>
      </c>
      <c r="D94" s="1195" t="s">
        <v>927</v>
      </c>
      <c r="E94" s="1195" t="s">
        <v>1153</v>
      </c>
      <c r="F94" s="1196" t="s">
        <v>744</v>
      </c>
      <c r="G94" s="550">
        <f>IFERROR(VLOOKUP(B94,[5]Sheet1!$C:$M,8,0),0)</f>
        <v>594710.95999999903</v>
      </c>
      <c r="H94" s="550">
        <f>IFERROR(VLOOKUP(B94,[5]Sheet1!$C:$M,9,0),0)</f>
        <v>0</v>
      </c>
      <c r="I94" s="1201">
        <f t="shared" si="4"/>
        <v>594710.95999999903</v>
      </c>
      <c r="J94" s="550">
        <v>0</v>
      </c>
      <c r="K94" s="550">
        <v>0</v>
      </c>
      <c r="L94" s="550"/>
      <c r="M94" s="1373">
        <f>VLOOKUP(B94,[6]Sheet1!$D:$M,10,0)</f>
        <v>36492</v>
      </c>
      <c r="N94" s="550">
        <f t="shared" si="5"/>
        <v>558218.95999999903</v>
      </c>
      <c r="O94" s="1012"/>
      <c r="P94" s="1013"/>
      <c r="U94" s="551"/>
      <c r="V94" s="1013"/>
      <c r="W94" s="1013"/>
    </row>
    <row r="95" spans="1:29" s="1011" customFormat="1" hidden="1" x14ac:dyDescent="0.25">
      <c r="A95" s="1199" t="s">
        <v>683</v>
      </c>
      <c r="B95" s="1195">
        <v>21000004</v>
      </c>
      <c r="C95" s="1199">
        <v>6</v>
      </c>
      <c r="D95" s="1195" t="s">
        <v>927</v>
      </c>
      <c r="E95" s="1195" t="s">
        <v>1153</v>
      </c>
      <c r="F95" s="1196" t="s">
        <v>745</v>
      </c>
      <c r="G95" s="550">
        <f>IFERROR(VLOOKUP(B95,[5]Sheet1!$C:$M,8,0),0)</f>
        <v>15229.08</v>
      </c>
      <c r="H95" s="550">
        <f>IFERROR(VLOOKUP(B95,[5]Sheet1!$C:$M,9,0),0)</f>
        <v>0</v>
      </c>
      <c r="I95" s="1201">
        <f t="shared" si="4"/>
        <v>15229.08</v>
      </c>
      <c r="J95" s="550">
        <v>0</v>
      </c>
      <c r="K95" s="550">
        <v>0</v>
      </c>
      <c r="L95" s="550"/>
      <c r="M95" s="1373">
        <f>VLOOKUP(B95,[6]Sheet1!$D:$M,10,0)</f>
        <v>1298777.08</v>
      </c>
      <c r="N95" s="550">
        <f t="shared" si="5"/>
        <v>-1283548</v>
      </c>
      <c r="O95" s="1012"/>
      <c r="P95" s="1013"/>
      <c r="U95" s="551"/>
      <c r="V95" s="1013"/>
      <c r="W95" s="1013"/>
    </row>
    <row r="96" spans="1:29" s="1011" customFormat="1" hidden="1" x14ac:dyDescent="0.25">
      <c r="A96" s="1199" t="s">
        <v>683</v>
      </c>
      <c r="B96" s="1195">
        <v>21000011</v>
      </c>
      <c r="C96" s="1195">
        <v>11</v>
      </c>
      <c r="D96" s="1195" t="s">
        <v>17</v>
      </c>
      <c r="E96" s="1195" t="s">
        <v>591</v>
      </c>
      <c r="F96" s="1196" t="s">
        <v>191</v>
      </c>
      <c r="G96" s="550">
        <f>IFERROR(VLOOKUP(B96,[5]Sheet1!$C:$M,8,0),0)</f>
        <v>220009791.09999901</v>
      </c>
      <c r="H96" s="550">
        <f>IFERROR(VLOOKUP(B96,[5]Sheet1!$C:$M,9,0),0)</f>
        <v>0</v>
      </c>
      <c r="I96" s="1201">
        <f t="shared" si="4"/>
        <v>220009791.09999901</v>
      </c>
      <c r="J96" s="550">
        <v>0</v>
      </c>
      <c r="K96" s="550">
        <v>0</v>
      </c>
      <c r="L96" s="550"/>
      <c r="M96" s="1373">
        <f>VLOOKUP(B96,[6]Sheet1!$D:$M,10,0)</f>
        <v>236553363.16</v>
      </c>
      <c r="N96" s="550">
        <f t="shared" si="5"/>
        <v>-16543572.060000986</v>
      </c>
      <c r="O96" s="1012"/>
      <c r="P96" s="1013"/>
      <c r="U96" s="551"/>
      <c r="V96" s="1013"/>
      <c r="W96" s="1013"/>
      <c r="AC96" s="1011">
        <v>212112768.58000001</v>
      </c>
    </row>
    <row r="97" spans="1:29" s="1011" customFormat="1" hidden="1" x14ac:dyDescent="0.25">
      <c r="A97" s="1199" t="s">
        <v>683</v>
      </c>
      <c r="B97" s="1195">
        <v>21000012</v>
      </c>
      <c r="C97" s="1195">
        <v>11</v>
      </c>
      <c r="D97" s="1195" t="s">
        <v>17</v>
      </c>
      <c r="E97" s="1195" t="s">
        <v>591</v>
      </c>
      <c r="F97" s="1196" t="s">
        <v>192</v>
      </c>
      <c r="G97" s="550">
        <f>IFERROR(VLOOKUP(B97,[5]Sheet1!$C:$M,8,0),0)</f>
        <v>0</v>
      </c>
      <c r="H97" s="550">
        <f>IFERROR(VLOOKUP(B97,[5]Sheet1!$C:$M,9,0),0)</f>
        <v>-4.78</v>
      </c>
      <c r="I97" s="1201">
        <f t="shared" si="4"/>
        <v>-4.78</v>
      </c>
      <c r="J97" s="550">
        <v>0</v>
      </c>
      <c r="K97" s="550">
        <v>0</v>
      </c>
      <c r="L97" s="550"/>
      <c r="M97" s="1373">
        <f>VLOOKUP(B97,[6]Sheet1!$D:$M,10,0)</f>
        <v>75621196.400000006</v>
      </c>
      <c r="N97" s="550">
        <f t="shared" si="5"/>
        <v>-75621201.180000007</v>
      </c>
      <c r="O97" s="1012"/>
      <c r="P97" s="1013"/>
      <c r="U97" s="551"/>
      <c r="V97" s="1013"/>
      <c r="W97" s="1013"/>
      <c r="AC97" s="1011">
        <v>87084777</v>
      </c>
    </row>
    <row r="98" spans="1:29" s="1011" customFormat="1" hidden="1" x14ac:dyDescent="0.25">
      <c r="A98" s="1199" t="s">
        <v>683</v>
      </c>
      <c r="B98" s="1195">
        <v>21000013</v>
      </c>
      <c r="C98" s="1195">
        <v>11</v>
      </c>
      <c r="D98" s="1195" t="s">
        <v>17</v>
      </c>
      <c r="E98" s="1195" t="s">
        <v>591</v>
      </c>
      <c r="F98" s="1196" t="s">
        <v>193</v>
      </c>
      <c r="G98" s="550">
        <f>IFERROR(VLOOKUP(B98,[5]Sheet1!$C:$M,8,0),0)</f>
        <v>302580396.10000002</v>
      </c>
      <c r="H98" s="550">
        <f>IFERROR(VLOOKUP(B98,[5]Sheet1!$C:$M,9,0),0)</f>
        <v>0</v>
      </c>
      <c r="I98" s="1201">
        <f t="shared" si="4"/>
        <v>302580396.10000002</v>
      </c>
      <c r="J98" s="550">
        <v>0</v>
      </c>
      <c r="K98" s="550">
        <v>0</v>
      </c>
      <c r="L98" s="550"/>
      <c r="M98" s="1373">
        <f>VLOOKUP(B98,[6]Sheet1!$D:$M,10,0)</f>
        <v>236553363.16</v>
      </c>
      <c r="N98" s="550">
        <f t="shared" si="5"/>
        <v>66027032.940000027</v>
      </c>
      <c r="O98" s="1012"/>
      <c r="P98" s="1013"/>
      <c r="U98" s="551"/>
      <c r="V98" s="1013"/>
      <c r="W98" s="1013"/>
      <c r="AC98" s="1011">
        <v>212112768.58000001</v>
      </c>
    </row>
    <row r="99" spans="1:29" s="1011" customFormat="1" hidden="1" x14ac:dyDescent="0.25">
      <c r="A99" s="1199" t="s">
        <v>683</v>
      </c>
      <c r="B99" s="1195">
        <v>21000016</v>
      </c>
      <c r="C99" s="1199">
        <v>6</v>
      </c>
      <c r="D99" s="1195" t="s">
        <v>927</v>
      </c>
      <c r="E99" s="1195" t="s">
        <v>1153</v>
      </c>
      <c r="F99" s="1196" t="s">
        <v>749</v>
      </c>
      <c r="G99" s="550">
        <f>IFERROR(VLOOKUP(B99,[5]Sheet1!$C:$M,8,0),0)</f>
        <v>0</v>
      </c>
      <c r="H99" s="550">
        <f>IFERROR(VLOOKUP(B99,[5]Sheet1!$C:$M,9,0),0)</f>
        <v>-0.41999999999999899</v>
      </c>
      <c r="I99" s="1201">
        <f t="shared" si="4"/>
        <v>-0.41999999999999899</v>
      </c>
      <c r="J99" s="550">
        <v>0</v>
      </c>
      <c r="K99" s="550">
        <v>0</v>
      </c>
      <c r="L99" s="550"/>
      <c r="M99" s="1373">
        <f>VLOOKUP(B99,[6]Sheet1!$D:$M,10,0)</f>
        <v>38961.160000000003</v>
      </c>
      <c r="N99" s="550">
        <f t="shared" si="5"/>
        <v>-38961.58</v>
      </c>
      <c r="O99" s="1012"/>
      <c r="P99" s="1013"/>
      <c r="U99" s="551"/>
      <c r="V99" s="1013"/>
      <c r="W99" s="1013"/>
      <c r="AC99" s="1011">
        <v>1497682</v>
      </c>
    </row>
    <row r="100" spans="1:29" s="1011" customFormat="1" hidden="1" x14ac:dyDescent="0.25">
      <c r="A100" s="1199" t="s">
        <v>683</v>
      </c>
      <c r="B100" s="1195">
        <v>21000018</v>
      </c>
      <c r="C100" s="1195">
        <v>11</v>
      </c>
      <c r="D100" s="1195" t="s">
        <v>17</v>
      </c>
      <c r="E100" s="1195" t="s">
        <v>591</v>
      </c>
      <c r="F100" s="1196" t="s">
        <v>750</v>
      </c>
      <c r="G100" s="550">
        <f>IFERROR(VLOOKUP(B100,[5]Sheet1!$C:$M,8,0),0)</f>
        <v>3547736</v>
      </c>
      <c r="H100" s="550">
        <f>IFERROR(VLOOKUP(B100,[5]Sheet1!$C:$M,9,0),0)</f>
        <v>0</v>
      </c>
      <c r="I100" s="1201">
        <f t="shared" si="4"/>
        <v>3547736</v>
      </c>
      <c r="J100" s="550">
        <v>0</v>
      </c>
      <c r="K100" s="550">
        <v>0</v>
      </c>
      <c r="L100" s="550"/>
      <c r="M100" s="1373">
        <f>VLOOKUP(B100,[6]Sheet1!$D:$M,10,0)</f>
        <v>2582494</v>
      </c>
      <c r="N100" s="550">
        <f t="shared" si="5"/>
        <v>965242</v>
      </c>
      <c r="O100" s="1012"/>
      <c r="P100" s="1013"/>
      <c r="U100" s="551"/>
      <c r="V100" s="1013"/>
      <c r="W100" s="1013"/>
      <c r="AC100" s="1011">
        <v>1497682</v>
      </c>
    </row>
    <row r="101" spans="1:29" s="1011" customFormat="1" hidden="1" x14ac:dyDescent="0.25">
      <c r="A101" s="1199" t="s">
        <v>683</v>
      </c>
      <c r="B101" s="1195">
        <v>21100004</v>
      </c>
      <c r="C101" s="1195">
        <v>11</v>
      </c>
      <c r="D101" s="1195" t="s">
        <v>17</v>
      </c>
      <c r="E101" s="1195" t="s">
        <v>751</v>
      </c>
      <c r="F101" s="1196" t="s">
        <v>1261</v>
      </c>
      <c r="G101" s="550">
        <f>IFERROR(VLOOKUP(B101,[5]Sheet1!$C:$M,8,0),0)</f>
        <v>0</v>
      </c>
      <c r="H101" s="550">
        <f>IFERROR(VLOOKUP(B101,[5]Sheet1!$C:$M,9,0),0)</f>
        <v>0</v>
      </c>
      <c r="I101" s="1201">
        <f t="shared" si="4"/>
        <v>0</v>
      </c>
      <c r="J101" s="550">
        <v>0</v>
      </c>
      <c r="K101" s="550">
        <v>0</v>
      </c>
      <c r="L101" s="550"/>
      <c r="M101" s="1373">
        <f>VLOOKUP(B101,[6]Sheet1!$D:$M,10,0)</f>
        <v>758</v>
      </c>
      <c r="N101" s="550">
        <f t="shared" si="5"/>
        <v>-758</v>
      </c>
      <c r="O101" s="1012"/>
      <c r="P101" s="1013"/>
      <c r="U101" s="551"/>
      <c r="V101" s="1013"/>
      <c r="W101" s="1013"/>
    </row>
    <row r="102" spans="1:29" s="1011" customFormat="1" hidden="1" x14ac:dyDescent="0.25">
      <c r="A102" s="1199" t="s">
        <v>683</v>
      </c>
      <c r="B102" s="1195">
        <v>21100008</v>
      </c>
      <c r="C102" s="1195">
        <v>11</v>
      </c>
      <c r="D102" s="1195" t="s">
        <v>17</v>
      </c>
      <c r="E102" s="1195" t="s">
        <v>1193</v>
      </c>
      <c r="F102" s="1196" t="s">
        <v>1193</v>
      </c>
      <c r="G102" s="550">
        <f>IFERROR(VLOOKUP(B102,[5]Sheet1!$C:$M,8,0),0)</f>
        <v>16044031.8699999</v>
      </c>
      <c r="H102" s="550">
        <f>IFERROR(VLOOKUP(B102,[5]Sheet1!$C:$M,9,0),0)</f>
        <v>0</v>
      </c>
      <c r="I102" s="1201">
        <f t="shared" si="4"/>
        <v>16044031.8699999</v>
      </c>
      <c r="J102" s="550">
        <v>317019</v>
      </c>
      <c r="K102" s="550">
        <v>7370695.5069308598</v>
      </c>
      <c r="L102" s="550"/>
      <c r="M102" s="1373">
        <f>VLOOKUP(B102,[6]Sheet1!$D:$M,10,0)</f>
        <v>4976027.5599999903</v>
      </c>
      <c r="N102" s="550">
        <f t="shared" si="5"/>
        <v>11068004.309999909</v>
      </c>
      <c r="O102" s="1012"/>
      <c r="P102" s="1013"/>
      <c r="U102" s="551"/>
      <c r="V102" s="1013"/>
      <c r="W102" s="1013"/>
    </row>
    <row r="103" spans="1:29" s="1011" customFormat="1" hidden="1" x14ac:dyDescent="0.25">
      <c r="A103" s="1199" t="s">
        <v>26</v>
      </c>
      <c r="B103" s="1195">
        <v>21100011</v>
      </c>
      <c r="C103" s="1195">
        <v>17</v>
      </c>
      <c r="D103" s="1195" t="s">
        <v>153</v>
      </c>
      <c r="E103" s="1195" t="s">
        <v>134</v>
      </c>
      <c r="F103" s="1196" t="s">
        <v>752</v>
      </c>
      <c r="G103" s="550">
        <f>IFERROR(VLOOKUP(B103,[5]Sheet1!$C:$M,8,0),0)</f>
        <v>2145379.1800000002</v>
      </c>
      <c r="H103" s="550">
        <f>IFERROR(VLOOKUP(B103,[5]Sheet1!$C:$M,9,0),0)</f>
        <v>0</v>
      </c>
      <c r="I103" s="1423">
        <f t="shared" si="4"/>
        <v>2145379.1800000002</v>
      </c>
      <c r="J103" s="550">
        <v>0</v>
      </c>
      <c r="K103" s="550">
        <v>0</v>
      </c>
      <c r="L103" s="550"/>
      <c r="M103" s="1373">
        <f>VLOOKUP(B103,[6]Sheet1!$D:$M,10,0)</f>
        <v>11377079.6</v>
      </c>
      <c r="N103" s="550">
        <f t="shared" si="5"/>
        <v>-9231700.4199999999</v>
      </c>
      <c r="O103" s="1012"/>
      <c r="P103" s="1013"/>
      <c r="U103" s="551"/>
      <c r="V103" s="1013"/>
      <c r="W103" s="1013"/>
    </row>
    <row r="104" spans="1:29" s="1011" customFormat="1" hidden="1" x14ac:dyDescent="0.25">
      <c r="A104" s="1199" t="s">
        <v>683</v>
      </c>
      <c r="B104" s="1195">
        <v>21100014</v>
      </c>
      <c r="C104" s="1195">
        <v>5</v>
      </c>
      <c r="D104" s="1195" t="s">
        <v>152</v>
      </c>
      <c r="E104" s="1195" t="s">
        <v>753</v>
      </c>
      <c r="F104" s="1196" t="s">
        <v>1262</v>
      </c>
      <c r="G104" s="550">
        <f>IFERROR(VLOOKUP(B104,[5]Sheet1!$C:$M,8,0),0)</f>
        <v>905891.44999999902</v>
      </c>
      <c r="H104" s="550">
        <f>IFERROR(VLOOKUP(B104,[5]Sheet1!$C:$M,9,0),0)</f>
        <v>0</v>
      </c>
      <c r="I104" s="1201">
        <f t="shared" si="4"/>
        <v>905891.44999999902</v>
      </c>
      <c r="J104" s="550">
        <v>0</v>
      </c>
      <c r="K104" s="550">
        <v>0</v>
      </c>
      <c r="L104" s="550"/>
      <c r="M104" s="1373">
        <f>VLOOKUP(B104,[6]Sheet1!$D:$M,10,0)</f>
        <v>1141673.8999999899</v>
      </c>
      <c r="N104" s="550">
        <f t="shared" si="5"/>
        <v>-235782.44999999087</v>
      </c>
      <c r="O104" s="1012"/>
      <c r="P104" s="1013"/>
      <c r="U104" s="551"/>
      <c r="V104" s="1013"/>
      <c r="W104" s="1013"/>
    </row>
    <row r="105" spans="1:29" s="1011" customFormat="1" x14ac:dyDescent="0.25">
      <c r="A105" s="1199" t="s">
        <v>717</v>
      </c>
      <c r="B105" s="1195">
        <v>30000000</v>
      </c>
      <c r="C105" s="1195">
        <v>20</v>
      </c>
      <c r="D105" s="1195" t="s">
        <v>754</v>
      </c>
      <c r="E105" s="1195" t="s">
        <v>755</v>
      </c>
      <c r="F105" s="1196" t="s">
        <v>756</v>
      </c>
      <c r="G105" s="550">
        <f>IFERROR(VLOOKUP(B105,[5]Sheet1!$C:$M,8,0),0)</f>
        <v>0</v>
      </c>
      <c r="H105" s="550">
        <f>IFERROR(VLOOKUP(B105,[5]Sheet1!$C:$M,9,0),0)</f>
        <v>-1036713697.53</v>
      </c>
      <c r="I105" s="1201">
        <f t="shared" si="4"/>
        <v>-1036713697.53</v>
      </c>
      <c r="J105" s="550">
        <v>0</v>
      </c>
      <c r="K105" s="550">
        <v>0</v>
      </c>
      <c r="L105" s="550"/>
      <c r="M105" s="1373">
        <f>VLOOKUP(B105,[6]Sheet1!$D:$M,10,0)</f>
        <v>-60037787.149999902</v>
      </c>
      <c r="N105" s="550">
        <f t="shared" si="5"/>
        <v>-976675910.38000011</v>
      </c>
      <c r="O105" s="1012"/>
      <c r="P105" s="1013"/>
      <c r="Q105" s="1011" t="e">
        <f>VLOOKUP(B105,[7]!Table1[GLAccountNo],1,0)</f>
        <v>#REF!</v>
      </c>
      <c r="U105" s="551"/>
      <c r="V105" s="1013"/>
      <c r="W105" s="1013"/>
    </row>
    <row r="106" spans="1:29" s="1011" customFormat="1" x14ac:dyDescent="0.25">
      <c r="A106" s="1199" t="s">
        <v>717</v>
      </c>
      <c r="B106" s="1195">
        <v>30000001</v>
      </c>
      <c r="C106" s="1195">
        <v>20</v>
      </c>
      <c r="D106" s="1195" t="s">
        <v>754</v>
      </c>
      <c r="E106" s="1195" t="s">
        <v>755</v>
      </c>
      <c r="F106" s="1196" t="s">
        <v>757</v>
      </c>
      <c r="G106" s="550">
        <f>IFERROR(VLOOKUP(B106,[5]Sheet1!$C:$M,8,0),0)</f>
        <v>0</v>
      </c>
      <c r="H106" s="550">
        <f>IFERROR(VLOOKUP(B106,[5]Sheet1!$C:$M,9,0),0)</f>
        <v>-1019214439.98</v>
      </c>
      <c r="I106" s="1201">
        <f t="shared" si="4"/>
        <v>-1019214439.98</v>
      </c>
      <c r="J106" s="550">
        <v>0</v>
      </c>
      <c r="K106" s="550">
        <v>0</v>
      </c>
      <c r="L106" s="550"/>
      <c r="M106" s="1373">
        <f>VLOOKUP(B106,[6]Sheet1!$D:$M,10,0)</f>
        <v>-60396509.380000003</v>
      </c>
      <c r="N106" s="550">
        <f t="shared" si="5"/>
        <v>-958817930.60000002</v>
      </c>
      <c r="O106" s="1012"/>
      <c r="P106" s="1013"/>
      <c r="Q106" s="1011" t="e">
        <f>VLOOKUP(B106,[7]!Table1[GLAccountNo],1,0)</f>
        <v>#REF!</v>
      </c>
      <c r="U106" s="551"/>
      <c r="V106" s="1013"/>
      <c r="W106" s="1013"/>
    </row>
    <row r="107" spans="1:29" s="1011" customFormat="1" x14ac:dyDescent="0.25">
      <c r="A107" s="1199" t="s">
        <v>717</v>
      </c>
      <c r="B107" s="1195">
        <v>30000004</v>
      </c>
      <c r="C107" s="1195">
        <v>20</v>
      </c>
      <c r="D107" s="1195" t="s">
        <v>754</v>
      </c>
      <c r="E107" s="1195" t="s">
        <v>1194</v>
      </c>
      <c r="F107" s="1196" t="s">
        <v>1194</v>
      </c>
      <c r="G107" s="550">
        <f>IFERROR(VLOOKUP(B107,[5]Sheet1!$C:$M,8,0),0)</f>
        <v>0</v>
      </c>
      <c r="H107" s="550">
        <f>IFERROR(VLOOKUP(B107,[5]Sheet1!$C:$M,9,0),0)</f>
        <v>-2878000</v>
      </c>
      <c r="I107" s="1201">
        <f t="shared" si="4"/>
        <v>-2878000</v>
      </c>
      <c r="J107" s="550">
        <v>0</v>
      </c>
      <c r="K107" s="550">
        <v>0</v>
      </c>
      <c r="L107" s="550"/>
      <c r="M107" s="1373">
        <f>VLOOKUP(B107,[6]Sheet1!$D:$M,10,0)</f>
        <v>-824220</v>
      </c>
      <c r="N107" s="550">
        <f t="shared" si="5"/>
        <v>-2053780</v>
      </c>
      <c r="O107" s="1012"/>
      <c r="P107" s="1013"/>
      <c r="Q107" s="1011" t="e">
        <f>VLOOKUP(B107,[7]!Table1[GLAccountNo],1,0)</f>
        <v>#REF!</v>
      </c>
      <c r="U107" s="551"/>
      <c r="V107" s="1013"/>
      <c r="W107" s="1013"/>
    </row>
    <row r="108" spans="1:29" x14ac:dyDescent="0.25">
      <c r="A108" s="1199" t="s">
        <v>717</v>
      </c>
      <c r="B108" s="1199">
        <v>30000007</v>
      </c>
      <c r="C108" s="1195">
        <v>20</v>
      </c>
      <c r="D108" s="1199" t="s">
        <v>754</v>
      </c>
      <c r="E108" s="1199" t="s">
        <v>755</v>
      </c>
      <c r="F108" s="1196" t="s">
        <v>872</v>
      </c>
      <c r="G108" s="550">
        <f>IFERROR(VLOOKUP(B108,[5]Sheet1!$C:$M,8,0),0)</f>
        <v>265383125.389999</v>
      </c>
      <c r="H108" s="550">
        <f>IFERROR(VLOOKUP(B108,[5]Sheet1!$C:$M,9,0),0)</f>
        <v>0</v>
      </c>
      <c r="I108" s="1201">
        <f t="shared" si="4"/>
        <v>265383125.389999</v>
      </c>
      <c r="J108" s="550">
        <v>0</v>
      </c>
      <c r="K108" s="550">
        <v>0</v>
      </c>
      <c r="L108" s="550"/>
      <c r="M108" s="1373" t="e">
        <f>VLOOKUP(B108,[6]Sheet1!$D:$M,10,0)</f>
        <v>#N/A</v>
      </c>
      <c r="N108" s="550" t="e">
        <f t="shared" si="5"/>
        <v>#N/A</v>
      </c>
      <c r="Q108" s="1011" t="e">
        <f>VLOOKUP(B108,[7]!Table1[GLAccountNo],1,0)</f>
        <v>#REF!</v>
      </c>
      <c r="U108" s="551"/>
      <c r="V108" s="1013"/>
    </row>
    <row r="109" spans="1:29" s="1011" customFormat="1" x14ac:dyDescent="0.25">
      <c r="A109" s="1199" t="s">
        <v>717</v>
      </c>
      <c r="B109" s="1195">
        <v>30000008</v>
      </c>
      <c r="C109" s="1195">
        <v>20</v>
      </c>
      <c r="D109" s="1195" t="s">
        <v>754</v>
      </c>
      <c r="E109" s="1195" t="s">
        <v>755</v>
      </c>
      <c r="F109" s="1196" t="s">
        <v>1263</v>
      </c>
      <c r="G109" s="550">
        <f>IFERROR(VLOOKUP(B109,[5]Sheet1!$C:$M,8,0),0)</f>
        <v>0</v>
      </c>
      <c r="H109" s="550">
        <f>IFERROR(VLOOKUP(B109,[5]Sheet1!$C:$M,9,0),0)</f>
        <v>-551324467.37</v>
      </c>
      <c r="I109" s="1201">
        <f t="shared" si="4"/>
        <v>-551324467.37</v>
      </c>
      <c r="J109" s="550">
        <v>0</v>
      </c>
      <c r="K109" s="550">
        <v>0</v>
      </c>
      <c r="L109" s="550"/>
      <c r="M109" s="1373">
        <f>VLOOKUP(B109,[6]Sheet1!$D:$M,10,0)</f>
        <v>-158075495.09999901</v>
      </c>
      <c r="N109" s="550">
        <f t="shared" si="5"/>
        <v>-393248972.27000099</v>
      </c>
      <c r="O109" s="1012"/>
      <c r="P109" s="1013"/>
      <c r="Q109" s="1011" t="e">
        <f>VLOOKUP(B109,[7]!Table1[GLAccountNo],1,0)</f>
        <v>#REF!</v>
      </c>
      <c r="U109" s="551"/>
      <c r="V109" s="1013"/>
      <c r="W109" s="1013"/>
    </row>
    <row r="110" spans="1:29" s="1011" customFormat="1" hidden="1" x14ac:dyDescent="0.25">
      <c r="A110" s="1199" t="s">
        <v>717</v>
      </c>
      <c r="B110" s="1195">
        <v>30100001</v>
      </c>
      <c r="C110" s="1195">
        <v>21</v>
      </c>
      <c r="D110" s="1195" t="s">
        <v>45</v>
      </c>
      <c r="E110" s="1195" t="s">
        <v>758</v>
      </c>
      <c r="F110" s="1196" t="s">
        <v>1264</v>
      </c>
      <c r="G110" s="550">
        <f>IFERROR(VLOOKUP(B110,[5]Sheet1!$C:$M,8,0),0)</f>
        <v>0</v>
      </c>
      <c r="H110" s="550">
        <f>IFERROR(VLOOKUP(B110,[5]Sheet1!$C:$M,9,0),0)</f>
        <v>-14334688.689999901</v>
      </c>
      <c r="I110" s="1201">
        <f t="shared" si="4"/>
        <v>-14334688.689999901</v>
      </c>
      <c r="J110" s="550">
        <v>0</v>
      </c>
      <c r="K110" s="550">
        <v>0</v>
      </c>
      <c r="L110" s="550"/>
      <c r="M110" s="1373">
        <f>VLOOKUP(B110,[6]Sheet1!$D:$M,10,0)</f>
        <v>1189802.3600000001</v>
      </c>
      <c r="N110" s="550">
        <f t="shared" si="5"/>
        <v>-15524491.0499999</v>
      </c>
      <c r="O110" s="1012"/>
      <c r="P110" s="1013"/>
      <c r="Q110" s="1011" t="e">
        <f>VLOOKUP(B110,[7]!Table1[GLAccountNo],1,0)</f>
        <v>#REF!</v>
      </c>
      <c r="U110" s="551"/>
      <c r="V110" s="1013"/>
      <c r="W110" s="1013"/>
    </row>
    <row r="111" spans="1:29" s="1011" customFormat="1" hidden="1" x14ac:dyDescent="0.25">
      <c r="A111" s="1199" t="s">
        <v>717</v>
      </c>
      <c r="B111" s="1195">
        <v>30100004</v>
      </c>
      <c r="C111" s="1195">
        <v>21</v>
      </c>
      <c r="D111" s="1195" t="s">
        <v>45</v>
      </c>
      <c r="E111" s="1195" t="s">
        <v>759</v>
      </c>
      <c r="F111" s="1196" t="s">
        <v>1265</v>
      </c>
      <c r="G111" s="550">
        <f>IFERROR(VLOOKUP(B111,[5]Sheet1!$C:$M,8,0),0)</f>
        <v>0</v>
      </c>
      <c r="H111" s="550">
        <f>IFERROR(VLOOKUP(B111,[5]Sheet1!$C:$M,9,0),0)</f>
        <v>-414006</v>
      </c>
      <c r="I111" s="1201">
        <f t="shared" si="4"/>
        <v>-414006</v>
      </c>
      <c r="J111" s="550">
        <v>0</v>
      </c>
      <c r="K111" s="550">
        <v>0</v>
      </c>
      <c r="L111" s="550"/>
      <c r="M111" s="1373">
        <f>VLOOKUP(B111,[6]Sheet1!$D:$M,10,0)</f>
        <v>-175897</v>
      </c>
      <c r="N111" s="550">
        <f t="shared" si="5"/>
        <v>-238109</v>
      </c>
      <c r="O111" s="1012"/>
      <c r="P111" s="1013"/>
      <c r="Q111" s="1011" t="e">
        <f>VLOOKUP(B111,[7]!Table1[GLAccountNo],1,0)</f>
        <v>#REF!</v>
      </c>
      <c r="U111" s="551"/>
      <c r="V111" s="1013"/>
      <c r="W111" s="1013"/>
    </row>
    <row r="112" spans="1:29" s="1011" customFormat="1" hidden="1" x14ac:dyDescent="0.25">
      <c r="A112" s="1199" t="s">
        <v>717</v>
      </c>
      <c r="B112" s="1195">
        <v>30100005</v>
      </c>
      <c r="C112" s="1195">
        <v>21</v>
      </c>
      <c r="D112" s="1195" t="s">
        <v>45</v>
      </c>
      <c r="E112" s="1195" t="s">
        <v>760</v>
      </c>
      <c r="F112" s="1196" t="s">
        <v>45</v>
      </c>
      <c r="G112" s="550">
        <f>IFERROR(VLOOKUP(B112,[5]Sheet1!$C:$M,8,0),0)</f>
        <v>0</v>
      </c>
      <c r="H112" s="550">
        <f>IFERROR(VLOOKUP(B112,[5]Sheet1!$C:$M,9,0),0)</f>
        <v>-1670492.49</v>
      </c>
      <c r="I112" s="1201">
        <f t="shared" si="4"/>
        <v>-1670492.49</v>
      </c>
      <c r="J112" s="550">
        <v>0</v>
      </c>
      <c r="K112" s="550">
        <v>0</v>
      </c>
      <c r="L112" s="550"/>
      <c r="M112" s="1373" t="e">
        <f>VLOOKUP(B112,[6]Sheet1!$D:$M,10,0)</f>
        <v>#N/A</v>
      </c>
      <c r="N112" s="550" t="e">
        <f t="shared" si="5"/>
        <v>#N/A</v>
      </c>
      <c r="O112" s="1012"/>
      <c r="P112" s="1013"/>
      <c r="Q112" s="1011" t="e">
        <f>VLOOKUP(B112,[7]!Table1[GLAccountNo],1,0)</f>
        <v>#REF!</v>
      </c>
      <c r="U112" s="551"/>
      <c r="V112" s="1013"/>
      <c r="W112" s="1013"/>
    </row>
    <row r="113" spans="1:28" s="1011" customFormat="1" hidden="1" x14ac:dyDescent="0.25">
      <c r="A113" s="1199" t="s">
        <v>717</v>
      </c>
      <c r="B113" s="1195">
        <v>30100013</v>
      </c>
      <c r="C113" s="1195">
        <v>21</v>
      </c>
      <c r="D113" s="1195" t="s">
        <v>45</v>
      </c>
      <c r="E113" s="1195" t="s">
        <v>912</v>
      </c>
      <c r="F113" s="1196" t="s">
        <v>1266</v>
      </c>
      <c r="G113" s="550">
        <f>IFERROR(VLOOKUP(B113,[5]Sheet1!$C:$M,8,0),0)</f>
        <v>0</v>
      </c>
      <c r="H113" s="550">
        <f>IFERROR(VLOOKUP(B113,[5]Sheet1!$C:$M,9,0),0)</f>
        <v>0</v>
      </c>
      <c r="I113" s="1201">
        <f t="shared" si="4"/>
        <v>0</v>
      </c>
      <c r="J113" s="550">
        <v>0</v>
      </c>
      <c r="K113" s="550">
        <v>0</v>
      </c>
      <c r="L113" s="550"/>
      <c r="M113" s="1373" t="e">
        <f>VLOOKUP(B113,[6]Sheet1!$D:$M,10,0)</f>
        <v>#N/A</v>
      </c>
      <c r="N113" s="550" t="e">
        <f t="shared" si="5"/>
        <v>#N/A</v>
      </c>
      <c r="O113" s="1012"/>
      <c r="P113" s="1013"/>
      <c r="Q113" s="1011" t="e">
        <f>VLOOKUP(B113,[7]!Table1[GLAccountNo],1,0)</f>
        <v>#REF!</v>
      </c>
      <c r="U113" s="551"/>
      <c r="V113" s="1013"/>
      <c r="W113" s="1013"/>
    </row>
    <row r="114" spans="1:28" s="1011" customFormat="1" hidden="1" x14ac:dyDescent="0.25">
      <c r="A114" s="1199" t="s">
        <v>717</v>
      </c>
      <c r="B114" s="1195">
        <v>30100015</v>
      </c>
      <c r="C114" s="1195">
        <v>21</v>
      </c>
      <c r="D114" s="1195" t="s">
        <v>45</v>
      </c>
      <c r="E114" s="1195" t="s">
        <v>760</v>
      </c>
      <c r="F114" s="1196" t="s">
        <v>1267</v>
      </c>
      <c r="G114" s="550">
        <f>IFERROR(VLOOKUP(B114,[5]Sheet1!$C:$M,8,0),0)</f>
        <v>0</v>
      </c>
      <c r="H114" s="550">
        <f>IFERROR(VLOOKUP(B114,[5]Sheet1!$C:$M,9,0),0)</f>
        <v>-192594.37</v>
      </c>
      <c r="I114" s="1201">
        <f t="shared" si="4"/>
        <v>-192594.37</v>
      </c>
      <c r="J114" s="550">
        <v>0</v>
      </c>
      <c r="K114" s="550">
        <v>0</v>
      </c>
      <c r="L114" s="550"/>
      <c r="M114" s="1373">
        <f>VLOOKUP(B114,[6]Sheet1!$D:$M,10,0)</f>
        <v>-21228.68</v>
      </c>
      <c r="N114" s="550">
        <f t="shared" si="5"/>
        <v>-171365.69</v>
      </c>
      <c r="O114" s="1012"/>
      <c r="P114" s="1013"/>
      <c r="Q114" s="1011" t="e">
        <f>VLOOKUP(B114,[7]!Table1[GLAccountNo],1,0)</f>
        <v>#REF!</v>
      </c>
      <c r="U114" s="551"/>
      <c r="V114" s="1013"/>
      <c r="W114" s="1013"/>
    </row>
    <row r="115" spans="1:28" s="1011" customFormat="1" hidden="1" x14ac:dyDescent="0.25">
      <c r="A115" s="1199" t="s">
        <v>717</v>
      </c>
      <c r="B115" s="1195">
        <v>30100000</v>
      </c>
      <c r="C115" s="1195">
        <v>21</v>
      </c>
      <c r="D115" s="1195" t="s">
        <v>45</v>
      </c>
      <c r="E115" s="1195" t="s">
        <v>758</v>
      </c>
      <c r="F115" s="1196" t="s">
        <v>1187</v>
      </c>
      <c r="G115" s="550">
        <f>IFERROR(VLOOKUP(B115,[5]Sheet1!$C:$M,8,0),0)</f>
        <v>0</v>
      </c>
      <c r="H115" s="550">
        <f>IFERROR(VLOOKUP(B115,[5]Sheet1!$C:$M,9,0),0)</f>
        <v>-7123642.75</v>
      </c>
      <c r="I115" s="1201">
        <f t="shared" si="4"/>
        <v>-7123642.75</v>
      </c>
      <c r="J115" s="550">
        <v>0</v>
      </c>
      <c r="K115" s="550">
        <v>0</v>
      </c>
      <c r="L115" s="550"/>
      <c r="M115" s="1373">
        <f>VLOOKUP(B115,[6]Sheet1!$D:$M,10,0)</f>
        <v>-1326437.1799999899</v>
      </c>
      <c r="N115" s="550">
        <f t="shared" si="5"/>
        <v>-5797205.5700000096</v>
      </c>
      <c r="O115" s="1012"/>
      <c r="P115" s="1013"/>
      <c r="Q115" s="1011" t="e">
        <f>VLOOKUP(B115,[7]!Table1[GLAccountNo],1,0)</f>
        <v>#REF!</v>
      </c>
      <c r="U115" s="551"/>
      <c r="V115" s="1013"/>
      <c r="W115" s="1013"/>
    </row>
    <row r="116" spans="1:28" s="1011" customFormat="1" hidden="1" x14ac:dyDescent="0.25">
      <c r="A116" s="1199" t="s">
        <v>97</v>
      </c>
      <c r="B116" s="1195">
        <v>40100000</v>
      </c>
      <c r="C116" s="1195">
        <v>22</v>
      </c>
      <c r="D116" s="1195" t="s">
        <v>160</v>
      </c>
      <c r="E116" s="1195" t="s">
        <v>761</v>
      </c>
      <c r="F116" s="1196" t="s">
        <v>1195</v>
      </c>
      <c r="G116" s="550">
        <f>IFERROR(VLOOKUP(B116,[5]Sheet1!$C:$M,8,0),0)</f>
        <v>614628</v>
      </c>
      <c r="H116" s="550">
        <f>IFERROR(VLOOKUP(B116,[5]Sheet1!$C:$M,9,0),0)</f>
        <v>0</v>
      </c>
      <c r="I116" s="1201">
        <f t="shared" si="4"/>
        <v>614628</v>
      </c>
      <c r="J116" s="550">
        <v>0</v>
      </c>
      <c r="K116" s="550">
        <v>0</v>
      </c>
      <c r="L116" s="550"/>
      <c r="M116" s="1373">
        <f>VLOOKUP(B116,[6]Sheet1!$D:$M,10,0)</f>
        <v>-1.57</v>
      </c>
      <c r="N116" s="550">
        <f t="shared" si="5"/>
        <v>614629.56999999995</v>
      </c>
      <c r="O116" s="1012">
        <f>VLOOKUP(B116,'[9]TB BVS 30.11.25'!$B:$I,8,0)</f>
        <v>0</v>
      </c>
      <c r="P116" s="1013"/>
      <c r="Q116" s="1013">
        <f>I116-O116</f>
        <v>614628</v>
      </c>
      <c r="U116" s="551"/>
      <c r="V116" s="1013"/>
      <c r="W116" s="1013"/>
    </row>
    <row r="117" spans="1:28" s="1011" customFormat="1" hidden="1" x14ac:dyDescent="0.25">
      <c r="A117" s="1199" t="s">
        <v>97</v>
      </c>
      <c r="B117" s="1195">
        <v>40100001</v>
      </c>
      <c r="C117" s="1195">
        <v>22</v>
      </c>
      <c r="D117" s="1195" t="s">
        <v>160</v>
      </c>
      <c r="E117" s="1195" t="s">
        <v>761</v>
      </c>
      <c r="F117" s="1196" t="s">
        <v>1268</v>
      </c>
      <c r="G117" s="550">
        <f>IFERROR(VLOOKUP(B117,[5]Sheet1!$C:$M,8,0),0)</f>
        <v>3912006.73</v>
      </c>
      <c r="H117" s="550">
        <f>IFERROR(VLOOKUP(B117,[5]Sheet1!$C:$M,9,0),0)</f>
        <v>0</v>
      </c>
      <c r="I117" s="1201">
        <f t="shared" si="4"/>
        <v>3912006.73</v>
      </c>
      <c r="J117" s="550">
        <v>0</v>
      </c>
      <c r="K117" s="550">
        <v>0</v>
      </c>
      <c r="L117" s="550"/>
      <c r="M117" s="1373">
        <f>VLOOKUP(B117,[6]Sheet1!$D:$M,10,0)</f>
        <v>-893101.07999999903</v>
      </c>
      <c r="N117" s="550">
        <f t="shared" si="5"/>
        <v>4805107.8099999987</v>
      </c>
      <c r="O117" s="1012">
        <f>VLOOKUP(B117,'[9]TB BVS 30.11.25'!$B:$I,8,0)</f>
        <v>713455.53</v>
      </c>
      <c r="P117" s="1013"/>
      <c r="Q117" s="1013">
        <f t="shared" ref="Q117:Q129" si="8">I117-O117</f>
        <v>3198551.2</v>
      </c>
      <c r="U117" s="551"/>
      <c r="V117" s="1013"/>
      <c r="W117" s="1013"/>
    </row>
    <row r="118" spans="1:28" s="1011" customFormat="1" hidden="1" x14ac:dyDescent="0.25">
      <c r="A118" s="1199" t="s">
        <v>97</v>
      </c>
      <c r="B118" s="1195">
        <v>40100002</v>
      </c>
      <c r="C118" s="1195">
        <v>22</v>
      </c>
      <c r="D118" s="1195" t="s">
        <v>160</v>
      </c>
      <c r="E118" s="1195" t="s">
        <v>761</v>
      </c>
      <c r="F118" s="1196" t="s">
        <v>762</v>
      </c>
      <c r="G118" s="550">
        <f>IFERROR(VLOOKUP(B118,[5]Sheet1!$C:$M,8,0),0)</f>
        <v>2084498.9299999899</v>
      </c>
      <c r="H118" s="550">
        <f>IFERROR(VLOOKUP(B118,[5]Sheet1!$C:$M,9,0),0)</f>
        <v>0</v>
      </c>
      <c r="I118" s="1201">
        <f t="shared" si="4"/>
        <v>2084498.9299999899</v>
      </c>
      <c r="J118" s="550">
        <v>0</v>
      </c>
      <c r="K118" s="550">
        <v>0</v>
      </c>
      <c r="L118" s="550"/>
      <c r="M118" s="1373">
        <f>VLOOKUP(B118,[6]Sheet1!$D:$M,10,0)</f>
        <v>248255</v>
      </c>
      <c r="N118" s="550">
        <f t="shared" si="5"/>
        <v>1836243.9299999899</v>
      </c>
      <c r="O118" s="1012">
        <f>VLOOKUP(B118,'[9]TB BVS 30.11.25'!$B:$I,8,0)</f>
        <v>852951.93</v>
      </c>
      <c r="P118" s="1013"/>
      <c r="Q118" s="1013">
        <f t="shared" si="8"/>
        <v>1231546.9999999898</v>
      </c>
      <c r="U118" s="551"/>
      <c r="V118" s="1013"/>
      <c r="W118" s="1013"/>
    </row>
    <row r="119" spans="1:28" s="1011" customFormat="1" hidden="1" x14ac:dyDescent="0.25">
      <c r="A119" s="1199" t="s">
        <v>97</v>
      </c>
      <c r="B119" s="1195">
        <v>40100005</v>
      </c>
      <c r="C119" s="1195">
        <v>22</v>
      </c>
      <c r="D119" s="1195" t="s">
        <v>160</v>
      </c>
      <c r="E119" s="1195" t="s">
        <v>761</v>
      </c>
      <c r="F119" s="1196" t="s">
        <v>1269</v>
      </c>
      <c r="G119" s="550">
        <f>IFERROR(VLOOKUP(B119,[5]Sheet1!$C:$M,8,0),0)</f>
        <v>16312</v>
      </c>
      <c r="H119" s="550">
        <f>IFERROR(VLOOKUP(B119,[5]Sheet1!$C:$M,9,0),0)</f>
        <v>0</v>
      </c>
      <c r="I119" s="1201">
        <f t="shared" si="4"/>
        <v>16312</v>
      </c>
      <c r="J119" s="550">
        <v>0</v>
      </c>
      <c r="K119" s="550">
        <v>0</v>
      </c>
      <c r="L119" s="550"/>
      <c r="M119" s="1373">
        <f>VLOOKUP(B119,[6]Sheet1!$D:$M,10,0)</f>
        <v>3990</v>
      </c>
      <c r="N119" s="550">
        <f t="shared" si="5"/>
        <v>12322</v>
      </c>
      <c r="O119" s="1012">
        <f>VLOOKUP(B119,'[9]TB BVS 30.11.25'!$B:$I,8,0)</f>
        <v>10307</v>
      </c>
      <c r="P119" s="1013"/>
      <c r="Q119" s="1013">
        <f t="shared" si="8"/>
        <v>6005</v>
      </c>
      <c r="U119" s="551"/>
      <c r="V119" s="1013"/>
      <c r="W119" s="1013"/>
    </row>
    <row r="120" spans="1:28" s="1407" customFormat="1" hidden="1" x14ac:dyDescent="0.25">
      <c r="A120" s="1422" t="s">
        <v>97</v>
      </c>
      <c r="B120" s="1406">
        <v>40100008</v>
      </c>
      <c r="C120" s="1195">
        <v>22</v>
      </c>
      <c r="D120" s="1406" t="s">
        <v>160</v>
      </c>
      <c r="E120" s="1406" t="s">
        <v>761</v>
      </c>
      <c r="F120" s="1374" t="s">
        <v>1270</v>
      </c>
      <c r="G120" s="550">
        <f>IFERROR(VLOOKUP(B120,[5]Sheet1!$C:$M,8,0),0)</f>
        <v>1540004202.3199899</v>
      </c>
      <c r="H120" s="550">
        <f>IFERROR(VLOOKUP(B120,[5]Sheet1!$C:$M,9,0),0)</f>
        <v>0</v>
      </c>
      <c r="I120" s="1201">
        <f t="shared" si="4"/>
        <v>1540004202.3199899</v>
      </c>
      <c r="J120" s="550">
        <v>0</v>
      </c>
      <c r="K120" s="550">
        <v>0</v>
      </c>
      <c r="L120" s="550"/>
      <c r="M120" s="1373">
        <f>VLOOKUP(B120,[6]Sheet1!$D:$M,10,0)</f>
        <v>172305554.22</v>
      </c>
      <c r="N120" s="550">
        <f t="shared" si="5"/>
        <v>1367698648.0999899</v>
      </c>
      <c r="O120" s="1012">
        <f>VLOOKUP(B120,'[9]TB BVS 30.11.25'!$B:$I,8,0)</f>
        <v>699902847.78999901</v>
      </c>
      <c r="P120" s="1013"/>
      <c r="Q120" s="1013">
        <f t="shared" si="8"/>
        <v>840101354.52999091</v>
      </c>
      <c r="R120" s="1011"/>
      <c r="S120" s="1011"/>
      <c r="T120" s="1011"/>
      <c r="U120" s="551"/>
      <c r="V120" s="1013"/>
      <c r="W120" s="1013"/>
      <c r="X120" s="1011"/>
      <c r="Y120" s="1011"/>
      <c r="Z120" s="1011"/>
      <c r="AA120" s="1011"/>
      <c r="AB120" s="1011"/>
    </row>
    <row r="121" spans="1:28" s="1011" customFormat="1" hidden="1" x14ac:dyDescent="0.25">
      <c r="A121" s="1199" t="s">
        <v>97</v>
      </c>
      <c r="B121" s="1195">
        <v>40200003</v>
      </c>
      <c r="C121" s="1195">
        <v>22</v>
      </c>
      <c r="D121" s="1195" t="s">
        <v>160</v>
      </c>
      <c r="E121" s="1195" t="s">
        <v>761</v>
      </c>
      <c r="F121" s="1196" t="s">
        <v>1271</v>
      </c>
      <c r="G121" s="550">
        <f>IFERROR(VLOOKUP(B121,[5]Sheet1!$C:$M,8,0),0)</f>
        <v>2866265.75</v>
      </c>
      <c r="H121" s="550">
        <f>IFERROR(VLOOKUP(B121,[5]Sheet1!$C:$M,9,0),0)</f>
        <v>0</v>
      </c>
      <c r="I121" s="1201">
        <f t="shared" si="4"/>
        <v>2866265.75</v>
      </c>
      <c r="J121" s="550">
        <v>0</v>
      </c>
      <c r="K121" s="550">
        <v>0</v>
      </c>
      <c r="L121" s="550"/>
      <c r="M121" s="1373">
        <f>VLOOKUP(B121,[6]Sheet1!$D:$M,10,0)</f>
        <v>-17550.34</v>
      </c>
      <c r="N121" s="550">
        <f t="shared" si="5"/>
        <v>2883816.09</v>
      </c>
      <c r="O121" s="1012">
        <f>VLOOKUP(B121,'[9]TB BVS 30.11.25'!$B:$I,8,0)</f>
        <v>2640906.27999999</v>
      </c>
      <c r="P121" s="1013"/>
      <c r="Q121" s="1013">
        <f t="shared" si="8"/>
        <v>225359.47000000998</v>
      </c>
      <c r="U121" s="551"/>
      <c r="V121" s="1013"/>
      <c r="W121" s="1013"/>
    </row>
    <row r="122" spans="1:28" s="1011" customFormat="1" hidden="1" x14ac:dyDescent="0.25">
      <c r="A122" s="1199" t="s">
        <v>97</v>
      </c>
      <c r="B122" s="1195">
        <v>40100011</v>
      </c>
      <c r="C122" s="1195">
        <v>22</v>
      </c>
      <c r="D122" s="1195" t="s">
        <v>160</v>
      </c>
      <c r="E122" s="1195" t="s">
        <v>1090</v>
      </c>
      <c r="F122" s="1196" t="s">
        <v>1272</v>
      </c>
      <c r="G122" s="550">
        <f>IFERROR(VLOOKUP(B122,[5]Sheet1!$C:$M,8,0),0)</f>
        <v>27957276.010000002</v>
      </c>
      <c r="H122" s="550">
        <f>IFERROR(VLOOKUP(B122,[5]Sheet1!$C:$M,9,0),0)</f>
        <v>0</v>
      </c>
      <c r="I122" s="1201">
        <f t="shared" si="4"/>
        <v>27957276.010000002</v>
      </c>
      <c r="J122" s="550">
        <v>0</v>
      </c>
      <c r="K122" s="550">
        <v>0</v>
      </c>
      <c r="L122" s="550"/>
      <c r="M122" s="1373">
        <f>VLOOKUP(B122,[6]Sheet1!$D:$M,10,0)</f>
        <v>3447558.96</v>
      </c>
      <c r="N122" s="550">
        <f t="shared" si="5"/>
        <v>24509717.050000001</v>
      </c>
      <c r="O122" s="1012">
        <f>VLOOKUP(B122,'[9]TB BVS 30.11.25'!$B:$I,8,0)</f>
        <v>13985212.32</v>
      </c>
      <c r="P122" s="1013"/>
      <c r="Q122" s="1013">
        <f t="shared" si="8"/>
        <v>13972063.690000001</v>
      </c>
      <c r="U122" s="551"/>
      <c r="V122" s="1013"/>
      <c r="W122" s="1013"/>
    </row>
    <row r="123" spans="1:28" s="1011" customFormat="1" hidden="1" x14ac:dyDescent="0.25">
      <c r="A123" s="1199" t="s">
        <v>97</v>
      </c>
      <c r="B123" s="1195">
        <v>40100007</v>
      </c>
      <c r="C123" s="1195">
        <v>23</v>
      </c>
      <c r="D123" s="1195" t="s">
        <v>161</v>
      </c>
      <c r="E123" s="1195" t="s">
        <v>763</v>
      </c>
      <c r="F123" s="1196" t="s">
        <v>764</v>
      </c>
      <c r="G123" s="550">
        <f>IFERROR(VLOOKUP(B123,[5]Sheet1!$C:$M,8,0),0)</f>
        <v>2452208959.1500001</v>
      </c>
      <c r="H123" s="550">
        <f>IFERROR(VLOOKUP(B123,[5]Sheet1!$C:$M,9,0),0)</f>
        <v>0</v>
      </c>
      <c r="I123" s="1201">
        <f t="shared" si="4"/>
        <v>2452208959.1500001</v>
      </c>
      <c r="J123" s="550">
        <v>0</v>
      </c>
      <c r="K123" s="550">
        <v>0</v>
      </c>
      <c r="L123" s="550"/>
      <c r="M123" s="1373">
        <f>VLOOKUP(B123,[6]Sheet1!$D:$M,10,0)</f>
        <v>214965742.71000001</v>
      </c>
      <c r="N123" s="550">
        <f t="shared" si="5"/>
        <v>2237243216.4400001</v>
      </c>
      <c r="O123" s="1012">
        <f>VLOOKUP(B123,'[9]TB BVS 30.11.25'!$B:$I,8,0)</f>
        <v>1387566843.3699901</v>
      </c>
      <c r="P123" s="1013"/>
      <c r="Q123" s="1013">
        <f t="shared" si="8"/>
        <v>1064642115.78001</v>
      </c>
      <c r="U123" s="551"/>
      <c r="V123" s="1013"/>
      <c r="W123" s="1013"/>
    </row>
    <row r="124" spans="1:28" s="1011" customFormat="1" hidden="1" x14ac:dyDescent="0.25">
      <c r="A124" s="1199" t="s">
        <v>97</v>
      </c>
      <c r="B124" s="1195">
        <v>40100009</v>
      </c>
      <c r="C124" s="1195">
        <v>23</v>
      </c>
      <c r="D124" s="1195" t="s">
        <v>161</v>
      </c>
      <c r="E124" s="1195" t="s">
        <v>763</v>
      </c>
      <c r="F124" s="1196" t="s">
        <v>1273</v>
      </c>
      <c r="G124" s="550">
        <f>IFERROR(VLOOKUP(B124,[5]Sheet1!$C:$M,8,0),0)</f>
        <v>9266581789.0599899</v>
      </c>
      <c r="H124" s="550">
        <f>IFERROR(VLOOKUP(B124,[5]Sheet1!$C:$M,9,0),0)</f>
        <v>0</v>
      </c>
      <c r="I124" s="1201">
        <f t="shared" si="4"/>
        <v>9266581789.0599899</v>
      </c>
      <c r="J124" s="550">
        <v>0</v>
      </c>
      <c r="K124" s="550">
        <v>0</v>
      </c>
      <c r="L124" s="550"/>
      <c r="M124" s="1373">
        <f>VLOOKUP(B124,[6]Sheet1!$D:$M,10,0)</f>
        <v>758703851.57000005</v>
      </c>
      <c r="N124" s="550">
        <f t="shared" si="5"/>
        <v>8507877937.4899902</v>
      </c>
      <c r="O124" s="1012">
        <f>VLOOKUP(B124,'[9]TB BVS 30.11.25'!$B:$I,8,0)</f>
        <v>4992245310.5500002</v>
      </c>
      <c r="P124" s="1013"/>
      <c r="Q124" s="1013">
        <f t="shared" si="8"/>
        <v>4274336478.5099897</v>
      </c>
      <c r="U124" s="551"/>
      <c r="V124" s="1013"/>
      <c r="W124" s="1013"/>
    </row>
    <row r="125" spans="1:28" s="1011" customFormat="1" hidden="1" x14ac:dyDescent="0.25">
      <c r="A125" s="1199" t="s">
        <v>97</v>
      </c>
      <c r="B125" s="1195">
        <v>40200000</v>
      </c>
      <c r="C125" s="1195">
        <v>23</v>
      </c>
      <c r="D125" s="1195" t="s">
        <v>161</v>
      </c>
      <c r="E125" s="1195" t="s">
        <v>763</v>
      </c>
      <c r="F125" s="1196" t="s">
        <v>765</v>
      </c>
      <c r="G125" s="550">
        <f>IFERROR(VLOOKUP(B125,[5]Sheet1!$C:$M,8,0),0)</f>
        <v>0</v>
      </c>
      <c r="H125" s="550">
        <f>IFERROR(VLOOKUP(B125,[5]Sheet1!$C:$M,9,0),0)</f>
        <v>-9128362343.1100006</v>
      </c>
      <c r="I125" s="1201">
        <f t="shared" si="4"/>
        <v>-9128362343.1100006</v>
      </c>
      <c r="J125" s="550">
        <v>0</v>
      </c>
      <c r="K125" s="550">
        <v>0</v>
      </c>
      <c r="L125" s="550"/>
      <c r="M125" s="1373">
        <f>VLOOKUP(B125,[6]Sheet1!$D:$M,10,0)</f>
        <v>-780512282.92999899</v>
      </c>
      <c r="N125" s="550">
        <f t="shared" si="5"/>
        <v>-8347850060.1800013</v>
      </c>
      <c r="O125" s="1012">
        <f>VLOOKUP(B125,'[9]TB BVS 30.11.25'!$B:$I,8,0)</f>
        <v>-4871277731.9899902</v>
      </c>
      <c r="P125" s="1013"/>
      <c r="Q125" s="1013">
        <f t="shared" si="8"/>
        <v>-4257084611.1200104</v>
      </c>
      <c r="U125" s="551"/>
      <c r="V125" s="1013"/>
      <c r="W125" s="1013"/>
    </row>
    <row r="126" spans="1:28" s="1011" customFormat="1" hidden="1" x14ac:dyDescent="0.25">
      <c r="A126" s="1199" t="s">
        <v>97</v>
      </c>
      <c r="B126" s="1195">
        <v>40200001</v>
      </c>
      <c r="C126" s="1195">
        <v>23</v>
      </c>
      <c r="D126" s="1195" t="s">
        <v>161</v>
      </c>
      <c r="E126" s="1195" t="s">
        <v>763</v>
      </c>
      <c r="F126" s="1196" t="s">
        <v>766</v>
      </c>
      <c r="G126" s="550">
        <f>IFERROR(VLOOKUP(B126,[5]Sheet1!$C:$M,8,0),0)</f>
        <v>0</v>
      </c>
      <c r="H126" s="550">
        <f>IFERROR(VLOOKUP(B126,[5]Sheet1!$C:$M,9,0),0)</f>
        <v>-1698937640.8399899</v>
      </c>
      <c r="I126" s="1201">
        <f t="shared" si="4"/>
        <v>-1698937640.8399899</v>
      </c>
      <c r="J126" s="550">
        <v>0</v>
      </c>
      <c r="K126" s="550">
        <v>0</v>
      </c>
      <c r="L126" s="550"/>
      <c r="M126" s="1373">
        <f>VLOOKUP(B126,[6]Sheet1!$D:$M,10,0)</f>
        <v>-162494301.96000001</v>
      </c>
      <c r="N126" s="550">
        <f t="shared" si="5"/>
        <v>-1536443338.8799899</v>
      </c>
      <c r="O126" s="1012">
        <f>VLOOKUP(B126,'[9]TB BVS 30.11.25'!$B:$I,8,0)</f>
        <v>-885161894.01999903</v>
      </c>
      <c r="P126" s="1013"/>
      <c r="Q126" s="1013">
        <f t="shared" si="8"/>
        <v>-813775746.81999087</v>
      </c>
      <c r="U126" s="551"/>
      <c r="V126" s="1013"/>
      <c r="W126" s="1013"/>
    </row>
    <row r="127" spans="1:28" hidden="1" x14ac:dyDescent="0.25">
      <c r="A127" s="1199" t="s">
        <v>97</v>
      </c>
      <c r="B127" s="1195">
        <v>40200004</v>
      </c>
      <c r="C127" s="1195">
        <v>23</v>
      </c>
      <c r="D127" s="1195" t="s">
        <v>161</v>
      </c>
      <c r="E127" s="1195" t="s">
        <v>763</v>
      </c>
      <c r="F127" s="1196" t="s">
        <v>1274</v>
      </c>
      <c r="G127" s="550">
        <f>IFERROR(VLOOKUP(B127,[5]Sheet1!$C:$M,8,0),0)</f>
        <v>1353458.6699999899</v>
      </c>
      <c r="H127" s="550">
        <f>IFERROR(VLOOKUP(B127,[5]Sheet1!$C:$M,9,0),0)</f>
        <v>0</v>
      </c>
      <c r="I127" s="1201">
        <f t="shared" si="4"/>
        <v>1353458.6699999899</v>
      </c>
      <c r="J127" s="550">
        <v>0</v>
      </c>
      <c r="K127" s="550">
        <v>0</v>
      </c>
      <c r="L127" s="550"/>
      <c r="M127" s="1373">
        <f>VLOOKUP(B127,[6]Sheet1!$D:$M,10,0)</f>
        <v>4853183.9400000004</v>
      </c>
      <c r="N127" s="550">
        <f t="shared" si="5"/>
        <v>-3499725.2700000107</v>
      </c>
      <c r="O127" s="1012">
        <f>VLOOKUP(B127,'[9]TB BVS 30.11.25'!$B:$I,8,0)</f>
        <v>1394647.1699999899</v>
      </c>
      <c r="Q127" s="1013">
        <f t="shared" si="8"/>
        <v>-41188.5</v>
      </c>
      <c r="U127" s="551"/>
      <c r="V127" s="1013"/>
    </row>
    <row r="128" spans="1:28" hidden="1" x14ac:dyDescent="0.25">
      <c r="A128" s="1199" t="s">
        <v>97</v>
      </c>
      <c r="B128" s="1195">
        <v>40200006</v>
      </c>
      <c r="C128" s="1195">
        <v>23</v>
      </c>
      <c r="D128" s="1199" t="s">
        <v>161</v>
      </c>
      <c r="E128" s="1199" t="s">
        <v>763</v>
      </c>
      <c r="F128" s="1196" t="s">
        <v>1121</v>
      </c>
      <c r="G128" s="550">
        <f>IFERROR(VLOOKUP(B128,[5]Sheet1!$C:$M,8,0),0)</f>
        <v>33580782.18</v>
      </c>
      <c r="H128" s="550">
        <f>IFERROR(VLOOKUP(B128,[5]Sheet1!$C:$M,9,0),0)</f>
        <v>0</v>
      </c>
      <c r="I128" s="1201">
        <f t="shared" si="4"/>
        <v>33580782.18</v>
      </c>
      <c r="J128" s="550">
        <v>0</v>
      </c>
      <c r="K128" s="550">
        <v>0</v>
      </c>
      <c r="L128" s="550"/>
      <c r="M128" s="1373">
        <f>VLOOKUP(B128,[6]Sheet1!$D:$M,10,0)</f>
        <v>496582.02</v>
      </c>
      <c r="N128" s="550">
        <f t="shared" si="5"/>
        <v>33084200.16</v>
      </c>
      <c r="O128" s="1012">
        <f>VLOOKUP(B128,'[9]TB BVS 30.11.25'!$B:$I,8,0)</f>
        <v>41499568.859999903</v>
      </c>
      <c r="Q128" s="1013">
        <f t="shared" si="8"/>
        <v>-7918786.6799999028</v>
      </c>
      <c r="U128" s="551"/>
      <c r="V128" s="1013"/>
    </row>
    <row r="129" spans="1:23" s="1011" customFormat="1" hidden="1" x14ac:dyDescent="0.25">
      <c r="A129" s="1199" t="s">
        <v>97</v>
      </c>
      <c r="B129" s="1199">
        <v>40200011</v>
      </c>
      <c r="C129" s="1195">
        <v>23</v>
      </c>
      <c r="D129" s="1199" t="s">
        <v>161</v>
      </c>
      <c r="E129" s="1199" t="s">
        <v>763</v>
      </c>
      <c r="F129" s="1196" t="s">
        <v>1275</v>
      </c>
      <c r="G129" s="550">
        <f>IFERROR(VLOOKUP(B129,[5]Sheet1!$C:$M,8,0),0)</f>
        <v>33154744.809999902</v>
      </c>
      <c r="H129" s="550">
        <f>IFERROR(VLOOKUP(B129,[5]Sheet1!$C:$M,9,0),0)</f>
        <v>0</v>
      </c>
      <c r="I129" s="1201">
        <f t="shared" si="4"/>
        <v>33154744.809999902</v>
      </c>
      <c r="J129" s="550">
        <v>0</v>
      </c>
      <c r="K129" s="550">
        <v>0</v>
      </c>
      <c r="L129" s="550"/>
      <c r="M129" s="1373">
        <f>VLOOKUP(B129,[6]Sheet1!$D:$M,10,0)</f>
        <v>39813642.710000001</v>
      </c>
      <c r="N129" s="550">
        <f t="shared" si="5"/>
        <v>-6658897.9000000991</v>
      </c>
      <c r="O129" s="1012">
        <f>VLOOKUP(B129,'[9]TB BVS 30.11.25'!$B:$I,8,0)</f>
        <v>39813642.710000001</v>
      </c>
      <c r="P129" s="1013"/>
      <c r="Q129" s="1013">
        <f t="shared" si="8"/>
        <v>-6658897.9000000991</v>
      </c>
      <c r="U129" s="551"/>
      <c r="V129" s="1013"/>
      <c r="W129" s="1013"/>
    </row>
    <row r="130" spans="1:23" s="1011" customFormat="1" hidden="1" x14ac:dyDescent="0.25">
      <c r="A130" s="1199" t="s">
        <v>97</v>
      </c>
      <c r="B130" s="1195">
        <v>40300004</v>
      </c>
      <c r="C130" s="1195">
        <v>24</v>
      </c>
      <c r="D130" s="1195" t="s">
        <v>198</v>
      </c>
      <c r="E130" s="1195" t="s">
        <v>1669</v>
      </c>
      <c r="F130" s="1196" t="s">
        <v>768</v>
      </c>
      <c r="G130" s="550">
        <f>IFERROR(VLOOKUP(B130,[5]Sheet1!$C:$M,8,0),0)</f>
        <v>56968541.960000001</v>
      </c>
      <c r="H130" s="550">
        <f>IFERROR(VLOOKUP(B130,[5]Sheet1!$C:$M,9,0),0)</f>
        <v>0</v>
      </c>
      <c r="I130" s="1201">
        <f t="shared" si="4"/>
        <v>56968541.960000001</v>
      </c>
      <c r="J130" s="550">
        <v>0</v>
      </c>
      <c r="K130" s="550">
        <v>0</v>
      </c>
      <c r="L130" s="550"/>
      <c r="M130" s="1373">
        <f>VLOOKUP(B130,[6]Sheet1!$D:$M,10,0)</f>
        <v>12114521.41</v>
      </c>
      <c r="N130" s="550">
        <f t="shared" si="5"/>
        <v>44854020.549999997</v>
      </c>
      <c r="O130" s="1396">
        <f>VLOOKUP(B130,'[10]TB BVS 30.6.25'!$B:$I,8,0)</f>
        <v>12114521.41</v>
      </c>
      <c r="P130" s="1397" t="e">
        <v>#N/A</v>
      </c>
      <c r="Q130" s="1011" t="e">
        <f>VLOOKUP(B130,[7]!Table1[GLAccountNo],1,0)</f>
        <v>#REF!</v>
      </c>
      <c r="R130" s="1013"/>
      <c r="U130" s="551"/>
      <c r="V130" s="1013"/>
      <c r="W130" s="1013"/>
    </row>
    <row r="131" spans="1:23" s="1011" customFormat="1" hidden="1" x14ac:dyDescent="0.25">
      <c r="A131" s="1199" t="s">
        <v>97</v>
      </c>
      <c r="B131" s="1195">
        <v>40400009</v>
      </c>
      <c r="C131" s="1195">
        <v>25</v>
      </c>
      <c r="D131" s="1195" t="s">
        <v>202</v>
      </c>
      <c r="E131" s="1195" t="s">
        <v>151</v>
      </c>
      <c r="F131" s="1196" t="s">
        <v>1276</v>
      </c>
      <c r="G131" s="550">
        <f>IFERROR(VLOOKUP(B131,[5]Sheet1!$C:$M,8,0),0)</f>
        <v>195923162</v>
      </c>
      <c r="H131" s="550">
        <f>IFERROR(VLOOKUP(B131,[5]Sheet1!$C:$M,9,0),0)</f>
        <v>0</v>
      </c>
      <c r="I131" s="1201">
        <f t="shared" si="4"/>
        <v>195923162</v>
      </c>
      <c r="J131" s="550">
        <v>0</v>
      </c>
      <c r="K131" s="550">
        <v>0</v>
      </c>
      <c r="L131" s="550"/>
      <c r="M131" s="1373">
        <f>VLOOKUP(B131,[6]Sheet1!$D:$M,10,0)</f>
        <v>53157933</v>
      </c>
      <c r="N131" s="550">
        <f t="shared" si="5"/>
        <v>142765229</v>
      </c>
      <c r="O131" s="1012"/>
      <c r="P131" s="1013"/>
      <c r="Q131" s="1011" t="e">
        <f>VLOOKUP(B131,[7]!Table1[GLAccountNo],1,0)</f>
        <v>#REF!</v>
      </c>
      <c r="U131" s="551"/>
      <c r="V131" s="1013"/>
      <c r="W131" s="1013"/>
    </row>
    <row r="132" spans="1:23" s="1011" customFormat="1" hidden="1" x14ac:dyDescent="0.25">
      <c r="A132" s="1199" t="s">
        <v>97</v>
      </c>
      <c r="B132" s="1195">
        <v>40400014</v>
      </c>
      <c r="C132" s="1195">
        <v>25</v>
      </c>
      <c r="D132" s="1195" t="s">
        <v>202</v>
      </c>
      <c r="E132" s="1195" t="s">
        <v>917</v>
      </c>
      <c r="F132" s="1196" t="s">
        <v>513</v>
      </c>
      <c r="G132" s="550">
        <f>IFERROR(VLOOKUP(B132,[5]Sheet1!$C:$M,8,0),0)</f>
        <v>26479573.84</v>
      </c>
      <c r="H132" s="550">
        <f>IFERROR(VLOOKUP(B132,[5]Sheet1!$C:$M,9,0),0)</f>
        <v>0</v>
      </c>
      <c r="I132" s="1201">
        <f t="shared" si="4"/>
        <v>26479573.84</v>
      </c>
      <c r="J132" s="550">
        <v>0</v>
      </c>
      <c r="K132" s="550">
        <v>0</v>
      </c>
      <c r="L132" s="550"/>
      <c r="M132" s="1373">
        <f>VLOOKUP(B132,[6]Sheet1!$D:$M,10,0)</f>
        <v>24999</v>
      </c>
      <c r="N132" s="550">
        <f t="shared" si="5"/>
        <v>26454574.84</v>
      </c>
      <c r="O132" s="1012"/>
      <c r="P132" s="1013"/>
      <c r="Q132" s="1011" t="e">
        <f>VLOOKUP(B132,[7]!Table1[GLAccountNo],1,0)</f>
        <v>#REF!</v>
      </c>
      <c r="U132" s="551"/>
      <c r="V132" s="1013"/>
      <c r="W132" s="1013"/>
    </row>
    <row r="133" spans="1:23" hidden="1" x14ac:dyDescent="0.25">
      <c r="A133" s="1199" t="s">
        <v>97</v>
      </c>
      <c r="B133" s="1195">
        <v>40400019</v>
      </c>
      <c r="C133" s="1195">
        <v>25</v>
      </c>
      <c r="D133" s="1195" t="s">
        <v>202</v>
      </c>
      <c r="E133" s="1195" t="s">
        <v>151</v>
      </c>
      <c r="F133" s="1196" t="s">
        <v>1277</v>
      </c>
      <c r="G133" s="550">
        <f>IFERROR(VLOOKUP(B133,[5]Sheet1!$C:$M,8,0),0)</f>
        <v>216610</v>
      </c>
      <c r="H133" s="550">
        <f>IFERROR(VLOOKUP(B133,[5]Sheet1!$C:$M,9,0),0)</f>
        <v>0</v>
      </c>
      <c r="I133" s="1201">
        <f t="shared" si="4"/>
        <v>216610</v>
      </c>
      <c r="J133" s="550">
        <v>0</v>
      </c>
      <c r="K133" s="550">
        <v>0</v>
      </c>
      <c r="L133" s="550"/>
      <c r="M133" s="1373">
        <f>VLOOKUP(B133,[6]Sheet1!$D:$M,10,0)</f>
        <v>35715</v>
      </c>
      <c r="N133" s="550">
        <f t="shared" si="5"/>
        <v>180895</v>
      </c>
      <c r="Q133" s="1011" t="e">
        <f>VLOOKUP(B133,[7]!Table1[GLAccountNo],1,0)</f>
        <v>#REF!</v>
      </c>
      <c r="U133" s="551"/>
      <c r="V133" s="1013"/>
    </row>
    <row r="134" spans="1:23" s="1011" customFormat="1" hidden="1" x14ac:dyDescent="0.25">
      <c r="A134" s="1199" t="s">
        <v>97</v>
      </c>
      <c r="B134" s="1199">
        <v>40400000</v>
      </c>
      <c r="C134" s="1195">
        <v>25</v>
      </c>
      <c r="D134" s="1199" t="s">
        <v>202</v>
      </c>
      <c r="E134" s="1199" t="s">
        <v>146</v>
      </c>
      <c r="F134" s="1196" t="s">
        <v>894</v>
      </c>
      <c r="G134" s="550">
        <f>IFERROR(VLOOKUP(B134,[5]Sheet1!$C:$M,8,0),0)</f>
        <v>0</v>
      </c>
      <c r="H134" s="550">
        <f>IFERROR(VLOOKUP(B134,[5]Sheet1!$C:$M,9,0),0)</f>
        <v>0</v>
      </c>
      <c r="I134" s="1201">
        <f t="shared" si="4"/>
        <v>0</v>
      </c>
      <c r="J134" s="550">
        <v>0</v>
      </c>
      <c r="K134" s="550">
        <v>0</v>
      </c>
      <c r="L134" s="550"/>
      <c r="M134" s="1373" t="e">
        <f>VLOOKUP(B134,[6]Sheet1!$D:$M,10,0)</f>
        <v>#N/A</v>
      </c>
      <c r="N134" s="550" t="e">
        <f t="shared" si="5"/>
        <v>#N/A</v>
      </c>
      <c r="O134" s="1012"/>
      <c r="P134" s="1013"/>
      <c r="Q134" s="1011" t="e">
        <f>VLOOKUP(B134,[7]!Table1[GLAccountNo],1,0)</f>
        <v>#REF!</v>
      </c>
      <c r="U134" s="551"/>
      <c r="V134" s="1013"/>
      <c r="W134" s="1013"/>
    </row>
    <row r="135" spans="1:23" s="1011" customFormat="1" hidden="1" x14ac:dyDescent="0.25">
      <c r="A135" s="1199" t="s">
        <v>97</v>
      </c>
      <c r="B135" s="1195">
        <v>40400004</v>
      </c>
      <c r="C135" s="1195">
        <v>26</v>
      </c>
      <c r="D135" s="1195" t="s">
        <v>194</v>
      </c>
      <c r="E135" s="1195" t="s">
        <v>203</v>
      </c>
      <c r="F135" s="1196" t="s">
        <v>1278</v>
      </c>
      <c r="G135" s="550">
        <f>IFERROR(VLOOKUP(B135,[5]Sheet1!$C:$M,8,0),0)</f>
        <v>185665.57</v>
      </c>
      <c r="H135" s="550">
        <f>IFERROR(VLOOKUP(B135,[5]Sheet1!$C:$M,9,0),0)</f>
        <v>0</v>
      </c>
      <c r="I135" s="1201">
        <f t="shared" ref="I135:I198" si="9">G135+H135</f>
        <v>185665.57</v>
      </c>
      <c r="J135" s="550">
        <v>0</v>
      </c>
      <c r="K135" s="550">
        <v>0</v>
      </c>
      <c r="L135" s="550"/>
      <c r="M135" s="1373">
        <f>VLOOKUP(B135,[6]Sheet1!$D:$M,10,0)</f>
        <v>82240.369999999893</v>
      </c>
      <c r="N135" s="550">
        <f t="shared" ref="N135:N198" si="10">I135-M135</f>
        <v>103425.20000000011</v>
      </c>
      <c r="O135" s="1012"/>
      <c r="P135" s="1013"/>
      <c r="Q135" s="1011" t="e">
        <f>VLOOKUP(B135,[7]!Table1[GLAccountNo],1,0)</f>
        <v>#REF!</v>
      </c>
      <c r="U135" s="551"/>
      <c r="V135" s="1013"/>
      <c r="W135" s="1013"/>
    </row>
    <row r="136" spans="1:23" s="1011" customFormat="1" hidden="1" x14ac:dyDescent="0.25">
      <c r="A136" s="1199" t="s">
        <v>97</v>
      </c>
      <c r="B136" s="1195">
        <v>40600000</v>
      </c>
      <c r="C136" s="1195">
        <v>26</v>
      </c>
      <c r="D136" s="1195" t="s">
        <v>194</v>
      </c>
      <c r="E136" s="1195" t="s">
        <v>770</v>
      </c>
      <c r="F136" s="1196" t="s">
        <v>1197</v>
      </c>
      <c r="G136" s="550">
        <f>IFERROR(VLOOKUP(B136,[5]Sheet1!$C:$M,8,0),0)</f>
        <v>104956532.01000001</v>
      </c>
      <c r="H136" s="550">
        <f>IFERROR(VLOOKUP(B136,[5]Sheet1!$C:$M,9,0),0)</f>
        <v>0</v>
      </c>
      <c r="I136" s="1201">
        <f t="shared" si="9"/>
        <v>104956532.01000001</v>
      </c>
      <c r="J136" s="550">
        <v>0</v>
      </c>
      <c r="K136" s="550">
        <v>0</v>
      </c>
      <c r="L136" s="550"/>
      <c r="M136" s="1373">
        <f>VLOOKUP(B136,[6]Sheet1!$D:$M,10,0)</f>
        <v>23394359.199999899</v>
      </c>
      <c r="N136" s="550">
        <f t="shared" si="10"/>
        <v>81562172.810000107</v>
      </c>
      <c r="O136" s="1012"/>
      <c r="P136" s="1013"/>
      <c r="Q136" s="1011" t="e">
        <f>VLOOKUP(B136,[7]!Table1[GLAccountNo],1,0)</f>
        <v>#REF!</v>
      </c>
      <c r="U136" s="551"/>
      <c r="V136" s="1013"/>
      <c r="W136" s="1013"/>
    </row>
    <row r="137" spans="1:23" s="1011" customFormat="1" hidden="1" x14ac:dyDescent="0.25">
      <c r="A137" s="1199" t="s">
        <v>97</v>
      </c>
      <c r="B137" s="1195">
        <v>40600002</v>
      </c>
      <c r="C137" s="1195">
        <v>26</v>
      </c>
      <c r="D137" s="1195" t="s">
        <v>194</v>
      </c>
      <c r="E137" s="1195" t="s">
        <v>769</v>
      </c>
      <c r="F137" s="1196" t="s">
        <v>1279</v>
      </c>
      <c r="G137" s="550">
        <f>IFERROR(VLOOKUP(B137,[5]Sheet1!$C:$M,8,0),0)</f>
        <v>22471821.52</v>
      </c>
      <c r="H137" s="550">
        <f>IFERROR(VLOOKUP(B137,[5]Sheet1!$C:$M,9,0),0)</f>
        <v>0</v>
      </c>
      <c r="I137" s="1201">
        <f t="shared" si="9"/>
        <v>22471821.52</v>
      </c>
      <c r="J137" s="550">
        <v>0</v>
      </c>
      <c r="K137" s="550">
        <v>0</v>
      </c>
      <c r="L137" s="550"/>
      <c r="M137" s="1373">
        <f>VLOOKUP(B137,[6]Sheet1!$D:$M,10,0)</f>
        <v>3143353.74</v>
      </c>
      <c r="N137" s="550">
        <f t="shared" si="10"/>
        <v>19328467.780000001</v>
      </c>
      <c r="O137" s="1012"/>
      <c r="P137" s="1013"/>
      <c r="Q137" s="1011" t="e">
        <f>VLOOKUP(B137,[7]!Table1[GLAccountNo],1,0)</f>
        <v>#REF!</v>
      </c>
      <c r="U137" s="551"/>
      <c r="V137" s="1013"/>
      <c r="W137" s="1013"/>
    </row>
    <row r="138" spans="1:23" s="1011" customFormat="1" hidden="1" x14ac:dyDescent="0.25">
      <c r="A138" s="1199" t="s">
        <v>97</v>
      </c>
      <c r="B138" s="1195">
        <v>40600003</v>
      </c>
      <c r="C138" s="1195">
        <v>26</v>
      </c>
      <c r="D138" s="1195" t="s">
        <v>194</v>
      </c>
      <c r="E138" s="1195" t="s">
        <v>769</v>
      </c>
      <c r="F138" s="1196" t="s">
        <v>1280</v>
      </c>
      <c r="G138" s="550">
        <f>IFERROR(VLOOKUP(B138,[5]Sheet1!$C:$M,8,0),0)</f>
        <v>0</v>
      </c>
      <c r="H138" s="550">
        <f>IFERROR(VLOOKUP(B138,[5]Sheet1!$C:$M,9,0),0)</f>
        <v>-8850928.9399999902</v>
      </c>
      <c r="I138" s="1201">
        <f t="shared" si="9"/>
        <v>-8850928.9399999902</v>
      </c>
      <c r="J138" s="550">
        <v>0</v>
      </c>
      <c r="K138" s="550">
        <v>0</v>
      </c>
      <c r="L138" s="550"/>
      <c r="M138" s="1373">
        <f>VLOOKUP(B138,[6]Sheet1!$D:$M,10,0)</f>
        <v>-839987.06999999902</v>
      </c>
      <c r="N138" s="550">
        <f t="shared" si="10"/>
        <v>-8010941.8699999908</v>
      </c>
      <c r="O138" s="1012"/>
      <c r="P138" s="1013"/>
      <c r="Q138" s="1011" t="e">
        <f>VLOOKUP(B138,[7]!Table1[GLAccountNo],1,0)</f>
        <v>#REF!</v>
      </c>
      <c r="U138" s="551"/>
      <c r="V138" s="1013"/>
      <c r="W138" s="1013"/>
    </row>
    <row r="139" spans="1:23" s="1011" customFormat="1" hidden="1" x14ac:dyDescent="0.25">
      <c r="A139" s="1199" t="s">
        <v>97</v>
      </c>
      <c r="B139" s="1195">
        <v>40600004</v>
      </c>
      <c r="C139" s="1195">
        <v>26</v>
      </c>
      <c r="D139" s="1195" t="s">
        <v>194</v>
      </c>
      <c r="E139" s="1195" t="s">
        <v>770</v>
      </c>
      <c r="F139" s="1196" t="s">
        <v>1281</v>
      </c>
      <c r="G139" s="550">
        <f>IFERROR(VLOOKUP(B139,[5]Sheet1!$C:$M,8,0),0)</f>
        <v>91253000.379999906</v>
      </c>
      <c r="H139" s="550">
        <f>IFERROR(VLOOKUP(B139,[5]Sheet1!$C:$M,9,0),0)</f>
        <v>0</v>
      </c>
      <c r="I139" s="1201">
        <f t="shared" si="9"/>
        <v>91253000.379999906</v>
      </c>
      <c r="J139" s="550">
        <v>0</v>
      </c>
      <c r="K139" s="550">
        <v>0</v>
      </c>
      <c r="L139" s="550"/>
      <c r="M139" s="1373">
        <f>VLOOKUP(B139,[6]Sheet1!$D:$M,10,0)</f>
        <v>23319332.100000001</v>
      </c>
      <c r="N139" s="550">
        <f t="shared" si="10"/>
        <v>67933668.279999912</v>
      </c>
      <c r="O139" s="1012"/>
      <c r="P139" s="1013"/>
      <c r="Q139" s="1011" t="e">
        <f>VLOOKUP(B139,[7]!Table1[GLAccountNo],1,0)</f>
        <v>#REF!</v>
      </c>
      <c r="U139" s="551"/>
      <c r="V139" s="1013"/>
      <c r="W139" s="1013"/>
    </row>
    <row r="140" spans="1:23" s="1011" customFormat="1" hidden="1" x14ac:dyDescent="0.25">
      <c r="A140" s="1199" t="s">
        <v>97</v>
      </c>
      <c r="B140" s="1195">
        <v>40600005</v>
      </c>
      <c r="C140" s="1195">
        <v>26</v>
      </c>
      <c r="D140" s="1195" t="s">
        <v>194</v>
      </c>
      <c r="E140" s="539" t="s">
        <v>1496</v>
      </c>
      <c r="F140" s="1196" t="s">
        <v>1198</v>
      </c>
      <c r="G140" s="550">
        <f>IFERROR(VLOOKUP(B140,[5]Sheet1!$C:$M,8,0),0)</f>
        <v>56550189.740000002</v>
      </c>
      <c r="H140" s="550">
        <f>IFERROR(VLOOKUP(B140,[5]Sheet1!$C:$M,9,0),0)</f>
        <v>0</v>
      </c>
      <c r="I140" s="1201">
        <f t="shared" si="9"/>
        <v>56550189.740000002</v>
      </c>
      <c r="J140" s="550">
        <v>0</v>
      </c>
      <c r="K140" s="550">
        <v>0</v>
      </c>
      <c r="L140" s="550"/>
      <c r="M140" s="1373">
        <f>VLOOKUP(B140,[6]Sheet1!$D:$M,10,0)</f>
        <v>11955041.9</v>
      </c>
      <c r="N140" s="550">
        <f t="shared" si="10"/>
        <v>44595147.840000004</v>
      </c>
      <c r="O140" s="1012"/>
      <c r="P140" s="1013"/>
      <c r="Q140" s="1011" t="e">
        <f>VLOOKUP(B140,[7]!Table1[GLAccountNo],1,0)</f>
        <v>#REF!</v>
      </c>
      <c r="U140" s="551"/>
      <c r="V140" s="1013"/>
      <c r="W140" s="1013"/>
    </row>
    <row r="141" spans="1:23" s="1011" customFormat="1" hidden="1" x14ac:dyDescent="0.25">
      <c r="A141" s="1199" t="s">
        <v>97</v>
      </c>
      <c r="B141" s="1195">
        <v>40600007</v>
      </c>
      <c r="C141" s="1195">
        <v>26</v>
      </c>
      <c r="D141" s="1195" t="s">
        <v>194</v>
      </c>
      <c r="E141" s="539" t="s">
        <v>1496</v>
      </c>
      <c r="F141" s="1196" t="s">
        <v>1282</v>
      </c>
      <c r="G141" s="550">
        <f>IFERROR(VLOOKUP(B141,[5]Sheet1!$C:$M,8,0),0)</f>
        <v>26964731</v>
      </c>
      <c r="H141" s="550">
        <f>IFERROR(VLOOKUP(B141,[5]Sheet1!$C:$M,9,0),0)</f>
        <v>0</v>
      </c>
      <c r="I141" s="1201">
        <f t="shared" si="9"/>
        <v>26964731</v>
      </c>
      <c r="J141" s="550">
        <v>0</v>
      </c>
      <c r="K141" s="550">
        <v>0</v>
      </c>
      <c r="L141" s="550"/>
      <c r="M141" s="1373">
        <f>VLOOKUP(B141,[6]Sheet1!$D:$M,10,0)</f>
        <v>3305927.96</v>
      </c>
      <c r="N141" s="550">
        <f t="shared" si="10"/>
        <v>23658803.039999999</v>
      </c>
      <c r="O141" s="1012"/>
      <c r="P141" s="1013"/>
      <c r="Q141" s="1011" t="e">
        <f>VLOOKUP(B141,[7]!Table1[GLAccountNo],1,0)</f>
        <v>#REF!</v>
      </c>
      <c r="U141" s="551"/>
      <c r="V141" s="1013"/>
      <c r="W141" s="1013"/>
    </row>
    <row r="142" spans="1:23" s="1011" customFormat="1" hidden="1" x14ac:dyDescent="0.25">
      <c r="A142" s="1199" t="s">
        <v>97</v>
      </c>
      <c r="B142" s="1195">
        <v>40600008</v>
      </c>
      <c r="C142" s="1195">
        <v>26</v>
      </c>
      <c r="D142" s="1195" t="s">
        <v>194</v>
      </c>
      <c r="E142" s="1195" t="s">
        <v>1206</v>
      </c>
      <c r="F142" s="1196" t="s">
        <v>1199</v>
      </c>
      <c r="G142" s="550">
        <f>IFERROR(VLOOKUP(B142,[5]Sheet1!$C:$M,8,0),0)</f>
        <v>1278021</v>
      </c>
      <c r="H142" s="550">
        <f>IFERROR(VLOOKUP(B142,[5]Sheet1!$C:$M,9,0),0)</f>
        <v>0</v>
      </c>
      <c r="I142" s="1201">
        <f t="shared" si="9"/>
        <v>1278021</v>
      </c>
      <c r="J142" s="550">
        <v>0</v>
      </c>
      <c r="K142" s="550">
        <v>0</v>
      </c>
      <c r="L142" s="550"/>
      <c r="M142" s="1373">
        <f>VLOOKUP(B142,[6]Sheet1!$D:$M,10,0)</f>
        <v>102000</v>
      </c>
      <c r="N142" s="550">
        <f t="shared" si="10"/>
        <v>1176021</v>
      </c>
      <c r="O142" s="1012"/>
      <c r="P142" s="1013"/>
      <c r="Q142" s="1011" t="e">
        <f>VLOOKUP(B142,[7]!Table1[GLAccountNo],1,0)</f>
        <v>#REF!</v>
      </c>
      <c r="U142" s="551"/>
      <c r="V142" s="1013"/>
      <c r="W142" s="1013"/>
    </row>
    <row r="143" spans="1:23" s="1011" customFormat="1" hidden="1" x14ac:dyDescent="0.25">
      <c r="A143" s="1199" t="s">
        <v>97</v>
      </c>
      <c r="B143" s="1195">
        <v>40700001</v>
      </c>
      <c r="C143" s="1195">
        <v>26</v>
      </c>
      <c r="D143" s="1195" t="s">
        <v>194</v>
      </c>
      <c r="E143" s="1195" t="s">
        <v>1207</v>
      </c>
      <c r="F143" s="1196" t="s">
        <v>1200</v>
      </c>
      <c r="G143" s="550">
        <f>IFERROR(VLOOKUP(B143,[5]Sheet1!$C:$M,8,0),0)</f>
        <v>1076590.97</v>
      </c>
      <c r="H143" s="550">
        <f>IFERROR(VLOOKUP(B143,[5]Sheet1!$C:$M,9,0),0)</f>
        <v>0</v>
      </c>
      <c r="I143" s="1201">
        <f t="shared" si="9"/>
        <v>1076590.97</v>
      </c>
      <c r="J143" s="550">
        <v>0</v>
      </c>
      <c r="K143" s="550">
        <v>0</v>
      </c>
      <c r="L143" s="550"/>
      <c r="M143" s="1373">
        <f>VLOOKUP(B143,[6]Sheet1!$D:$M,10,0)</f>
        <v>120000</v>
      </c>
      <c r="N143" s="550">
        <f t="shared" si="10"/>
        <v>956590.97</v>
      </c>
      <c r="O143" s="1012"/>
      <c r="P143" s="1013"/>
      <c r="Q143" s="1011" t="e">
        <f>VLOOKUP(B143,[7]!Table1[GLAccountNo],1,0)</f>
        <v>#REF!</v>
      </c>
      <c r="U143" s="551"/>
      <c r="V143" s="1013"/>
      <c r="W143" s="1013"/>
    </row>
    <row r="144" spans="1:23" s="1011" customFormat="1" hidden="1" x14ac:dyDescent="0.25">
      <c r="A144" s="1199" t="s">
        <v>97</v>
      </c>
      <c r="B144" s="1195">
        <v>40700003</v>
      </c>
      <c r="C144" s="1195">
        <v>26</v>
      </c>
      <c r="D144" s="1195" t="s">
        <v>194</v>
      </c>
      <c r="E144" s="1195" t="s">
        <v>1207</v>
      </c>
      <c r="F144" s="1196" t="s">
        <v>1283</v>
      </c>
      <c r="G144" s="550">
        <f>IFERROR(VLOOKUP(B144,[5]Sheet1!$C:$M,8,0),0)</f>
        <v>3071823.89</v>
      </c>
      <c r="H144" s="550">
        <f>IFERROR(VLOOKUP(B144,[5]Sheet1!$C:$M,9,0),0)</f>
        <v>0</v>
      </c>
      <c r="I144" s="1201">
        <f t="shared" si="9"/>
        <v>3071823.89</v>
      </c>
      <c r="J144" s="550">
        <v>0</v>
      </c>
      <c r="K144" s="550">
        <v>0</v>
      </c>
      <c r="L144" s="550"/>
      <c r="M144" s="1373">
        <f>VLOOKUP(B144,[6]Sheet1!$D:$M,10,0)</f>
        <v>78120</v>
      </c>
      <c r="N144" s="550">
        <f t="shared" si="10"/>
        <v>2993703.89</v>
      </c>
      <c r="O144" s="1012"/>
      <c r="P144" s="1013"/>
      <c r="Q144" s="1011" t="e">
        <f>VLOOKUP(B144,[7]!Table1[GLAccountNo],1,0)</f>
        <v>#REF!</v>
      </c>
      <c r="U144" s="551"/>
      <c r="V144" s="1013"/>
      <c r="W144" s="1013"/>
    </row>
    <row r="145" spans="1:16383" s="1011" customFormat="1" hidden="1" x14ac:dyDescent="0.25">
      <c r="A145" s="1199" t="s">
        <v>97</v>
      </c>
      <c r="B145" s="1195">
        <v>40700004</v>
      </c>
      <c r="C145" s="1195">
        <v>26</v>
      </c>
      <c r="D145" s="1195" t="s">
        <v>194</v>
      </c>
      <c r="E145" s="1195" t="s">
        <v>197</v>
      </c>
      <c r="F145" s="1374" t="s">
        <v>1284</v>
      </c>
      <c r="G145" s="550">
        <f>IFERROR(VLOOKUP(B145,[5]Sheet1!$C:$M,8,0),0)</f>
        <v>466218.799999999</v>
      </c>
      <c r="H145" s="550">
        <f>IFERROR(VLOOKUP(B145,[5]Sheet1!$C:$M,9,0),0)</f>
        <v>0</v>
      </c>
      <c r="I145" s="1201">
        <f t="shared" si="9"/>
        <v>466218.799999999</v>
      </c>
      <c r="J145" s="550">
        <v>0</v>
      </c>
      <c r="K145" s="550">
        <v>0</v>
      </c>
      <c r="L145" s="550"/>
      <c r="M145" s="1373">
        <f>VLOOKUP(B145,[6]Sheet1!$D:$M,10,0)</f>
        <v>25839.0999999999</v>
      </c>
      <c r="N145" s="550">
        <f t="shared" si="10"/>
        <v>440379.69999999908</v>
      </c>
      <c r="O145" s="1012"/>
      <c r="P145" s="1013"/>
      <c r="Q145" s="1011" t="e">
        <f>VLOOKUP(B145,[7]!Table1[GLAccountNo],1,0)</f>
        <v>#REF!</v>
      </c>
      <c r="U145" s="551"/>
      <c r="V145" s="1013"/>
      <c r="W145" s="1013"/>
      <c r="AC145" s="1399"/>
    </row>
    <row r="146" spans="1:16383" s="1011" customFormat="1" hidden="1" x14ac:dyDescent="0.25">
      <c r="A146" s="1199" t="s">
        <v>97</v>
      </c>
      <c r="B146" s="1195">
        <v>40700006</v>
      </c>
      <c r="C146" s="1195">
        <v>26</v>
      </c>
      <c r="D146" s="1195" t="s">
        <v>194</v>
      </c>
      <c r="E146" s="1195" t="s">
        <v>770</v>
      </c>
      <c r="F146" s="1196" t="s">
        <v>1285</v>
      </c>
      <c r="G146" s="550">
        <f>IFERROR(VLOOKUP(B146,[5]Sheet1!$C:$M,8,0),0)</f>
        <v>279038.16999999899</v>
      </c>
      <c r="H146" s="550">
        <f>IFERROR(VLOOKUP(B146,[5]Sheet1!$C:$M,9,0),0)</f>
        <v>0</v>
      </c>
      <c r="I146" s="1201">
        <f t="shared" si="9"/>
        <v>279038.16999999899</v>
      </c>
      <c r="J146" s="550">
        <v>0</v>
      </c>
      <c r="K146" s="550">
        <v>0</v>
      </c>
      <c r="L146" s="550"/>
      <c r="M146" s="1373">
        <f>VLOOKUP(B146,[6]Sheet1!$D:$M,10,0)</f>
        <v>1521.6099999999899</v>
      </c>
      <c r="N146" s="550">
        <f t="shared" si="10"/>
        <v>277516.55999999901</v>
      </c>
      <c r="O146" s="1012"/>
      <c r="P146" s="1013"/>
      <c r="Q146" s="1011" t="e">
        <f>VLOOKUP(B146,[7]!Table1[GLAccountNo],1,0)</f>
        <v>#REF!</v>
      </c>
      <c r="U146" s="551"/>
      <c r="V146" s="1013"/>
      <c r="W146" s="1013"/>
    </row>
    <row r="147" spans="1:16383" s="1011" customFormat="1" hidden="1" x14ac:dyDescent="0.25">
      <c r="A147" s="1199" t="s">
        <v>97</v>
      </c>
      <c r="B147" s="1195">
        <v>40700010</v>
      </c>
      <c r="C147" s="1195">
        <v>26</v>
      </c>
      <c r="D147" s="1195" t="s">
        <v>194</v>
      </c>
      <c r="E147" s="1195" t="s">
        <v>155</v>
      </c>
      <c r="F147" s="1196" t="s">
        <v>1286</v>
      </c>
      <c r="G147" s="550">
        <f>IFERROR(VLOOKUP(B147,[5]Sheet1!$C:$M,8,0),0)</f>
        <v>6985478.4100000001</v>
      </c>
      <c r="H147" s="550">
        <f>IFERROR(VLOOKUP(B147,[5]Sheet1!$C:$M,9,0),0)</f>
        <v>0</v>
      </c>
      <c r="I147" s="1201">
        <f t="shared" si="9"/>
        <v>6985478.4100000001</v>
      </c>
      <c r="J147" s="550">
        <v>0</v>
      </c>
      <c r="K147" s="550">
        <v>0</v>
      </c>
      <c r="L147" s="550"/>
      <c r="M147" s="1373">
        <f>VLOOKUP(B147,[6]Sheet1!$D:$M,10,0)</f>
        <v>6913478.4100000001</v>
      </c>
      <c r="N147" s="550">
        <f t="shared" si="10"/>
        <v>72000</v>
      </c>
      <c r="O147" s="1012"/>
      <c r="P147" s="1013"/>
      <c r="Q147" s="1011" t="e">
        <f>VLOOKUP(B147,[7]!Table1[GLAccountNo],1,0)</f>
        <v>#REF!</v>
      </c>
      <c r="U147" s="551"/>
      <c r="V147" s="1013"/>
      <c r="W147" s="1013"/>
    </row>
    <row r="148" spans="1:16383" s="1011" customFormat="1" hidden="1" x14ac:dyDescent="0.25">
      <c r="A148" s="1199" t="s">
        <v>97</v>
      </c>
      <c r="B148" s="1195">
        <v>40700011</v>
      </c>
      <c r="C148" s="1195">
        <v>26</v>
      </c>
      <c r="D148" s="1195" t="s">
        <v>194</v>
      </c>
      <c r="E148" s="1195" t="s">
        <v>138</v>
      </c>
      <c r="F148" s="1196" t="s">
        <v>1201</v>
      </c>
      <c r="G148" s="550">
        <f>IFERROR(VLOOKUP(B148,[5]Sheet1!$C:$M,8,0),0)</f>
        <v>130000</v>
      </c>
      <c r="H148" s="550">
        <f>IFERROR(VLOOKUP(B148,[5]Sheet1!$C:$M,9,0),0)</f>
        <v>0</v>
      </c>
      <c r="I148" s="1201">
        <f t="shared" si="9"/>
        <v>130000</v>
      </c>
      <c r="J148" s="550">
        <v>0</v>
      </c>
      <c r="K148" s="550">
        <v>0</v>
      </c>
      <c r="L148" s="550"/>
      <c r="M148" s="1373">
        <f>VLOOKUP(B148,[6]Sheet1!$D:$M,10,0)</f>
        <v>95000</v>
      </c>
      <c r="N148" s="550">
        <f t="shared" si="10"/>
        <v>35000</v>
      </c>
      <c r="O148" s="1012"/>
      <c r="P148" s="1013"/>
      <c r="Q148" s="1011" t="e">
        <f>VLOOKUP(B148,[7]!Table1[GLAccountNo],1,0)</f>
        <v>#REF!</v>
      </c>
      <c r="U148" s="551"/>
      <c r="V148" s="1013"/>
      <c r="W148" s="1013"/>
    </row>
    <row r="149" spans="1:16383" s="1011" customFormat="1" hidden="1" x14ac:dyDescent="0.25">
      <c r="A149" s="1199" t="s">
        <v>97</v>
      </c>
      <c r="B149" s="1195">
        <v>40700021</v>
      </c>
      <c r="C149" s="1195">
        <v>26</v>
      </c>
      <c r="D149" s="1195" t="s">
        <v>194</v>
      </c>
      <c r="E149" s="1195" t="s">
        <v>196</v>
      </c>
      <c r="F149" s="1196" t="s">
        <v>1202</v>
      </c>
      <c r="G149" s="550">
        <f>IFERROR(VLOOKUP(B149,[5]Sheet1!$C:$M,8,0),0)</f>
        <v>3339814.85</v>
      </c>
      <c r="H149" s="550">
        <f>IFERROR(VLOOKUP(B149,[5]Sheet1!$C:$M,9,0),0)</f>
        <v>0</v>
      </c>
      <c r="I149" s="1201">
        <f t="shared" si="9"/>
        <v>3339814.85</v>
      </c>
      <c r="J149" s="550">
        <v>0</v>
      </c>
      <c r="K149" s="550">
        <v>0</v>
      </c>
      <c r="L149" s="550"/>
      <c r="M149" s="1391">
        <f>VLOOKUP(B149,[6]Sheet1!$D:$M,10,0)</f>
        <v>146030</v>
      </c>
      <c r="N149" s="550">
        <f t="shared" si="10"/>
        <v>3193784.85</v>
      </c>
      <c r="O149" s="1012"/>
      <c r="P149" s="1013"/>
      <c r="Q149" s="1011" t="e">
        <f>VLOOKUP(B149,[7]!Table1[GLAccountNo],1,0)</f>
        <v>#REF!</v>
      </c>
      <c r="U149" s="551"/>
      <c r="V149" s="1013"/>
      <c r="W149" s="1013"/>
    </row>
    <row r="150" spans="1:16383" s="1011" customFormat="1" hidden="1" x14ac:dyDescent="0.25">
      <c r="A150" s="1199" t="s">
        <v>97</v>
      </c>
      <c r="B150" s="1195">
        <v>40700023</v>
      </c>
      <c r="C150" s="1195">
        <v>26</v>
      </c>
      <c r="D150" s="1195" t="s">
        <v>194</v>
      </c>
      <c r="E150" s="1195" t="s">
        <v>1208</v>
      </c>
      <c r="F150" s="1196" t="s">
        <v>1203</v>
      </c>
      <c r="G150" s="550">
        <f>IFERROR(VLOOKUP(B150,[5]Sheet1!$C:$M,8,0),0)</f>
        <v>6139382.1799999904</v>
      </c>
      <c r="H150" s="550">
        <f>IFERROR(VLOOKUP(B150,[5]Sheet1!$C:$M,9,0),0)</f>
        <v>0</v>
      </c>
      <c r="I150" s="1201">
        <f t="shared" si="9"/>
        <v>6139382.1799999904</v>
      </c>
      <c r="J150" s="550">
        <v>0</v>
      </c>
      <c r="K150" s="550">
        <v>0</v>
      </c>
      <c r="L150" s="550"/>
      <c r="M150" s="1373">
        <f>VLOOKUP(B150,[6]Sheet1!$D:$M,10,0)</f>
        <v>1830250</v>
      </c>
      <c r="N150" s="550">
        <f t="shared" si="10"/>
        <v>4309132.1799999904</v>
      </c>
      <c r="O150" s="1012"/>
      <c r="P150" s="1013"/>
      <c r="Q150" s="1011" t="e">
        <f>VLOOKUP(B150,[7]!Table1[GLAccountNo],1,0)</f>
        <v>#REF!</v>
      </c>
      <c r="U150" s="551"/>
      <c r="V150" s="1013"/>
      <c r="W150" s="1013"/>
    </row>
    <row r="151" spans="1:16383" s="1011" customFormat="1" hidden="1" x14ac:dyDescent="0.25">
      <c r="A151" s="1199" t="s">
        <v>97</v>
      </c>
      <c r="B151" s="1195">
        <v>40700024</v>
      </c>
      <c r="C151" s="1195">
        <v>26</v>
      </c>
      <c r="D151" s="1195" t="s">
        <v>194</v>
      </c>
      <c r="E151" s="1195" t="s">
        <v>197</v>
      </c>
      <c r="F151" s="1374" t="s">
        <v>1287</v>
      </c>
      <c r="G151" s="550">
        <f>IFERROR(VLOOKUP(B151,[5]Sheet1!$C:$M,8,0),0)</f>
        <v>1956057.98</v>
      </c>
      <c r="H151" s="550">
        <f>IFERROR(VLOOKUP(B151,[5]Sheet1!$C:$M,9,0),0)</f>
        <v>0</v>
      </c>
      <c r="I151" s="1201">
        <f t="shared" si="9"/>
        <v>1956057.98</v>
      </c>
      <c r="J151" s="550">
        <v>0</v>
      </c>
      <c r="K151" s="550">
        <v>0</v>
      </c>
      <c r="L151" s="550"/>
      <c r="M151" s="1373">
        <f>VLOOKUP(B151,[6]Sheet1!$D:$M,10,0)</f>
        <v>404923.26</v>
      </c>
      <c r="N151" s="550">
        <f t="shared" si="10"/>
        <v>1551134.72</v>
      </c>
      <c r="O151" s="1012"/>
      <c r="P151" s="1013"/>
      <c r="Q151" s="1011" t="e">
        <f>VLOOKUP(B151,[7]!Table1[GLAccountNo],1,0)</f>
        <v>#REF!</v>
      </c>
      <c r="U151" s="551"/>
      <c r="V151" s="1013"/>
      <c r="W151" s="1013"/>
      <c r="AC151" s="1399"/>
    </row>
    <row r="152" spans="1:16383" s="1011" customFormat="1" hidden="1" x14ac:dyDescent="0.25">
      <c r="A152" s="1199" t="s">
        <v>97</v>
      </c>
      <c r="B152" s="1195">
        <v>40700028</v>
      </c>
      <c r="C152" s="1195">
        <v>26</v>
      </c>
      <c r="D152" s="1195" t="s">
        <v>194</v>
      </c>
      <c r="E152" s="1195" t="s">
        <v>197</v>
      </c>
      <c r="F152" s="1374" t="s">
        <v>1204</v>
      </c>
      <c r="G152" s="550">
        <f>IFERROR(VLOOKUP(B152,[5]Sheet1!$C:$M,8,0),0)</f>
        <v>1884428.24</v>
      </c>
      <c r="H152" s="550">
        <f>IFERROR(VLOOKUP(B152,[5]Sheet1!$C:$M,9,0),0)</f>
        <v>0</v>
      </c>
      <c r="I152" s="1201">
        <f t="shared" si="9"/>
        <v>1884428.24</v>
      </c>
      <c r="J152" s="550">
        <v>0</v>
      </c>
      <c r="K152" s="550">
        <v>0</v>
      </c>
      <c r="L152" s="550"/>
      <c r="M152" s="1373">
        <f>VLOOKUP(B152,[6]Sheet1!$D:$M,10,0)</f>
        <v>553841.12</v>
      </c>
      <c r="N152" s="550">
        <f t="shared" si="10"/>
        <v>1330587.1200000001</v>
      </c>
      <c r="O152" s="1012"/>
      <c r="P152" s="1013"/>
      <c r="Q152" s="1011" t="e">
        <f>VLOOKUP(B152,[7]!Table1[GLAccountNo],1,0)</f>
        <v>#REF!</v>
      </c>
      <c r="U152" s="551"/>
      <c r="V152" s="1013"/>
      <c r="W152" s="1013"/>
      <c r="AC152" s="1399"/>
    </row>
    <row r="153" spans="1:16383" s="1011" customFormat="1" hidden="1" x14ac:dyDescent="0.25">
      <c r="A153" s="1199" t="s">
        <v>97</v>
      </c>
      <c r="B153" s="1195">
        <v>40700045</v>
      </c>
      <c r="C153" s="1195" t="s">
        <v>928</v>
      </c>
      <c r="D153" s="1195" t="s">
        <v>397</v>
      </c>
      <c r="E153" s="1195" t="s">
        <v>59</v>
      </c>
      <c r="F153" s="1196" t="s">
        <v>1288</v>
      </c>
      <c r="G153" s="550">
        <f>IFERROR(VLOOKUP(B153,[5]Sheet1!$C:$M,8,0),0)</f>
        <v>0</v>
      </c>
      <c r="H153" s="550">
        <f>IFERROR(VLOOKUP(B153,[5]Sheet1!$C:$M,9,0),0)</f>
        <v>0</v>
      </c>
      <c r="I153" s="1201">
        <f t="shared" si="9"/>
        <v>0</v>
      </c>
      <c r="J153" s="550">
        <v>0</v>
      </c>
      <c r="K153" s="550">
        <v>0</v>
      </c>
      <c r="L153" s="550"/>
      <c r="M153" s="1373" t="e">
        <f>VLOOKUP(B153,[6]Sheet1!$D:$M,10,0)</f>
        <v>#N/A</v>
      </c>
      <c r="N153" s="550" t="e">
        <f t="shared" si="10"/>
        <v>#N/A</v>
      </c>
      <c r="O153" s="1012"/>
      <c r="P153" s="1013"/>
      <c r="Q153" s="1011" t="e">
        <f>VLOOKUP(B153,[7]!Table1[GLAccountNo],1,0)</f>
        <v>#REF!</v>
      </c>
      <c r="U153" s="551"/>
      <c r="V153" s="1013"/>
      <c r="W153" s="1013"/>
    </row>
    <row r="154" spans="1:16383" s="1011" customFormat="1" hidden="1" x14ac:dyDescent="0.25">
      <c r="A154" s="1199" t="s">
        <v>97</v>
      </c>
      <c r="B154" s="1195">
        <v>40700007</v>
      </c>
      <c r="C154" s="1195">
        <v>26</v>
      </c>
      <c r="D154" s="1195" t="s">
        <v>194</v>
      </c>
      <c r="E154" s="1195" t="s">
        <v>155</v>
      </c>
      <c r="F154" s="1196" t="s">
        <v>1289</v>
      </c>
      <c r="G154" s="550">
        <f>IFERROR(VLOOKUP(B154,[5]Sheet1!$C:$M,8,0),0)</f>
        <v>12455317.76</v>
      </c>
      <c r="H154" s="550">
        <f>IFERROR(VLOOKUP(B154,[5]Sheet1!$C:$M,9,0),0)</f>
        <v>0</v>
      </c>
      <c r="I154" s="1201">
        <f t="shared" si="9"/>
        <v>12455317.76</v>
      </c>
      <c r="J154" s="550">
        <v>0</v>
      </c>
      <c r="K154" s="550">
        <v>0</v>
      </c>
      <c r="L154" s="550"/>
      <c r="M154" s="1373">
        <f>VLOOKUP(B154,[6]Sheet1!$D:$M,10,0)</f>
        <v>1959997.76</v>
      </c>
      <c r="N154" s="550">
        <f t="shared" si="10"/>
        <v>10495320</v>
      </c>
      <c r="O154" s="1012"/>
      <c r="P154" s="1013"/>
      <c r="Q154" s="1011" t="e">
        <f>VLOOKUP(B154,[7]!Table1[GLAccountNo],1,0)</f>
        <v>#REF!</v>
      </c>
      <c r="U154" s="551"/>
      <c r="V154" s="1013"/>
      <c r="W154" s="1013"/>
    </row>
    <row r="155" spans="1:16383" s="1011" customFormat="1" hidden="1" x14ac:dyDescent="0.25">
      <c r="A155" s="1199" t="s">
        <v>97</v>
      </c>
      <c r="B155" s="1195">
        <v>40700008</v>
      </c>
      <c r="C155" s="1195">
        <v>26</v>
      </c>
      <c r="D155" s="1195" t="s">
        <v>194</v>
      </c>
      <c r="E155" s="1195" t="s">
        <v>138</v>
      </c>
      <c r="F155" s="1196" t="s">
        <v>511</v>
      </c>
      <c r="G155" s="550">
        <f>IFERROR(VLOOKUP(B155,[5]Sheet1!$C:$M,8,0),0)</f>
        <v>2843956.8199999901</v>
      </c>
      <c r="H155" s="550">
        <f>IFERROR(VLOOKUP(B155,[5]Sheet1!$C:$M,9,0),0)</f>
        <v>0</v>
      </c>
      <c r="I155" s="1201">
        <f t="shared" si="9"/>
        <v>2843956.8199999901</v>
      </c>
      <c r="J155" s="550">
        <v>0</v>
      </c>
      <c r="K155" s="550">
        <v>0</v>
      </c>
      <c r="L155" s="550"/>
      <c r="M155" s="1373">
        <f>VLOOKUP(B155,[6]Sheet1!$D:$M,10,0)</f>
        <v>628011.78</v>
      </c>
      <c r="N155" s="550">
        <f t="shared" si="10"/>
        <v>2215945.0399999898</v>
      </c>
      <c r="O155" s="1012"/>
      <c r="P155" s="1013"/>
      <c r="Q155" s="1011" t="e">
        <f>VLOOKUP(B155,[7]!Table1[GLAccountNo],1,0)</f>
        <v>#REF!</v>
      </c>
      <c r="U155" s="551"/>
      <c r="V155" s="1013"/>
      <c r="W155" s="1013"/>
    </row>
    <row r="156" spans="1:16383" s="1011" customFormat="1" hidden="1" x14ac:dyDescent="0.25">
      <c r="A156" s="1199" t="s">
        <v>97</v>
      </c>
      <c r="B156" s="1195">
        <v>40700014</v>
      </c>
      <c r="C156" s="1195">
        <v>26</v>
      </c>
      <c r="D156" s="1195" t="s">
        <v>194</v>
      </c>
      <c r="E156" s="1195" t="s">
        <v>771</v>
      </c>
      <c r="F156" s="1196" t="s">
        <v>772</v>
      </c>
      <c r="G156" s="550">
        <f>IFERROR(VLOOKUP(B156,[5]Sheet1!$C:$M,8,0),0)</f>
        <v>10684520.720000001</v>
      </c>
      <c r="H156" s="550">
        <f>IFERROR(VLOOKUP(B156,[5]Sheet1!$C:$M,9,0),0)</f>
        <v>0</v>
      </c>
      <c r="I156" s="1201">
        <f t="shared" si="9"/>
        <v>10684520.720000001</v>
      </c>
      <c r="J156" s="550">
        <v>0</v>
      </c>
      <c r="K156" s="550">
        <v>0</v>
      </c>
      <c r="L156" s="550"/>
      <c r="M156" s="1373">
        <f>VLOOKUP(B156,[6]Sheet1!$D:$M,10,0)</f>
        <v>1467740.81</v>
      </c>
      <c r="N156" s="550">
        <f t="shared" si="10"/>
        <v>9216779.9100000001</v>
      </c>
      <c r="O156" s="1012"/>
      <c r="P156" s="1013"/>
      <c r="Q156" s="1011" t="e">
        <f>VLOOKUP(B156,[7]!Table1[GLAccountNo],1,0)</f>
        <v>#REF!</v>
      </c>
      <c r="U156" s="551"/>
      <c r="V156" s="1013"/>
      <c r="W156" s="1013"/>
    </row>
    <row r="157" spans="1:16383" s="1011" customFormat="1" hidden="1" x14ac:dyDescent="0.25">
      <c r="A157" s="1199" t="s">
        <v>97</v>
      </c>
      <c r="B157" s="1195">
        <v>40700015</v>
      </c>
      <c r="C157" s="1195">
        <v>26</v>
      </c>
      <c r="D157" s="1195" t="s">
        <v>194</v>
      </c>
      <c r="E157" s="1195" t="s">
        <v>197</v>
      </c>
      <c r="F157" s="1196" t="s">
        <v>700</v>
      </c>
      <c r="G157" s="550">
        <f>IFERROR(VLOOKUP(B157,[5]Sheet1!$C:$M,8,0),0)</f>
        <v>14450</v>
      </c>
      <c r="H157" s="550">
        <f>IFERROR(VLOOKUP(B157,[5]Sheet1!$C:$M,9,0),0)</f>
        <v>0</v>
      </c>
      <c r="I157" s="1201">
        <f t="shared" si="9"/>
        <v>14450</v>
      </c>
      <c r="J157" s="550">
        <v>0</v>
      </c>
      <c r="K157" s="550">
        <v>0</v>
      </c>
      <c r="L157" s="550"/>
      <c r="M157" s="1373">
        <f>VLOOKUP(B157,[6]Sheet1!$D:$M,10,0)</f>
        <v>50.939999999999898</v>
      </c>
      <c r="N157" s="550">
        <f t="shared" si="10"/>
        <v>14399.06</v>
      </c>
      <c r="O157" s="1012"/>
      <c r="P157" s="1013"/>
      <c r="Q157" s="1011" t="e">
        <f>VLOOKUP(B157,[7]!Table1[GLAccountNo],1,0)</f>
        <v>#REF!</v>
      </c>
      <c r="U157" s="551"/>
      <c r="V157" s="1013"/>
      <c r="W157" s="1013"/>
      <c r="AC157" s="1399"/>
    </row>
    <row r="158" spans="1:16383" s="1011" customFormat="1" hidden="1" x14ac:dyDescent="0.25">
      <c r="A158" s="1199" t="s">
        <v>97</v>
      </c>
      <c r="B158" s="1195">
        <v>40700022</v>
      </c>
      <c r="C158" s="1195">
        <v>26</v>
      </c>
      <c r="D158" s="1195" t="s">
        <v>194</v>
      </c>
      <c r="E158" s="1195" t="s">
        <v>769</v>
      </c>
      <c r="F158" s="1196" t="s">
        <v>773</v>
      </c>
      <c r="G158" s="550">
        <f>IFERROR(VLOOKUP(B158,[5]Sheet1!$C:$M,8,0),0)</f>
        <v>28786520.190000001</v>
      </c>
      <c r="H158" s="550">
        <f>IFERROR(VLOOKUP(B158,[5]Sheet1!$C:$M,9,0),0)</f>
        <v>0</v>
      </c>
      <c r="I158" s="1201">
        <f t="shared" si="9"/>
        <v>28786520.190000001</v>
      </c>
      <c r="J158" s="550">
        <v>0</v>
      </c>
      <c r="K158" s="550">
        <v>0</v>
      </c>
      <c r="L158" s="550"/>
      <c r="M158" s="1373">
        <f>VLOOKUP(B158,[6]Sheet1!$D:$M,10,0)</f>
        <v>4681807.2699999902</v>
      </c>
      <c r="N158" s="550">
        <f t="shared" si="10"/>
        <v>24104712.920000009</v>
      </c>
      <c r="O158" s="1012"/>
      <c r="P158" s="1013"/>
      <c r="Q158" s="1011" t="e">
        <f>VLOOKUP(B158,[7]!Table1[GLAccountNo],1,0)</f>
        <v>#REF!</v>
      </c>
      <c r="U158" s="551"/>
      <c r="V158" s="1013"/>
      <c r="W158" s="1013"/>
    </row>
    <row r="159" spans="1:16383" s="1011" customFormat="1" hidden="1" x14ac:dyDescent="0.25">
      <c r="A159" s="1199" t="s">
        <v>97</v>
      </c>
      <c r="B159" s="1195">
        <v>40700025</v>
      </c>
      <c r="C159" s="1195">
        <v>26</v>
      </c>
      <c r="D159" s="1195" t="s">
        <v>194</v>
      </c>
      <c r="E159" s="1195" t="s">
        <v>197</v>
      </c>
      <c r="F159" s="1374" t="s">
        <v>774</v>
      </c>
      <c r="G159" s="550">
        <f>IFERROR(VLOOKUP(B159,[5]Sheet1!$C:$M,8,0),0)</f>
        <v>7803035.7800000003</v>
      </c>
      <c r="H159" s="550">
        <f>IFERROR(VLOOKUP(B159,[5]Sheet1!$C:$M,9,0),0)</f>
        <v>0</v>
      </c>
      <c r="I159" s="1201">
        <f t="shared" si="9"/>
        <v>7803035.7800000003</v>
      </c>
      <c r="J159" s="550">
        <v>0</v>
      </c>
      <c r="K159" s="550">
        <v>0</v>
      </c>
      <c r="L159" s="550"/>
      <c r="M159" s="1373">
        <f>VLOOKUP(B159,[6]Sheet1!$D:$M,10,0)</f>
        <v>777122.83999999904</v>
      </c>
      <c r="N159" s="550">
        <f t="shared" si="10"/>
        <v>7025912.9400000013</v>
      </c>
      <c r="O159" s="1012"/>
      <c r="P159" s="1013"/>
      <c r="Q159" s="1011" t="e">
        <f>VLOOKUP(B159,[7]!Table1[GLAccountNo],1,0)</f>
        <v>#REF!</v>
      </c>
      <c r="U159" s="551"/>
      <c r="V159" s="1013"/>
      <c r="W159" s="1013"/>
      <c r="AC159" s="1399"/>
    </row>
    <row r="160" spans="1:16383" s="1382" customFormat="1" hidden="1" x14ac:dyDescent="0.25">
      <c r="A160" s="1421" t="s">
        <v>97</v>
      </c>
      <c r="B160" s="1375">
        <v>40700040</v>
      </c>
      <c r="C160" s="1375">
        <v>16</v>
      </c>
      <c r="D160" s="1375" t="s">
        <v>588</v>
      </c>
      <c r="E160" s="1375" t="s">
        <v>588</v>
      </c>
      <c r="F160" s="1376" t="s">
        <v>1186</v>
      </c>
      <c r="G160" s="1377"/>
      <c r="H160" s="1377"/>
      <c r="I160" s="1378">
        <f t="shared" si="9"/>
        <v>0</v>
      </c>
      <c r="J160" s="1387"/>
      <c r="K160" s="1377">
        <f t="shared" ref="K160" si="11">I160-J160</f>
        <v>0</v>
      </c>
      <c r="L160" s="1377">
        <v>0</v>
      </c>
      <c r="M160" s="1380" t="e">
        <f>VLOOKUP(B160,[6]Sheet1!$D:$M,10,0)</f>
        <v>#N/A</v>
      </c>
      <c r="N160" s="1377" t="e">
        <f t="shared" si="10"/>
        <v>#N/A</v>
      </c>
      <c r="O160" s="1384"/>
      <c r="P160" s="1385"/>
      <c r="Q160" s="1011" t="e">
        <f>VLOOKUP(B160,[7]!Table1[GLAccountNo],1,0)</f>
        <v>#REF!</v>
      </c>
      <c r="R160" s="1385"/>
      <c r="S160" s="1385"/>
      <c r="T160" s="1386"/>
      <c r="U160" s="551"/>
      <c r="V160" s="1013"/>
      <c r="W160" s="1385"/>
      <c r="X160" s="1385"/>
      <c r="Y160" s="1385"/>
      <c r="Z160" s="1385"/>
      <c r="AA160" s="1385"/>
      <c r="AB160" s="1385"/>
      <c r="AC160" s="1385"/>
      <c r="AD160" s="1385"/>
      <c r="AE160" s="1385"/>
      <c r="AF160" s="1385"/>
      <c r="AG160" s="1385"/>
      <c r="AH160" s="1385"/>
      <c r="AI160" s="1385"/>
      <c r="AJ160" s="1385"/>
      <c r="AK160" s="1385"/>
      <c r="AL160" s="1385"/>
      <c r="AM160" s="1385"/>
      <c r="AN160" s="1385"/>
      <c r="AO160" s="1385"/>
      <c r="AP160" s="1385"/>
      <c r="AQ160" s="1385"/>
      <c r="AR160" s="1385"/>
      <c r="AS160" s="1385"/>
      <c r="AT160" s="1385"/>
      <c r="AU160" s="1385"/>
      <c r="AV160" s="1385"/>
      <c r="AW160" s="1385"/>
      <c r="AX160" s="1385"/>
      <c r="AY160" s="1385"/>
      <c r="AZ160" s="1385"/>
      <c r="BA160" s="1385"/>
      <c r="BB160" s="1385"/>
      <c r="BC160" s="1385"/>
      <c r="BD160" s="1385"/>
      <c r="BE160" s="1385"/>
      <c r="BF160" s="1385"/>
      <c r="BG160" s="1385"/>
      <c r="BH160" s="1385"/>
      <c r="BI160" s="1385"/>
      <c r="BJ160" s="1385"/>
      <c r="BK160" s="1385"/>
      <c r="BL160" s="1385"/>
      <c r="BM160" s="1385"/>
      <c r="BN160" s="1385"/>
      <c r="BO160" s="1385"/>
      <c r="BP160" s="1385"/>
      <c r="BQ160" s="1385"/>
      <c r="BR160" s="1385"/>
      <c r="BS160" s="1385"/>
      <c r="BT160" s="1385"/>
      <c r="BU160" s="1385"/>
      <c r="BV160" s="1385"/>
      <c r="BW160" s="1385"/>
      <c r="BX160" s="1385"/>
      <c r="BY160" s="1385"/>
      <c r="BZ160" s="1385"/>
      <c r="CA160" s="1385"/>
      <c r="CB160" s="1385"/>
      <c r="CC160" s="1385"/>
      <c r="CD160" s="1385"/>
      <c r="CE160" s="1385"/>
      <c r="CF160" s="1385"/>
      <c r="CG160" s="1385"/>
      <c r="CH160" s="1385"/>
      <c r="CI160" s="1385"/>
      <c r="CJ160" s="1385"/>
      <c r="CK160" s="1385"/>
      <c r="CL160" s="1385"/>
      <c r="CM160" s="1385"/>
      <c r="CN160" s="1385"/>
      <c r="CO160" s="1385"/>
      <c r="CP160" s="1385"/>
      <c r="CQ160" s="1385"/>
      <c r="CR160" s="1385"/>
      <c r="CS160" s="1385"/>
      <c r="CT160" s="1385"/>
      <c r="CU160" s="1385"/>
      <c r="CV160" s="1385"/>
      <c r="CW160" s="1385"/>
      <c r="CX160" s="1385"/>
      <c r="CY160" s="1385"/>
      <c r="CZ160" s="1385"/>
      <c r="DA160" s="1385"/>
      <c r="DB160" s="1385"/>
      <c r="DC160" s="1385"/>
      <c r="DD160" s="1385"/>
      <c r="DE160" s="1385"/>
      <c r="DF160" s="1385"/>
      <c r="DG160" s="1385"/>
      <c r="DH160" s="1385"/>
      <c r="DI160" s="1385"/>
      <c r="DJ160" s="1385"/>
      <c r="DK160" s="1385"/>
      <c r="DL160" s="1385"/>
      <c r="DM160" s="1385"/>
      <c r="DN160" s="1385"/>
      <c r="DO160" s="1385"/>
      <c r="DP160" s="1385"/>
      <c r="DQ160" s="1385"/>
      <c r="DR160" s="1385"/>
      <c r="DS160" s="1385"/>
      <c r="DT160" s="1385"/>
      <c r="DU160" s="1385"/>
      <c r="DV160" s="1385"/>
      <c r="DW160" s="1385"/>
      <c r="DX160" s="1385"/>
      <c r="DY160" s="1385"/>
      <c r="DZ160" s="1385"/>
      <c r="EA160" s="1385"/>
      <c r="EB160" s="1385"/>
      <c r="EC160" s="1385"/>
      <c r="ED160" s="1385"/>
      <c r="EE160" s="1385"/>
      <c r="EF160" s="1385"/>
      <c r="EG160" s="1385"/>
      <c r="EH160" s="1385"/>
      <c r="EI160" s="1385"/>
      <c r="EJ160" s="1385"/>
      <c r="EK160" s="1385"/>
      <c r="EL160" s="1385"/>
      <c r="EM160" s="1385"/>
      <c r="EN160" s="1385"/>
      <c r="EO160" s="1385"/>
      <c r="EP160" s="1385"/>
      <c r="EQ160" s="1385"/>
      <c r="ER160" s="1385"/>
      <c r="ES160" s="1385"/>
      <c r="ET160" s="1385"/>
      <c r="EU160" s="1385"/>
      <c r="EV160" s="1385"/>
      <c r="EW160" s="1385"/>
      <c r="EX160" s="1385"/>
      <c r="EY160" s="1385"/>
      <c r="EZ160" s="1385"/>
      <c r="FA160" s="1385"/>
      <c r="FB160" s="1385"/>
      <c r="FC160" s="1385"/>
      <c r="FD160" s="1385"/>
      <c r="FE160" s="1385"/>
      <c r="FF160" s="1385"/>
      <c r="FG160" s="1385"/>
      <c r="FH160" s="1385"/>
      <c r="FI160" s="1385"/>
      <c r="FJ160" s="1385"/>
      <c r="FK160" s="1385"/>
      <c r="FL160" s="1385"/>
      <c r="FM160" s="1385"/>
      <c r="FN160" s="1385"/>
      <c r="FO160" s="1385"/>
      <c r="FP160" s="1385"/>
      <c r="FQ160" s="1385"/>
      <c r="FR160" s="1385"/>
      <c r="FS160" s="1385"/>
      <c r="FT160" s="1385"/>
      <c r="FU160" s="1385"/>
      <c r="FV160" s="1385"/>
      <c r="FW160" s="1385"/>
      <c r="FX160" s="1385"/>
      <c r="FY160" s="1385"/>
      <c r="FZ160" s="1385"/>
      <c r="GA160" s="1385"/>
      <c r="GB160" s="1385"/>
      <c r="GC160" s="1385"/>
      <c r="GD160" s="1385"/>
      <c r="GE160" s="1385"/>
      <c r="GF160" s="1385"/>
      <c r="GG160" s="1385"/>
      <c r="GH160" s="1385"/>
      <c r="GI160" s="1385"/>
      <c r="GJ160" s="1385"/>
      <c r="GK160" s="1385"/>
      <c r="GL160" s="1385"/>
      <c r="GM160" s="1385"/>
      <c r="GN160" s="1385"/>
      <c r="GO160" s="1385"/>
      <c r="GP160" s="1385"/>
      <c r="GQ160" s="1385"/>
      <c r="GR160" s="1385"/>
      <c r="GS160" s="1385"/>
      <c r="GT160" s="1385"/>
      <c r="GU160" s="1385"/>
      <c r="GV160" s="1385"/>
      <c r="GW160" s="1385"/>
      <c r="GX160" s="1385"/>
      <c r="GY160" s="1385"/>
      <c r="GZ160" s="1385"/>
      <c r="HA160" s="1385"/>
      <c r="HB160" s="1385"/>
      <c r="HC160" s="1385"/>
      <c r="HD160" s="1385"/>
      <c r="HE160" s="1385"/>
      <c r="HF160" s="1385"/>
      <c r="HG160" s="1385"/>
      <c r="HH160" s="1385"/>
      <c r="HI160" s="1385"/>
      <c r="HJ160" s="1385"/>
      <c r="HK160" s="1385"/>
      <c r="HL160" s="1385"/>
      <c r="HM160" s="1385"/>
      <c r="HN160" s="1385"/>
      <c r="HO160" s="1385"/>
      <c r="HP160" s="1385"/>
      <c r="HQ160" s="1385"/>
      <c r="HR160" s="1385"/>
      <c r="HS160" s="1385"/>
      <c r="HT160" s="1385"/>
      <c r="HU160" s="1385"/>
      <c r="HV160" s="1385"/>
      <c r="HW160" s="1385"/>
      <c r="HX160" s="1385"/>
      <c r="HY160" s="1385"/>
      <c r="HZ160" s="1385"/>
      <c r="IA160" s="1385"/>
      <c r="IB160" s="1385"/>
      <c r="IC160" s="1385"/>
      <c r="ID160" s="1385"/>
      <c r="IE160" s="1385"/>
      <c r="IF160" s="1385"/>
      <c r="IG160" s="1385"/>
      <c r="IH160" s="1385"/>
      <c r="II160" s="1385"/>
      <c r="IJ160" s="1385"/>
      <c r="IK160" s="1385"/>
      <c r="IL160" s="1385"/>
      <c r="IM160" s="1385"/>
      <c r="IN160" s="1385"/>
      <c r="IO160" s="1385"/>
      <c r="IP160" s="1385"/>
      <c r="IQ160" s="1385"/>
      <c r="IR160" s="1385"/>
      <c r="IS160" s="1385"/>
      <c r="IT160" s="1385"/>
      <c r="IU160" s="1385"/>
      <c r="IV160" s="1385"/>
      <c r="IW160" s="1385"/>
      <c r="IX160" s="1385"/>
      <c r="IY160" s="1385"/>
      <c r="IZ160" s="1385"/>
      <c r="JA160" s="1385"/>
      <c r="JB160" s="1385"/>
      <c r="JC160" s="1385"/>
      <c r="JD160" s="1385"/>
      <c r="JE160" s="1385"/>
      <c r="JF160" s="1385"/>
      <c r="JG160" s="1385"/>
      <c r="JH160" s="1385"/>
      <c r="JI160" s="1385"/>
      <c r="JJ160" s="1385"/>
      <c r="JK160" s="1385"/>
      <c r="JL160" s="1385"/>
      <c r="JM160" s="1385"/>
      <c r="JN160" s="1385"/>
      <c r="JO160" s="1385"/>
      <c r="JP160" s="1385"/>
      <c r="JQ160" s="1385"/>
      <c r="JR160" s="1385"/>
      <c r="JS160" s="1385"/>
      <c r="JT160" s="1385"/>
      <c r="JU160" s="1385"/>
      <c r="JV160" s="1385"/>
      <c r="JW160" s="1385"/>
      <c r="JX160" s="1385"/>
      <c r="JY160" s="1385"/>
      <c r="JZ160" s="1385"/>
      <c r="KA160" s="1385"/>
      <c r="KB160" s="1385"/>
      <c r="KC160" s="1385"/>
      <c r="KD160" s="1385"/>
      <c r="KE160" s="1385"/>
      <c r="KF160" s="1385"/>
      <c r="KG160" s="1385"/>
      <c r="KH160" s="1385"/>
      <c r="KI160" s="1385"/>
      <c r="KJ160" s="1385"/>
      <c r="KK160" s="1385"/>
      <c r="KL160" s="1385"/>
      <c r="KM160" s="1385"/>
      <c r="KN160" s="1385"/>
      <c r="KO160" s="1385"/>
      <c r="KP160" s="1385"/>
      <c r="KQ160" s="1385"/>
      <c r="KR160" s="1385"/>
      <c r="KS160" s="1385"/>
      <c r="KT160" s="1385"/>
      <c r="KU160" s="1385"/>
      <c r="KV160" s="1385"/>
      <c r="KW160" s="1385"/>
      <c r="KX160" s="1385"/>
      <c r="KY160" s="1385"/>
      <c r="KZ160" s="1385"/>
      <c r="LA160" s="1385"/>
      <c r="LB160" s="1385"/>
      <c r="LC160" s="1385"/>
      <c r="LD160" s="1385"/>
      <c r="LE160" s="1385"/>
      <c r="LF160" s="1385"/>
      <c r="LG160" s="1385"/>
      <c r="LH160" s="1385"/>
      <c r="LI160" s="1385"/>
      <c r="LJ160" s="1385"/>
      <c r="LK160" s="1385"/>
      <c r="LL160" s="1385"/>
      <c r="LM160" s="1385"/>
      <c r="LN160" s="1385"/>
      <c r="LO160" s="1385"/>
      <c r="LP160" s="1385"/>
      <c r="LQ160" s="1385"/>
      <c r="LR160" s="1385"/>
      <c r="LS160" s="1385"/>
      <c r="LT160" s="1385"/>
      <c r="LU160" s="1385"/>
      <c r="LV160" s="1385"/>
      <c r="LW160" s="1385"/>
      <c r="LX160" s="1385"/>
      <c r="LY160" s="1385"/>
      <c r="LZ160" s="1385"/>
      <c r="MA160" s="1385"/>
      <c r="MB160" s="1385"/>
      <c r="MC160" s="1385"/>
      <c r="MD160" s="1385"/>
      <c r="ME160" s="1385"/>
      <c r="MF160" s="1385"/>
      <c r="MG160" s="1385"/>
      <c r="MH160" s="1385"/>
      <c r="MI160" s="1385"/>
      <c r="MJ160" s="1385"/>
      <c r="MK160" s="1385"/>
      <c r="ML160" s="1385"/>
      <c r="MM160" s="1385"/>
      <c r="MN160" s="1385"/>
      <c r="MO160" s="1385"/>
      <c r="MP160" s="1385"/>
      <c r="MQ160" s="1385"/>
      <c r="MR160" s="1385"/>
      <c r="MS160" s="1385"/>
      <c r="MT160" s="1385"/>
      <c r="MU160" s="1385"/>
      <c r="MV160" s="1385"/>
      <c r="MW160" s="1385"/>
      <c r="MX160" s="1385"/>
      <c r="MY160" s="1385"/>
      <c r="MZ160" s="1385"/>
      <c r="NA160" s="1385"/>
      <c r="NB160" s="1385"/>
      <c r="NC160" s="1385"/>
      <c r="ND160" s="1385"/>
      <c r="NE160" s="1385"/>
      <c r="NF160" s="1385"/>
      <c r="NG160" s="1385"/>
      <c r="NH160" s="1385"/>
      <c r="NI160" s="1385"/>
      <c r="NJ160" s="1385"/>
      <c r="NK160" s="1385"/>
      <c r="NL160" s="1385"/>
      <c r="NM160" s="1385"/>
      <c r="NN160" s="1385"/>
      <c r="NO160" s="1385"/>
      <c r="NP160" s="1385"/>
      <c r="NQ160" s="1385"/>
      <c r="NR160" s="1385"/>
      <c r="NS160" s="1385"/>
      <c r="NT160" s="1385"/>
      <c r="NU160" s="1385"/>
      <c r="NV160" s="1385"/>
      <c r="NW160" s="1385"/>
      <c r="NX160" s="1385"/>
      <c r="NY160" s="1385"/>
      <c r="NZ160" s="1385"/>
      <c r="OA160" s="1385"/>
      <c r="OB160" s="1385"/>
      <c r="OC160" s="1385"/>
      <c r="OD160" s="1385"/>
      <c r="OE160" s="1385"/>
      <c r="OF160" s="1385"/>
      <c r="OG160" s="1385"/>
      <c r="OH160" s="1385"/>
      <c r="OI160" s="1385"/>
      <c r="OJ160" s="1385"/>
      <c r="OK160" s="1385"/>
      <c r="OL160" s="1385"/>
      <c r="OM160" s="1385"/>
      <c r="ON160" s="1385"/>
      <c r="OO160" s="1385"/>
      <c r="OP160" s="1385"/>
      <c r="OQ160" s="1385"/>
      <c r="OR160" s="1385"/>
      <c r="OS160" s="1385"/>
      <c r="OT160" s="1385"/>
      <c r="OU160" s="1385"/>
      <c r="OV160" s="1385"/>
      <c r="OW160" s="1385"/>
      <c r="OX160" s="1385"/>
      <c r="OY160" s="1385"/>
      <c r="OZ160" s="1385"/>
      <c r="PA160" s="1385"/>
      <c r="PB160" s="1385"/>
      <c r="PC160" s="1385"/>
      <c r="PD160" s="1385"/>
      <c r="PE160" s="1385"/>
      <c r="PF160" s="1385"/>
      <c r="PG160" s="1385"/>
      <c r="PH160" s="1385"/>
      <c r="PI160" s="1385"/>
      <c r="PJ160" s="1385"/>
      <c r="PK160" s="1385"/>
      <c r="PL160" s="1385"/>
      <c r="PM160" s="1385"/>
      <c r="PN160" s="1385"/>
      <c r="PO160" s="1385"/>
      <c r="PP160" s="1385"/>
      <c r="PQ160" s="1385"/>
      <c r="PR160" s="1385"/>
      <c r="PS160" s="1385"/>
      <c r="PT160" s="1385"/>
      <c r="PU160" s="1385"/>
      <c r="PV160" s="1385"/>
      <c r="PW160" s="1385"/>
      <c r="PX160" s="1385"/>
      <c r="PY160" s="1385"/>
      <c r="PZ160" s="1385"/>
      <c r="QA160" s="1385"/>
      <c r="QB160" s="1385"/>
      <c r="QC160" s="1385"/>
      <c r="QD160" s="1385"/>
      <c r="QE160" s="1385"/>
      <c r="QF160" s="1385"/>
      <c r="QG160" s="1385"/>
      <c r="QH160" s="1385"/>
      <c r="QI160" s="1385"/>
      <c r="QJ160" s="1385"/>
      <c r="QK160" s="1385"/>
      <c r="QL160" s="1385"/>
      <c r="QM160" s="1385"/>
      <c r="QN160" s="1385"/>
      <c r="QO160" s="1385"/>
      <c r="QP160" s="1385"/>
      <c r="QQ160" s="1385"/>
      <c r="QR160" s="1385"/>
      <c r="QS160" s="1385"/>
      <c r="QT160" s="1385"/>
      <c r="QU160" s="1385"/>
      <c r="QV160" s="1385"/>
      <c r="QW160" s="1385"/>
      <c r="QX160" s="1385"/>
      <c r="QY160" s="1385"/>
      <c r="QZ160" s="1385"/>
      <c r="RA160" s="1385"/>
      <c r="RB160" s="1385"/>
      <c r="RC160" s="1385"/>
      <c r="RD160" s="1385"/>
      <c r="RE160" s="1385"/>
      <c r="RF160" s="1385"/>
      <c r="RG160" s="1385"/>
      <c r="RH160" s="1385"/>
      <c r="RI160" s="1385"/>
      <c r="RJ160" s="1385"/>
      <c r="RK160" s="1385"/>
      <c r="RL160" s="1385"/>
      <c r="RM160" s="1385"/>
      <c r="RN160" s="1385"/>
      <c r="RO160" s="1385"/>
      <c r="RP160" s="1385"/>
      <c r="RQ160" s="1385"/>
      <c r="RR160" s="1385"/>
      <c r="RS160" s="1385"/>
      <c r="RT160" s="1385"/>
      <c r="RU160" s="1385"/>
      <c r="RV160" s="1385"/>
      <c r="RW160" s="1385"/>
      <c r="RX160" s="1385"/>
      <c r="RY160" s="1385"/>
      <c r="RZ160" s="1385"/>
      <c r="SA160" s="1385"/>
      <c r="SB160" s="1385"/>
      <c r="SC160" s="1385"/>
      <c r="SD160" s="1385"/>
      <c r="SE160" s="1385"/>
      <c r="SF160" s="1385"/>
      <c r="SG160" s="1385"/>
      <c r="SH160" s="1385"/>
      <c r="SI160" s="1385"/>
      <c r="SJ160" s="1385"/>
      <c r="SK160" s="1385"/>
      <c r="SL160" s="1385"/>
      <c r="SM160" s="1385"/>
      <c r="SN160" s="1385"/>
      <c r="SO160" s="1385"/>
      <c r="SP160" s="1385"/>
      <c r="SQ160" s="1385"/>
      <c r="SR160" s="1385"/>
      <c r="SS160" s="1385"/>
      <c r="ST160" s="1385"/>
      <c r="SU160" s="1385"/>
      <c r="SV160" s="1385"/>
      <c r="SW160" s="1385"/>
      <c r="SX160" s="1385"/>
      <c r="SY160" s="1385"/>
      <c r="SZ160" s="1385"/>
      <c r="TA160" s="1385"/>
      <c r="TB160" s="1385"/>
      <c r="TC160" s="1385"/>
      <c r="TD160" s="1385"/>
      <c r="TE160" s="1385"/>
      <c r="TF160" s="1385"/>
      <c r="TG160" s="1385"/>
      <c r="TH160" s="1385"/>
      <c r="TI160" s="1385"/>
      <c r="TJ160" s="1385"/>
      <c r="TK160" s="1385"/>
      <c r="TL160" s="1385"/>
      <c r="TM160" s="1385"/>
      <c r="TN160" s="1385"/>
      <c r="TO160" s="1385"/>
      <c r="TP160" s="1385"/>
      <c r="TQ160" s="1385"/>
      <c r="TR160" s="1385"/>
      <c r="TS160" s="1385"/>
      <c r="TT160" s="1385"/>
      <c r="TU160" s="1385"/>
      <c r="TV160" s="1385"/>
      <c r="TW160" s="1385"/>
      <c r="TX160" s="1385"/>
      <c r="TY160" s="1385"/>
      <c r="TZ160" s="1385"/>
      <c r="UA160" s="1385"/>
      <c r="UB160" s="1385"/>
      <c r="UC160" s="1385"/>
      <c r="UD160" s="1385"/>
      <c r="UE160" s="1385"/>
      <c r="UF160" s="1385"/>
      <c r="UG160" s="1385"/>
      <c r="UH160" s="1385"/>
      <c r="UI160" s="1385"/>
      <c r="UJ160" s="1385"/>
      <c r="UK160" s="1385"/>
      <c r="UL160" s="1385"/>
      <c r="UM160" s="1385"/>
      <c r="UN160" s="1385"/>
      <c r="UO160" s="1385"/>
      <c r="UP160" s="1385"/>
      <c r="UQ160" s="1385"/>
      <c r="UR160" s="1385"/>
      <c r="US160" s="1385"/>
      <c r="UT160" s="1385"/>
      <c r="UU160" s="1385"/>
      <c r="UV160" s="1385"/>
      <c r="UW160" s="1385"/>
      <c r="UX160" s="1385"/>
      <c r="UY160" s="1385"/>
      <c r="UZ160" s="1385"/>
      <c r="VA160" s="1385"/>
      <c r="VB160" s="1385"/>
      <c r="VC160" s="1385"/>
      <c r="VD160" s="1385"/>
      <c r="VE160" s="1385"/>
      <c r="VF160" s="1385"/>
      <c r="VG160" s="1385"/>
      <c r="VH160" s="1385"/>
      <c r="VI160" s="1385"/>
      <c r="VJ160" s="1385"/>
      <c r="VK160" s="1385"/>
      <c r="VL160" s="1385"/>
      <c r="VM160" s="1385"/>
      <c r="VN160" s="1385"/>
      <c r="VO160" s="1385"/>
      <c r="VP160" s="1385"/>
      <c r="VQ160" s="1385"/>
      <c r="VR160" s="1385"/>
      <c r="VS160" s="1385"/>
      <c r="VT160" s="1385"/>
      <c r="VU160" s="1385"/>
      <c r="VV160" s="1385"/>
      <c r="VW160" s="1385"/>
      <c r="VX160" s="1385"/>
      <c r="VY160" s="1385"/>
      <c r="VZ160" s="1385"/>
      <c r="WA160" s="1385"/>
      <c r="WB160" s="1385"/>
      <c r="WC160" s="1385"/>
      <c r="WD160" s="1385"/>
      <c r="WE160" s="1385"/>
      <c r="WF160" s="1385"/>
      <c r="WG160" s="1385"/>
      <c r="WH160" s="1385"/>
      <c r="WI160" s="1385"/>
      <c r="WJ160" s="1385"/>
      <c r="WK160" s="1385"/>
      <c r="WL160" s="1385"/>
      <c r="WM160" s="1385"/>
      <c r="WN160" s="1385"/>
      <c r="WO160" s="1385"/>
      <c r="WP160" s="1385"/>
      <c r="WQ160" s="1385"/>
      <c r="WR160" s="1385"/>
      <c r="WS160" s="1385"/>
      <c r="WT160" s="1385"/>
      <c r="WU160" s="1385"/>
      <c r="WV160" s="1385"/>
      <c r="WW160" s="1385"/>
      <c r="WX160" s="1385"/>
      <c r="WY160" s="1385"/>
      <c r="WZ160" s="1385"/>
      <c r="XA160" s="1385"/>
      <c r="XB160" s="1385"/>
      <c r="XC160" s="1385"/>
      <c r="XD160" s="1385"/>
      <c r="XE160" s="1385"/>
      <c r="XF160" s="1385"/>
      <c r="XG160" s="1385"/>
      <c r="XH160" s="1385"/>
      <c r="XI160" s="1385"/>
      <c r="XJ160" s="1385"/>
      <c r="XK160" s="1385"/>
      <c r="XL160" s="1385"/>
      <c r="XM160" s="1385"/>
      <c r="XN160" s="1385"/>
      <c r="XO160" s="1385"/>
      <c r="XP160" s="1385"/>
      <c r="XQ160" s="1385"/>
      <c r="XR160" s="1385"/>
      <c r="XS160" s="1385"/>
      <c r="XT160" s="1385"/>
      <c r="XU160" s="1385"/>
      <c r="XV160" s="1385"/>
      <c r="XW160" s="1385"/>
      <c r="XX160" s="1385"/>
      <c r="XY160" s="1385"/>
      <c r="XZ160" s="1385"/>
      <c r="YA160" s="1385"/>
      <c r="YB160" s="1385"/>
      <c r="YC160" s="1385"/>
      <c r="YD160" s="1385"/>
      <c r="YE160" s="1385"/>
      <c r="YF160" s="1385"/>
      <c r="YG160" s="1385"/>
      <c r="YH160" s="1385"/>
      <c r="YI160" s="1385"/>
      <c r="YJ160" s="1385"/>
      <c r="YK160" s="1385"/>
      <c r="YL160" s="1385"/>
      <c r="YM160" s="1385"/>
      <c r="YN160" s="1385"/>
      <c r="YO160" s="1385"/>
      <c r="YP160" s="1385"/>
      <c r="YQ160" s="1385"/>
      <c r="YR160" s="1385"/>
      <c r="YS160" s="1385"/>
      <c r="YT160" s="1385"/>
      <c r="YU160" s="1385"/>
      <c r="YV160" s="1385"/>
      <c r="YW160" s="1385"/>
      <c r="YX160" s="1385"/>
      <c r="YY160" s="1385"/>
      <c r="YZ160" s="1385"/>
      <c r="ZA160" s="1385"/>
      <c r="ZB160" s="1385"/>
      <c r="ZC160" s="1385"/>
      <c r="ZD160" s="1385"/>
      <c r="ZE160" s="1385"/>
      <c r="ZF160" s="1385"/>
      <c r="ZG160" s="1385"/>
      <c r="ZH160" s="1385"/>
      <c r="ZI160" s="1385"/>
      <c r="ZJ160" s="1385"/>
      <c r="ZK160" s="1385"/>
      <c r="ZL160" s="1385"/>
      <c r="ZM160" s="1385"/>
      <c r="ZN160" s="1385"/>
      <c r="ZO160" s="1385"/>
      <c r="ZP160" s="1385"/>
      <c r="ZQ160" s="1385"/>
      <c r="ZR160" s="1385"/>
      <c r="ZS160" s="1385"/>
      <c r="ZT160" s="1385"/>
      <c r="ZU160" s="1385"/>
      <c r="ZV160" s="1385"/>
      <c r="ZW160" s="1385"/>
      <c r="ZX160" s="1385"/>
      <c r="ZY160" s="1385"/>
      <c r="ZZ160" s="1385"/>
      <c r="AAA160" s="1385"/>
      <c r="AAB160" s="1385"/>
      <c r="AAC160" s="1385"/>
      <c r="AAD160" s="1385"/>
      <c r="AAE160" s="1385"/>
      <c r="AAF160" s="1385"/>
      <c r="AAG160" s="1385"/>
      <c r="AAH160" s="1385"/>
      <c r="AAI160" s="1385"/>
      <c r="AAJ160" s="1385"/>
      <c r="AAK160" s="1385"/>
      <c r="AAL160" s="1385"/>
      <c r="AAM160" s="1385"/>
      <c r="AAN160" s="1385"/>
      <c r="AAO160" s="1385"/>
      <c r="AAP160" s="1385"/>
      <c r="AAQ160" s="1385"/>
      <c r="AAR160" s="1385"/>
      <c r="AAS160" s="1385"/>
      <c r="AAT160" s="1385"/>
      <c r="AAU160" s="1385"/>
      <c r="AAV160" s="1385"/>
      <c r="AAW160" s="1385"/>
      <c r="AAX160" s="1385"/>
      <c r="AAY160" s="1385"/>
      <c r="AAZ160" s="1385"/>
      <c r="ABA160" s="1385"/>
      <c r="ABB160" s="1385"/>
      <c r="ABC160" s="1385"/>
      <c r="ABD160" s="1385"/>
      <c r="ABE160" s="1385"/>
      <c r="ABF160" s="1385"/>
      <c r="ABG160" s="1385"/>
      <c r="ABH160" s="1385"/>
      <c r="ABI160" s="1385"/>
      <c r="ABJ160" s="1385"/>
      <c r="ABK160" s="1385"/>
      <c r="ABL160" s="1385"/>
      <c r="ABM160" s="1385"/>
      <c r="ABN160" s="1385"/>
      <c r="ABO160" s="1385"/>
      <c r="ABP160" s="1385"/>
      <c r="ABQ160" s="1385"/>
      <c r="ABR160" s="1385"/>
      <c r="ABS160" s="1385"/>
      <c r="ABT160" s="1385"/>
      <c r="ABU160" s="1385"/>
      <c r="ABV160" s="1385"/>
      <c r="ABW160" s="1385"/>
      <c r="ABX160" s="1385"/>
      <c r="ABY160" s="1385"/>
      <c r="ABZ160" s="1385"/>
      <c r="ACA160" s="1385"/>
      <c r="ACB160" s="1385"/>
      <c r="ACC160" s="1385"/>
      <c r="ACD160" s="1385"/>
      <c r="ACE160" s="1385"/>
      <c r="ACF160" s="1385"/>
      <c r="ACG160" s="1385"/>
      <c r="ACH160" s="1385"/>
      <c r="ACI160" s="1385"/>
      <c r="ACJ160" s="1385"/>
      <c r="ACK160" s="1385"/>
      <c r="ACL160" s="1385"/>
      <c r="ACM160" s="1385"/>
      <c r="ACN160" s="1385"/>
      <c r="ACO160" s="1385"/>
      <c r="ACP160" s="1385"/>
      <c r="ACQ160" s="1385"/>
      <c r="ACR160" s="1385"/>
      <c r="ACS160" s="1385"/>
      <c r="ACT160" s="1385"/>
      <c r="ACU160" s="1385"/>
      <c r="ACV160" s="1385"/>
      <c r="ACW160" s="1385"/>
      <c r="ACX160" s="1385"/>
      <c r="ACY160" s="1385"/>
      <c r="ACZ160" s="1385"/>
      <c r="ADA160" s="1385"/>
      <c r="ADB160" s="1385"/>
      <c r="ADC160" s="1385"/>
      <c r="ADD160" s="1385"/>
      <c r="ADE160" s="1385"/>
      <c r="ADF160" s="1385"/>
      <c r="ADG160" s="1385"/>
      <c r="ADH160" s="1385"/>
      <c r="ADI160" s="1385"/>
      <c r="ADJ160" s="1385"/>
      <c r="ADK160" s="1385"/>
      <c r="ADL160" s="1385"/>
      <c r="ADM160" s="1385"/>
      <c r="ADN160" s="1385"/>
      <c r="ADO160" s="1385"/>
      <c r="ADP160" s="1385"/>
      <c r="ADQ160" s="1385"/>
      <c r="ADR160" s="1385"/>
      <c r="ADS160" s="1385"/>
      <c r="ADT160" s="1385"/>
      <c r="ADU160" s="1385"/>
      <c r="ADV160" s="1385"/>
      <c r="ADW160" s="1385"/>
      <c r="ADX160" s="1385"/>
      <c r="ADY160" s="1385"/>
      <c r="ADZ160" s="1385"/>
      <c r="AEA160" s="1385"/>
      <c r="AEB160" s="1385"/>
      <c r="AEC160" s="1385"/>
      <c r="AED160" s="1385"/>
      <c r="AEE160" s="1385"/>
      <c r="AEF160" s="1385"/>
      <c r="AEG160" s="1385"/>
      <c r="AEH160" s="1385"/>
      <c r="AEI160" s="1385"/>
      <c r="AEJ160" s="1385"/>
      <c r="AEK160" s="1385"/>
      <c r="AEL160" s="1385"/>
      <c r="AEM160" s="1385"/>
      <c r="AEN160" s="1385"/>
      <c r="AEO160" s="1385"/>
      <c r="AEP160" s="1385"/>
      <c r="AEQ160" s="1385"/>
      <c r="AER160" s="1385"/>
      <c r="AES160" s="1385"/>
      <c r="AET160" s="1385"/>
      <c r="AEU160" s="1385"/>
      <c r="AEV160" s="1385"/>
      <c r="AEW160" s="1385"/>
      <c r="AEX160" s="1385"/>
      <c r="AEY160" s="1385"/>
      <c r="AEZ160" s="1385"/>
      <c r="AFA160" s="1385"/>
      <c r="AFB160" s="1385"/>
      <c r="AFC160" s="1385"/>
      <c r="AFD160" s="1385"/>
      <c r="AFE160" s="1385"/>
      <c r="AFF160" s="1385"/>
      <c r="AFG160" s="1385"/>
      <c r="AFH160" s="1385"/>
      <c r="AFI160" s="1385"/>
      <c r="AFJ160" s="1385"/>
      <c r="AFK160" s="1385"/>
      <c r="AFL160" s="1385"/>
      <c r="AFM160" s="1385"/>
      <c r="AFN160" s="1385"/>
      <c r="AFO160" s="1385"/>
      <c r="AFP160" s="1385"/>
      <c r="AFQ160" s="1385"/>
      <c r="AFR160" s="1385"/>
      <c r="AFS160" s="1385"/>
      <c r="AFT160" s="1385"/>
      <c r="AFU160" s="1385"/>
      <c r="AFV160" s="1385"/>
      <c r="AFW160" s="1385"/>
      <c r="AFX160" s="1385"/>
      <c r="AFY160" s="1385"/>
      <c r="AFZ160" s="1385"/>
      <c r="AGA160" s="1385"/>
      <c r="AGB160" s="1385"/>
      <c r="AGC160" s="1385"/>
      <c r="AGD160" s="1385"/>
      <c r="AGE160" s="1385"/>
      <c r="AGF160" s="1385"/>
      <c r="AGG160" s="1385"/>
      <c r="AGH160" s="1385"/>
      <c r="AGI160" s="1385"/>
      <c r="AGJ160" s="1385"/>
      <c r="AGK160" s="1385"/>
      <c r="AGL160" s="1385"/>
      <c r="AGM160" s="1385"/>
      <c r="AGN160" s="1385"/>
      <c r="AGO160" s="1385"/>
      <c r="AGP160" s="1385"/>
      <c r="AGQ160" s="1385"/>
      <c r="AGR160" s="1385"/>
      <c r="AGS160" s="1385"/>
      <c r="AGT160" s="1385"/>
      <c r="AGU160" s="1385"/>
      <c r="AGV160" s="1385"/>
      <c r="AGW160" s="1385"/>
      <c r="AGX160" s="1385"/>
      <c r="AGY160" s="1385"/>
      <c r="AGZ160" s="1385"/>
      <c r="AHA160" s="1385"/>
      <c r="AHB160" s="1385"/>
      <c r="AHC160" s="1385"/>
      <c r="AHD160" s="1385"/>
      <c r="AHE160" s="1385"/>
      <c r="AHF160" s="1385"/>
      <c r="AHG160" s="1385"/>
      <c r="AHH160" s="1385"/>
      <c r="AHI160" s="1385"/>
      <c r="AHJ160" s="1385"/>
      <c r="AHK160" s="1385"/>
      <c r="AHL160" s="1385"/>
      <c r="AHM160" s="1385"/>
      <c r="AHN160" s="1385"/>
      <c r="AHO160" s="1385"/>
      <c r="AHP160" s="1385"/>
      <c r="AHQ160" s="1385"/>
      <c r="AHR160" s="1385"/>
      <c r="AHS160" s="1385"/>
      <c r="AHT160" s="1385"/>
      <c r="AHU160" s="1385"/>
      <c r="AHV160" s="1385"/>
      <c r="AHW160" s="1385"/>
      <c r="AHX160" s="1385"/>
      <c r="AHY160" s="1385"/>
      <c r="AHZ160" s="1385"/>
      <c r="AIA160" s="1385"/>
      <c r="AIB160" s="1385"/>
      <c r="AIC160" s="1385"/>
      <c r="AID160" s="1385"/>
      <c r="AIE160" s="1385"/>
      <c r="AIF160" s="1385"/>
      <c r="AIG160" s="1385"/>
      <c r="AIH160" s="1385"/>
      <c r="AII160" s="1385"/>
      <c r="AIJ160" s="1385"/>
      <c r="AIK160" s="1385"/>
      <c r="AIL160" s="1385"/>
      <c r="AIM160" s="1385"/>
      <c r="AIN160" s="1385"/>
      <c r="AIO160" s="1385"/>
      <c r="AIP160" s="1385"/>
      <c r="AIQ160" s="1385"/>
      <c r="AIR160" s="1385"/>
      <c r="AIS160" s="1385"/>
      <c r="AIT160" s="1385"/>
      <c r="AIU160" s="1385"/>
      <c r="AIV160" s="1385"/>
      <c r="AIW160" s="1385"/>
      <c r="AIX160" s="1385"/>
      <c r="AIY160" s="1385"/>
      <c r="AIZ160" s="1385"/>
      <c r="AJA160" s="1385"/>
      <c r="AJB160" s="1385"/>
      <c r="AJC160" s="1385"/>
      <c r="AJD160" s="1385"/>
      <c r="AJE160" s="1385"/>
      <c r="AJF160" s="1385"/>
      <c r="AJG160" s="1385"/>
      <c r="AJH160" s="1385"/>
      <c r="AJI160" s="1385"/>
      <c r="AJJ160" s="1385"/>
      <c r="AJK160" s="1385"/>
      <c r="AJL160" s="1385"/>
      <c r="AJM160" s="1385"/>
      <c r="AJN160" s="1385"/>
      <c r="AJO160" s="1385"/>
      <c r="AJP160" s="1385"/>
      <c r="AJQ160" s="1385"/>
      <c r="AJR160" s="1385"/>
      <c r="AJS160" s="1385"/>
      <c r="AJT160" s="1385"/>
      <c r="AJU160" s="1385"/>
      <c r="AJV160" s="1385"/>
      <c r="AJW160" s="1385"/>
      <c r="AJX160" s="1385"/>
      <c r="AJY160" s="1385"/>
      <c r="AJZ160" s="1385"/>
      <c r="AKA160" s="1385"/>
      <c r="AKB160" s="1385"/>
      <c r="AKC160" s="1385"/>
      <c r="AKD160" s="1385"/>
      <c r="AKE160" s="1385"/>
      <c r="AKF160" s="1385"/>
      <c r="AKG160" s="1385"/>
      <c r="AKH160" s="1385"/>
      <c r="AKI160" s="1385"/>
      <c r="AKJ160" s="1385"/>
      <c r="AKK160" s="1385"/>
      <c r="AKL160" s="1385"/>
      <c r="AKM160" s="1385"/>
      <c r="AKN160" s="1385"/>
      <c r="AKO160" s="1385"/>
      <c r="AKP160" s="1385"/>
      <c r="AKQ160" s="1385"/>
      <c r="AKR160" s="1385"/>
      <c r="AKS160" s="1385"/>
      <c r="AKT160" s="1385"/>
      <c r="AKU160" s="1385"/>
      <c r="AKV160" s="1385"/>
      <c r="AKW160" s="1385"/>
      <c r="AKX160" s="1385"/>
      <c r="AKY160" s="1385"/>
      <c r="AKZ160" s="1385"/>
      <c r="ALA160" s="1385"/>
      <c r="ALB160" s="1385"/>
      <c r="ALC160" s="1385"/>
      <c r="ALD160" s="1385"/>
      <c r="ALE160" s="1385"/>
      <c r="ALF160" s="1385"/>
      <c r="ALG160" s="1385"/>
      <c r="ALH160" s="1385"/>
      <c r="ALI160" s="1385"/>
      <c r="ALJ160" s="1385"/>
      <c r="ALK160" s="1385"/>
      <c r="ALL160" s="1385"/>
      <c r="ALM160" s="1385"/>
      <c r="ALN160" s="1385"/>
      <c r="ALO160" s="1385"/>
      <c r="ALP160" s="1385"/>
      <c r="ALQ160" s="1385"/>
      <c r="ALR160" s="1385"/>
      <c r="ALS160" s="1385"/>
      <c r="ALT160" s="1385"/>
      <c r="ALU160" s="1385"/>
      <c r="ALV160" s="1385"/>
      <c r="ALW160" s="1385"/>
      <c r="ALX160" s="1385"/>
      <c r="ALY160" s="1385"/>
      <c r="ALZ160" s="1385"/>
      <c r="AMA160" s="1385"/>
      <c r="AMB160" s="1385"/>
      <c r="AMC160" s="1385"/>
      <c r="AMD160" s="1385"/>
      <c r="AME160" s="1385"/>
      <c r="AMF160" s="1385"/>
      <c r="AMG160" s="1385"/>
      <c r="AMH160" s="1385"/>
      <c r="AMI160" s="1385"/>
      <c r="AMJ160" s="1385"/>
      <c r="AMK160" s="1385"/>
      <c r="AML160" s="1385"/>
      <c r="AMM160" s="1385"/>
      <c r="AMN160" s="1385"/>
      <c r="AMO160" s="1385"/>
      <c r="AMP160" s="1385"/>
      <c r="AMQ160" s="1385"/>
      <c r="AMR160" s="1385"/>
      <c r="AMS160" s="1385"/>
      <c r="AMT160" s="1385"/>
      <c r="AMU160" s="1385"/>
      <c r="AMV160" s="1385"/>
      <c r="AMW160" s="1385"/>
      <c r="AMX160" s="1385"/>
      <c r="AMY160" s="1385"/>
      <c r="AMZ160" s="1385"/>
      <c r="ANA160" s="1385"/>
      <c r="ANB160" s="1385"/>
      <c r="ANC160" s="1385"/>
      <c r="AND160" s="1385"/>
      <c r="ANE160" s="1385"/>
      <c r="ANF160" s="1385"/>
      <c r="ANG160" s="1385"/>
      <c r="ANH160" s="1385"/>
      <c r="ANI160" s="1385"/>
      <c r="ANJ160" s="1385"/>
      <c r="ANK160" s="1385"/>
      <c r="ANL160" s="1385"/>
      <c r="ANM160" s="1385"/>
      <c r="ANN160" s="1385"/>
      <c r="ANO160" s="1385"/>
      <c r="ANP160" s="1385"/>
      <c r="ANQ160" s="1385"/>
      <c r="ANR160" s="1385"/>
      <c r="ANS160" s="1385"/>
      <c r="ANT160" s="1385"/>
      <c r="ANU160" s="1385"/>
      <c r="ANV160" s="1385"/>
      <c r="ANW160" s="1385"/>
      <c r="ANX160" s="1385"/>
      <c r="ANY160" s="1385"/>
      <c r="ANZ160" s="1385"/>
      <c r="AOA160" s="1385"/>
      <c r="AOB160" s="1385"/>
      <c r="AOC160" s="1385"/>
      <c r="AOD160" s="1385"/>
      <c r="AOE160" s="1385"/>
      <c r="AOF160" s="1385"/>
      <c r="AOG160" s="1385"/>
      <c r="AOH160" s="1385"/>
      <c r="AOI160" s="1385"/>
      <c r="AOJ160" s="1385"/>
      <c r="AOK160" s="1385"/>
      <c r="AOL160" s="1385"/>
      <c r="AOM160" s="1385"/>
      <c r="AON160" s="1385"/>
      <c r="AOO160" s="1385"/>
      <c r="AOP160" s="1385"/>
      <c r="AOQ160" s="1385"/>
      <c r="AOR160" s="1385"/>
      <c r="AOS160" s="1385"/>
      <c r="AOT160" s="1385"/>
      <c r="AOU160" s="1385"/>
      <c r="AOV160" s="1385"/>
      <c r="AOW160" s="1385"/>
      <c r="AOX160" s="1385"/>
      <c r="AOY160" s="1385"/>
      <c r="AOZ160" s="1385"/>
      <c r="APA160" s="1385"/>
      <c r="APB160" s="1385"/>
      <c r="APC160" s="1385"/>
      <c r="APD160" s="1385"/>
      <c r="APE160" s="1385"/>
      <c r="APF160" s="1385"/>
      <c r="APG160" s="1385"/>
      <c r="APH160" s="1385"/>
      <c r="API160" s="1385"/>
      <c r="APJ160" s="1385"/>
      <c r="APK160" s="1385"/>
      <c r="APL160" s="1385"/>
      <c r="APM160" s="1385"/>
      <c r="APN160" s="1385"/>
      <c r="APO160" s="1385"/>
      <c r="APP160" s="1385"/>
      <c r="APQ160" s="1385"/>
      <c r="APR160" s="1385"/>
      <c r="APS160" s="1385"/>
      <c r="APT160" s="1385"/>
      <c r="APU160" s="1385"/>
      <c r="APV160" s="1385"/>
      <c r="APW160" s="1385"/>
      <c r="APX160" s="1385"/>
      <c r="APY160" s="1385"/>
      <c r="APZ160" s="1385"/>
      <c r="AQA160" s="1385"/>
      <c r="AQB160" s="1385"/>
      <c r="AQC160" s="1385"/>
      <c r="AQD160" s="1385"/>
      <c r="AQE160" s="1385"/>
      <c r="AQF160" s="1385"/>
      <c r="AQG160" s="1385"/>
      <c r="AQH160" s="1385"/>
      <c r="AQI160" s="1385"/>
      <c r="AQJ160" s="1385"/>
      <c r="AQK160" s="1385"/>
      <c r="AQL160" s="1385"/>
      <c r="AQM160" s="1385"/>
      <c r="AQN160" s="1385"/>
      <c r="AQO160" s="1385"/>
      <c r="AQP160" s="1385"/>
      <c r="AQQ160" s="1385"/>
      <c r="AQR160" s="1385"/>
      <c r="AQS160" s="1385"/>
      <c r="AQT160" s="1385"/>
      <c r="AQU160" s="1385"/>
      <c r="AQV160" s="1385"/>
      <c r="AQW160" s="1385"/>
      <c r="AQX160" s="1385"/>
      <c r="AQY160" s="1385"/>
      <c r="AQZ160" s="1385"/>
      <c r="ARA160" s="1385"/>
      <c r="ARB160" s="1385"/>
      <c r="ARC160" s="1385"/>
      <c r="ARD160" s="1385"/>
      <c r="ARE160" s="1385"/>
      <c r="ARF160" s="1385"/>
      <c r="ARG160" s="1385"/>
      <c r="ARH160" s="1385"/>
      <c r="ARI160" s="1385"/>
      <c r="ARJ160" s="1385"/>
      <c r="ARK160" s="1385"/>
      <c r="ARL160" s="1385"/>
      <c r="ARM160" s="1385"/>
      <c r="ARN160" s="1385"/>
      <c r="ARO160" s="1385"/>
      <c r="ARP160" s="1385"/>
      <c r="ARQ160" s="1385"/>
      <c r="ARR160" s="1385"/>
      <c r="ARS160" s="1385"/>
      <c r="ART160" s="1385"/>
      <c r="ARU160" s="1385"/>
      <c r="ARV160" s="1385"/>
      <c r="ARW160" s="1385"/>
      <c r="ARX160" s="1385"/>
      <c r="ARY160" s="1385"/>
      <c r="ARZ160" s="1385"/>
      <c r="ASA160" s="1385"/>
      <c r="ASB160" s="1385"/>
      <c r="ASC160" s="1385"/>
      <c r="ASD160" s="1385"/>
      <c r="ASE160" s="1385"/>
      <c r="ASF160" s="1385"/>
      <c r="ASG160" s="1385"/>
      <c r="ASH160" s="1385"/>
      <c r="ASI160" s="1385"/>
      <c r="ASJ160" s="1385"/>
      <c r="ASK160" s="1385"/>
      <c r="ASL160" s="1385"/>
      <c r="ASM160" s="1385"/>
      <c r="ASN160" s="1385"/>
      <c r="ASO160" s="1385"/>
      <c r="ASP160" s="1385"/>
      <c r="ASQ160" s="1385"/>
      <c r="ASR160" s="1385"/>
      <c r="ASS160" s="1385"/>
      <c r="AST160" s="1385"/>
      <c r="ASU160" s="1385"/>
      <c r="ASV160" s="1385"/>
      <c r="ASW160" s="1385"/>
      <c r="ASX160" s="1385"/>
      <c r="ASY160" s="1385"/>
      <c r="ASZ160" s="1385"/>
      <c r="ATA160" s="1385"/>
      <c r="ATB160" s="1385"/>
      <c r="ATC160" s="1385"/>
      <c r="ATD160" s="1385"/>
      <c r="ATE160" s="1385"/>
      <c r="ATF160" s="1385"/>
      <c r="ATG160" s="1385"/>
      <c r="ATH160" s="1385"/>
      <c r="ATI160" s="1385"/>
      <c r="ATJ160" s="1385"/>
      <c r="ATK160" s="1385"/>
      <c r="ATL160" s="1385"/>
      <c r="ATM160" s="1385"/>
      <c r="ATN160" s="1385"/>
      <c r="ATO160" s="1385"/>
      <c r="ATP160" s="1385"/>
      <c r="ATQ160" s="1385"/>
      <c r="ATR160" s="1385"/>
      <c r="ATS160" s="1385"/>
      <c r="ATT160" s="1385"/>
      <c r="ATU160" s="1385"/>
      <c r="ATV160" s="1385"/>
      <c r="ATW160" s="1385"/>
      <c r="ATX160" s="1385"/>
      <c r="ATY160" s="1385"/>
      <c r="ATZ160" s="1385"/>
      <c r="AUA160" s="1385"/>
      <c r="AUB160" s="1385"/>
      <c r="AUC160" s="1385"/>
      <c r="AUD160" s="1385"/>
      <c r="AUE160" s="1385"/>
      <c r="AUF160" s="1385"/>
      <c r="AUG160" s="1385"/>
      <c r="AUH160" s="1385"/>
      <c r="AUI160" s="1385"/>
      <c r="AUJ160" s="1385"/>
      <c r="AUK160" s="1385"/>
      <c r="AUL160" s="1385"/>
      <c r="AUM160" s="1385"/>
      <c r="AUN160" s="1385"/>
      <c r="AUO160" s="1385"/>
      <c r="AUP160" s="1385"/>
      <c r="AUQ160" s="1385"/>
      <c r="AUR160" s="1385"/>
      <c r="AUS160" s="1385"/>
      <c r="AUT160" s="1385"/>
      <c r="AUU160" s="1385"/>
      <c r="AUV160" s="1385"/>
      <c r="AUW160" s="1385"/>
      <c r="AUX160" s="1385"/>
      <c r="AUY160" s="1385"/>
      <c r="AUZ160" s="1385"/>
      <c r="AVA160" s="1385"/>
      <c r="AVB160" s="1385"/>
      <c r="AVC160" s="1385"/>
      <c r="AVD160" s="1385"/>
      <c r="AVE160" s="1385"/>
      <c r="AVF160" s="1385"/>
      <c r="AVG160" s="1385"/>
      <c r="AVH160" s="1385"/>
      <c r="AVI160" s="1385"/>
      <c r="AVJ160" s="1385"/>
      <c r="AVK160" s="1385"/>
      <c r="AVL160" s="1385"/>
      <c r="AVM160" s="1385"/>
      <c r="AVN160" s="1385"/>
      <c r="AVO160" s="1385"/>
      <c r="AVP160" s="1385"/>
      <c r="AVQ160" s="1385"/>
      <c r="AVR160" s="1385"/>
      <c r="AVS160" s="1385"/>
      <c r="AVT160" s="1385"/>
      <c r="AVU160" s="1385"/>
      <c r="AVV160" s="1385"/>
      <c r="AVW160" s="1385"/>
      <c r="AVX160" s="1385"/>
      <c r="AVY160" s="1385"/>
      <c r="AVZ160" s="1385"/>
      <c r="AWA160" s="1385"/>
      <c r="AWB160" s="1385"/>
      <c r="AWC160" s="1385"/>
      <c r="AWD160" s="1385"/>
      <c r="AWE160" s="1385"/>
      <c r="AWF160" s="1385"/>
      <c r="AWG160" s="1385"/>
      <c r="AWH160" s="1385"/>
      <c r="AWI160" s="1385"/>
      <c r="AWJ160" s="1385"/>
      <c r="AWK160" s="1385"/>
      <c r="AWL160" s="1385"/>
      <c r="AWM160" s="1385"/>
      <c r="AWN160" s="1385"/>
      <c r="AWO160" s="1385"/>
      <c r="AWP160" s="1385"/>
      <c r="AWQ160" s="1385"/>
      <c r="AWR160" s="1385"/>
      <c r="AWS160" s="1385"/>
      <c r="AWT160" s="1385"/>
      <c r="AWU160" s="1385"/>
      <c r="AWV160" s="1385"/>
      <c r="AWW160" s="1385"/>
      <c r="AWX160" s="1385"/>
      <c r="AWY160" s="1385"/>
      <c r="AWZ160" s="1385"/>
      <c r="AXA160" s="1385"/>
      <c r="AXB160" s="1385"/>
      <c r="AXC160" s="1385"/>
      <c r="AXD160" s="1385"/>
      <c r="AXE160" s="1385"/>
      <c r="AXF160" s="1385"/>
      <c r="AXG160" s="1385"/>
      <c r="AXH160" s="1385"/>
      <c r="AXI160" s="1385"/>
      <c r="AXJ160" s="1385"/>
      <c r="AXK160" s="1385"/>
      <c r="AXL160" s="1385"/>
      <c r="AXM160" s="1385"/>
      <c r="AXN160" s="1385"/>
      <c r="AXO160" s="1385"/>
      <c r="AXP160" s="1385"/>
      <c r="AXQ160" s="1385"/>
      <c r="AXR160" s="1385"/>
      <c r="AXS160" s="1385"/>
      <c r="AXT160" s="1385"/>
      <c r="AXU160" s="1385"/>
      <c r="AXV160" s="1385"/>
      <c r="AXW160" s="1385"/>
      <c r="AXX160" s="1385"/>
      <c r="AXY160" s="1385"/>
      <c r="AXZ160" s="1385"/>
      <c r="AYA160" s="1385"/>
      <c r="AYB160" s="1385"/>
      <c r="AYC160" s="1385"/>
      <c r="AYD160" s="1385"/>
      <c r="AYE160" s="1385"/>
      <c r="AYF160" s="1385"/>
      <c r="AYG160" s="1385"/>
      <c r="AYH160" s="1385"/>
      <c r="AYI160" s="1385"/>
      <c r="AYJ160" s="1385"/>
      <c r="AYK160" s="1385"/>
      <c r="AYL160" s="1385"/>
      <c r="AYM160" s="1385"/>
      <c r="AYN160" s="1385"/>
      <c r="AYO160" s="1385"/>
      <c r="AYP160" s="1385"/>
      <c r="AYQ160" s="1385"/>
      <c r="AYR160" s="1385"/>
      <c r="AYS160" s="1385"/>
      <c r="AYT160" s="1385"/>
      <c r="AYU160" s="1385"/>
      <c r="AYV160" s="1385"/>
      <c r="AYW160" s="1385"/>
      <c r="AYX160" s="1385"/>
      <c r="AYY160" s="1385"/>
      <c r="AYZ160" s="1385"/>
      <c r="AZA160" s="1385"/>
      <c r="AZB160" s="1385"/>
      <c r="AZC160" s="1385"/>
      <c r="AZD160" s="1385"/>
      <c r="AZE160" s="1385"/>
      <c r="AZF160" s="1385"/>
      <c r="AZG160" s="1385"/>
      <c r="AZH160" s="1385"/>
      <c r="AZI160" s="1385"/>
      <c r="AZJ160" s="1385"/>
      <c r="AZK160" s="1385"/>
      <c r="AZL160" s="1385"/>
      <c r="AZM160" s="1385"/>
      <c r="AZN160" s="1385"/>
      <c r="AZO160" s="1385"/>
      <c r="AZP160" s="1385"/>
      <c r="AZQ160" s="1385"/>
      <c r="AZR160" s="1385"/>
      <c r="AZS160" s="1385"/>
      <c r="AZT160" s="1385"/>
      <c r="AZU160" s="1385"/>
      <c r="AZV160" s="1385"/>
      <c r="AZW160" s="1385"/>
      <c r="AZX160" s="1385"/>
      <c r="AZY160" s="1385"/>
      <c r="AZZ160" s="1385"/>
      <c r="BAA160" s="1385"/>
      <c r="BAB160" s="1385"/>
      <c r="BAC160" s="1385"/>
      <c r="BAD160" s="1385"/>
      <c r="BAE160" s="1385"/>
      <c r="BAF160" s="1385"/>
      <c r="BAG160" s="1385"/>
      <c r="BAH160" s="1385"/>
      <c r="BAI160" s="1385"/>
      <c r="BAJ160" s="1385"/>
      <c r="BAK160" s="1385"/>
      <c r="BAL160" s="1385"/>
      <c r="BAM160" s="1385"/>
      <c r="BAN160" s="1385"/>
      <c r="BAO160" s="1385"/>
      <c r="BAP160" s="1385"/>
      <c r="BAQ160" s="1385"/>
      <c r="BAR160" s="1385"/>
      <c r="BAS160" s="1385"/>
      <c r="BAT160" s="1385"/>
      <c r="BAU160" s="1385"/>
      <c r="BAV160" s="1385"/>
      <c r="BAW160" s="1385"/>
      <c r="BAX160" s="1385"/>
      <c r="BAY160" s="1385"/>
      <c r="BAZ160" s="1385"/>
      <c r="BBA160" s="1385"/>
      <c r="BBB160" s="1385"/>
      <c r="BBC160" s="1385"/>
      <c r="BBD160" s="1385"/>
      <c r="BBE160" s="1385"/>
      <c r="BBF160" s="1385"/>
      <c r="BBG160" s="1385"/>
      <c r="BBH160" s="1385"/>
      <c r="BBI160" s="1385"/>
      <c r="BBJ160" s="1385"/>
      <c r="BBK160" s="1385"/>
      <c r="BBL160" s="1385"/>
      <c r="BBM160" s="1385"/>
      <c r="BBN160" s="1385"/>
      <c r="BBO160" s="1385"/>
      <c r="BBP160" s="1385"/>
      <c r="BBQ160" s="1385"/>
      <c r="BBR160" s="1385"/>
      <c r="BBS160" s="1385"/>
      <c r="BBT160" s="1385"/>
      <c r="BBU160" s="1385"/>
      <c r="BBV160" s="1385"/>
      <c r="BBW160" s="1385"/>
      <c r="BBX160" s="1385"/>
      <c r="BBY160" s="1385"/>
      <c r="BBZ160" s="1385"/>
      <c r="BCA160" s="1385"/>
      <c r="BCB160" s="1385"/>
      <c r="BCC160" s="1385"/>
      <c r="BCD160" s="1385"/>
      <c r="BCE160" s="1385"/>
      <c r="BCF160" s="1385"/>
      <c r="BCG160" s="1385"/>
      <c r="BCH160" s="1385"/>
      <c r="BCI160" s="1385"/>
      <c r="BCJ160" s="1385"/>
      <c r="BCK160" s="1385"/>
      <c r="BCL160" s="1385"/>
      <c r="BCM160" s="1385"/>
      <c r="BCN160" s="1385"/>
      <c r="BCO160" s="1385"/>
      <c r="BCP160" s="1385"/>
      <c r="BCQ160" s="1385"/>
      <c r="BCR160" s="1385"/>
      <c r="BCS160" s="1385"/>
      <c r="BCT160" s="1385"/>
      <c r="BCU160" s="1385"/>
      <c r="BCV160" s="1385"/>
      <c r="BCW160" s="1385"/>
      <c r="BCX160" s="1385"/>
      <c r="BCY160" s="1385"/>
      <c r="BCZ160" s="1385"/>
      <c r="BDA160" s="1385"/>
      <c r="BDB160" s="1385"/>
      <c r="BDC160" s="1385"/>
      <c r="BDD160" s="1385"/>
      <c r="BDE160" s="1385"/>
      <c r="BDF160" s="1385"/>
      <c r="BDG160" s="1385"/>
      <c r="BDH160" s="1385"/>
      <c r="BDI160" s="1385"/>
      <c r="BDJ160" s="1385"/>
      <c r="BDK160" s="1385"/>
      <c r="BDL160" s="1385"/>
      <c r="BDM160" s="1385"/>
      <c r="BDN160" s="1385"/>
      <c r="BDO160" s="1385"/>
      <c r="BDP160" s="1385"/>
      <c r="BDQ160" s="1385"/>
      <c r="BDR160" s="1385"/>
      <c r="BDS160" s="1385"/>
      <c r="BDT160" s="1385"/>
      <c r="BDU160" s="1385"/>
      <c r="BDV160" s="1385"/>
      <c r="BDW160" s="1385"/>
      <c r="BDX160" s="1385"/>
      <c r="BDY160" s="1385"/>
      <c r="BDZ160" s="1385"/>
      <c r="BEA160" s="1385"/>
      <c r="BEB160" s="1385"/>
      <c r="BEC160" s="1385"/>
      <c r="BED160" s="1385"/>
      <c r="BEE160" s="1385"/>
      <c r="BEF160" s="1385"/>
      <c r="BEG160" s="1385"/>
      <c r="BEH160" s="1385"/>
      <c r="BEI160" s="1385"/>
      <c r="BEJ160" s="1385"/>
      <c r="BEK160" s="1385"/>
      <c r="BEL160" s="1385"/>
      <c r="BEM160" s="1385"/>
      <c r="BEN160" s="1385"/>
      <c r="BEO160" s="1385"/>
      <c r="BEP160" s="1385"/>
      <c r="BEQ160" s="1385"/>
      <c r="BER160" s="1385"/>
      <c r="BES160" s="1385"/>
      <c r="BET160" s="1385"/>
      <c r="BEU160" s="1385"/>
      <c r="BEV160" s="1385"/>
      <c r="BEW160" s="1385"/>
      <c r="BEX160" s="1385"/>
      <c r="BEY160" s="1385"/>
      <c r="BEZ160" s="1385"/>
      <c r="BFA160" s="1385"/>
      <c r="BFB160" s="1385"/>
      <c r="BFC160" s="1385"/>
      <c r="BFD160" s="1385"/>
      <c r="BFE160" s="1385"/>
      <c r="BFF160" s="1385"/>
      <c r="BFG160" s="1385"/>
      <c r="BFH160" s="1385"/>
      <c r="BFI160" s="1385"/>
      <c r="BFJ160" s="1385"/>
      <c r="BFK160" s="1385"/>
      <c r="BFL160" s="1385"/>
      <c r="BFM160" s="1385"/>
      <c r="BFN160" s="1385"/>
      <c r="BFO160" s="1385"/>
      <c r="BFP160" s="1385"/>
      <c r="BFQ160" s="1385"/>
      <c r="BFR160" s="1385"/>
      <c r="BFS160" s="1385"/>
      <c r="BFT160" s="1385"/>
      <c r="BFU160" s="1385"/>
      <c r="BFV160" s="1385"/>
      <c r="BFW160" s="1385"/>
      <c r="BFX160" s="1385"/>
      <c r="BFY160" s="1385"/>
      <c r="BFZ160" s="1385"/>
      <c r="BGA160" s="1385"/>
      <c r="BGB160" s="1385"/>
      <c r="BGC160" s="1385"/>
      <c r="BGD160" s="1385"/>
      <c r="BGE160" s="1385"/>
      <c r="BGF160" s="1385"/>
      <c r="BGG160" s="1385"/>
      <c r="BGH160" s="1385"/>
      <c r="BGI160" s="1385"/>
      <c r="BGJ160" s="1385"/>
      <c r="BGK160" s="1385"/>
      <c r="BGL160" s="1385"/>
      <c r="BGM160" s="1385"/>
      <c r="BGN160" s="1385"/>
      <c r="BGO160" s="1385"/>
      <c r="BGP160" s="1385"/>
      <c r="BGQ160" s="1385"/>
      <c r="BGR160" s="1385"/>
      <c r="BGS160" s="1385"/>
      <c r="BGT160" s="1385"/>
      <c r="BGU160" s="1385"/>
      <c r="BGV160" s="1385"/>
      <c r="BGW160" s="1385"/>
      <c r="BGX160" s="1385"/>
      <c r="BGY160" s="1385"/>
      <c r="BGZ160" s="1385"/>
      <c r="BHA160" s="1385"/>
      <c r="BHB160" s="1385"/>
      <c r="BHC160" s="1385"/>
      <c r="BHD160" s="1385"/>
      <c r="BHE160" s="1385"/>
      <c r="BHF160" s="1385"/>
      <c r="BHG160" s="1385"/>
      <c r="BHH160" s="1385"/>
      <c r="BHI160" s="1385"/>
      <c r="BHJ160" s="1385"/>
      <c r="BHK160" s="1385"/>
      <c r="BHL160" s="1385"/>
      <c r="BHM160" s="1385"/>
      <c r="BHN160" s="1385"/>
      <c r="BHO160" s="1385"/>
      <c r="BHP160" s="1385"/>
      <c r="BHQ160" s="1385"/>
      <c r="BHR160" s="1385"/>
      <c r="BHS160" s="1385"/>
      <c r="BHT160" s="1385"/>
      <c r="BHU160" s="1385"/>
      <c r="BHV160" s="1385"/>
      <c r="BHW160" s="1385"/>
      <c r="BHX160" s="1385"/>
      <c r="BHY160" s="1385"/>
      <c r="BHZ160" s="1385"/>
      <c r="BIA160" s="1385"/>
      <c r="BIB160" s="1385"/>
      <c r="BIC160" s="1385"/>
      <c r="BID160" s="1385"/>
      <c r="BIE160" s="1385"/>
      <c r="BIF160" s="1385"/>
      <c r="BIG160" s="1385"/>
      <c r="BIH160" s="1385"/>
      <c r="BII160" s="1385"/>
      <c r="BIJ160" s="1385"/>
      <c r="BIK160" s="1385"/>
      <c r="BIL160" s="1385"/>
      <c r="BIM160" s="1385"/>
      <c r="BIN160" s="1385"/>
      <c r="BIO160" s="1385"/>
      <c r="BIP160" s="1385"/>
      <c r="BIQ160" s="1385"/>
      <c r="BIR160" s="1385"/>
      <c r="BIS160" s="1385"/>
      <c r="BIT160" s="1385"/>
      <c r="BIU160" s="1385"/>
      <c r="BIV160" s="1385"/>
      <c r="BIW160" s="1385"/>
      <c r="BIX160" s="1385"/>
      <c r="BIY160" s="1385"/>
      <c r="BIZ160" s="1385"/>
      <c r="BJA160" s="1385"/>
      <c r="BJB160" s="1385"/>
      <c r="BJC160" s="1385"/>
      <c r="BJD160" s="1385"/>
      <c r="BJE160" s="1385"/>
      <c r="BJF160" s="1385"/>
      <c r="BJG160" s="1385"/>
      <c r="BJH160" s="1385"/>
      <c r="BJI160" s="1385"/>
      <c r="BJJ160" s="1385"/>
      <c r="BJK160" s="1385"/>
      <c r="BJL160" s="1385"/>
      <c r="BJM160" s="1385"/>
      <c r="BJN160" s="1385"/>
      <c r="BJO160" s="1385"/>
      <c r="BJP160" s="1385"/>
      <c r="BJQ160" s="1385"/>
      <c r="BJR160" s="1385"/>
      <c r="BJS160" s="1385"/>
      <c r="BJT160" s="1385"/>
      <c r="BJU160" s="1385"/>
      <c r="BJV160" s="1385"/>
      <c r="BJW160" s="1385"/>
      <c r="BJX160" s="1385"/>
      <c r="BJY160" s="1385"/>
      <c r="BJZ160" s="1385"/>
      <c r="BKA160" s="1385"/>
      <c r="BKB160" s="1385"/>
      <c r="BKC160" s="1385"/>
      <c r="BKD160" s="1385"/>
      <c r="BKE160" s="1385"/>
      <c r="BKF160" s="1385"/>
      <c r="BKG160" s="1385"/>
      <c r="BKH160" s="1385"/>
      <c r="BKI160" s="1385"/>
      <c r="BKJ160" s="1385"/>
      <c r="BKK160" s="1385"/>
      <c r="BKL160" s="1385"/>
      <c r="BKM160" s="1385"/>
      <c r="BKN160" s="1385"/>
      <c r="BKO160" s="1385"/>
      <c r="BKP160" s="1385"/>
      <c r="BKQ160" s="1385"/>
      <c r="BKR160" s="1385"/>
      <c r="BKS160" s="1385"/>
      <c r="BKT160" s="1385"/>
      <c r="BKU160" s="1385"/>
      <c r="BKV160" s="1385"/>
      <c r="BKW160" s="1385"/>
      <c r="BKX160" s="1385"/>
      <c r="BKY160" s="1385"/>
      <c r="BKZ160" s="1385"/>
      <c r="BLA160" s="1385"/>
      <c r="BLB160" s="1385"/>
      <c r="BLC160" s="1385"/>
      <c r="BLD160" s="1385"/>
      <c r="BLE160" s="1385"/>
      <c r="BLF160" s="1385"/>
      <c r="BLG160" s="1385"/>
      <c r="BLH160" s="1385"/>
      <c r="BLI160" s="1385"/>
      <c r="BLJ160" s="1385"/>
      <c r="BLK160" s="1385"/>
      <c r="BLL160" s="1385"/>
      <c r="BLM160" s="1385"/>
      <c r="BLN160" s="1385"/>
      <c r="BLO160" s="1385"/>
      <c r="BLP160" s="1385"/>
      <c r="BLQ160" s="1385"/>
      <c r="BLR160" s="1385"/>
      <c r="BLS160" s="1385"/>
      <c r="BLT160" s="1385"/>
      <c r="BLU160" s="1385"/>
      <c r="BLV160" s="1385"/>
      <c r="BLW160" s="1385"/>
      <c r="BLX160" s="1385"/>
      <c r="BLY160" s="1385"/>
      <c r="BLZ160" s="1385"/>
      <c r="BMA160" s="1385"/>
      <c r="BMB160" s="1385"/>
      <c r="BMC160" s="1385"/>
      <c r="BMD160" s="1385"/>
      <c r="BME160" s="1385"/>
      <c r="BMF160" s="1385"/>
      <c r="BMG160" s="1385"/>
      <c r="BMH160" s="1385"/>
      <c r="BMI160" s="1385"/>
      <c r="BMJ160" s="1385"/>
      <c r="BMK160" s="1385"/>
      <c r="BML160" s="1385"/>
      <c r="BMM160" s="1385"/>
      <c r="BMN160" s="1385"/>
      <c r="BMO160" s="1385"/>
      <c r="BMP160" s="1385"/>
      <c r="BMQ160" s="1385"/>
      <c r="BMR160" s="1385"/>
      <c r="BMS160" s="1385"/>
      <c r="BMT160" s="1385"/>
      <c r="BMU160" s="1385"/>
      <c r="BMV160" s="1385"/>
      <c r="BMW160" s="1385"/>
      <c r="BMX160" s="1385"/>
      <c r="BMY160" s="1385"/>
      <c r="BMZ160" s="1385"/>
      <c r="BNA160" s="1385"/>
      <c r="BNB160" s="1385"/>
      <c r="BNC160" s="1385"/>
      <c r="BND160" s="1385"/>
      <c r="BNE160" s="1385"/>
      <c r="BNF160" s="1385"/>
      <c r="BNG160" s="1385"/>
      <c r="BNH160" s="1385"/>
      <c r="BNI160" s="1385"/>
      <c r="BNJ160" s="1385"/>
      <c r="BNK160" s="1385"/>
      <c r="BNL160" s="1385"/>
      <c r="BNM160" s="1385"/>
      <c r="BNN160" s="1385"/>
      <c r="BNO160" s="1385"/>
      <c r="BNP160" s="1385"/>
      <c r="BNQ160" s="1385"/>
      <c r="BNR160" s="1385"/>
      <c r="BNS160" s="1385"/>
      <c r="BNT160" s="1385"/>
      <c r="BNU160" s="1385"/>
      <c r="BNV160" s="1385"/>
      <c r="BNW160" s="1385"/>
      <c r="BNX160" s="1385"/>
      <c r="BNY160" s="1385"/>
      <c r="BNZ160" s="1385"/>
      <c r="BOA160" s="1385"/>
      <c r="BOB160" s="1385"/>
      <c r="BOC160" s="1385"/>
      <c r="BOD160" s="1385"/>
      <c r="BOE160" s="1385"/>
      <c r="BOF160" s="1385"/>
      <c r="BOG160" s="1385"/>
      <c r="BOH160" s="1385"/>
      <c r="BOI160" s="1385"/>
      <c r="BOJ160" s="1385"/>
      <c r="BOK160" s="1385"/>
      <c r="BOL160" s="1385"/>
      <c r="BOM160" s="1385"/>
      <c r="BON160" s="1385"/>
      <c r="BOO160" s="1385"/>
      <c r="BOP160" s="1385"/>
      <c r="BOQ160" s="1385"/>
      <c r="BOR160" s="1385"/>
      <c r="BOS160" s="1385"/>
      <c r="BOT160" s="1385"/>
      <c r="BOU160" s="1385"/>
      <c r="BOV160" s="1385"/>
      <c r="BOW160" s="1385"/>
      <c r="BOX160" s="1385"/>
      <c r="BOY160" s="1385"/>
      <c r="BOZ160" s="1385"/>
      <c r="BPA160" s="1385"/>
      <c r="BPB160" s="1385"/>
      <c r="BPC160" s="1385"/>
      <c r="BPD160" s="1385"/>
      <c r="BPE160" s="1385"/>
      <c r="BPF160" s="1385"/>
      <c r="BPG160" s="1385"/>
      <c r="BPH160" s="1385"/>
      <c r="BPI160" s="1385"/>
      <c r="BPJ160" s="1385"/>
      <c r="BPK160" s="1385"/>
      <c r="BPL160" s="1385"/>
      <c r="BPM160" s="1385"/>
      <c r="BPN160" s="1385"/>
      <c r="BPO160" s="1385"/>
      <c r="BPP160" s="1385"/>
      <c r="BPQ160" s="1385"/>
      <c r="BPR160" s="1385"/>
      <c r="BPS160" s="1385"/>
      <c r="BPT160" s="1385"/>
      <c r="BPU160" s="1385"/>
      <c r="BPV160" s="1385"/>
      <c r="BPW160" s="1385"/>
      <c r="BPX160" s="1385"/>
      <c r="BPY160" s="1385"/>
      <c r="BPZ160" s="1385"/>
      <c r="BQA160" s="1385"/>
      <c r="BQB160" s="1385"/>
      <c r="BQC160" s="1385"/>
      <c r="BQD160" s="1385"/>
      <c r="BQE160" s="1385"/>
      <c r="BQF160" s="1385"/>
      <c r="BQG160" s="1385"/>
      <c r="BQH160" s="1385"/>
      <c r="BQI160" s="1385"/>
      <c r="BQJ160" s="1385"/>
      <c r="BQK160" s="1385"/>
      <c r="BQL160" s="1385"/>
      <c r="BQM160" s="1385"/>
      <c r="BQN160" s="1385"/>
      <c r="BQO160" s="1385"/>
      <c r="BQP160" s="1385"/>
      <c r="BQQ160" s="1385"/>
      <c r="BQR160" s="1385"/>
      <c r="BQS160" s="1385"/>
      <c r="BQT160" s="1385"/>
      <c r="BQU160" s="1385"/>
      <c r="BQV160" s="1385"/>
      <c r="BQW160" s="1385"/>
      <c r="BQX160" s="1385"/>
      <c r="BQY160" s="1385"/>
      <c r="BQZ160" s="1385"/>
      <c r="BRA160" s="1385"/>
      <c r="BRB160" s="1385"/>
      <c r="BRC160" s="1385"/>
      <c r="BRD160" s="1385"/>
      <c r="BRE160" s="1385"/>
      <c r="BRF160" s="1385"/>
      <c r="BRG160" s="1385"/>
      <c r="BRH160" s="1385"/>
      <c r="BRI160" s="1385"/>
      <c r="BRJ160" s="1385"/>
      <c r="BRK160" s="1385"/>
      <c r="BRL160" s="1385"/>
      <c r="BRM160" s="1385"/>
      <c r="BRN160" s="1385"/>
      <c r="BRO160" s="1385"/>
      <c r="BRP160" s="1385"/>
      <c r="BRQ160" s="1385"/>
      <c r="BRR160" s="1385"/>
      <c r="BRS160" s="1385"/>
      <c r="BRT160" s="1385"/>
      <c r="BRU160" s="1385"/>
      <c r="BRV160" s="1385"/>
      <c r="BRW160" s="1385"/>
      <c r="BRX160" s="1385"/>
      <c r="BRY160" s="1385"/>
      <c r="BRZ160" s="1385"/>
      <c r="BSA160" s="1385"/>
      <c r="BSB160" s="1385"/>
      <c r="BSC160" s="1385"/>
      <c r="BSD160" s="1385"/>
      <c r="BSE160" s="1385"/>
      <c r="BSF160" s="1385"/>
      <c r="BSG160" s="1385"/>
      <c r="BSH160" s="1385"/>
      <c r="BSI160" s="1385"/>
      <c r="BSJ160" s="1385"/>
      <c r="BSK160" s="1385"/>
      <c r="BSL160" s="1385"/>
      <c r="BSM160" s="1385"/>
      <c r="BSN160" s="1385"/>
      <c r="BSO160" s="1385"/>
      <c r="BSP160" s="1385"/>
      <c r="BSQ160" s="1385"/>
      <c r="BSR160" s="1385"/>
      <c r="BSS160" s="1385"/>
      <c r="BST160" s="1385"/>
      <c r="BSU160" s="1385"/>
      <c r="BSV160" s="1385"/>
      <c r="BSW160" s="1385"/>
      <c r="BSX160" s="1385"/>
      <c r="BSY160" s="1385"/>
      <c r="BSZ160" s="1385"/>
      <c r="BTA160" s="1385"/>
      <c r="BTB160" s="1385"/>
      <c r="BTC160" s="1385"/>
      <c r="BTD160" s="1385"/>
      <c r="BTE160" s="1385"/>
      <c r="BTF160" s="1385"/>
      <c r="BTG160" s="1385"/>
      <c r="BTH160" s="1385"/>
      <c r="BTI160" s="1385"/>
      <c r="BTJ160" s="1385"/>
      <c r="BTK160" s="1385"/>
      <c r="BTL160" s="1385"/>
      <c r="BTM160" s="1385"/>
      <c r="BTN160" s="1385"/>
      <c r="BTO160" s="1385"/>
      <c r="BTP160" s="1385"/>
      <c r="BTQ160" s="1385"/>
      <c r="BTR160" s="1385"/>
      <c r="BTS160" s="1385"/>
      <c r="BTT160" s="1385"/>
      <c r="BTU160" s="1385"/>
      <c r="BTV160" s="1385"/>
      <c r="BTW160" s="1385"/>
      <c r="BTX160" s="1385"/>
      <c r="BTY160" s="1385"/>
      <c r="BTZ160" s="1385"/>
      <c r="BUA160" s="1385"/>
      <c r="BUB160" s="1385"/>
      <c r="BUC160" s="1385"/>
      <c r="BUD160" s="1385"/>
      <c r="BUE160" s="1385"/>
      <c r="BUF160" s="1385"/>
      <c r="BUG160" s="1385"/>
      <c r="BUH160" s="1385"/>
      <c r="BUI160" s="1385"/>
      <c r="BUJ160" s="1385"/>
      <c r="BUK160" s="1385"/>
      <c r="BUL160" s="1385"/>
      <c r="BUM160" s="1385"/>
      <c r="BUN160" s="1385"/>
      <c r="BUO160" s="1385"/>
      <c r="BUP160" s="1385"/>
      <c r="BUQ160" s="1385"/>
      <c r="BUR160" s="1385"/>
      <c r="BUS160" s="1385"/>
      <c r="BUT160" s="1385"/>
      <c r="BUU160" s="1385"/>
      <c r="BUV160" s="1385"/>
      <c r="BUW160" s="1385"/>
      <c r="BUX160" s="1385"/>
      <c r="BUY160" s="1385"/>
      <c r="BUZ160" s="1385"/>
      <c r="BVA160" s="1385"/>
      <c r="BVB160" s="1385"/>
      <c r="BVC160" s="1385"/>
      <c r="BVD160" s="1385"/>
      <c r="BVE160" s="1385"/>
      <c r="BVF160" s="1385"/>
      <c r="BVG160" s="1385"/>
      <c r="BVH160" s="1385"/>
      <c r="BVI160" s="1385"/>
      <c r="BVJ160" s="1385"/>
      <c r="BVK160" s="1385"/>
      <c r="BVL160" s="1385"/>
      <c r="BVM160" s="1385"/>
      <c r="BVN160" s="1385"/>
      <c r="BVO160" s="1385"/>
      <c r="BVP160" s="1385"/>
      <c r="BVQ160" s="1385"/>
      <c r="BVR160" s="1385"/>
      <c r="BVS160" s="1385"/>
      <c r="BVT160" s="1385"/>
      <c r="BVU160" s="1385"/>
      <c r="BVV160" s="1385"/>
      <c r="BVW160" s="1385"/>
      <c r="BVX160" s="1385"/>
      <c r="BVY160" s="1385"/>
      <c r="BVZ160" s="1385"/>
      <c r="BWA160" s="1385"/>
      <c r="BWB160" s="1385"/>
      <c r="BWC160" s="1385"/>
      <c r="BWD160" s="1385"/>
      <c r="BWE160" s="1385"/>
      <c r="BWF160" s="1385"/>
      <c r="BWG160" s="1385"/>
      <c r="BWH160" s="1385"/>
      <c r="BWI160" s="1385"/>
      <c r="BWJ160" s="1385"/>
      <c r="BWK160" s="1385"/>
      <c r="BWL160" s="1385"/>
      <c r="BWM160" s="1385"/>
      <c r="BWN160" s="1385"/>
      <c r="BWO160" s="1385"/>
      <c r="BWP160" s="1385"/>
      <c r="BWQ160" s="1385"/>
      <c r="BWR160" s="1385"/>
      <c r="BWS160" s="1385"/>
      <c r="BWT160" s="1385"/>
      <c r="BWU160" s="1385"/>
      <c r="BWV160" s="1385"/>
      <c r="BWW160" s="1385"/>
      <c r="BWX160" s="1385"/>
      <c r="BWY160" s="1385"/>
      <c r="BWZ160" s="1385"/>
      <c r="BXA160" s="1385"/>
      <c r="BXB160" s="1385"/>
      <c r="BXC160" s="1385"/>
      <c r="BXD160" s="1385"/>
      <c r="BXE160" s="1385"/>
      <c r="BXF160" s="1385"/>
      <c r="BXG160" s="1385"/>
      <c r="BXH160" s="1385"/>
      <c r="BXI160" s="1385"/>
      <c r="BXJ160" s="1385"/>
      <c r="BXK160" s="1385"/>
      <c r="BXL160" s="1385"/>
      <c r="BXM160" s="1385"/>
      <c r="BXN160" s="1385"/>
      <c r="BXO160" s="1385"/>
      <c r="BXP160" s="1385"/>
      <c r="BXQ160" s="1385"/>
      <c r="BXR160" s="1385"/>
      <c r="BXS160" s="1385"/>
      <c r="BXT160" s="1385"/>
      <c r="BXU160" s="1385"/>
      <c r="BXV160" s="1385"/>
      <c r="BXW160" s="1385"/>
      <c r="BXX160" s="1385"/>
      <c r="BXY160" s="1385"/>
      <c r="BXZ160" s="1385"/>
      <c r="BYA160" s="1385"/>
      <c r="BYB160" s="1385"/>
      <c r="BYC160" s="1385"/>
      <c r="BYD160" s="1385"/>
      <c r="BYE160" s="1385"/>
      <c r="BYF160" s="1385"/>
      <c r="BYG160" s="1385"/>
      <c r="BYH160" s="1385"/>
      <c r="BYI160" s="1385"/>
      <c r="BYJ160" s="1385"/>
      <c r="BYK160" s="1385"/>
      <c r="BYL160" s="1385"/>
      <c r="BYM160" s="1385"/>
      <c r="BYN160" s="1385"/>
      <c r="BYO160" s="1385"/>
      <c r="BYP160" s="1385"/>
      <c r="BYQ160" s="1385"/>
      <c r="BYR160" s="1385"/>
      <c r="BYS160" s="1385"/>
      <c r="BYT160" s="1385"/>
      <c r="BYU160" s="1385"/>
      <c r="BYV160" s="1385"/>
      <c r="BYW160" s="1385"/>
      <c r="BYX160" s="1385"/>
      <c r="BYY160" s="1385"/>
      <c r="BYZ160" s="1385"/>
      <c r="BZA160" s="1385"/>
      <c r="BZB160" s="1385"/>
      <c r="BZC160" s="1385"/>
      <c r="BZD160" s="1385"/>
      <c r="BZE160" s="1385"/>
      <c r="BZF160" s="1385"/>
      <c r="BZG160" s="1385"/>
      <c r="BZH160" s="1385"/>
      <c r="BZI160" s="1385"/>
      <c r="BZJ160" s="1385"/>
      <c r="BZK160" s="1385"/>
      <c r="BZL160" s="1385"/>
      <c r="BZM160" s="1385"/>
      <c r="BZN160" s="1385"/>
      <c r="BZO160" s="1385"/>
      <c r="BZP160" s="1385"/>
      <c r="BZQ160" s="1385"/>
      <c r="BZR160" s="1385"/>
      <c r="BZS160" s="1385"/>
      <c r="BZT160" s="1385"/>
      <c r="BZU160" s="1385"/>
      <c r="BZV160" s="1385"/>
      <c r="BZW160" s="1385"/>
      <c r="BZX160" s="1385"/>
      <c r="BZY160" s="1385"/>
      <c r="BZZ160" s="1385"/>
      <c r="CAA160" s="1385"/>
      <c r="CAB160" s="1385"/>
      <c r="CAC160" s="1385"/>
      <c r="CAD160" s="1385"/>
      <c r="CAE160" s="1385"/>
      <c r="CAF160" s="1385"/>
      <c r="CAG160" s="1385"/>
      <c r="CAH160" s="1385"/>
      <c r="CAI160" s="1385"/>
      <c r="CAJ160" s="1385"/>
      <c r="CAK160" s="1385"/>
      <c r="CAL160" s="1385"/>
      <c r="CAM160" s="1385"/>
      <c r="CAN160" s="1385"/>
      <c r="CAO160" s="1385"/>
      <c r="CAP160" s="1385"/>
      <c r="CAQ160" s="1385"/>
      <c r="CAR160" s="1385"/>
      <c r="CAS160" s="1385"/>
      <c r="CAT160" s="1385"/>
      <c r="CAU160" s="1385"/>
      <c r="CAV160" s="1385"/>
      <c r="CAW160" s="1385"/>
      <c r="CAX160" s="1385"/>
      <c r="CAY160" s="1385"/>
      <c r="CAZ160" s="1385"/>
      <c r="CBA160" s="1385"/>
      <c r="CBB160" s="1385"/>
      <c r="CBC160" s="1385"/>
      <c r="CBD160" s="1385"/>
      <c r="CBE160" s="1385"/>
      <c r="CBF160" s="1385"/>
      <c r="CBG160" s="1385"/>
      <c r="CBH160" s="1385"/>
      <c r="CBI160" s="1385"/>
      <c r="CBJ160" s="1385"/>
      <c r="CBK160" s="1385"/>
      <c r="CBL160" s="1385"/>
      <c r="CBM160" s="1385"/>
      <c r="CBN160" s="1385"/>
      <c r="CBO160" s="1385"/>
      <c r="CBP160" s="1385"/>
      <c r="CBQ160" s="1385"/>
      <c r="CBR160" s="1385"/>
      <c r="CBS160" s="1385"/>
      <c r="CBT160" s="1385"/>
      <c r="CBU160" s="1385"/>
      <c r="CBV160" s="1385"/>
      <c r="CBW160" s="1385"/>
      <c r="CBX160" s="1385"/>
      <c r="CBY160" s="1385"/>
      <c r="CBZ160" s="1385"/>
      <c r="CCA160" s="1385"/>
      <c r="CCB160" s="1385"/>
      <c r="CCC160" s="1385"/>
      <c r="CCD160" s="1385"/>
      <c r="CCE160" s="1385"/>
      <c r="CCF160" s="1385"/>
      <c r="CCG160" s="1385"/>
      <c r="CCH160" s="1385"/>
      <c r="CCI160" s="1385"/>
      <c r="CCJ160" s="1385"/>
      <c r="CCK160" s="1385"/>
      <c r="CCL160" s="1385"/>
      <c r="CCM160" s="1385"/>
      <c r="CCN160" s="1385"/>
      <c r="CCO160" s="1385"/>
      <c r="CCP160" s="1385"/>
      <c r="CCQ160" s="1385"/>
      <c r="CCR160" s="1385"/>
      <c r="CCS160" s="1385"/>
      <c r="CCT160" s="1385"/>
      <c r="CCU160" s="1385"/>
      <c r="CCV160" s="1385"/>
      <c r="CCW160" s="1385"/>
      <c r="CCX160" s="1385"/>
      <c r="CCY160" s="1385"/>
      <c r="CCZ160" s="1385"/>
      <c r="CDA160" s="1385"/>
      <c r="CDB160" s="1385"/>
      <c r="CDC160" s="1385"/>
      <c r="CDD160" s="1385"/>
      <c r="CDE160" s="1385"/>
      <c r="CDF160" s="1385"/>
      <c r="CDG160" s="1385"/>
      <c r="CDH160" s="1385"/>
      <c r="CDI160" s="1385"/>
      <c r="CDJ160" s="1385"/>
      <c r="CDK160" s="1385"/>
      <c r="CDL160" s="1385"/>
      <c r="CDM160" s="1385"/>
      <c r="CDN160" s="1385"/>
      <c r="CDO160" s="1385"/>
      <c r="CDP160" s="1385"/>
      <c r="CDQ160" s="1385"/>
      <c r="CDR160" s="1385"/>
      <c r="CDS160" s="1385"/>
      <c r="CDT160" s="1385"/>
      <c r="CDU160" s="1385"/>
      <c r="CDV160" s="1385"/>
      <c r="CDW160" s="1385"/>
      <c r="CDX160" s="1385"/>
      <c r="CDY160" s="1385"/>
      <c r="CDZ160" s="1385"/>
      <c r="CEA160" s="1385"/>
      <c r="CEB160" s="1385"/>
      <c r="CEC160" s="1385"/>
      <c r="CED160" s="1385"/>
      <c r="CEE160" s="1385"/>
      <c r="CEF160" s="1385"/>
      <c r="CEG160" s="1385"/>
      <c r="CEH160" s="1385"/>
      <c r="CEI160" s="1385"/>
      <c r="CEJ160" s="1385"/>
      <c r="CEK160" s="1385"/>
      <c r="CEL160" s="1385"/>
      <c r="CEM160" s="1385"/>
      <c r="CEN160" s="1385"/>
      <c r="CEO160" s="1385"/>
      <c r="CEP160" s="1385"/>
      <c r="CEQ160" s="1385"/>
      <c r="CER160" s="1385"/>
      <c r="CES160" s="1385"/>
      <c r="CET160" s="1385"/>
      <c r="CEU160" s="1385"/>
      <c r="CEV160" s="1385"/>
      <c r="CEW160" s="1385"/>
      <c r="CEX160" s="1385"/>
      <c r="CEY160" s="1385"/>
      <c r="CEZ160" s="1385"/>
      <c r="CFA160" s="1385"/>
      <c r="CFB160" s="1385"/>
      <c r="CFC160" s="1385"/>
      <c r="CFD160" s="1385"/>
      <c r="CFE160" s="1385"/>
      <c r="CFF160" s="1385"/>
      <c r="CFG160" s="1385"/>
      <c r="CFH160" s="1385"/>
      <c r="CFI160" s="1385"/>
      <c r="CFJ160" s="1385"/>
      <c r="CFK160" s="1385"/>
      <c r="CFL160" s="1385"/>
      <c r="CFM160" s="1385"/>
      <c r="CFN160" s="1385"/>
      <c r="CFO160" s="1385"/>
      <c r="CFP160" s="1385"/>
      <c r="CFQ160" s="1385"/>
      <c r="CFR160" s="1385"/>
      <c r="CFS160" s="1385"/>
      <c r="CFT160" s="1385"/>
      <c r="CFU160" s="1385"/>
      <c r="CFV160" s="1385"/>
      <c r="CFW160" s="1385"/>
      <c r="CFX160" s="1385"/>
      <c r="CFY160" s="1385"/>
      <c r="CFZ160" s="1385"/>
      <c r="CGA160" s="1385"/>
      <c r="CGB160" s="1385"/>
      <c r="CGC160" s="1385"/>
      <c r="CGD160" s="1385"/>
      <c r="CGE160" s="1385"/>
      <c r="CGF160" s="1385"/>
      <c r="CGG160" s="1385"/>
      <c r="CGH160" s="1385"/>
      <c r="CGI160" s="1385"/>
      <c r="CGJ160" s="1385"/>
      <c r="CGK160" s="1385"/>
      <c r="CGL160" s="1385"/>
      <c r="CGM160" s="1385"/>
      <c r="CGN160" s="1385"/>
      <c r="CGO160" s="1385"/>
      <c r="CGP160" s="1385"/>
      <c r="CGQ160" s="1385"/>
      <c r="CGR160" s="1385"/>
      <c r="CGS160" s="1385"/>
      <c r="CGT160" s="1385"/>
      <c r="CGU160" s="1385"/>
      <c r="CGV160" s="1385"/>
      <c r="CGW160" s="1385"/>
      <c r="CGX160" s="1385"/>
      <c r="CGY160" s="1385"/>
      <c r="CGZ160" s="1385"/>
      <c r="CHA160" s="1385"/>
      <c r="CHB160" s="1385"/>
      <c r="CHC160" s="1385"/>
      <c r="CHD160" s="1385"/>
      <c r="CHE160" s="1385"/>
      <c r="CHF160" s="1385"/>
      <c r="CHG160" s="1385"/>
      <c r="CHH160" s="1385"/>
      <c r="CHI160" s="1385"/>
      <c r="CHJ160" s="1385"/>
      <c r="CHK160" s="1385"/>
      <c r="CHL160" s="1385"/>
      <c r="CHM160" s="1385"/>
      <c r="CHN160" s="1385"/>
      <c r="CHO160" s="1385"/>
      <c r="CHP160" s="1385"/>
      <c r="CHQ160" s="1385"/>
      <c r="CHR160" s="1385"/>
      <c r="CHS160" s="1385"/>
      <c r="CHT160" s="1385"/>
      <c r="CHU160" s="1385"/>
      <c r="CHV160" s="1385"/>
      <c r="CHW160" s="1385"/>
      <c r="CHX160" s="1385"/>
      <c r="CHY160" s="1385"/>
      <c r="CHZ160" s="1385"/>
      <c r="CIA160" s="1385"/>
      <c r="CIB160" s="1385"/>
      <c r="CIC160" s="1385"/>
      <c r="CID160" s="1385"/>
      <c r="CIE160" s="1385"/>
      <c r="CIF160" s="1385"/>
      <c r="CIG160" s="1385"/>
      <c r="CIH160" s="1385"/>
      <c r="CII160" s="1385"/>
      <c r="CIJ160" s="1385"/>
      <c r="CIK160" s="1385"/>
      <c r="CIL160" s="1385"/>
      <c r="CIM160" s="1385"/>
      <c r="CIN160" s="1385"/>
      <c r="CIO160" s="1385"/>
      <c r="CIP160" s="1385"/>
      <c r="CIQ160" s="1385"/>
      <c r="CIR160" s="1385"/>
      <c r="CIS160" s="1385"/>
      <c r="CIT160" s="1385"/>
      <c r="CIU160" s="1385"/>
      <c r="CIV160" s="1385"/>
      <c r="CIW160" s="1385"/>
      <c r="CIX160" s="1385"/>
      <c r="CIY160" s="1385"/>
      <c r="CIZ160" s="1385"/>
      <c r="CJA160" s="1385"/>
      <c r="CJB160" s="1385"/>
      <c r="CJC160" s="1385"/>
      <c r="CJD160" s="1385"/>
      <c r="CJE160" s="1385"/>
      <c r="CJF160" s="1385"/>
      <c r="CJG160" s="1385"/>
      <c r="CJH160" s="1385"/>
      <c r="CJI160" s="1385"/>
      <c r="CJJ160" s="1385"/>
      <c r="CJK160" s="1385"/>
      <c r="CJL160" s="1385"/>
      <c r="CJM160" s="1385"/>
      <c r="CJN160" s="1385"/>
      <c r="CJO160" s="1385"/>
      <c r="CJP160" s="1385"/>
      <c r="CJQ160" s="1385"/>
      <c r="CJR160" s="1385"/>
      <c r="CJS160" s="1385"/>
      <c r="CJT160" s="1385"/>
      <c r="CJU160" s="1385"/>
      <c r="CJV160" s="1385"/>
      <c r="CJW160" s="1385"/>
      <c r="CJX160" s="1385"/>
      <c r="CJY160" s="1385"/>
      <c r="CJZ160" s="1385"/>
      <c r="CKA160" s="1385"/>
      <c r="CKB160" s="1385"/>
      <c r="CKC160" s="1385"/>
      <c r="CKD160" s="1385"/>
      <c r="CKE160" s="1385"/>
      <c r="CKF160" s="1385"/>
      <c r="CKG160" s="1385"/>
      <c r="CKH160" s="1385"/>
      <c r="CKI160" s="1385"/>
      <c r="CKJ160" s="1385"/>
      <c r="CKK160" s="1385"/>
      <c r="CKL160" s="1385"/>
      <c r="CKM160" s="1385"/>
      <c r="CKN160" s="1385"/>
      <c r="CKO160" s="1385"/>
      <c r="CKP160" s="1385"/>
      <c r="CKQ160" s="1385"/>
      <c r="CKR160" s="1385"/>
      <c r="CKS160" s="1385"/>
      <c r="CKT160" s="1385"/>
      <c r="CKU160" s="1385"/>
      <c r="CKV160" s="1385"/>
      <c r="CKW160" s="1385"/>
      <c r="CKX160" s="1385"/>
      <c r="CKY160" s="1385"/>
      <c r="CKZ160" s="1385"/>
      <c r="CLA160" s="1385"/>
      <c r="CLB160" s="1385"/>
      <c r="CLC160" s="1385"/>
      <c r="CLD160" s="1385"/>
      <c r="CLE160" s="1385"/>
      <c r="CLF160" s="1385"/>
      <c r="CLG160" s="1385"/>
      <c r="CLH160" s="1385"/>
      <c r="CLI160" s="1385"/>
      <c r="CLJ160" s="1385"/>
      <c r="CLK160" s="1385"/>
      <c r="CLL160" s="1385"/>
      <c r="CLM160" s="1385"/>
      <c r="CLN160" s="1385"/>
      <c r="CLO160" s="1385"/>
      <c r="CLP160" s="1385"/>
      <c r="CLQ160" s="1385"/>
      <c r="CLR160" s="1385"/>
      <c r="CLS160" s="1385"/>
      <c r="CLT160" s="1385"/>
      <c r="CLU160" s="1385"/>
      <c r="CLV160" s="1385"/>
      <c r="CLW160" s="1385"/>
      <c r="CLX160" s="1385"/>
      <c r="CLY160" s="1385"/>
      <c r="CLZ160" s="1385"/>
      <c r="CMA160" s="1385"/>
      <c r="CMB160" s="1385"/>
      <c r="CMC160" s="1385"/>
      <c r="CMD160" s="1385"/>
      <c r="CME160" s="1385"/>
      <c r="CMF160" s="1385"/>
      <c r="CMG160" s="1385"/>
      <c r="CMH160" s="1385"/>
      <c r="CMI160" s="1385"/>
      <c r="CMJ160" s="1385"/>
      <c r="CMK160" s="1385"/>
      <c r="CML160" s="1385"/>
      <c r="CMM160" s="1385"/>
      <c r="CMN160" s="1385"/>
      <c r="CMO160" s="1385"/>
      <c r="CMP160" s="1385"/>
      <c r="CMQ160" s="1385"/>
      <c r="CMR160" s="1385"/>
      <c r="CMS160" s="1385"/>
      <c r="CMT160" s="1385"/>
      <c r="CMU160" s="1385"/>
      <c r="CMV160" s="1385"/>
      <c r="CMW160" s="1385"/>
      <c r="CMX160" s="1385"/>
      <c r="CMY160" s="1385"/>
      <c r="CMZ160" s="1385"/>
      <c r="CNA160" s="1385"/>
      <c r="CNB160" s="1385"/>
      <c r="CNC160" s="1385"/>
      <c r="CND160" s="1385"/>
      <c r="CNE160" s="1385"/>
      <c r="CNF160" s="1385"/>
      <c r="CNG160" s="1385"/>
      <c r="CNH160" s="1385"/>
      <c r="CNI160" s="1385"/>
      <c r="CNJ160" s="1385"/>
      <c r="CNK160" s="1385"/>
      <c r="CNL160" s="1385"/>
      <c r="CNM160" s="1385"/>
      <c r="CNN160" s="1385"/>
      <c r="CNO160" s="1385"/>
      <c r="CNP160" s="1385"/>
      <c r="CNQ160" s="1385"/>
      <c r="CNR160" s="1385"/>
      <c r="CNS160" s="1385"/>
      <c r="CNT160" s="1385"/>
      <c r="CNU160" s="1385"/>
      <c r="CNV160" s="1385"/>
      <c r="CNW160" s="1385"/>
      <c r="CNX160" s="1385"/>
      <c r="CNY160" s="1385"/>
      <c r="CNZ160" s="1385"/>
      <c r="COA160" s="1385"/>
      <c r="COB160" s="1385"/>
      <c r="COC160" s="1385"/>
      <c r="COD160" s="1385"/>
      <c r="COE160" s="1385"/>
      <c r="COF160" s="1385"/>
      <c r="COG160" s="1385"/>
      <c r="COH160" s="1385"/>
      <c r="COI160" s="1385"/>
      <c r="COJ160" s="1385"/>
      <c r="COK160" s="1385"/>
      <c r="COL160" s="1385"/>
      <c r="COM160" s="1385"/>
      <c r="CON160" s="1385"/>
      <c r="COO160" s="1385"/>
      <c r="COP160" s="1385"/>
      <c r="COQ160" s="1385"/>
      <c r="COR160" s="1385"/>
      <c r="COS160" s="1385"/>
      <c r="COT160" s="1385"/>
      <c r="COU160" s="1385"/>
      <c r="COV160" s="1385"/>
      <c r="COW160" s="1385"/>
      <c r="COX160" s="1385"/>
      <c r="COY160" s="1385"/>
      <c r="COZ160" s="1385"/>
      <c r="CPA160" s="1385"/>
      <c r="CPB160" s="1385"/>
      <c r="CPC160" s="1385"/>
      <c r="CPD160" s="1385"/>
      <c r="CPE160" s="1385"/>
      <c r="CPF160" s="1385"/>
      <c r="CPG160" s="1385"/>
      <c r="CPH160" s="1385"/>
      <c r="CPI160" s="1385"/>
      <c r="CPJ160" s="1385"/>
      <c r="CPK160" s="1385"/>
      <c r="CPL160" s="1385"/>
      <c r="CPM160" s="1385"/>
      <c r="CPN160" s="1385"/>
      <c r="CPO160" s="1385"/>
      <c r="CPP160" s="1385"/>
      <c r="CPQ160" s="1385"/>
      <c r="CPR160" s="1385"/>
      <c r="CPS160" s="1385"/>
      <c r="CPT160" s="1385"/>
      <c r="CPU160" s="1385"/>
      <c r="CPV160" s="1385"/>
      <c r="CPW160" s="1385"/>
      <c r="CPX160" s="1385"/>
      <c r="CPY160" s="1385"/>
      <c r="CPZ160" s="1385"/>
      <c r="CQA160" s="1385"/>
      <c r="CQB160" s="1385"/>
      <c r="CQC160" s="1385"/>
      <c r="CQD160" s="1385"/>
      <c r="CQE160" s="1385"/>
      <c r="CQF160" s="1385"/>
      <c r="CQG160" s="1385"/>
      <c r="CQH160" s="1385"/>
      <c r="CQI160" s="1385"/>
      <c r="CQJ160" s="1385"/>
      <c r="CQK160" s="1385"/>
      <c r="CQL160" s="1385"/>
      <c r="CQM160" s="1385"/>
      <c r="CQN160" s="1385"/>
      <c r="CQO160" s="1385"/>
      <c r="CQP160" s="1385"/>
      <c r="CQQ160" s="1385"/>
      <c r="CQR160" s="1385"/>
      <c r="CQS160" s="1385"/>
      <c r="CQT160" s="1385"/>
      <c r="CQU160" s="1385"/>
      <c r="CQV160" s="1385"/>
      <c r="CQW160" s="1385"/>
      <c r="CQX160" s="1385"/>
      <c r="CQY160" s="1385"/>
      <c r="CQZ160" s="1385"/>
      <c r="CRA160" s="1385"/>
      <c r="CRB160" s="1385"/>
      <c r="CRC160" s="1385"/>
      <c r="CRD160" s="1385"/>
      <c r="CRE160" s="1385"/>
      <c r="CRF160" s="1385"/>
      <c r="CRG160" s="1385"/>
      <c r="CRH160" s="1385"/>
      <c r="CRI160" s="1385"/>
      <c r="CRJ160" s="1385"/>
      <c r="CRK160" s="1385"/>
      <c r="CRL160" s="1385"/>
      <c r="CRM160" s="1385"/>
      <c r="CRN160" s="1385"/>
      <c r="CRO160" s="1385"/>
      <c r="CRP160" s="1385"/>
      <c r="CRQ160" s="1385"/>
      <c r="CRR160" s="1385"/>
      <c r="CRS160" s="1385"/>
      <c r="CRT160" s="1385"/>
      <c r="CRU160" s="1385"/>
      <c r="CRV160" s="1385"/>
      <c r="CRW160" s="1385"/>
      <c r="CRX160" s="1385"/>
      <c r="CRY160" s="1385"/>
      <c r="CRZ160" s="1385"/>
      <c r="CSA160" s="1385"/>
      <c r="CSB160" s="1385"/>
      <c r="CSC160" s="1385"/>
      <c r="CSD160" s="1385"/>
      <c r="CSE160" s="1385"/>
      <c r="CSF160" s="1385"/>
      <c r="CSG160" s="1385"/>
      <c r="CSH160" s="1385"/>
      <c r="CSI160" s="1385"/>
      <c r="CSJ160" s="1385"/>
      <c r="CSK160" s="1385"/>
      <c r="CSL160" s="1385"/>
      <c r="CSM160" s="1385"/>
      <c r="CSN160" s="1385"/>
      <c r="CSO160" s="1385"/>
      <c r="CSP160" s="1385"/>
      <c r="CSQ160" s="1385"/>
      <c r="CSR160" s="1385"/>
      <c r="CSS160" s="1385"/>
      <c r="CST160" s="1385"/>
      <c r="CSU160" s="1385"/>
      <c r="CSV160" s="1385"/>
      <c r="CSW160" s="1385"/>
      <c r="CSX160" s="1385"/>
      <c r="CSY160" s="1385"/>
      <c r="CSZ160" s="1385"/>
      <c r="CTA160" s="1385"/>
      <c r="CTB160" s="1385"/>
      <c r="CTC160" s="1385"/>
      <c r="CTD160" s="1385"/>
      <c r="CTE160" s="1385"/>
      <c r="CTF160" s="1385"/>
      <c r="CTG160" s="1385"/>
      <c r="CTH160" s="1385"/>
      <c r="CTI160" s="1385"/>
      <c r="CTJ160" s="1385"/>
      <c r="CTK160" s="1385"/>
      <c r="CTL160" s="1385"/>
      <c r="CTM160" s="1385"/>
      <c r="CTN160" s="1385"/>
      <c r="CTO160" s="1385"/>
      <c r="CTP160" s="1385"/>
      <c r="CTQ160" s="1385"/>
      <c r="CTR160" s="1385"/>
      <c r="CTS160" s="1385"/>
      <c r="CTT160" s="1385"/>
      <c r="CTU160" s="1385"/>
      <c r="CTV160" s="1385"/>
      <c r="CTW160" s="1385"/>
      <c r="CTX160" s="1385"/>
      <c r="CTY160" s="1385"/>
      <c r="CTZ160" s="1385"/>
      <c r="CUA160" s="1385"/>
      <c r="CUB160" s="1385"/>
      <c r="CUC160" s="1385"/>
      <c r="CUD160" s="1385"/>
      <c r="CUE160" s="1385"/>
      <c r="CUF160" s="1385"/>
      <c r="CUG160" s="1385"/>
      <c r="CUH160" s="1385"/>
      <c r="CUI160" s="1385"/>
      <c r="CUJ160" s="1385"/>
      <c r="CUK160" s="1385"/>
      <c r="CUL160" s="1385"/>
      <c r="CUM160" s="1385"/>
      <c r="CUN160" s="1385"/>
      <c r="CUO160" s="1385"/>
      <c r="CUP160" s="1385"/>
      <c r="CUQ160" s="1385"/>
      <c r="CUR160" s="1385"/>
      <c r="CUS160" s="1385"/>
      <c r="CUT160" s="1385"/>
      <c r="CUU160" s="1385"/>
      <c r="CUV160" s="1385"/>
      <c r="CUW160" s="1385"/>
      <c r="CUX160" s="1385"/>
      <c r="CUY160" s="1385"/>
      <c r="CUZ160" s="1385"/>
      <c r="CVA160" s="1385"/>
      <c r="CVB160" s="1385"/>
      <c r="CVC160" s="1385"/>
      <c r="CVD160" s="1385"/>
      <c r="CVE160" s="1385"/>
      <c r="CVF160" s="1385"/>
      <c r="CVG160" s="1385"/>
      <c r="CVH160" s="1385"/>
      <c r="CVI160" s="1385"/>
      <c r="CVJ160" s="1385"/>
      <c r="CVK160" s="1385"/>
      <c r="CVL160" s="1385"/>
      <c r="CVM160" s="1385"/>
      <c r="CVN160" s="1385"/>
      <c r="CVO160" s="1385"/>
      <c r="CVP160" s="1385"/>
      <c r="CVQ160" s="1385"/>
      <c r="CVR160" s="1385"/>
      <c r="CVS160" s="1385"/>
      <c r="CVT160" s="1385"/>
      <c r="CVU160" s="1385"/>
      <c r="CVV160" s="1385"/>
      <c r="CVW160" s="1385"/>
      <c r="CVX160" s="1385"/>
      <c r="CVY160" s="1385"/>
      <c r="CVZ160" s="1385"/>
      <c r="CWA160" s="1385"/>
      <c r="CWB160" s="1385"/>
      <c r="CWC160" s="1385"/>
      <c r="CWD160" s="1385"/>
      <c r="CWE160" s="1385"/>
      <c r="CWF160" s="1385"/>
      <c r="CWG160" s="1385"/>
      <c r="CWH160" s="1385"/>
      <c r="CWI160" s="1385"/>
      <c r="CWJ160" s="1385"/>
      <c r="CWK160" s="1385"/>
      <c r="CWL160" s="1385"/>
      <c r="CWM160" s="1385"/>
      <c r="CWN160" s="1385"/>
      <c r="CWO160" s="1385"/>
      <c r="CWP160" s="1385"/>
      <c r="CWQ160" s="1385"/>
      <c r="CWR160" s="1385"/>
      <c r="CWS160" s="1385"/>
      <c r="CWT160" s="1385"/>
      <c r="CWU160" s="1385"/>
      <c r="CWV160" s="1385"/>
      <c r="CWW160" s="1385"/>
      <c r="CWX160" s="1385"/>
      <c r="CWY160" s="1385"/>
      <c r="CWZ160" s="1385"/>
      <c r="CXA160" s="1385"/>
      <c r="CXB160" s="1385"/>
      <c r="CXC160" s="1385"/>
      <c r="CXD160" s="1385"/>
      <c r="CXE160" s="1385"/>
      <c r="CXF160" s="1385"/>
      <c r="CXG160" s="1385"/>
      <c r="CXH160" s="1385"/>
      <c r="CXI160" s="1385"/>
      <c r="CXJ160" s="1385"/>
      <c r="CXK160" s="1385"/>
      <c r="CXL160" s="1385"/>
      <c r="CXM160" s="1385"/>
      <c r="CXN160" s="1385"/>
      <c r="CXO160" s="1385"/>
      <c r="CXP160" s="1385"/>
      <c r="CXQ160" s="1385"/>
      <c r="CXR160" s="1385"/>
      <c r="CXS160" s="1385"/>
      <c r="CXT160" s="1385"/>
      <c r="CXU160" s="1385"/>
      <c r="CXV160" s="1385"/>
      <c r="CXW160" s="1385"/>
      <c r="CXX160" s="1385"/>
      <c r="CXY160" s="1385"/>
      <c r="CXZ160" s="1385"/>
      <c r="CYA160" s="1385"/>
      <c r="CYB160" s="1385"/>
      <c r="CYC160" s="1385"/>
      <c r="CYD160" s="1385"/>
      <c r="CYE160" s="1385"/>
      <c r="CYF160" s="1385"/>
      <c r="CYG160" s="1385"/>
      <c r="CYH160" s="1385"/>
      <c r="CYI160" s="1385"/>
      <c r="CYJ160" s="1385"/>
      <c r="CYK160" s="1385"/>
      <c r="CYL160" s="1385"/>
      <c r="CYM160" s="1385"/>
      <c r="CYN160" s="1385"/>
      <c r="CYO160" s="1385"/>
      <c r="CYP160" s="1385"/>
      <c r="CYQ160" s="1385"/>
      <c r="CYR160" s="1385"/>
      <c r="CYS160" s="1385"/>
      <c r="CYT160" s="1385"/>
      <c r="CYU160" s="1385"/>
      <c r="CYV160" s="1385"/>
      <c r="CYW160" s="1385"/>
      <c r="CYX160" s="1385"/>
      <c r="CYY160" s="1385"/>
      <c r="CYZ160" s="1385"/>
      <c r="CZA160" s="1385"/>
      <c r="CZB160" s="1385"/>
      <c r="CZC160" s="1385"/>
      <c r="CZD160" s="1385"/>
      <c r="CZE160" s="1385"/>
      <c r="CZF160" s="1385"/>
      <c r="CZG160" s="1385"/>
      <c r="CZH160" s="1385"/>
      <c r="CZI160" s="1385"/>
      <c r="CZJ160" s="1385"/>
      <c r="CZK160" s="1385"/>
      <c r="CZL160" s="1385"/>
      <c r="CZM160" s="1385"/>
      <c r="CZN160" s="1385"/>
      <c r="CZO160" s="1385"/>
      <c r="CZP160" s="1385"/>
      <c r="CZQ160" s="1385"/>
      <c r="CZR160" s="1385"/>
      <c r="CZS160" s="1385"/>
      <c r="CZT160" s="1385"/>
      <c r="CZU160" s="1385"/>
      <c r="CZV160" s="1385"/>
      <c r="CZW160" s="1385"/>
      <c r="CZX160" s="1385"/>
      <c r="CZY160" s="1385"/>
      <c r="CZZ160" s="1385"/>
      <c r="DAA160" s="1385"/>
      <c r="DAB160" s="1385"/>
      <c r="DAC160" s="1385"/>
      <c r="DAD160" s="1385"/>
      <c r="DAE160" s="1385"/>
      <c r="DAF160" s="1385"/>
      <c r="DAG160" s="1385"/>
      <c r="DAH160" s="1385"/>
      <c r="DAI160" s="1385"/>
      <c r="DAJ160" s="1385"/>
      <c r="DAK160" s="1385"/>
      <c r="DAL160" s="1385"/>
      <c r="DAM160" s="1385"/>
      <c r="DAN160" s="1385"/>
      <c r="DAO160" s="1385"/>
      <c r="DAP160" s="1385"/>
      <c r="DAQ160" s="1385"/>
      <c r="DAR160" s="1385"/>
      <c r="DAS160" s="1385"/>
      <c r="DAT160" s="1385"/>
      <c r="DAU160" s="1385"/>
      <c r="DAV160" s="1385"/>
      <c r="DAW160" s="1385"/>
      <c r="DAX160" s="1385"/>
      <c r="DAY160" s="1385"/>
      <c r="DAZ160" s="1385"/>
      <c r="DBA160" s="1385"/>
      <c r="DBB160" s="1385"/>
      <c r="DBC160" s="1385"/>
      <c r="DBD160" s="1385"/>
      <c r="DBE160" s="1385"/>
      <c r="DBF160" s="1385"/>
      <c r="DBG160" s="1385"/>
      <c r="DBH160" s="1385"/>
      <c r="DBI160" s="1385"/>
      <c r="DBJ160" s="1385"/>
      <c r="DBK160" s="1385"/>
      <c r="DBL160" s="1385"/>
      <c r="DBM160" s="1385"/>
      <c r="DBN160" s="1385"/>
      <c r="DBO160" s="1385"/>
      <c r="DBP160" s="1385"/>
      <c r="DBQ160" s="1385"/>
      <c r="DBR160" s="1385"/>
      <c r="DBS160" s="1385"/>
      <c r="DBT160" s="1385"/>
      <c r="DBU160" s="1385"/>
      <c r="DBV160" s="1385"/>
      <c r="DBW160" s="1385"/>
      <c r="DBX160" s="1385"/>
      <c r="DBY160" s="1385"/>
      <c r="DBZ160" s="1385"/>
      <c r="DCA160" s="1385"/>
      <c r="DCB160" s="1385"/>
      <c r="DCC160" s="1385"/>
      <c r="DCD160" s="1385"/>
      <c r="DCE160" s="1385"/>
      <c r="DCF160" s="1385"/>
      <c r="DCG160" s="1385"/>
      <c r="DCH160" s="1385"/>
      <c r="DCI160" s="1385"/>
      <c r="DCJ160" s="1385"/>
      <c r="DCK160" s="1385"/>
      <c r="DCL160" s="1385"/>
      <c r="DCM160" s="1385"/>
      <c r="DCN160" s="1385"/>
      <c r="DCO160" s="1385"/>
      <c r="DCP160" s="1385"/>
      <c r="DCQ160" s="1385"/>
      <c r="DCR160" s="1385"/>
      <c r="DCS160" s="1385"/>
      <c r="DCT160" s="1385"/>
      <c r="DCU160" s="1385"/>
      <c r="DCV160" s="1385"/>
      <c r="DCW160" s="1385"/>
      <c r="DCX160" s="1385"/>
      <c r="DCY160" s="1385"/>
      <c r="DCZ160" s="1385"/>
      <c r="DDA160" s="1385"/>
      <c r="DDB160" s="1385"/>
      <c r="DDC160" s="1385"/>
      <c r="DDD160" s="1385"/>
      <c r="DDE160" s="1385"/>
      <c r="DDF160" s="1385"/>
      <c r="DDG160" s="1385"/>
      <c r="DDH160" s="1385"/>
      <c r="DDI160" s="1385"/>
      <c r="DDJ160" s="1385"/>
      <c r="DDK160" s="1385"/>
      <c r="DDL160" s="1385"/>
      <c r="DDM160" s="1385"/>
      <c r="DDN160" s="1385"/>
      <c r="DDO160" s="1385"/>
      <c r="DDP160" s="1385"/>
      <c r="DDQ160" s="1385"/>
      <c r="DDR160" s="1385"/>
      <c r="DDS160" s="1385"/>
      <c r="DDT160" s="1385"/>
      <c r="DDU160" s="1385"/>
      <c r="DDV160" s="1385"/>
      <c r="DDW160" s="1385"/>
      <c r="DDX160" s="1385"/>
      <c r="DDY160" s="1385"/>
      <c r="DDZ160" s="1385"/>
      <c r="DEA160" s="1385"/>
      <c r="DEB160" s="1385"/>
      <c r="DEC160" s="1385"/>
      <c r="DED160" s="1385"/>
      <c r="DEE160" s="1385"/>
      <c r="DEF160" s="1385"/>
      <c r="DEG160" s="1385"/>
      <c r="DEH160" s="1385"/>
      <c r="DEI160" s="1385"/>
      <c r="DEJ160" s="1385"/>
      <c r="DEK160" s="1385"/>
      <c r="DEL160" s="1385"/>
      <c r="DEM160" s="1385"/>
      <c r="DEN160" s="1385"/>
      <c r="DEO160" s="1385"/>
      <c r="DEP160" s="1385"/>
      <c r="DEQ160" s="1385"/>
      <c r="DER160" s="1385"/>
      <c r="DES160" s="1385"/>
      <c r="DET160" s="1385"/>
      <c r="DEU160" s="1385"/>
      <c r="DEV160" s="1385"/>
      <c r="DEW160" s="1385"/>
      <c r="DEX160" s="1385"/>
      <c r="DEY160" s="1385"/>
      <c r="DEZ160" s="1385"/>
      <c r="DFA160" s="1385"/>
      <c r="DFB160" s="1385"/>
      <c r="DFC160" s="1385"/>
      <c r="DFD160" s="1385"/>
      <c r="DFE160" s="1385"/>
      <c r="DFF160" s="1385"/>
      <c r="DFG160" s="1385"/>
      <c r="DFH160" s="1385"/>
      <c r="DFI160" s="1385"/>
      <c r="DFJ160" s="1385"/>
      <c r="DFK160" s="1385"/>
      <c r="DFL160" s="1385"/>
      <c r="DFM160" s="1385"/>
      <c r="DFN160" s="1385"/>
      <c r="DFO160" s="1385"/>
      <c r="DFP160" s="1385"/>
      <c r="DFQ160" s="1385"/>
      <c r="DFR160" s="1385"/>
      <c r="DFS160" s="1385"/>
      <c r="DFT160" s="1385"/>
      <c r="DFU160" s="1385"/>
      <c r="DFV160" s="1385"/>
      <c r="DFW160" s="1385"/>
      <c r="DFX160" s="1385"/>
      <c r="DFY160" s="1385"/>
      <c r="DFZ160" s="1385"/>
      <c r="DGA160" s="1385"/>
      <c r="DGB160" s="1385"/>
      <c r="DGC160" s="1385"/>
      <c r="DGD160" s="1385"/>
      <c r="DGE160" s="1385"/>
      <c r="DGF160" s="1385"/>
      <c r="DGG160" s="1385"/>
      <c r="DGH160" s="1385"/>
      <c r="DGI160" s="1385"/>
      <c r="DGJ160" s="1385"/>
      <c r="DGK160" s="1385"/>
      <c r="DGL160" s="1385"/>
      <c r="DGM160" s="1385"/>
      <c r="DGN160" s="1385"/>
      <c r="DGO160" s="1385"/>
      <c r="DGP160" s="1385"/>
      <c r="DGQ160" s="1385"/>
      <c r="DGR160" s="1385"/>
      <c r="DGS160" s="1385"/>
      <c r="DGT160" s="1385"/>
      <c r="DGU160" s="1385"/>
      <c r="DGV160" s="1385"/>
      <c r="DGW160" s="1385"/>
      <c r="DGX160" s="1385"/>
      <c r="DGY160" s="1385"/>
      <c r="DGZ160" s="1385"/>
      <c r="DHA160" s="1385"/>
      <c r="DHB160" s="1385"/>
      <c r="DHC160" s="1385"/>
      <c r="DHD160" s="1385"/>
      <c r="DHE160" s="1385"/>
      <c r="DHF160" s="1385"/>
      <c r="DHG160" s="1385"/>
      <c r="DHH160" s="1385"/>
      <c r="DHI160" s="1385"/>
      <c r="DHJ160" s="1385"/>
      <c r="DHK160" s="1385"/>
      <c r="DHL160" s="1385"/>
      <c r="DHM160" s="1385"/>
      <c r="DHN160" s="1385"/>
      <c r="DHO160" s="1385"/>
      <c r="DHP160" s="1385"/>
      <c r="DHQ160" s="1385"/>
      <c r="DHR160" s="1385"/>
      <c r="DHS160" s="1385"/>
      <c r="DHT160" s="1385"/>
      <c r="DHU160" s="1385"/>
      <c r="DHV160" s="1385"/>
      <c r="DHW160" s="1385"/>
      <c r="DHX160" s="1385"/>
      <c r="DHY160" s="1385"/>
      <c r="DHZ160" s="1385"/>
      <c r="DIA160" s="1385"/>
      <c r="DIB160" s="1385"/>
      <c r="DIC160" s="1385"/>
      <c r="DID160" s="1385"/>
      <c r="DIE160" s="1385"/>
      <c r="DIF160" s="1385"/>
      <c r="DIG160" s="1385"/>
      <c r="DIH160" s="1385"/>
      <c r="DII160" s="1385"/>
      <c r="DIJ160" s="1385"/>
      <c r="DIK160" s="1385"/>
      <c r="DIL160" s="1385"/>
      <c r="DIM160" s="1385"/>
      <c r="DIN160" s="1385"/>
      <c r="DIO160" s="1385"/>
      <c r="DIP160" s="1385"/>
      <c r="DIQ160" s="1385"/>
      <c r="DIR160" s="1385"/>
      <c r="DIS160" s="1385"/>
      <c r="DIT160" s="1385"/>
      <c r="DIU160" s="1385"/>
      <c r="DIV160" s="1385"/>
      <c r="DIW160" s="1385"/>
      <c r="DIX160" s="1385"/>
      <c r="DIY160" s="1385"/>
      <c r="DIZ160" s="1385"/>
      <c r="DJA160" s="1385"/>
      <c r="DJB160" s="1385"/>
      <c r="DJC160" s="1385"/>
      <c r="DJD160" s="1385"/>
      <c r="DJE160" s="1385"/>
      <c r="DJF160" s="1385"/>
      <c r="DJG160" s="1385"/>
      <c r="DJH160" s="1385"/>
      <c r="DJI160" s="1385"/>
      <c r="DJJ160" s="1385"/>
      <c r="DJK160" s="1385"/>
      <c r="DJL160" s="1385"/>
      <c r="DJM160" s="1385"/>
      <c r="DJN160" s="1385"/>
      <c r="DJO160" s="1385"/>
      <c r="DJP160" s="1385"/>
      <c r="DJQ160" s="1385"/>
      <c r="DJR160" s="1385"/>
      <c r="DJS160" s="1385"/>
      <c r="DJT160" s="1385"/>
      <c r="DJU160" s="1385"/>
      <c r="DJV160" s="1385"/>
      <c r="DJW160" s="1385"/>
      <c r="DJX160" s="1385"/>
      <c r="DJY160" s="1385"/>
      <c r="DJZ160" s="1385"/>
      <c r="DKA160" s="1385"/>
      <c r="DKB160" s="1385"/>
      <c r="DKC160" s="1385"/>
      <c r="DKD160" s="1385"/>
      <c r="DKE160" s="1385"/>
      <c r="DKF160" s="1385"/>
      <c r="DKG160" s="1385"/>
      <c r="DKH160" s="1385"/>
      <c r="DKI160" s="1385"/>
      <c r="DKJ160" s="1385"/>
      <c r="DKK160" s="1385"/>
      <c r="DKL160" s="1385"/>
      <c r="DKM160" s="1385"/>
      <c r="DKN160" s="1385"/>
      <c r="DKO160" s="1385"/>
      <c r="DKP160" s="1385"/>
      <c r="DKQ160" s="1385"/>
      <c r="DKR160" s="1385"/>
      <c r="DKS160" s="1385"/>
      <c r="DKT160" s="1385"/>
      <c r="DKU160" s="1385"/>
      <c r="DKV160" s="1385"/>
      <c r="DKW160" s="1385"/>
      <c r="DKX160" s="1385"/>
      <c r="DKY160" s="1385"/>
      <c r="DKZ160" s="1385"/>
      <c r="DLA160" s="1385"/>
      <c r="DLB160" s="1385"/>
      <c r="DLC160" s="1385"/>
      <c r="DLD160" s="1385"/>
      <c r="DLE160" s="1385"/>
      <c r="DLF160" s="1385"/>
      <c r="DLG160" s="1385"/>
      <c r="DLH160" s="1385"/>
      <c r="DLI160" s="1385"/>
      <c r="DLJ160" s="1385"/>
      <c r="DLK160" s="1385"/>
      <c r="DLL160" s="1385"/>
      <c r="DLM160" s="1385"/>
      <c r="DLN160" s="1385"/>
      <c r="DLO160" s="1385"/>
      <c r="DLP160" s="1385"/>
      <c r="DLQ160" s="1385"/>
      <c r="DLR160" s="1385"/>
      <c r="DLS160" s="1385"/>
      <c r="DLT160" s="1385"/>
      <c r="DLU160" s="1385"/>
      <c r="DLV160" s="1385"/>
      <c r="DLW160" s="1385"/>
      <c r="DLX160" s="1385"/>
      <c r="DLY160" s="1385"/>
      <c r="DLZ160" s="1385"/>
      <c r="DMA160" s="1385"/>
      <c r="DMB160" s="1385"/>
      <c r="DMC160" s="1385"/>
      <c r="DMD160" s="1385"/>
      <c r="DME160" s="1385"/>
      <c r="DMF160" s="1385"/>
      <c r="DMG160" s="1385"/>
      <c r="DMH160" s="1385"/>
      <c r="DMI160" s="1385"/>
      <c r="DMJ160" s="1385"/>
      <c r="DMK160" s="1385"/>
      <c r="DML160" s="1385"/>
      <c r="DMM160" s="1385"/>
      <c r="DMN160" s="1385"/>
      <c r="DMO160" s="1385"/>
      <c r="DMP160" s="1385"/>
      <c r="DMQ160" s="1385"/>
      <c r="DMR160" s="1385"/>
      <c r="DMS160" s="1385"/>
      <c r="DMT160" s="1385"/>
      <c r="DMU160" s="1385"/>
      <c r="DMV160" s="1385"/>
      <c r="DMW160" s="1385"/>
      <c r="DMX160" s="1385"/>
      <c r="DMY160" s="1385"/>
      <c r="DMZ160" s="1385"/>
      <c r="DNA160" s="1385"/>
      <c r="DNB160" s="1385"/>
      <c r="DNC160" s="1385"/>
      <c r="DND160" s="1385"/>
      <c r="DNE160" s="1385"/>
      <c r="DNF160" s="1385"/>
      <c r="DNG160" s="1385"/>
      <c r="DNH160" s="1385"/>
      <c r="DNI160" s="1385"/>
      <c r="DNJ160" s="1385"/>
      <c r="DNK160" s="1385"/>
      <c r="DNL160" s="1385"/>
      <c r="DNM160" s="1385"/>
      <c r="DNN160" s="1385"/>
      <c r="DNO160" s="1385"/>
      <c r="DNP160" s="1385"/>
      <c r="DNQ160" s="1385"/>
      <c r="DNR160" s="1385"/>
      <c r="DNS160" s="1385"/>
      <c r="DNT160" s="1385"/>
      <c r="DNU160" s="1385"/>
      <c r="DNV160" s="1385"/>
      <c r="DNW160" s="1385"/>
      <c r="DNX160" s="1385"/>
      <c r="DNY160" s="1385"/>
      <c r="DNZ160" s="1385"/>
      <c r="DOA160" s="1385"/>
      <c r="DOB160" s="1385"/>
      <c r="DOC160" s="1385"/>
      <c r="DOD160" s="1385"/>
      <c r="DOE160" s="1385"/>
      <c r="DOF160" s="1385"/>
      <c r="DOG160" s="1385"/>
      <c r="DOH160" s="1385"/>
      <c r="DOI160" s="1385"/>
      <c r="DOJ160" s="1385"/>
      <c r="DOK160" s="1385"/>
      <c r="DOL160" s="1385"/>
      <c r="DOM160" s="1385"/>
      <c r="DON160" s="1385"/>
      <c r="DOO160" s="1385"/>
      <c r="DOP160" s="1385"/>
      <c r="DOQ160" s="1385"/>
      <c r="DOR160" s="1385"/>
      <c r="DOS160" s="1385"/>
      <c r="DOT160" s="1385"/>
      <c r="DOU160" s="1385"/>
      <c r="DOV160" s="1385"/>
      <c r="DOW160" s="1385"/>
      <c r="DOX160" s="1385"/>
      <c r="DOY160" s="1385"/>
      <c r="DOZ160" s="1385"/>
      <c r="DPA160" s="1385"/>
      <c r="DPB160" s="1385"/>
      <c r="DPC160" s="1385"/>
      <c r="DPD160" s="1385"/>
      <c r="DPE160" s="1385"/>
      <c r="DPF160" s="1385"/>
      <c r="DPG160" s="1385"/>
      <c r="DPH160" s="1385"/>
      <c r="DPI160" s="1385"/>
      <c r="DPJ160" s="1385"/>
      <c r="DPK160" s="1385"/>
      <c r="DPL160" s="1385"/>
      <c r="DPM160" s="1385"/>
      <c r="DPN160" s="1385"/>
      <c r="DPO160" s="1385"/>
      <c r="DPP160" s="1385"/>
      <c r="DPQ160" s="1385"/>
      <c r="DPR160" s="1385"/>
      <c r="DPS160" s="1385"/>
      <c r="DPT160" s="1385"/>
      <c r="DPU160" s="1385"/>
      <c r="DPV160" s="1385"/>
      <c r="DPW160" s="1385"/>
      <c r="DPX160" s="1385"/>
      <c r="DPY160" s="1385"/>
      <c r="DPZ160" s="1385"/>
      <c r="DQA160" s="1385"/>
      <c r="DQB160" s="1385"/>
      <c r="DQC160" s="1385"/>
      <c r="DQD160" s="1385"/>
      <c r="DQE160" s="1385"/>
      <c r="DQF160" s="1385"/>
      <c r="DQG160" s="1385"/>
      <c r="DQH160" s="1385"/>
      <c r="DQI160" s="1385"/>
      <c r="DQJ160" s="1385"/>
      <c r="DQK160" s="1385"/>
      <c r="DQL160" s="1385"/>
      <c r="DQM160" s="1385"/>
      <c r="DQN160" s="1385"/>
      <c r="DQO160" s="1385"/>
      <c r="DQP160" s="1385"/>
      <c r="DQQ160" s="1385"/>
      <c r="DQR160" s="1385"/>
      <c r="DQS160" s="1385"/>
      <c r="DQT160" s="1385"/>
      <c r="DQU160" s="1385"/>
      <c r="DQV160" s="1385"/>
      <c r="DQW160" s="1385"/>
      <c r="DQX160" s="1385"/>
      <c r="DQY160" s="1385"/>
      <c r="DQZ160" s="1385"/>
      <c r="DRA160" s="1385"/>
      <c r="DRB160" s="1385"/>
      <c r="DRC160" s="1385"/>
      <c r="DRD160" s="1385"/>
      <c r="DRE160" s="1385"/>
      <c r="DRF160" s="1385"/>
      <c r="DRG160" s="1385"/>
      <c r="DRH160" s="1385"/>
      <c r="DRI160" s="1385"/>
      <c r="DRJ160" s="1385"/>
      <c r="DRK160" s="1385"/>
      <c r="DRL160" s="1385"/>
      <c r="DRM160" s="1385"/>
      <c r="DRN160" s="1385"/>
      <c r="DRO160" s="1385"/>
      <c r="DRP160" s="1385"/>
      <c r="DRQ160" s="1385"/>
      <c r="DRR160" s="1385"/>
      <c r="DRS160" s="1385"/>
      <c r="DRT160" s="1385"/>
      <c r="DRU160" s="1385"/>
      <c r="DRV160" s="1385"/>
      <c r="DRW160" s="1385"/>
      <c r="DRX160" s="1385"/>
      <c r="DRY160" s="1385"/>
      <c r="DRZ160" s="1385"/>
      <c r="DSA160" s="1385"/>
      <c r="DSB160" s="1385"/>
      <c r="DSC160" s="1385"/>
      <c r="DSD160" s="1385"/>
      <c r="DSE160" s="1385"/>
      <c r="DSF160" s="1385"/>
      <c r="DSG160" s="1385"/>
      <c r="DSH160" s="1385"/>
      <c r="DSI160" s="1385"/>
      <c r="DSJ160" s="1385"/>
      <c r="DSK160" s="1385"/>
      <c r="DSL160" s="1385"/>
      <c r="DSM160" s="1385"/>
      <c r="DSN160" s="1385"/>
      <c r="DSO160" s="1385"/>
      <c r="DSP160" s="1385"/>
      <c r="DSQ160" s="1385"/>
      <c r="DSR160" s="1385"/>
      <c r="DSS160" s="1385"/>
      <c r="DST160" s="1385"/>
      <c r="DSU160" s="1385"/>
      <c r="DSV160" s="1385"/>
      <c r="DSW160" s="1385"/>
      <c r="DSX160" s="1385"/>
      <c r="DSY160" s="1385"/>
      <c r="DSZ160" s="1385"/>
      <c r="DTA160" s="1385"/>
      <c r="DTB160" s="1385"/>
      <c r="DTC160" s="1385"/>
      <c r="DTD160" s="1385"/>
      <c r="DTE160" s="1385"/>
      <c r="DTF160" s="1385"/>
      <c r="DTG160" s="1385"/>
      <c r="DTH160" s="1385"/>
      <c r="DTI160" s="1385"/>
      <c r="DTJ160" s="1385"/>
      <c r="DTK160" s="1385"/>
      <c r="DTL160" s="1385"/>
      <c r="DTM160" s="1385"/>
      <c r="DTN160" s="1385"/>
      <c r="DTO160" s="1385"/>
      <c r="DTP160" s="1385"/>
      <c r="DTQ160" s="1385"/>
      <c r="DTR160" s="1385"/>
      <c r="DTS160" s="1385"/>
      <c r="DTT160" s="1385"/>
      <c r="DTU160" s="1385"/>
      <c r="DTV160" s="1385"/>
      <c r="DTW160" s="1385"/>
      <c r="DTX160" s="1385"/>
      <c r="DTY160" s="1385"/>
      <c r="DTZ160" s="1385"/>
      <c r="DUA160" s="1385"/>
      <c r="DUB160" s="1385"/>
      <c r="DUC160" s="1385"/>
      <c r="DUD160" s="1385"/>
      <c r="DUE160" s="1385"/>
      <c r="DUF160" s="1385"/>
      <c r="DUG160" s="1385"/>
      <c r="DUH160" s="1385"/>
      <c r="DUI160" s="1385"/>
      <c r="DUJ160" s="1385"/>
      <c r="DUK160" s="1385"/>
      <c r="DUL160" s="1385"/>
      <c r="DUM160" s="1385"/>
      <c r="DUN160" s="1385"/>
      <c r="DUO160" s="1385"/>
      <c r="DUP160" s="1385"/>
      <c r="DUQ160" s="1385"/>
      <c r="DUR160" s="1385"/>
      <c r="DUS160" s="1385"/>
      <c r="DUT160" s="1385"/>
      <c r="DUU160" s="1385"/>
      <c r="DUV160" s="1385"/>
      <c r="DUW160" s="1385"/>
      <c r="DUX160" s="1385"/>
      <c r="DUY160" s="1385"/>
      <c r="DUZ160" s="1385"/>
      <c r="DVA160" s="1385"/>
      <c r="DVB160" s="1385"/>
      <c r="DVC160" s="1385"/>
      <c r="DVD160" s="1385"/>
      <c r="DVE160" s="1385"/>
      <c r="DVF160" s="1385"/>
      <c r="DVG160" s="1385"/>
      <c r="DVH160" s="1385"/>
      <c r="DVI160" s="1385"/>
      <c r="DVJ160" s="1385"/>
      <c r="DVK160" s="1385"/>
      <c r="DVL160" s="1385"/>
      <c r="DVM160" s="1385"/>
      <c r="DVN160" s="1385"/>
      <c r="DVO160" s="1385"/>
      <c r="DVP160" s="1385"/>
      <c r="DVQ160" s="1385"/>
      <c r="DVR160" s="1385"/>
      <c r="DVS160" s="1385"/>
      <c r="DVT160" s="1385"/>
      <c r="DVU160" s="1385"/>
      <c r="DVV160" s="1385"/>
      <c r="DVW160" s="1385"/>
      <c r="DVX160" s="1385"/>
      <c r="DVY160" s="1385"/>
      <c r="DVZ160" s="1385"/>
      <c r="DWA160" s="1385"/>
      <c r="DWB160" s="1385"/>
      <c r="DWC160" s="1385"/>
      <c r="DWD160" s="1385"/>
      <c r="DWE160" s="1385"/>
      <c r="DWF160" s="1385"/>
      <c r="DWG160" s="1385"/>
      <c r="DWH160" s="1385"/>
      <c r="DWI160" s="1385"/>
      <c r="DWJ160" s="1385"/>
      <c r="DWK160" s="1385"/>
      <c r="DWL160" s="1385"/>
      <c r="DWM160" s="1385"/>
      <c r="DWN160" s="1385"/>
      <c r="DWO160" s="1385"/>
      <c r="DWP160" s="1385"/>
      <c r="DWQ160" s="1385"/>
      <c r="DWR160" s="1385"/>
      <c r="DWS160" s="1385"/>
      <c r="DWT160" s="1385"/>
      <c r="DWU160" s="1385"/>
      <c r="DWV160" s="1385"/>
      <c r="DWW160" s="1385"/>
      <c r="DWX160" s="1385"/>
      <c r="DWY160" s="1385"/>
      <c r="DWZ160" s="1385"/>
      <c r="DXA160" s="1385"/>
      <c r="DXB160" s="1385"/>
      <c r="DXC160" s="1385"/>
      <c r="DXD160" s="1385"/>
      <c r="DXE160" s="1385"/>
      <c r="DXF160" s="1385"/>
      <c r="DXG160" s="1385"/>
      <c r="DXH160" s="1385"/>
      <c r="DXI160" s="1385"/>
      <c r="DXJ160" s="1385"/>
      <c r="DXK160" s="1385"/>
      <c r="DXL160" s="1385"/>
      <c r="DXM160" s="1385"/>
      <c r="DXN160" s="1385"/>
      <c r="DXO160" s="1385"/>
      <c r="DXP160" s="1385"/>
      <c r="DXQ160" s="1385"/>
      <c r="DXR160" s="1385"/>
      <c r="DXS160" s="1385"/>
      <c r="DXT160" s="1385"/>
      <c r="DXU160" s="1385"/>
      <c r="DXV160" s="1385"/>
      <c r="DXW160" s="1385"/>
      <c r="DXX160" s="1385"/>
      <c r="DXY160" s="1385"/>
      <c r="DXZ160" s="1385"/>
      <c r="DYA160" s="1385"/>
      <c r="DYB160" s="1385"/>
      <c r="DYC160" s="1385"/>
      <c r="DYD160" s="1385"/>
      <c r="DYE160" s="1385"/>
      <c r="DYF160" s="1385"/>
      <c r="DYG160" s="1385"/>
      <c r="DYH160" s="1385"/>
      <c r="DYI160" s="1385"/>
      <c r="DYJ160" s="1385"/>
      <c r="DYK160" s="1385"/>
      <c r="DYL160" s="1385"/>
      <c r="DYM160" s="1385"/>
      <c r="DYN160" s="1385"/>
      <c r="DYO160" s="1385"/>
      <c r="DYP160" s="1385"/>
      <c r="DYQ160" s="1385"/>
      <c r="DYR160" s="1385"/>
      <c r="DYS160" s="1385"/>
      <c r="DYT160" s="1385"/>
      <c r="DYU160" s="1385"/>
      <c r="DYV160" s="1385"/>
      <c r="DYW160" s="1385"/>
      <c r="DYX160" s="1385"/>
      <c r="DYY160" s="1385"/>
      <c r="DYZ160" s="1385"/>
      <c r="DZA160" s="1385"/>
      <c r="DZB160" s="1385"/>
      <c r="DZC160" s="1385"/>
      <c r="DZD160" s="1385"/>
      <c r="DZE160" s="1385"/>
      <c r="DZF160" s="1385"/>
      <c r="DZG160" s="1385"/>
      <c r="DZH160" s="1385"/>
      <c r="DZI160" s="1385"/>
      <c r="DZJ160" s="1385"/>
      <c r="DZK160" s="1385"/>
      <c r="DZL160" s="1385"/>
      <c r="DZM160" s="1385"/>
      <c r="DZN160" s="1385"/>
      <c r="DZO160" s="1385"/>
      <c r="DZP160" s="1385"/>
      <c r="DZQ160" s="1385"/>
      <c r="DZR160" s="1385"/>
      <c r="DZS160" s="1385"/>
      <c r="DZT160" s="1385"/>
      <c r="DZU160" s="1385"/>
      <c r="DZV160" s="1385"/>
      <c r="DZW160" s="1385"/>
      <c r="DZX160" s="1385"/>
      <c r="DZY160" s="1385"/>
      <c r="DZZ160" s="1385"/>
      <c r="EAA160" s="1385"/>
      <c r="EAB160" s="1385"/>
      <c r="EAC160" s="1385"/>
      <c r="EAD160" s="1385"/>
      <c r="EAE160" s="1385"/>
      <c r="EAF160" s="1385"/>
      <c r="EAG160" s="1385"/>
      <c r="EAH160" s="1385"/>
      <c r="EAI160" s="1385"/>
      <c r="EAJ160" s="1385"/>
      <c r="EAK160" s="1385"/>
      <c r="EAL160" s="1385"/>
      <c r="EAM160" s="1385"/>
      <c r="EAN160" s="1385"/>
      <c r="EAO160" s="1385"/>
      <c r="EAP160" s="1385"/>
      <c r="EAQ160" s="1385"/>
      <c r="EAR160" s="1385"/>
      <c r="EAS160" s="1385"/>
      <c r="EAT160" s="1385"/>
      <c r="EAU160" s="1385"/>
      <c r="EAV160" s="1385"/>
      <c r="EAW160" s="1385"/>
      <c r="EAX160" s="1385"/>
      <c r="EAY160" s="1385"/>
      <c r="EAZ160" s="1385"/>
      <c r="EBA160" s="1385"/>
      <c r="EBB160" s="1385"/>
      <c r="EBC160" s="1385"/>
      <c r="EBD160" s="1385"/>
      <c r="EBE160" s="1385"/>
      <c r="EBF160" s="1385"/>
      <c r="EBG160" s="1385"/>
      <c r="EBH160" s="1385"/>
      <c r="EBI160" s="1385"/>
      <c r="EBJ160" s="1385"/>
      <c r="EBK160" s="1385"/>
      <c r="EBL160" s="1385"/>
      <c r="EBM160" s="1385"/>
      <c r="EBN160" s="1385"/>
      <c r="EBO160" s="1385"/>
      <c r="EBP160" s="1385"/>
      <c r="EBQ160" s="1385"/>
      <c r="EBR160" s="1385"/>
      <c r="EBS160" s="1385"/>
      <c r="EBT160" s="1385"/>
      <c r="EBU160" s="1385"/>
      <c r="EBV160" s="1385"/>
      <c r="EBW160" s="1385"/>
      <c r="EBX160" s="1385"/>
      <c r="EBY160" s="1385"/>
      <c r="EBZ160" s="1385"/>
      <c r="ECA160" s="1385"/>
      <c r="ECB160" s="1385"/>
      <c r="ECC160" s="1385"/>
      <c r="ECD160" s="1385"/>
      <c r="ECE160" s="1385"/>
      <c r="ECF160" s="1385"/>
      <c r="ECG160" s="1385"/>
      <c r="ECH160" s="1385"/>
      <c r="ECI160" s="1385"/>
      <c r="ECJ160" s="1385"/>
      <c r="ECK160" s="1385"/>
      <c r="ECL160" s="1385"/>
      <c r="ECM160" s="1385"/>
      <c r="ECN160" s="1385"/>
      <c r="ECO160" s="1385"/>
      <c r="ECP160" s="1385"/>
      <c r="ECQ160" s="1385"/>
      <c r="ECR160" s="1385"/>
      <c r="ECS160" s="1385"/>
      <c r="ECT160" s="1385"/>
      <c r="ECU160" s="1385"/>
      <c r="ECV160" s="1385"/>
      <c r="ECW160" s="1385"/>
      <c r="ECX160" s="1385"/>
      <c r="ECY160" s="1385"/>
      <c r="ECZ160" s="1385"/>
      <c r="EDA160" s="1385"/>
      <c r="EDB160" s="1385"/>
      <c r="EDC160" s="1385"/>
      <c r="EDD160" s="1385"/>
      <c r="EDE160" s="1385"/>
      <c r="EDF160" s="1385"/>
      <c r="EDG160" s="1385"/>
      <c r="EDH160" s="1385"/>
      <c r="EDI160" s="1385"/>
      <c r="EDJ160" s="1385"/>
      <c r="EDK160" s="1385"/>
      <c r="EDL160" s="1385"/>
      <c r="EDM160" s="1385"/>
      <c r="EDN160" s="1385"/>
      <c r="EDO160" s="1385"/>
      <c r="EDP160" s="1385"/>
      <c r="EDQ160" s="1385"/>
      <c r="EDR160" s="1385"/>
      <c r="EDS160" s="1385"/>
      <c r="EDT160" s="1385"/>
      <c r="EDU160" s="1385"/>
      <c r="EDV160" s="1385"/>
      <c r="EDW160" s="1385"/>
      <c r="EDX160" s="1385"/>
      <c r="EDY160" s="1385"/>
      <c r="EDZ160" s="1385"/>
      <c r="EEA160" s="1385"/>
      <c r="EEB160" s="1385"/>
      <c r="EEC160" s="1385"/>
      <c r="EED160" s="1385"/>
      <c r="EEE160" s="1385"/>
      <c r="EEF160" s="1385"/>
      <c r="EEG160" s="1385"/>
      <c r="EEH160" s="1385"/>
      <c r="EEI160" s="1385"/>
      <c r="EEJ160" s="1385"/>
      <c r="EEK160" s="1385"/>
      <c r="EEL160" s="1385"/>
      <c r="EEM160" s="1385"/>
      <c r="EEN160" s="1385"/>
      <c r="EEO160" s="1385"/>
      <c r="EEP160" s="1385"/>
      <c r="EEQ160" s="1385"/>
      <c r="EER160" s="1385"/>
      <c r="EES160" s="1385"/>
      <c r="EET160" s="1385"/>
      <c r="EEU160" s="1385"/>
      <c r="EEV160" s="1385"/>
      <c r="EEW160" s="1385"/>
      <c r="EEX160" s="1385"/>
      <c r="EEY160" s="1385"/>
      <c r="EEZ160" s="1385"/>
      <c r="EFA160" s="1385"/>
      <c r="EFB160" s="1385"/>
      <c r="EFC160" s="1385"/>
      <c r="EFD160" s="1385"/>
      <c r="EFE160" s="1385"/>
      <c r="EFF160" s="1385"/>
      <c r="EFG160" s="1385"/>
      <c r="EFH160" s="1385"/>
      <c r="EFI160" s="1385"/>
      <c r="EFJ160" s="1385"/>
      <c r="EFK160" s="1385"/>
      <c r="EFL160" s="1385"/>
      <c r="EFM160" s="1385"/>
      <c r="EFN160" s="1385"/>
      <c r="EFO160" s="1385"/>
      <c r="EFP160" s="1385"/>
      <c r="EFQ160" s="1385"/>
      <c r="EFR160" s="1385"/>
      <c r="EFS160" s="1385"/>
      <c r="EFT160" s="1385"/>
      <c r="EFU160" s="1385"/>
      <c r="EFV160" s="1385"/>
      <c r="EFW160" s="1385"/>
      <c r="EFX160" s="1385"/>
      <c r="EFY160" s="1385"/>
      <c r="EFZ160" s="1385"/>
      <c r="EGA160" s="1385"/>
      <c r="EGB160" s="1385"/>
      <c r="EGC160" s="1385"/>
      <c r="EGD160" s="1385"/>
      <c r="EGE160" s="1385"/>
      <c r="EGF160" s="1385"/>
      <c r="EGG160" s="1385"/>
      <c r="EGH160" s="1385"/>
      <c r="EGI160" s="1385"/>
      <c r="EGJ160" s="1385"/>
      <c r="EGK160" s="1385"/>
      <c r="EGL160" s="1385"/>
      <c r="EGM160" s="1385"/>
      <c r="EGN160" s="1385"/>
      <c r="EGO160" s="1385"/>
      <c r="EGP160" s="1385"/>
      <c r="EGQ160" s="1385"/>
      <c r="EGR160" s="1385"/>
      <c r="EGS160" s="1385"/>
      <c r="EGT160" s="1385"/>
      <c r="EGU160" s="1385"/>
      <c r="EGV160" s="1385"/>
      <c r="EGW160" s="1385"/>
      <c r="EGX160" s="1385"/>
      <c r="EGY160" s="1385"/>
      <c r="EGZ160" s="1385"/>
      <c r="EHA160" s="1385"/>
      <c r="EHB160" s="1385"/>
      <c r="EHC160" s="1385"/>
      <c r="EHD160" s="1385"/>
      <c r="EHE160" s="1385"/>
      <c r="EHF160" s="1385"/>
      <c r="EHG160" s="1385"/>
      <c r="EHH160" s="1385"/>
      <c r="EHI160" s="1385"/>
      <c r="EHJ160" s="1385"/>
      <c r="EHK160" s="1385"/>
      <c r="EHL160" s="1385"/>
      <c r="EHM160" s="1385"/>
      <c r="EHN160" s="1385"/>
      <c r="EHO160" s="1385"/>
      <c r="EHP160" s="1385"/>
      <c r="EHQ160" s="1385"/>
      <c r="EHR160" s="1385"/>
      <c r="EHS160" s="1385"/>
      <c r="EHT160" s="1385"/>
      <c r="EHU160" s="1385"/>
      <c r="EHV160" s="1385"/>
      <c r="EHW160" s="1385"/>
      <c r="EHX160" s="1385"/>
      <c r="EHY160" s="1385"/>
      <c r="EHZ160" s="1385"/>
      <c r="EIA160" s="1385"/>
      <c r="EIB160" s="1385"/>
      <c r="EIC160" s="1385"/>
      <c r="EID160" s="1385"/>
      <c r="EIE160" s="1385"/>
      <c r="EIF160" s="1385"/>
      <c r="EIG160" s="1385"/>
      <c r="EIH160" s="1385"/>
      <c r="EII160" s="1385"/>
      <c r="EIJ160" s="1385"/>
      <c r="EIK160" s="1385"/>
      <c r="EIL160" s="1385"/>
      <c r="EIM160" s="1385"/>
      <c r="EIN160" s="1385"/>
      <c r="EIO160" s="1385"/>
      <c r="EIP160" s="1385"/>
      <c r="EIQ160" s="1385"/>
      <c r="EIR160" s="1385"/>
      <c r="EIS160" s="1385"/>
      <c r="EIT160" s="1385"/>
      <c r="EIU160" s="1385"/>
      <c r="EIV160" s="1385"/>
      <c r="EIW160" s="1385"/>
      <c r="EIX160" s="1385"/>
      <c r="EIY160" s="1385"/>
      <c r="EIZ160" s="1385"/>
      <c r="EJA160" s="1385"/>
      <c r="EJB160" s="1385"/>
      <c r="EJC160" s="1385"/>
      <c r="EJD160" s="1385"/>
      <c r="EJE160" s="1385"/>
      <c r="EJF160" s="1385"/>
      <c r="EJG160" s="1385"/>
      <c r="EJH160" s="1385"/>
      <c r="EJI160" s="1385"/>
      <c r="EJJ160" s="1385"/>
      <c r="EJK160" s="1385"/>
      <c r="EJL160" s="1385"/>
      <c r="EJM160" s="1385"/>
      <c r="EJN160" s="1385"/>
      <c r="EJO160" s="1385"/>
      <c r="EJP160" s="1385"/>
      <c r="EJQ160" s="1385"/>
      <c r="EJR160" s="1385"/>
      <c r="EJS160" s="1385"/>
      <c r="EJT160" s="1385"/>
      <c r="EJU160" s="1385"/>
      <c r="EJV160" s="1385"/>
      <c r="EJW160" s="1385"/>
      <c r="EJX160" s="1385"/>
      <c r="EJY160" s="1385"/>
      <c r="EJZ160" s="1385"/>
      <c r="EKA160" s="1385"/>
      <c r="EKB160" s="1385"/>
      <c r="EKC160" s="1385"/>
      <c r="EKD160" s="1385"/>
      <c r="EKE160" s="1385"/>
      <c r="EKF160" s="1385"/>
      <c r="EKG160" s="1385"/>
      <c r="EKH160" s="1385"/>
      <c r="EKI160" s="1385"/>
      <c r="EKJ160" s="1385"/>
      <c r="EKK160" s="1385"/>
      <c r="EKL160" s="1385"/>
      <c r="EKM160" s="1385"/>
      <c r="EKN160" s="1385"/>
      <c r="EKO160" s="1385"/>
      <c r="EKP160" s="1385"/>
      <c r="EKQ160" s="1385"/>
      <c r="EKR160" s="1385"/>
      <c r="EKS160" s="1385"/>
      <c r="EKT160" s="1385"/>
      <c r="EKU160" s="1385"/>
      <c r="EKV160" s="1385"/>
      <c r="EKW160" s="1385"/>
      <c r="EKX160" s="1385"/>
      <c r="EKY160" s="1385"/>
      <c r="EKZ160" s="1385"/>
      <c r="ELA160" s="1385"/>
      <c r="ELB160" s="1385"/>
      <c r="ELC160" s="1385"/>
      <c r="ELD160" s="1385"/>
      <c r="ELE160" s="1385"/>
      <c r="ELF160" s="1385"/>
      <c r="ELG160" s="1385"/>
      <c r="ELH160" s="1385"/>
      <c r="ELI160" s="1385"/>
      <c r="ELJ160" s="1385"/>
      <c r="ELK160" s="1385"/>
      <c r="ELL160" s="1385"/>
      <c r="ELM160" s="1385"/>
      <c r="ELN160" s="1385"/>
      <c r="ELO160" s="1385"/>
      <c r="ELP160" s="1385"/>
      <c r="ELQ160" s="1385"/>
      <c r="ELR160" s="1385"/>
      <c r="ELS160" s="1385"/>
      <c r="ELT160" s="1385"/>
      <c r="ELU160" s="1385"/>
      <c r="ELV160" s="1385"/>
      <c r="ELW160" s="1385"/>
      <c r="ELX160" s="1385"/>
      <c r="ELY160" s="1385"/>
      <c r="ELZ160" s="1385"/>
      <c r="EMA160" s="1385"/>
      <c r="EMB160" s="1385"/>
      <c r="EMC160" s="1385"/>
      <c r="EMD160" s="1385"/>
      <c r="EME160" s="1385"/>
      <c r="EMF160" s="1385"/>
      <c r="EMG160" s="1385"/>
      <c r="EMH160" s="1385"/>
      <c r="EMI160" s="1385"/>
      <c r="EMJ160" s="1385"/>
      <c r="EMK160" s="1385"/>
      <c r="EML160" s="1385"/>
      <c r="EMM160" s="1385"/>
      <c r="EMN160" s="1385"/>
      <c r="EMO160" s="1385"/>
      <c r="EMP160" s="1385"/>
      <c r="EMQ160" s="1385"/>
      <c r="EMR160" s="1385"/>
      <c r="EMS160" s="1385"/>
      <c r="EMT160" s="1385"/>
      <c r="EMU160" s="1385"/>
      <c r="EMV160" s="1385"/>
      <c r="EMW160" s="1385"/>
      <c r="EMX160" s="1385"/>
      <c r="EMY160" s="1385"/>
      <c r="EMZ160" s="1385"/>
      <c r="ENA160" s="1385"/>
      <c r="ENB160" s="1385"/>
      <c r="ENC160" s="1385"/>
      <c r="END160" s="1385"/>
      <c r="ENE160" s="1385"/>
      <c r="ENF160" s="1385"/>
      <c r="ENG160" s="1385"/>
      <c r="ENH160" s="1385"/>
      <c r="ENI160" s="1385"/>
      <c r="ENJ160" s="1385"/>
      <c r="ENK160" s="1385"/>
      <c r="ENL160" s="1385"/>
      <c r="ENM160" s="1385"/>
      <c r="ENN160" s="1385"/>
      <c r="ENO160" s="1385"/>
      <c r="ENP160" s="1385"/>
      <c r="ENQ160" s="1385"/>
      <c r="ENR160" s="1385"/>
      <c r="ENS160" s="1385"/>
      <c r="ENT160" s="1385"/>
      <c r="ENU160" s="1385"/>
      <c r="ENV160" s="1385"/>
      <c r="ENW160" s="1385"/>
      <c r="ENX160" s="1385"/>
      <c r="ENY160" s="1385"/>
      <c r="ENZ160" s="1385"/>
      <c r="EOA160" s="1385"/>
      <c r="EOB160" s="1385"/>
      <c r="EOC160" s="1385"/>
      <c r="EOD160" s="1385"/>
      <c r="EOE160" s="1385"/>
      <c r="EOF160" s="1385"/>
      <c r="EOG160" s="1385"/>
      <c r="EOH160" s="1385"/>
      <c r="EOI160" s="1385"/>
      <c r="EOJ160" s="1385"/>
      <c r="EOK160" s="1385"/>
      <c r="EOL160" s="1385"/>
      <c r="EOM160" s="1385"/>
      <c r="EON160" s="1385"/>
      <c r="EOO160" s="1385"/>
      <c r="EOP160" s="1385"/>
      <c r="EOQ160" s="1385"/>
      <c r="EOR160" s="1385"/>
      <c r="EOS160" s="1385"/>
      <c r="EOT160" s="1385"/>
      <c r="EOU160" s="1385"/>
      <c r="EOV160" s="1385"/>
      <c r="EOW160" s="1385"/>
      <c r="EOX160" s="1385"/>
      <c r="EOY160" s="1385"/>
      <c r="EOZ160" s="1385"/>
      <c r="EPA160" s="1385"/>
      <c r="EPB160" s="1385"/>
      <c r="EPC160" s="1385"/>
      <c r="EPD160" s="1385"/>
      <c r="EPE160" s="1385"/>
      <c r="EPF160" s="1385"/>
      <c r="EPG160" s="1385"/>
      <c r="EPH160" s="1385"/>
      <c r="EPI160" s="1385"/>
      <c r="EPJ160" s="1385"/>
      <c r="EPK160" s="1385"/>
      <c r="EPL160" s="1385"/>
      <c r="EPM160" s="1385"/>
      <c r="EPN160" s="1385"/>
      <c r="EPO160" s="1385"/>
      <c r="EPP160" s="1385"/>
      <c r="EPQ160" s="1385"/>
      <c r="EPR160" s="1385"/>
      <c r="EPS160" s="1385"/>
      <c r="EPT160" s="1385"/>
      <c r="EPU160" s="1385"/>
      <c r="EPV160" s="1385"/>
      <c r="EPW160" s="1385"/>
      <c r="EPX160" s="1385"/>
      <c r="EPY160" s="1385"/>
      <c r="EPZ160" s="1385"/>
      <c r="EQA160" s="1385"/>
      <c r="EQB160" s="1385"/>
      <c r="EQC160" s="1385"/>
      <c r="EQD160" s="1385"/>
      <c r="EQE160" s="1385"/>
      <c r="EQF160" s="1385"/>
      <c r="EQG160" s="1385"/>
      <c r="EQH160" s="1385"/>
      <c r="EQI160" s="1385"/>
      <c r="EQJ160" s="1385"/>
      <c r="EQK160" s="1385"/>
      <c r="EQL160" s="1385"/>
      <c r="EQM160" s="1385"/>
      <c r="EQN160" s="1385"/>
      <c r="EQO160" s="1385"/>
      <c r="EQP160" s="1385"/>
      <c r="EQQ160" s="1385"/>
      <c r="EQR160" s="1385"/>
      <c r="EQS160" s="1385"/>
      <c r="EQT160" s="1385"/>
      <c r="EQU160" s="1385"/>
      <c r="EQV160" s="1385"/>
      <c r="EQW160" s="1385"/>
      <c r="EQX160" s="1385"/>
      <c r="EQY160" s="1385"/>
      <c r="EQZ160" s="1385"/>
      <c r="ERA160" s="1385"/>
      <c r="ERB160" s="1385"/>
      <c r="ERC160" s="1385"/>
      <c r="ERD160" s="1385"/>
      <c r="ERE160" s="1385"/>
      <c r="ERF160" s="1385"/>
      <c r="ERG160" s="1385"/>
      <c r="ERH160" s="1385"/>
      <c r="ERI160" s="1385"/>
      <c r="ERJ160" s="1385"/>
      <c r="ERK160" s="1385"/>
      <c r="ERL160" s="1385"/>
      <c r="ERM160" s="1385"/>
      <c r="ERN160" s="1385"/>
      <c r="ERO160" s="1385"/>
      <c r="ERP160" s="1385"/>
      <c r="ERQ160" s="1385"/>
      <c r="ERR160" s="1385"/>
      <c r="ERS160" s="1385"/>
      <c r="ERT160" s="1385"/>
      <c r="ERU160" s="1385"/>
      <c r="ERV160" s="1385"/>
      <c r="ERW160" s="1385"/>
      <c r="ERX160" s="1385"/>
      <c r="ERY160" s="1385"/>
      <c r="ERZ160" s="1385"/>
      <c r="ESA160" s="1385"/>
      <c r="ESB160" s="1385"/>
      <c r="ESC160" s="1385"/>
      <c r="ESD160" s="1385"/>
      <c r="ESE160" s="1385"/>
      <c r="ESF160" s="1385"/>
      <c r="ESG160" s="1385"/>
      <c r="ESH160" s="1385"/>
      <c r="ESI160" s="1385"/>
      <c r="ESJ160" s="1385"/>
      <c r="ESK160" s="1385"/>
      <c r="ESL160" s="1385"/>
      <c r="ESM160" s="1385"/>
      <c r="ESN160" s="1385"/>
      <c r="ESO160" s="1385"/>
      <c r="ESP160" s="1385"/>
      <c r="ESQ160" s="1385"/>
      <c r="ESR160" s="1385"/>
      <c r="ESS160" s="1385"/>
      <c r="EST160" s="1385"/>
      <c r="ESU160" s="1385"/>
      <c r="ESV160" s="1385"/>
      <c r="ESW160" s="1385"/>
      <c r="ESX160" s="1385"/>
      <c r="ESY160" s="1385"/>
      <c r="ESZ160" s="1385"/>
      <c r="ETA160" s="1385"/>
      <c r="ETB160" s="1385"/>
      <c r="ETC160" s="1385"/>
      <c r="ETD160" s="1385"/>
      <c r="ETE160" s="1385"/>
      <c r="ETF160" s="1385"/>
      <c r="ETG160" s="1385"/>
      <c r="ETH160" s="1385"/>
      <c r="ETI160" s="1385"/>
      <c r="ETJ160" s="1385"/>
      <c r="ETK160" s="1385"/>
      <c r="ETL160" s="1385"/>
      <c r="ETM160" s="1385"/>
      <c r="ETN160" s="1385"/>
      <c r="ETO160" s="1385"/>
      <c r="ETP160" s="1385"/>
      <c r="ETQ160" s="1385"/>
      <c r="ETR160" s="1385"/>
      <c r="ETS160" s="1385"/>
      <c r="ETT160" s="1385"/>
      <c r="ETU160" s="1385"/>
      <c r="ETV160" s="1385"/>
      <c r="ETW160" s="1385"/>
      <c r="ETX160" s="1385"/>
      <c r="ETY160" s="1385"/>
      <c r="ETZ160" s="1385"/>
      <c r="EUA160" s="1385"/>
      <c r="EUB160" s="1385"/>
      <c r="EUC160" s="1385"/>
      <c r="EUD160" s="1385"/>
      <c r="EUE160" s="1385"/>
      <c r="EUF160" s="1385"/>
      <c r="EUG160" s="1385"/>
      <c r="EUH160" s="1385"/>
      <c r="EUI160" s="1385"/>
      <c r="EUJ160" s="1385"/>
      <c r="EUK160" s="1385"/>
      <c r="EUL160" s="1385"/>
      <c r="EUM160" s="1385"/>
      <c r="EUN160" s="1385"/>
      <c r="EUO160" s="1385"/>
      <c r="EUP160" s="1385"/>
      <c r="EUQ160" s="1385"/>
      <c r="EUR160" s="1385"/>
      <c r="EUS160" s="1385"/>
      <c r="EUT160" s="1385"/>
      <c r="EUU160" s="1385"/>
      <c r="EUV160" s="1385"/>
      <c r="EUW160" s="1385"/>
      <c r="EUX160" s="1385"/>
      <c r="EUY160" s="1385"/>
      <c r="EUZ160" s="1385"/>
      <c r="EVA160" s="1385"/>
      <c r="EVB160" s="1385"/>
      <c r="EVC160" s="1385"/>
      <c r="EVD160" s="1385"/>
      <c r="EVE160" s="1385"/>
      <c r="EVF160" s="1385"/>
      <c r="EVG160" s="1385"/>
      <c r="EVH160" s="1385"/>
      <c r="EVI160" s="1385"/>
      <c r="EVJ160" s="1385"/>
      <c r="EVK160" s="1385"/>
      <c r="EVL160" s="1385"/>
      <c r="EVM160" s="1385"/>
      <c r="EVN160" s="1385"/>
      <c r="EVO160" s="1385"/>
      <c r="EVP160" s="1385"/>
      <c r="EVQ160" s="1385"/>
      <c r="EVR160" s="1385"/>
      <c r="EVS160" s="1385"/>
      <c r="EVT160" s="1385"/>
      <c r="EVU160" s="1385"/>
      <c r="EVV160" s="1385"/>
      <c r="EVW160" s="1385"/>
      <c r="EVX160" s="1385"/>
      <c r="EVY160" s="1385"/>
      <c r="EVZ160" s="1385"/>
      <c r="EWA160" s="1385"/>
      <c r="EWB160" s="1385"/>
      <c r="EWC160" s="1385"/>
      <c r="EWD160" s="1385"/>
      <c r="EWE160" s="1385"/>
      <c r="EWF160" s="1385"/>
      <c r="EWG160" s="1385"/>
      <c r="EWH160" s="1385"/>
      <c r="EWI160" s="1385"/>
      <c r="EWJ160" s="1385"/>
      <c r="EWK160" s="1385"/>
      <c r="EWL160" s="1385"/>
      <c r="EWM160" s="1385"/>
      <c r="EWN160" s="1385"/>
      <c r="EWO160" s="1385"/>
      <c r="EWP160" s="1385"/>
      <c r="EWQ160" s="1385"/>
      <c r="EWR160" s="1385"/>
      <c r="EWS160" s="1385"/>
      <c r="EWT160" s="1385"/>
      <c r="EWU160" s="1385"/>
      <c r="EWV160" s="1385"/>
      <c r="EWW160" s="1385"/>
      <c r="EWX160" s="1385"/>
      <c r="EWY160" s="1385"/>
      <c r="EWZ160" s="1385"/>
      <c r="EXA160" s="1385"/>
      <c r="EXB160" s="1385"/>
      <c r="EXC160" s="1385"/>
      <c r="EXD160" s="1385"/>
      <c r="EXE160" s="1385"/>
      <c r="EXF160" s="1385"/>
      <c r="EXG160" s="1385"/>
      <c r="EXH160" s="1385"/>
      <c r="EXI160" s="1385"/>
      <c r="EXJ160" s="1385"/>
      <c r="EXK160" s="1385"/>
      <c r="EXL160" s="1385"/>
      <c r="EXM160" s="1385"/>
      <c r="EXN160" s="1385"/>
      <c r="EXO160" s="1385"/>
      <c r="EXP160" s="1385"/>
      <c r="EXQ160" s="1385"/>
      <c r="EXR160" s="1385"/>
      <c r="EXS160" s="1385"/>
      <c r="EXT160" s="1385"/>
      <c r="EXU160" s="1385"/>
      <c r="EXV160" s="1385"/>
      <c r="EXW160" s="1385"/>
      <c r="EXX160" s="1385"/>
      <c r="EXY160" s="1385"/>
      <c r="EXZ160" s="1385"/>
      <c r="EYA160" s="1385"/>
      <c r="EYB160" s="1385"/>
      <c r="EYC160" s="1385"/>
      <c r="EYD160" s="1385"/>
      <c r="EYE160" s="1385"/>
      <c r="EYF160" s="1385"/>
      <c r="EYG160" s="1385"/>
      <c r="EYH160" s="1385"/>
      <c r="EYI160" s="1385"/>
      <c r="EYJ160" s="1385"/>
      <c r="EYK160" s="1385"/>
      <c r="EYL160" s="1385"/>
      <c r="EYM160" s="1385"/>
      <c r="EYN160" s="1385"/>
      <c r="EYO160" s="1385"/>
      <c r="EYP160" s="1385"/>
      <c r="EYQ160" s="1385"/>
      <c r="EYR160" s="1385"/>
      <c r="EYS160" s="1385"/>
      <c r="EYT160" s="1385"/>
      <c r="EYU160" s="1385"/>
      <c r="EYV160" s="1385"/>
      <c r="EYW160" s="1385"/>
      <c r="EYX160" s="1385"/>
      <c r="EYY160" s="1385"/>
      <c r="EYZ160" s="1385"/>
      <c r="EZA160" s="1385"/>
      <c r="EZB160" s="1385"/>
      <c r="EZC160" s="1385"/>
      <c r="EZD160" s="1385"/>
      <c r="EZE160" s="1385"/>
      <c r="EZF160" s="1385"/>
      <c r="EZG160" s="1385"/>
      <c r="EZH160" s="1385"/>
      <c r="EZI160" s="1385"/>
      <c r="EZJ160" s="1385"/>
      <c r="EZK160" s="1385"/>
      <c r="EZL160" s="1385"/>
      <c r="EZM160" s="1385"/>
      <c r="EZN160" s="1385"/>
      <c r="EZO160" s="1385"/>
      <c r="EZP160" s="1385"/>
      <c r="EZQ160" s="1385"/>
      <c r="EZR160" s="1385"/>
      <c r="EZS160" s="1385"/>
      <c r="EZT160" s="1385"/>
      <c r="EZU160" s="1385"/>
      <c r="EZV160" s="1385"/>
      <c r="EZW160" s="1385"/>
      <c r="EZX160" s="1385"/>
      <c r="EZY160" s="1385"/>
      <c r="EZZ160" s="1385"/>
      <c r="FAA160" s="1385"/>
      <c r="FAB160" s="1385"/>
      <c r="FAC160" s="1385"/>
      <c r="FAD160" s="1385"/>
      <c r="FAE160" s="1385"/>
      <c r="FAF160" s="1385"/>
      <c r="FAG160" s="1385"/>
      <c r="FAH160" s="1385"/>
      <c r="FAI160" s="1385"/>
      <c r="FAJ160" s="1385"/>
      <c r="FAK160" s="1385"/>
      <c r="FAL160" s="1385"/>
      <c r="FAM160" s="1385"/>
      <c r="FAN160" s="1385"/>
      <c r="FAO160" s="1385"/>
      <c r="FAP160" s="1385"/>
      <c r="FAQ160" s="1385"/>
      <c r="FAR160" s="1385"/>
      <c r="FAS160" s="1385"/>
      <c r="FAT160" s="1385"/>
      <c r="FAU160" s="1385"/>
      <c r="FAV160" s="1385"/>
      <c r="FAW160" s="1385"/>
      <c r="FAX160" s="1385"/>
      <c r="FAY160" s="1385"/>
      <c r="FAZ160" s="1385"/>
      <c r="FBA160" s="1385"/>
      <c r="FBB160" s="1385"/>
      <c r="FBC160" s="1385"/>
      <c r="FBD160" s="1385"/>
      <c r="FBE160" s="1385"/>
      <c r="FBF160" s="1385"/>
      <c r="FBG160" s="1385"/>
      <c r="FBH160" s="1385"/>
      <c r="FBI160" s="1385"/>
      <c r="FBJ160" s="1385"/>
      <c r="FBK160" s="1385"/>
      <c r="FBL160" s="1385"/>
      <c r="FBM160" s="1385"/>
      <c r="FBN160" s="1385"/>
      <c r="FBO160" s="1385"/>
      <c r="FBP160" s="1385"/>
      <c r="FBQ160" s="1385"/>
      <c r="FBR160" s="1385"/>
      <c r="FBS160" s="1385"/>
      <c r="FBT160" s="1385"/>
      <c r="FBU160" s="1385"/>
      <c r="FBV160" s="1385"/>
      <c r="FBW160" s="1385"/>
      <c r="FBX160" s="1385"/>
      <c r="FBY160" s="1385"/>
      <c r="FBZ160" s="1385"/>
      <c r="FCA160" s="1385"/>
      <c r="FCB160" s="1385"/>
      <c r="FCC160" s="1385"/>
      <c r="FCD160" s="1385"/>
      <c r="FCE160" s="1385"/>
      <c r="FCF160" s="1385"/>
      <c r="FCG160" s="1385"/>
      <c r="FCH160" s="1385"/>
      <c r="FCI160" s="1385"/>
      <c r="FCJ160" s="1385"/>
      <c r="FCK160" s="1385"/>
      <c r="FCL160" s="1385"/>
      <c r="FCM160" s="1385"/>
      <c r="FCN160" s="1385"/>
      <c r="FCO160" s="1385"/>
      <c r="FCP160" s="1385"/>
      <c r="FCQ160" s="1385"/>
      <c r="FCR160" s="1385"/>
      <c r="FCS160" s="1385"/>
      <c r="FCT160" s="1385"/>
      <c r="FCU160" s="1385"/>
      <c r="FCV160" s="1385"/>
      <c r="FCW160" s="1385"/>
      <c r="FCX160" s="1385"/>
      <c r="FCY160" s="1385"/>
      <c r="FCZ160" s="1385"/>
      <c r="FDA160" s="1385"/>
      <c r="FDB160" s="1385"/>
      <c r="FDC160" s="1385"/>
      <c r="FDD160" s="1385"/>
      <c r="FDE160" s="1385"/>
      <c r="FDF160" s="1385"/>
      <c r="FDG160" s="1385"/>
      <c r="FDH160" s="1385"/>
      <c r="FDI160" s="1385"/>
      <c r="FDJ160" s="1385"/>
      <c r="FDK160" s="1385"/>
      <c r="FDL160" s="1385"/>
      <c r="FDM160" s="1385"/>
      <c r="FDN160" s="1385"/>
      <c r="FDO160" s="1385"/>
      <c r="FDP160" s="1385"/>
      <c r="FDQ160" s="1385"/>
      <c r="FDR160" s="1385"/>
      <c r="FDS160" s="1385"/>
      <c r="FDT160" s="1385"/>
      <c r="FDU160" s="1385"/>
      <c r="FDV160" s="1385"/>
      <c r="FDW160" s="1385"/>
      <c r="FDX160" s="1385"/>
      <c r="FDY160" s="1385"/>
      <c r="FDZ160" s="1385"/>
      <c r="FEA160" s="1385"/>
      <c r="FEB160" s="1385"/>
      <c r="FEC160" s="1385"/>
      <c r="FED160" s="1385"/>
      <c r="FEE160" s="1385"/>
      <c r="FEF160" s="1385"/>
      <c r="FEG160" s="1385"/>
      <c r="FEH160" s="1385"/>
      <c r="FEI160" s="1385"/>
      <c r="FEJ160" s="1385"/>
      <c r="FEK160" s="1385"/>
      <c r="FEL160" s="1385"/>
      <c r="FEM160" s="1385"/>
      <c r="FEN160" s="1385"/>
      <c r="FEO160" s="1385"/>
      <c r="FEP160" s="1385"/>
      <c r="FEQ160" s="1385"/>
      <c r="FER160" s="1385"/>
      <c r="FES160" s="1385"/>
      <c r="FET160" s="1385"/>
      <c r="FEU160" s="1385"/>
      <c r="FEV160" s="1385"/>
      <c r="FEW160" s="1385"/>
      <c r="FEX160" s="1385"/>
      <c r="FEY160" s="1385"/>
      <c r="FEZ160" s="1385"/>
      <c r="FFA160" s="1385"/>
      <c r="FFB160" s="1385"/>
      <c r="FFC160" s="1385"/>
      <c r="FFD160" s="1385"/>
      <c r="FFE160" s="1385"/>
      <c r="FFF160" s="1385"/>
      <c r="FFG160" s="1385"/>
      <c r="FFH160" s="1385"/>
      <c r="FFI160" s="1385"/>
      <c r="FFJ160" s="1385"/>
      <c r="FFK160" s="1385"/>
      <c r="FFL160" s="1385"/>
      <c r="FFM160" s="1385"/>
      <c r="FFN160" s="1385"/>
      <c r="FFO160" s="1385"/>
      <c r="FFP160" s="1385"/>
      <c r="FFQ160" s="1385"/>
      <c r="FFR160" s="1385"/>
      <c r="FFS160" s="1385"/>
      <c r="FFT160" s="1385"/>
      <c r="FFU160" s="1385"/>
      <c r="FFV160" s="1385"/>
      <c r="FFW160" s="1385"/>
      <c r="FFX160" s="1385"/>
      <c r="FFY160" s="1385"/>
      <c r="FFZ160" s="1385"/>
      <c r="FGA160" s="1385"/>
      <c r="FGB160" s="1385"/>
      <c r="FGC160" s="1385"/>
      <c r="FGD160" s="1385"/>
      <c r="FGE160" s="1385"/>
      <c r="FGF160" s="1385"/>
      <c r="FGG160" s="1385"/>
      <c r="FGH160" s="1385"/>
      <c r="FGI160" s="1385"/>
      <c r="FGJ160" s="1385"/>
      <c r="FGK160" s="1385"/>
      <c r="FGL160" s="1385"/>
      <c r="FGM160" s="1385"/>
      <c r="FGN160" s="1385"/>
      <c r="FGO160" s="1385"/>
      <c r="FGP160" s="1385"/>
      <c r="FGQ160" s="1385"/>
      <c r="FGR160" s="1385"/>
      <c r="FGS160" s="1385"/>
      <c r="FGT160" s="1385"/>
      <c r="FGU160" s="1385"/>
      <c r="FGV160" s="1385"/>
      <c r="FGW160" s="1385"/>
      <c r="FGX160" s="1385"/>
      <c r="FGY160" s="1385"/>
      <c r="FGZ160" s="1385"/>
      <c r="FHA160" s="1385"/>
      <c r="FHB160" s="1385"/>
      <c r="FHC160" s="1385"/>
      <c r="FHD160" s="1385"/>
      <c r="FHE160" s="1385"/>
      <c r="FHF160" s="1385"/>
      <c r="FHG160" s="1385"/>
      <c r="FHH160" s="1385"/>
      <c r="FHI160" s="1385"/>
      <c r="FHJ160" s="1385"/>
      <c r="FHK160" s="1385"/>
      <c r="FHL160" s="1385"/>
      <c r="FHM160" s="1385"/>
      <c r="FHN160" s="1385"/>
      <c r="FHO160" s="1385"/>
      <c r="FHP160" s="1385"/>
      <c r="FHQ160" s="1385"/>
      <c r="FHR160" s="1385"/>
      <c r="FHS160" s="1385"/>
      <c r="FHT160" s="1385"/>
      <c r="FHU160" s="1385"/>
      <c r="FHV160" s="1385"/>
      <c r="FHW160" s="1385"/>
      <c r="FHX160" s="1385"/>
      <c r="FHY160" s="1385"/>
      <c r="FHZ160" s="1385"/>
      <c r="FIA160" s="1385"/>
      <c r="FIB160" s="1385"/>
      <c r="FIC160" s="1385"/>
      <c r="FID160" s="1385"/>
      <c r="FIE160" s="1385"/>
      <c r="FIF160" s="1385"/>
      <c r="FIG160" s="1385"/>
      <c r="FIH160" s="1385"/>
      <c r="FII160" s="1385"/>
      <c r="FIJ160" s="1385"/>
      <c r="FIK160" s="1385"/>
      <c r="FIL160" s="1385"/>
      <c r="FIM160" s="1385"/>
      <c r="FIN160" s="1385"/>
      <c r="FIO160" s="1385"/>
      <c r="FIP160" s="1385"/>
      <c r="FIQ160" s="1385"/>
      <c r="FIR160" s="1385"/>
      <c r="FIS160" s="1385"/>
      <c r="FIT160" s="1385"/>
      <c r="FIU160" s="1385"/>
      <c r="FIV160" s="1385"/>
      <c r="FIW160" s="1385"/>
      <c r="FIX160" s="1385"/>
      <c r="FIY160" s="1385"/>
      <c r="FIZ160" s="1385"/>
      <c r="FJA160" s="1385"/>
      <c r="FJB160" s="1385"/>
      <c r="FJC160" s="1385"/>
      <c r="FJD160" s="1385"/>
      <c r="FJE160" s="1385"/>
      <c r="FJF160" s="1385"/>
      <c r="FJG160" s="1385"/>
      <c r="FJH160" s="1385"/>
      <c r="FJI160" s="1385"/>
      <c r="FJJ160" s="1385"/>
      <c r="FJK160" s="1385"/>
      <c r="FJL160" s="1385"/>
      <c r="FJM160" s="1385"/>
      <c r="FJN160" s="1385"/>
      <c r="FJO160" s="1385"/>
      <c r="FJP160" s="1385"/>
      <c r="FJQ160" s="1385"/>
      <c r="FJR160" s="1385"/>
      <c r="FJS160" s="1385"/>
      <c r="FJT160" s="1385"/>
      <c r="FJU160" s="1385"/>
      <c r="FJV160" s="1385"/>
      <c r="FJW160" s="1385"/>
      <c r="FJX160" s="1385"/>
      <c r="FJY160" s="1385"/>
      <c r="FJZ160" s="1385"/>
      <c r="FKA160" s="1385"/>
      <c r="FKB160" s="1385"/>
      <c r="FKC160" s="1385"/>
      <c r="FKD160" s="1385"/>
      <c r="FKE160" s="1385"/>
      <c r="FKF160" s="1385"/>
      <c r="FKG160" s="1385"/>
      <c r="FKH160" s="1385"/>
      <c r="FKI160" s="1385"/>
      <c r="FKJ160" s="1385"/>
      <c r="FKK160" s="1385"/>
      <c r="FKL160" s="1385"/>
      <c r="FKM160" s="1385"/>
      <c r="FKN160" s="1385"/>
      <c r="FKO160" s="1385"/>
      <c r="FKP160" s="1385"/>
      <c r="FKQ160" s="1385"/>
      <c r="FKR160" s="1385"/>
      <c r="FKS160" s="1385"/>
      <c r="FKT160" s="1385"/>
      <c r="FKU160" s="1385"/>
      <c r="FKV160" s="1385"/>
      <c r="FKW160" s="1385"/>
      <c r="FKX160" s="1385"/>
      <c r="FKY160" s="1385"/>
      <c r="FKZ160" s="1385"/>
      <c r="FLA160" s="1385"/>
      <c r="FLB160" s="1385"/>
      <c r="FLC160" s="1385"/>
      <c r="FLD160" s="1385"/>
      <c r="FLE160" s="1385"/>
      <c r="FLF160" s="1385"/>
      <c r="FLG160" s="1385"/>
      <c r="FLH160" s="1385"/>
      <c r="FLI160" s="1385"/>
      <c r="FLJ160" s="1385"/>
      <c r="FLK160" s="1385"/>
      <c r="FLL160" s="1385"/>
      <c r="FLM160" s="1385"/>
      <c r="FLN160" s="1385"/>
      <c r="FLO160" s="1385"/>
      <c r="FLP160" s="1385"/>
      <c r="FLQ160" s="1385"/>
      <c r="FLR160" s="1385"/>
      <c r="FLS160" s="1385"/>
      <c r="FLT160" s="1385"/>
      <c r="FLU160" s="1385"/>
      <c r="FLV160" s="1385"/>
      <c r="FLW160" s="1385"/>
      <c r="FLX160" s="1385"/>
      <c r="FLY160" s="1385"/>
      <c r="FLZ160" s="1385"/>
      <c r="FMA160" s="1385"/>
      <c r="FMB160" s="1385"/>
      <c r="FMC160" s="1385"/>
      <c r="FMD160" s="1385"/>
      <c r="FME160" s="1385"/>
      <c r="FMF160" s="1385"/>
      <c r="FMG160" s="1385"/>
      <c r="FMH160" s="1385"/>
      <c r="FMI160" s="1385"/>
      <c r="FMJ160" s="1385"/>
      <c r="FMK160" s="1385"/>
      <c r="FML160" s="1385"/>
      <c r="FMM160" s="1385"/>
      <c r="FMN160" s="1385"/>
      <c r="FMO160" s="1385"/>
      <c r="FMP160" s="1385"/>
      <c r="FMQ160" s="1385"/>
      <c r="FMR160" s="1385"/>
      <c r="FMS160" s="1385"/>
      <c r="FMT160" s="1385"/>
      <c r="FMU160" s="1385"/>
      <c r="FMV160" s="1385"/>
      <c r="FMW160" s="1385"/>
      <c r="FMX160" s="1385"/>
      <c r="FMY160" s="1385"/>
      <c r="FMZ160" s="1385"/>
      <c r="FNA160" s="1385"/>
      <c r="FNB160" s="1385"/>
      <c r="FNC160" s="1385"/>
      <c r="FND160" s="1385"/>
      <c r="FNE160" s="1385"/>
      <c r="FNF160" s="1385"/>
      <c r="FNG160" s="1385"/>
      <c r="FNH160" s="1385"/>
      <c r="FNI160" s="1385"/>
      <c r="FNJ160" s="1385"/>
      <c r="FNK160" s="1385"/>
      <c r="FNL160" s="1385"/>
      <c r="FNM160" s="1385"/>
      <c r="FNN160" s="1385"/>
      <c r="FNO160" s="1385"/>
      <c r="FNP160" s="1385"/>
      <c r="FNQ160" s="1385"/>
      <c r="FNR160" s="1385"/>
      <c r="FNS160" s="1385"/>
      <c r="FNT160" s="1385"/>
      <c r="FNU160" s="1385"/>
      <c r="FNV160" s="1385"/>
      <c r="FNW160" s="1385"/>
      <c r="FNX160" s="1385"/>
      <c r="FNY160" s="1385"/>
      <c r="FNZ160" s="1385"/>
      <c r="FOA160" s="1385"/>
      <c r="FOB160" s="1385"/>
      <c r="FOC160" s="1385"/>
      <c r="FOD160" s="1385"/>
      <c r="FOE160" s="1385"/>
      <c r="FOF160" s="1385"/>
      <c r="FOG160" s="1385"/>
      <c r="FOH160" s="1385"/>
      <c r="FOI160" s="1385"/>
      <c r="FOJ160" s="1385"/>
      <c r="FOK160" s="1385"/>
      <c r="FOL160" s="1385"/>
      <c r="FOM160" s="1385"/>
      <c r="FON160" s="1385"/>
      <c r="FOO160" s="1385"/>
      <c r="FOP160" s="1385"/>
      <c r="FOQ160" s="1385"/>
      <c r="FOR160" s="1385"/>
      <c r="FOS160" s="1385"/>
      <c r="FOT160" s="1385"/>
      <c r="FOU160" s="1385"/>
      <c r="FOV160" s="1385"/>
      <c r="FOW160" s="1385"/>
      <c r="FOX160" s="1385"/>
      <c r="FOY160" s="1385"/>
      <c r="FOZ160" s="1385"/>
      <c r="FPA160" s="1385"/>
      <c r="FPB160" s="1385"/>
      <c r="FPC160" s="1385"/>
      <c r="FPD160" s="1385"/>
      <c r="FPE160" s="1385"/>
      <c r="FPF160" s="1385"/>
      <c r="FPG160" s="1385"/>
      <c r="FPH160" s="1385"/>
      <c r="FPI160" s="1385"/>
      <c r="FPJ160" s="1385"/>
      <c r="FPK160" s="1385"/>
      <c r="FPL160" s="1385"/>
      <c r="FPM160" s="1385"/>
      <c r="FPN160" s="1385"/>
      <c r="FPO160" s="1385"/>
      <c r="FPP160" s="1385"/>
      <c r="FPQ160" s="1385"/>
      <c r="FPR160" s="1385"/>
      <c r="FPS160" s="1385"/>
      <c r="FPT160" s="1385"/>
      <c r="FPU160" s="1385"/>
      <c r="FPV160" s="1385"/>
      <c r="FPW160" s="1385"/>
      <c r="FPX160" s="1385"/>
      <c r="FPY160" s="1385"/>
      <c r="FPZ160" s="1385"/>
      <c r="FQA160" s="1385"/>
      <c r="FQB160" s="1385"/>
      <c r="FQC160" s="1385"/>
      <c r="FQD160" s="1385"/>
      <c r="FQE160" s="1385"/>
      <c r="FQF160" s="1385"/>
      <c r="FQG160" s="1385"/>
      <c r="FQH160" s="1385"/>
      <c r="FQI160" s="1385"/>
      <c r="FQJ160" s="1385"/>
      <c r="FQK160" s="1385"/>
      <c r="FQL160" s="1385"/>
      <c r="FQM160" s="1385"/>
      <c r="FQN160" s="1385"/>
      <c r="FQO160" s="1385"/>
      <c r="FQP160" s="1385"/>
      <c r="FQQ160" s="1385"/>
      <c r="FQR160" s="1385"/>
      <c r="FQS160" s="1385"/>
      <c r="FQT160" s="1385"/>
      <c r="FQU160" s="1385"/>
      <c r="FQV160" s="1385"/>
      <c r="FQW160" s="1385"/>
      <c r="FQX160" s="1385"/>
      <c r="FQY160" s="1385"/>
      <c r="FQZ160" s="1385"/>
      <c r="FRA160" s="1385"/>
      <c r="FRB160" s="1385"/>
      <c r="FRC160" s="1385"/>
      <c r="FRD160" s="1385"/>
      <c r="FRE160" s="1385"/>
      <c r="FRF160" s="1385"/>
      <c r="FRG160" s="1385"/>
      <c r="FRH160" s="1385"/>
      <c r="FRI160" s="1385"/>
      <c r="FRJ160" s="1385"/>
      <c r="FRK160" s="1385"/>
      <c r="FRL160" s="1385"/>
      <c r="FRM160" s="1385"/>
      <c r="FRN160" s="1385"/>
      <c r="FRO160" s="1385"/>
      <c r="FRP160" s="1385"/>
      <c r="FRQ160" s="1385"/>
      <c r="FRR160" s="1385"/>
      <c r="FRS160" s="1385"/>
      <c r="FRT160" s="1385"/>
      <c r="FRU160" s="1385"/>
      <c r="FRV160" s="1385"/>
      <c r="FRW160" s="1385"/>
      <c r="FRX160" s="1385"/>
      <c r="FRY160" s="1385"/>
      <c r="FRZ160" s="1385"/>
      <c r="FSA160" s="1385"/>
      <c r="FSB160" s="1385"/>
      <c r="FSC160" s="1385"/>
      <c r="FSD160" s="1385"/>
      <c r="FSE160" s="1385"/>
      <c r="FSF160" s="1385"/>
      <c r="FSG160" s="1385"/>
      <c r="FSH160" s="1385"/>
      <c r="FSI160" s="1385"/>
      <c r="FSJ160" s="1385"/>
      <c r="FSK160" s="1385"/>
      <c r="FSL160" s="1385"/>
      <c r="FSM160" s="1385"/>
      <c r="FSN160" s="1385"/>
      <c r="FSO160" s="1385"/>
      <c r="FSP160" s="1385"/>
      <c r="FSQ160" s="1385"/>
      <c r="FSR160" s="1385"/>
      <c r="FSS160" s="1385"/>
      <c r="FST160" s="1385"/>
      <c r="FSU160" s="1385"/>
      <c r="FSV160" s="1385"/>
      <c r="FSW160" s="1385"/>
      <c r="FSX160" s="1385"/>
      <c r="FSY160" s="1385"/>
      <c r="FSZ160" s="1385"/>
      <c r="FTA160" s="1385"/>
      <c r="FTB160" s="1385"/>
      <c r="FTC160" s="1385"/>
      <c r="FTD160" s="1385"/>
      <c r="FTE160" s="1385"/>
      <c r="FTF160" s="1385"/>
      <c r="FTG160" s="1385"/>
      <c r="FTH160" s="1385"/>
      <c r="FTI160" s="1385"/>
      <c r="FTJ160" s="1385"/>
      <c r="FTK160" s="1385"/>
      <c r="FTL160" s="1385"/>
      <c r="FTM160" s="1385"/>
      <c r="FTN160" s="1385"/>
      <c r="FTO160" s="1385"/>
      <c r="FTP160" s="1385"/>
      <c r="FTQ160" s="1385"/>
      <c r="FTR160" s="1385"/>
      <c r="FTS160" s="1385"/>
      <c r="FTT160" s="1385"/>
      <c r="FTU160" s="1385"/>
      <c r="FTV160" s="1385"/>
      <c r="FTW160" s="1385"/>
      <c r="FTX160" s="1385"/>
      <c r="FTY160" s="1385"/>
      <c r="FTZ160" s="1385"/>
      <c r="FUA160" s="1385"/>
      <c r="FUB160" s="1385"/>
      <c r="FUC160" s="1385"/>
      <c r="FUD160" s="1385"/>
      <c r="FUE160" s="1385"/>
      <c r="FUF160" s="1385"/>
      <c r="FUG160" s="1385"/>
      <c r="FUH160" s="1385"/>
      <c r="FUI160" s="1385"/>
      <c r="FUJ160" s="1385"/>
      <c r="FUK160" s="1385"/>
      <c r="FUL160" s="1385"/>
      <c r="FUM160" s="1385"/>
      <c r="FUN160" s="1385"/>
      <c r="FUO160" s="1385"/>
      <c r="FUP160" s="1385"/>
      <c r="FUQ160" s="1385"/>
      <c r="FUR160" s="1385"/>
      <c r="FUS160" s="1385"/>
      <c r="FUT160" s="1385"/>
      <c r="FUU160" s="1385"/>
      <c r="FUV160" s="1385"/>
      <c r="FUW160" s="1385"/>
      <c r="FUX160" s="1385"/>
      <c r="FUY160" s="1385"/>
      <c r="FUZ160" s="1385"/>
      <c r="FVA160" s="1385"/>
      <c r="FVB160" s="1385"/>
      <c r="FVC160" s="1385"/>
      <c r="FVD160" s="1385"/>
      <c r="FVE160" s="1385"/>
      <c r="FVF160" s="1385"/>
      <c r="FVG160" s="1385"/>
      <c r="FVH160" s="1385"/>
      <c r="FVI160" s="1385"/>
      <c r="FVJ160" s="1385"/>
      <c r="FVK160" s="1385"/>
      <c r="FVL160" s="1385"/>
      <c r="FVM160" s="1385"/>
      <c r="FVN160" s="1385"/>
      <c r="FVO160" s="1385"/>
      <c r="FVP160" s="1385"/>
      <c r="FVQ160" s="1385"/>
      <c r="FVR160" s="1385"/>
      <c r="FVS160" s="1385"/>
      <c r="FVT160" s="1385"/>
      <c r="FVU160" s="1385"/>
      <c r="FVV160" s="1385"/>
      <c r="FVW160" s="1385"/>
      <c r="FVX160" s="1385"/>
      <c r="FVY160" s="1385"/>
      <c r="FVZ160" s="1385"/>
      <c r="FWA160" s="1385"/>
      <c r="FWB160" s="1385"/>
      <c r="FWC160" s="1385"/>
      <c r="FWD160" s="1385"/>
      <c r="FWE160" s="1385"/>
      <c r="FWF160" s="1385"/>
      <c r="FWG160" s="1385"/>
      <c r="FWH160" s="1385"/>
      <c r="FWI160" s="1385"/>
      <c r="FWJ160" s="1385"/>
      <c r="FWK160" s="1385"/>
      <c r="FWL160" s="1385"/>
      <c r="FWM160" s="1385"/>
      <c r="FWN160" s="1385"/>
      <c r="FWO160" s="1385"/>
      <c r="FWP160" s="1385"/>
      <c r="FWQ160" s="1385"/>
      <c r="FWR160" s="1385"/>
      <c r="FWS160" s="1385"/>
      <c r="FWT160" s="1385"/>
      <c r="FWU160" s="1385"/>
      <c r="FWV160" s="1385"/>
      <c r="FWW160" s="1385"/>
      <c r="FWX160" s="1385"/>
      <c r="FWY160" s="1385"/>
      <c r="FWZ160" s="1385"/>
      <c r="FXA160" s="1385"/>
      <c r="FXB160" s="1385"/>
      <c r="FXC160" s="1385"/>
      <c r="FXD160" s="1385"/>
      <c r="FXE160" s="1385"/>
      <c r="FXF160" s="1385"/>
      <c r="FXG160" s="1385"/>
      <c r="FXH160" s="1385"/>
      <c r="FXI160" s="1385"/>
      <c r="FXJ160" s="1385"/>
      <c r="FXK160" s="1385"/>
      <c r="FXL160" s="1385"/>
      <c r="FXM160" s="1385"/>
      <c r="FXN160" s="1385"/>
      <c r="FXO160" s="1385"/>
      <c r="FXP160" s="1385"/>
      <c r="FXQ160" s="1385"/>
      <c r="FXR160" s="1385"/>
      <c r="FXS160" s="1385"/>
      <c r="FXT160" s="1385"/>
      <c r="FXU160" s="1385"/>
      <c r="FXV160" s="1385"/>
      <c r="FXW160" s="1385"/>
      <c r="FXX160" s="1385"/>
      <c r="FXY160" s="1385"/>
      <c r="FXZ160" s="1385"/>
      <c r="FYA160" s="1385"/>
      <c r="FYB160" s="1385"/>
      <c r="FYC160" s="1385"/>
      <c r="FYD160" s="1385"/>
      <c r="FYE160" s="1385"/>
      <c r="FYF160" s="1385"/>
      <c r="FYG160" s="1385"/>
      <c r="FYH160" s="1385"/>
      <c r="FYI160" s="1385"/>
      <c r="FYJ160" s="1385"/>
      <c r="FYK160" s="1385"/>
      <c r="FYL160" s="1385"/>
      <c r="FYM160" s="1385"/>
      <c r="FYN160" s="1385"/>
      <c r="FYO160" s="1385"/>
      <c r="FYP160" s="1385"/>
      <c r="FYQ160" s="1385"/>
      <c r="FYR160" s="1385"/>
      <c r="FYS160" s="1385"/>
      <c r="FYT160" s="1385"/>
      <c r="FYU160" s="1385"/>
      <c r="FYV160" s="1385"/>
      <c r="FYW160" s="1385"/>
      <c r="FYX160" s="1385"/>
      <c r="FYY160" s="1385"/>
      <c r="FYZ160" s="1385"/>
      <c r="FZA160" s="1385"/>
      <c r="FZB160" s="1385"/>
      <c r="FZC160" s="1385"/>
      <c r="FZD160" s="1385"/>
      <c r="FZE160" s="1385"/>
      <c r="FZF160" s="1385"/>
      <c r="FZG160" s="1385"/>
      <c r="FZH160" s="1385"/>
      <c r="FZI160" s="1385"/>
      <c r="FZJ160" s="1385"/>
      <c r="FZK160" s="1385"/>
      <c r="FZL160" s="1385"/>
      <c r="FZM160" s="1385"/>
      <c r="FZN160" s="1385"/>
      <c r="FZO160" s="1385"/>
      <c r="FZP160" s="1385"/>
      <c r="FZQ160" s="1385"/>
      <c r="FZR160" s="1385"/>
      <c r="FZS160" s="1385"/>
      <c r="FZT160" s="1385"/>
      <c r="FZU160" s="1385"/>
      <c r="FZV160" s="1385"/>
      <c r="FZW160" s="1385"/>
      <c r="FZX160" s="1385"/>
      <c r="FZY160" s="1385"/>
      <c r="FZZ160" s="1385"/>
      <c r="GAA160" s="1385"/>
      <c r="GAB160" s="1385"/>
      <c r="GAC160" s="1385"/>
      <c r="GAD160" s="1385"/>
      <c r="GAE160" s="1385"/>
      <c r="GAF160" s="1385"/>
      <c r="GAG160" s="1385"/>
      <c r="GAH160" s="1385"/>
      <c r="GAI160" s="1385"/>
      <c r="GAJ160" s="1385"/>
      <c r="GAK160" s="1385"/>
      <c r="GAL160" s="1385"/>
      <c r="GAM160" s="1385"/>
      <c r="GAN160" s="1385"/>
      <c r="GAO160" s="1385"/>
      <c r="GAP160" s="1385"/>
      <c r="GAQ160" s="1385"/>
      <c r="GAR160" s="1385"/>
      <c r="GAS160" s="1385"/>
      <c r="GAT160" s="1385"/>
      <c r="GAU160" s="1385"/>
      <c r="GAV160" s="1385"/>
      <c r="GAW160" s="1385"/>
      <c r="GAX160" s="1385"/>
      <c r="GAY160" s="1385"/>
      <c r="GAZ160" s="1385"/>
      <c r="GBA160" s="1385"/>
      <c r="GBB160" s="1385"/>
      <c r="GBC160" s="1385"/>
      <c r="GBD160" s="1385"/>
      <c r="GBE160" s="1385"/>
      <c r="GBF160" s="1385"/>
      <c r="GBG160" s="1385"/>
      <c r="GBH160" s="1385"/>
      <c r="GBI160" s="1385"/>
      <c r="GBJ160" s="1385"/>
      <c r="GBK160" s="1385"/>
      <c r="GBL160" s="1385"/>
      <c r="GBM160" s="1385"/>
      <c r="GBN160" s="1385"/>
      <c r="GBO160" s="1385"/>
      <c r="GBP160" s="1385"/>
      <c r="GBQ160" s="1385"/>
      <c r="GBR160" s="1385"/>
      <c r="GBS160" s="1385"/>
      <c r="GBT160" s="1385"/>
      <c r="GBU160" s="1385"/>
      <c r="GBV160" s="1385"/>
      <c r="GBW160" s="1385"/>
      <c r="GBX160" s="1385"/>
      <c r="GBY160" s="1385"/>
      <c r="GBZ160" s="1385"/>
      <c r="GCA160" s="1385"/>
      <c r="GCB160" s="1385"/>
      <c r="GCC160" s="1385"/>
      <c r="GCD160" s="1385"/>
      <c r="GCE160" s="1385"/>
      <c r="GCF160" s="1385"/>
      <c r="GCG160" s="1385"/>
      <c r="GCH160" s="1385"/>
      <c r="GCI160" s="1385"/>
      <c r="GCJ160" s="1385"/>
      <c r="GCK160" s="1385"/>
      <c r="GCL160" s="1385"/>
      <c r="GCM160" s="1385"/>
      <c r="GCN160" s="1385"/>
      <c r="GCO160" s="1385"/>
      <c r="GCP160" s="1385"/>
      <c r="GCQ160" s="1385"/>
      <c r="GCR160" s="1385"/>
      <c r="GCS160" s="1385"/>
      <c r="GCT160" s="1385"/>
      <c r="GCU160" s="1385"/>
      <c r="GCV160" s="1385"/>
      <c r="GCW160" s="1385"/>
      <c r="GCX160" s="1385"/>
      <c r="GCY160" s="1385"/>
      <c r="GCZ160" s="1385"/>
      <c r="GDA160" s="1385"/>
      <c r="GDB160" s="1385"/>
      <c r="GDC160" s="1385"/>
      <c r="GDD160" s="1385"/>
      <c r="GDE160" s="1385"/>
      <c r="GDF160" s="1385"/>
      <c r="GDG160" s="1385"/>
      <c r="GDH160" s="1385"/>
      <c r="GDI160" s="1385"/>
      <c r="GDJ160" s="1385"/>
      <c r="GDK160" s="1385"/>
      <c r="GDL160" s="1385"/>
      <c r="GDM160" s="1385"/>
      <c r="GDN160" s="1385"/>
      <c r="GDO160" s="1385"/>
      <c r="GDP160" s="1385"/>
      <c r="GDQ160" s="1385"/>
      <c r="GDR160" s="1385"/>
      <c r="GDS160" s="1385"/>
      <c r="GDT160" s="1385"/>
      <c r="GDU160" s="1385"/>
      <c r="GDV160" s="1385"/>
      <c r="GDW160" s="1385"/>
      <c r="GDX160" s="1385"/>
      <c r="GDY160" s="1385"/>
      <c r="GDZ160" s="1385"/>
      <c r="GEA160" s="1385"/>
      <c r="GEB160" s="1385"/>
      <c r="GEC160" s="1385"/>
      <c r="GED160" s="1385"/>
      <c r="GEE160" s="1385"/>
      <c r="GEF160" s="1385"/>
      <c r="GEG160" s="1385"/>
      <c r="GEH160" s="1385"/>
      <c r="GEI160" s="1385"/>
      <c r="GEJ160" s="1385"/>
      <c r="GEK160" s="1385"/>
      <c r="GEL160" s="1385"/>
      <c r="GEM160" s="1385"/>
      <c r="GEN160" s="1385"/>
      <c r="GEO160" s="1385"/>
      <c r="GEP160" s="1385"/>
      <c r="GEQ160" s="1385"/>
      <c r="GER160" s="1385"/>
      <c r="GES160" s="1385"/>
      <c r="GET160" s="1385"/>
      <c r="GEU160" s="1385"/>
      <c r="GEV160" s="1385"/>
      <c r="GEW160" s="1385"/>
      <c r="GEX160" s="1385"/>
      <c r="GEY160" s="1385"/>
      <c r="GEZ160" s="1385"/>
      <c r="GFA160" s="1385"/>
      <c r="GFB160" s="1385"/>
      <c r="GFC160" s="1385"/>
      <c r="GFD160" s="1385"/>
      <c r="GFE160" s="1385"/>
      <c r="GFF160" s="1385"/>
      <c r="GFG160" s="1385"/>
      <c r="GFH160" s="1385"/>
      <c r="GFI160" s="1385"/>
      <c r="GFJ160" s="1385"/>
      <c r="GFK160" s="1385"/>
      <c r="GFL160" s="1385"/>
      <c r="GFM160" s="1385"/>
      <c r="GFN160" s="1385"/>
      <c r="GFO160" s="1385"/>
      <c r="GFP160" s="1385"/>
      <c r="GFQ160" s="1385"/>
      <c r="GFR160" s="1385"/>
      <c r="GFS160" s="1385"/>
      <c r="GFT160" s="1385"/>
      <c r="GFU160" s="1385"/>
      <c r="GFV160" s="1385"/>
      <c r="GFW160" s="1385"/>
      <c r="GFX160" s="1385"/>
      <c r="GFY160" s="1385"/>
      <c r="GFZ160" s="1385"/>
      <c r="GGA160" s="1385"/>
      <c r="GGB160" s="1385"/>
      <c r="GGC160" s="1385"/>
      <c r="GGD160" s="1385"/>
      <c r="GGE160" s="1385"/>
      <c r="GGF160" s="1385"/>
      <c r="GGG160" s="1385"/>
      <c r="GGH160" s="1385"/>
      <c r="GGI160" s="1385"/>
      <c r="GGJ160" s="1385"/>
      <c r="GGK160" s="1385"/>
      <c r="GGL160" s="1385"/>
      <c r="GGM160" s="1385"/>
      <c r="GGN160" s="1385"/>
      <c r="GGO160" s="1385"/>
      <c r="GGP160" s="1385"/>
      <c r="GGQ160" s="1385"/>
      <c r="GGR160" s="1385"/>
      <c r="GGS160" s="1385"/>
      <c r="GGT160" s="1385"/>
      <c r="GGU160" s="1385"/>
      <c r="GGV160" s="1385"/>
      <c r="GGW160" s="1385"/>
      <c r="GGX160" s="1385"/>
      <c r="GGY160" s="1385"/>
      <c r="GGZ160" s="1385"/>
      <c r="GHA160" s="1385"/>
      <c r="GHB160" s="1385"/>
      <c r="GHC160" s="1385"/>
      <c r="GHD160" s="1385"/>
      <c r="GHE160" s="1385"/>
      <c r="GHF160" s="1385"/>
      <c r="GHG160" s="1385"/>
      <c r="GHH160" s="1385"/>
      <c r="GHI160" s="1385"/>
      <c r="GHJ160" s="1385"/>
      <c r="GHK160" s="1385"/>
      <c r="GHL160" s="1385"/>
      <c r="GHM160" s="1385"/>
      <c r="GHN160" s="1385"/>
      <c r="GHO160" s="1385"/>
      <c r="GHP160" s="1385"/>
      <c r="GHQ160" s="1385"/>
      <c r="GHR160" s="1385"/>
      <c r="GHS160" s="1385"/>
      <c r="GHT160" s="1385"/>
      <c r="GHU160" s="1385"/>
      <c r="GHV160" s="1385"/>
      <c r="GHW160" s="1385"/>
      <c r="GHX160" s="1385"/>
      <c r="GHY160" s="1385"/>
      <c r="GHZ160" s="1385"/>
      <c r="GIA160" s="1385"/>
      <c r="GIB160" s="1385"/>
      <c r="GIC160" s="1385"/>
      <c r="GID160" s="1385"/>
      <c r="GIE160" s="1385"/>
      <c r="GIF160" s="1385"/>
      <c r="GIG160" s="1385"/>
      <c r="GIH160" s="1385"/>
      <c r="GII160" s="1385"/>
      <c r="GIJ160" s="1385"/>
      <c r="GIK160" s="1385"/>
      <c r="GIL160" s="1385"/>
      <c r="GIM160" s="1385"/>
      <c r="GIN160" s="1385"/>
      <c r="GIO160" s="1385"/>
      <c r="GIP160" s="1385"/>
      <c r="GIQ160" s="1385"/>
      <c r="GIR160" s="1385"/>
      <c r="GIS160" s="1385"/>
      <c r="GIT160" s="1385"/>
      <c r="GIU160" s="1385"/>
      <c r="GIV160" s="1385"/>
      <c r="GIW160" s="1385"/>
      <c r="GIX160" s="1385"/>
      <c r="GIY160" s="1385"/>
      <c r="GIZ160" s="1385"/>
      <c r="GJA160" s="1385"/>
      <c r="GJB160" s="1385"/>
      <c r="GJC160" s="1385"/>
      <c r="GJD160" s="1385"/>
      <c r="GJE160" s="1385"/>
      <c r="GJF160" s="1385"/>
      <c r="GJG160" s="1385"/>
      <c r="GJH160" s="1385"/>
      <c r="GJI160" s="1385"/>
      <c r="GJJ160" s="1385"/>
      <c r="GJK160" s="1385"/>
      <c r="GJL160" s="1385"/>
      <c r="GJM160" s="1385"/>
      <c r="GJN160" s="1385"/>
      <c r="GJO160" s="1385"/>
      <c r="GJP160" s="1385"/>
      <c r="GJQ160" s="1385"/>
      <c r="GJR160" s="1385"/>
      <c r="GJS160" s="1385"/>
      <c r="GJT160" s="1385"/>
      <c r="GJU160" s="1385"/>
      <c r="GJV160" s="1385"/>
      <c r="GJW160" s="1385"/>
      <c r="GJX160" s="1385"/>
      <c r="GJY160" s="1385"/>
      <c r="GJZ160" s="1385"/>
      <c r="GKA160" s="1385"/>
      <c r="GKB160" s="1385"/>
      <c r="GKC160" s="1385"/>
      <c r="GKD160" s="1385"/>
      <c r="GKE160" s="1385"/>
      <c r="GKF160" s="1385"/>
      <c r="GKG160" s="1385"/>
      <c r="GKH160" s="1385"/>
      <c r="GKI160" s="1385"/>
      <c r="GKJ160" s="1385"/>
      <c r="GKK160" s="1385"/>
      <c r="GKL160" s="1385"/>
      <c r="GKM160" s="1385"/>
      <c r="GKN160" s="1385"/>
      <c r="GKO160" s="1385"/>
      <c r="GKP160" s="1385"/>
      <c r="GKQ160" s="1385"/>
      <c r="GKR160" s="1385"/>
      <c r="GKS160" s="1385"/>
      <c r="GKT160" s="1385"/>
      <c r="GKU160" s="1385"/>
      <c r="GKV160" s="1385"/>
      <c r="GKW160" s="1385"/>
      <c r="GKX160" s="1385"/>
      <c r="GKY160" s="1385"/>
      <c r="GKZ160" s="1385"/>
      <c r="GLA160" s="1385"/>
      <c r="GLB160" s="1385"/>
      <c r="GLC160" s="1385"/>
      <c r="GLD160" s="1385"/>
      <c r="GLE160" s="1385"/>
      <c r="GLF160" s="1385"/>
      <c r="GLG160" s="1385"/>
      <c r="GLH160" s="1385"/>
      <c r="GLI160" s="1385"/>
      <c r="GLJ160" s="1385"/>
      <c r="GLK160" s="1385"/>
      <c r="GLL160" s="1385"/>
      <c r="GLM160" s="1385"/>
      <c r="GLN160" s="1385"/>
      <c r="GLO160" s="1385"/>
      <c r="GLP160" s="1385"/>
      <c r="GLQ160" s="1385"/>
      <c r="GLR160" s="1385"/>
      <c r="GLS160" s="1385"/>
      <c r="GLT160" s="1385"/>
      <c r="GLU160" s="1385"/>
      <c r="GLV160" s="1385"/>
      <c r="GLW160" s="1385"/>
      <c r="GLX160" s="1385"/>
      <c r="GLY160" s="1385"/>
      <c r="GLZ160" s="1385"/>
      <c r="GMA160" s="1385"/>
      <c r="GMB160" s="1385"/>
      <c r="GMC160" s="1385"/>
      <c r="GMD160" s="1385"/>
      <c r="GME160" s="1385"/>
      <c r="GMF160" s="1385"/>
      <c r="GMG160" s="1385"/>
      <c r="GMH160" s="1385"/>
      <c r="GMI160" s="1385"/>
      <c r="GMJ160" s="1385"/>
      <c r="GMK160" s="1385"/>
      <c r="GML160" s="1385"/>
      <c r="GMM160" s="1385"/>
      <c r="GMN160" s="1385"/>
      <c r="GMO160" s="1385"/>
      <c r="GMP160" s="1385"/>
      <c r="GMQ160" s="1385"/>
      <c r="GMR160" s="1385"/>
      <c r="GMS160" s="1385"/>
      <c r="GMT160" s="1385"/>
      <c r="GMU160" s="1385"/>
      <c r="GMV160" s="1385"/>
      <c r="GMW160" s="1385"/>
      <c r="GMX160" s="1385"/>
      <c r="GMY160" s="1385"/>
      <c r="GMZ160" s="1385"/>
      <c r="GNA160" s="1385"/>
      <c r="GNB160" s="1385"/>
      <c r="GNC160" s="1385"/>
      <c r="GND160" s="1385"/>
      <c r="GNE160" s="1385"/>
      <c r="GNF160" s="1385"/>
      <c r="GNG160" s="1385"/>
      <c r="GNH160" s="1385"/>
      <c r="GNI160" s="1385"/>
      <c r="GNJ160" s="1385"/>
      <c r="GNK160" s="1385"/>
      <c r="GNL160" s="1385"/>
      <c r="GNM160" s="1385"/>
      <c r="GNN160" s="1385"/>
      <c r="GNO160" s="1385"/>
      <c r="GNP160" s="1385"/>
      <c r="GNQ160" s="1385"/>
      <c r="GNR160" s="1385"/>
      <c r="GNS160" s="1385"/>
      <c r="GNT160" s="1385"/>
      <c r="GNU160" s="1385"/>
      <c r="GNV160" s="1385"/>
      <c r="GNW160" s="1385"/>
      <c r="GNX160" s="1385"/>
      <c r="GNY160" s="1385"/>
      <c r="GNZ160" s="1385"/>
      <c r="GOA160" s="1385"/>
      <c r="GOB160" s="1385"/>
      <c r="GOC160" s="1385"/>
      <c r="GOD160" s="1385"/>
      <c r="GOE160" s="1385"/>
      <c r="GOF160" s="1385"/>
      <c r="GOG160" s="1385"/>
      <c r="GOH160" s="1385"/>
      <c r="GOI160" s="1385"/>
      <c r="GOJ160" s="1385"/>
      <c r="GOK160" s="1385"/>
      <c r="GOL160" s="1385"/>
      <c r="GOM160" s="1385"/>
      <c r="GON160" s="1385"/>
      <c r="GOO160" s="1385"/>
      <c r="GOP160" s="1385"/>
      <c r="GOQ160" s="1385"/>
      <c r="GOR160" s="1385"/>
      <c r="GOS160" s="1385"/>
      <c r="GOT160" s="1385"/>
      <c r="GOU160" s="1385"/>
      <c r="GOV160" s="1385"/>
      <c r="GOW160" s="1385"/>
      <c r="GOX160" s="1385"/>
      <c r="GOY160" s="1385"/>
      <c r="GOZ160" s="1385"/>
      <c r="GPA160" s="1385"/>
      <c r="GPB160" s="1385"/>
      <c r="GPC160" s="1385"/>
      <c r="GPD160" s="1385"/>
      <c r="GPE160" s="1385"/>
      <c r="GPF160" s="1385"/>
      <c r="GPG160" s="1385"/>
      <c r="GPH160" s="1385"/>
      <c r="GPI160" s="1385"/>
      <c r="GPJ160" s="1385"/>
      <c r="GPK160" s="1385"/>
      <c r="GPL160" s="1385"/>
      <c r="GPM160" s="1385"/>
      <c r="GPN160" s="1385"/>
      <c r="GPO160" s="1385"/>
      <c r="GPP160" s="1385"/>
      <c r="GPQ160" s="1385"/>
      <c r="GPR160" s="1385"/>
      <c r="GPS160" s="1385"/>
      <c r="GPT160" s="1385"/>
      <c r="GPU160" s="1385"/>
      <c r="GPV160" s="1385"/>
      <c r="GPW160" s="1385"/>
      <c r="GPX160" s="1385"/>
      <c r="GPY160" s="1385"/>
      <c r="GPZ160" s="1385"/>
      <c r="GQA160" s="1385"/>
      <c r="GQB160" s="1385"/>
      <c r="GQC160" s="1385"/>
      <c r="GQD160" s="1385"/>
      <c r="GQE160" s="1385"/>
      <c r="GQF160" s="1385"/>
      <c r="GQG160" s="1385"/>
      <c r="GQH160" s="1385"/>
      <c r="GQI160" s="1385"/>
      <c r="GQJ160" s="1385"/>
      <c r="GQK160" s="1385"/>
      <c r="GQL160" s="1385"/>
      <c r="GQM160" s="1385"/>
      <c r="GQN160" s="1385"/>
      <c r="GQO160" s="1385"/>
      <c r="GQP160" s="1385"/>
      <c r="GQQ160" s="1385"/>
      <c r="GQR160" s="1385"/>
      <c r="GQS160" s="1385"/>
      <c r="GQT160" s="1385"/>
      <c r="GQU160" s="1385"/>
      <c r="GQV160" s="1385"/>
      <c r="GQW160" s="1385"/>
      <c r="GQX160" s="1385"/>
      <c r="GQY160" s="1385"/>
      <c r="GQZ160" s="1385"/>
      <c r="GRA160" s="1385"/>
      <c r="GRB160" s="1385"/>
      <c r="GRC160" s="1385"/>
      <c r="GRD160" s="1385"/>
      <c r="GRE160" s="1385"/>
      <c r="GRF160" s="1385"/>
      <c r="GRG160" s="1385"/>
      <c r="GRH160" s="1385"/>
      <c r="GRI160" s="1385"/>
      <c r="GRJ160" s="1385"/>
      <c r="GRK160" s="1385"/>
      <c r="GRL160" s="1385"/>
      <c r="GRM160" s="1385"/>
      <c r="GRN160" s="1385"/>
      <c r="GRO160" s="1385"/>
      <c r="GRP160" s="1385"/>
      <c r="GRQ160" s="1385"/>
      <c r="GRR160" s="1385"/>
      <c r="GRS160" s="1385"/>
      <c r="GRT160" s="1385"/>
      <c r="GRU160" s="1385"/>
      <c r="GRV160" s="1385"/>
      <c r="GRW160" s="1385"/>
      <c r="GRX160" s="1385"/>
      <c r="GRY160" s="1385"/>
      <c r="GRZ160" s="1385"/>
      <c r="GSA160" s="1385"/>
      <c r="GSB160" s="1385"/>
      <c r="GSC160" s="1385"/>
      <c r="GSD160" s="1385"/>
      <c r="GSE160" s="1385"/>
      <c r="GSF160" s="1385"/>
      <c r="GSG160" s="1385"/>
      <c r="GSH160" s="1385"/>
      <c r="GSI160" s="1385"/>
      <c r="GSJ160" s="1385"/>
      <c r="GSK160" s="1385"/>
      <c r="GSL160" s="1385"/>
      <c r="GSM160" s="1385"/>
      <c r="GSN160" s="1385"/>
      <c r="GSO160" s="1385"/>
      <c r="GSP160" s="1385"/>
      <c r="GSQ160" s="1385"/>
      <c r="GSR160" s="1385"/>
      <c r="GSS160" s="1385"/>
      <c r="GST160" s="1385"/>
      <c r="GSU160" s="1385"/>
      <c r="GSV160" s="1385"/>
      <c r="GSW160" s="1385"/>
      <c r="GSX160" s="1385"/>
      <c r="GSY160" s="1385"/>
      <c r="GSZ160" s="1385"/>
      <c r="GTA160" s="1385"/>
      <c r="GTB160" s="1385"/>
      <c r="GTC160" s="1385"/>
      <c r="GTD160" s="1385"/>
      <c r="GTE160" s="1385"/>
      <c r="GTF160" s="1385"/>
      <c r="GTG160" s="1385"/>
      <c r="GTH160" s="1385"/>
      <c r="GTI160" s="1385"/>
      <c r="GTJ160" s="1385"/>
      <c r="GTK160" s="1385"/>
      <c r="GTL160" s="1385"/>
      <c r="GTM160" s="1385"/>
      <c r="GTN160" s="1385"/>
      <c r="GTO160" s="1385"/>
      <c r="GTP160" s="1385"/>
      <c r="GTQ160" s="1385"/>
      <c r="GTR160" s="1385"/>
      <c r="GTS160" s="1385"/>
      <c r="GTT160" s="1385"/>
      <c r="GTU160" s="1385"/>
      <c r="GTV160" s="1385"/>
      <c r="GTW160" s="1385"/>
      <c r="GTX160" s="1385"/>
      <c r="GTY160" s="1385"/>
      <c r="GTZ160" s="1385"/>
      <c r="GUA160" s="1385"/>
      <c r="GUB160" s="1385"/>
      <c r="GUC160" s="1385"/>
      <c r="GUD160" s="1385"/>
      <c r="GUE160" s="1385"/>
      <c r="GUF160" s="1385"/>
      <c r="GUG160" s="1385"/>
      <c r="GUH160" s="1385"/>
      <c r="GUI160" s="1385"/>
      <c r="GUJ160" s="1385"/>
      <c r="GUK160" s="1385"/>
      <c r="GUL160" s="1385"/>
      <c r="GUM160" s="1385"/>
      <c r="GUN160" s="1385"/>
      <c r="GUO160" s="1385"/>
      <c r="GUP160" s="1385"/>
      <c r="GUQ160" s="1385"/>
      <c r="GUR160" s="1385"/>
      <c r="GUS160" s="1385"/>
      <c r="GUT160" s="1385"/>
      <c r="GUU160" s="1385"/>
      <c r="GUV160" s="1385"/>
      <c r="GUW160" s="1385"/>
      <c r="GUX160" s="1385"/>
      <c r="GUY160" s="1385"/>
      <c r="GUZ160" s="1385"/>
      <c r="GVA160" s="1385"/>
      <c r="GVB160" s="1385"/>
      <c r="GVC160" s="1385"/>
      <c r="GVD160" s="1385"/>
      <c r="GVE160" s="1385"/>
      <c r="GVF160" s="1385"/>
      <c r="GVG160" s="1385"/>
      <c r="GVH160" s="1385"/>
      <c r="GVI160" s="1385"/>
      <c r="GVJ160" s="1385"/>
      <c r="GVK160" s="1385"/>
      <c r="GVL160" s="1385"/>
      <c r="GVM160" s="1385"/>
      <c r="GVN160" s="1385"/>
      <c r="GVO160" s="1385"/>
      <c r="GVP160" s="1385"/>
      <c r="GVQ160" s="1385"/>
      <c r="GVR160" s="1385"/>
      <c r="GVS160" s="1385"/>
      <c r="GVT160" s="1385"/>
      <c r="GVU160" s="1385"/>
      <c r="GVV160" s="1385"/>
      <c r="GVW160" s="1385"/>
      <c r="GVX160" s="1385"/>
      <c r="GVY160" s="1385"/>
      <c r="GVZ160" s="1385"/>
      <c r="GWA160" s="1385"/>
      <c r="GWB160" s="1385"/>
      <c r="GWC160" s="1385"/>
      <c r="GWD160" s="1385"/>
      <c r="GWE160" s="1385"/>
      <c r="GWF160" s="1385"/>
      <c r="GWG160" s="1385"/>
      <c r="GWH160" s="1385"/>
      <c r="GWI160" s="1385"/>
      <c r="GWJ160" s="1385"/>
      <c r="GWK160" s="1385"/>
      <c r="GWL160" s="1385"/>
      <c r="GWM160" s="1385"/>
      <c r="GWN160" s="1385"/>
      <c r="GWO160" s="1385"/>
      <c r="GWP160" s="1385"/>
      <c r="GWQ160" s="1385"/>
      <c r="GWR160" s="1385"/>
      <c r="GWS160" s="1385"/>
      <c r="GWT160" s="1385"/>
      <c r="GWU160" s="1385"/>
      <c r="GWV160" s="1385"/>
      <c r="GWW160" s="1385"/>
      <c r="GWX160" s="1385"/>
      <c r="GWY160" s="1385"/>
      <c r="GWZ160" s="1385"/>
      <c r="GXA160" s="1385"/>
      <c r="GXB160" s="1385"/>
      <c r="GXC160" s="1385"/>
      <c r="GXD160" s="1385"/>
      <c r="GXE160" s="1385"/>
      <c r="GXF160" s="1385"/>
      <c r="GXG160" s="1385"/>
      <c r="GXH160" s="1385"/>
      <c r="GXI160" s="1385"/>
      <c r="GXJ160" s="1385"/>
      <c r="GXK160" s="1385"/>
      <c r="GXL160" s="1385"/>
      <c r="GXM160" s="1385"/>
      <c r="GXN160" s="1385"/>
      <c r="GXO160" s="1385"/>
      <c r="GXP160" s="1385"/>
      <c r="GXQ160" s="1385"/>
      <c r="GXR160" s="1385"/>
      <c r="GXS160" s="1385"/>
      <c r="GXT160" s="1385"/>
      <c r="GXU160" s="1385"/>
      <c r="GXV160" s="1385"/>
      <c r="GXW160" s="1385"/>
      <c r="GXX160" s="1385"/>
      <c r="GXY160" s="1385"/>
      <c r="GXZ160" s="1385"/>
      <c r="GYA160" s="1385"/>
      <c r="GYB160" s="1385"/>
      <c r="GYC160" s="1385"/>
      <c r="GYD160" s="1385"/>
      <c r="GYE160" s="1385"/>
      <c r="GYF160" s="1385"/>
      <c r="GYG160" s="1385"/>
      <c r="GYH160" s="1385"/>
      <c r="GYI160" s="1385"/>
      <c r="GYJ160" s="1385"/>
      <c r="GYK160" s="1385"/>
      <c r="GYL160" s="1385"/>
      <c r="GYM160" s="1385"/>
      <c r="GYN160" s="1385"/>
      <c r="GYO160" s="1385"/>
      <c r="GYP160" s="1385"/>
      <c r="GYQ160" s="1385"/>
      <c r="GYR160" s="1385"/>
      <c r="GYS160" s="1385"/>
      <c r="GYT160" s="1385"/>
      <c r="GYU160" s="1385"/>
      <c r="GYV160" s="1385"/>
      <c r="GYW160" s="1385"/>
      <c r="GYX160" s="1385"/>
      <c r="GYY160" s="1385"/>
      <c r="GYZ160" s="1385"/>
      <c r="GZA160" s="1385"/>
      <c r="GZB160" s="1385"/>
      <c r="GZC160" s="1385"/>
      <c r="GZD160" s="1385"/>
      <c r="GZE160" s="1385"/>
      <c r="GZF160" s="1385"/>
      <c r="GZG160" s="1385"/>
      <c r="GZH160" s="1385"/>
      <c r="GZI160" s="1385"/>
      <c r="GZJ160" s="1385"/>
      <c r="GZK160" s="1385"/>
      <c r="GZL160" s="1385"/>
      <c r="GZM160" s="1385"/>
      <c r="GZN160" s="1385"/>
      <c r="GZO160" s="1385"/>
      <c r="GZP160" s="1385"/>
      <c r="GZQ160" s="1385"/>
      <c r="GZR160" s="1385"/>
      <c r="GZS160" s="1385"/>
      <c r="GZT160" s="1385"/>
      <c r="GZU160" s="1385"/>
      <c r="GZV160" s="1385"/>
      <c r="GZW160" s="1385"/>
      <c r="GZX160" s="1385"/>
      <c r="GZY160" s="1385"/>
      <c r="GZZ160" s="1385"/>
      <c r="HAA160" s="1385"/>
      <c r="HAB160" s="1385"/>
      <c r="HAC160" s="1385"/>
      <c r="HAD160" s="1385"/>
      <c r="HAE160" s="1385"/>
      <c r="HAF160" s="1385"/>
      <c r="HAG160" s="1385"/>
      <c r="HAH160" s="1385"/>
      <c r="HAI160" s="1385"/>
      <c r="HAJ160" s="1385"/>
      <c r="HAK160" s="1385"/>
      <c r="HAL160" s="1385"/>
      <c r="HAM160" s="1385"/>
      <c r="HAN160" s="1385"/>
      <c r="HAO160" s="1385"/>
      <c r="HAP160" s="1385"/>
      <c r="HAQ160" s="1385"/>
      <c r="HAR160" s="1385"/>
      <c r="HAS160" s="1385"/>
      <c r="HAT160" s="1385"/>
      <c r="HAU160" s="1385"/>
      <c r="HAV160" s="1385"/>
      <c r="HAW160" s="1385"/>
      <c r="HAX160" s="1385"/>
      <c r="HAY160" s="1385"/>
      <c r="HAZ160" s="1385"/>
      <c r="HBA160" s="1385"/>
      <c r="HBB160" s="1385"/>
      <c r="HBC160" s="1385"/>
      <c r="HBD160" s="1385"/>
      <c r="HBE160" s="1385"/>
      <c r="HBF160" s="1385"/>
      <c r="HBG160" s="1385"/>
      <c r="HBH160" s="1385"/>
      <c r="HBI160" s="1385"/>
      <c r="HBJ160" s="1385"/>
      <c r="HBK160" s="1385"/>
      <c r="HBL160" s="1385"/>
      <c r="HBM160" s="1385"/>
      <c r="HBN160" s="1385"/>
      <c r="HBO160" s="1385"/>
      <c r="HBP160" s="1385"/>
      <c r="HBQ160" s="1385"/>
      <c r="HBR160" s="1385"/>
      <c r="HBS160" s="1385"/>
      <c r="HBT160" s="1385"/>
      <c r="HBU160" s="1385"/>
      <c r="HBV160" s="1385"/>
      <c r="HBW160" s="1385"/>
      <c r="HBX160" s="1385"/>
      <c r="HBY160" s="1385"/>
      <c r="HBZ160" s="1385"/>
      <c r="HCA160" s="1385"/>
      <c r="HCB160" s="1385"/>
      <c r="HCC160" s="1385"/>
      <c r="HCD160" s="1385"/>
      <c r="HCE160" s="1385"/>
      <c r="HCF160" s="1385"/>
      <c r="HCG160" s="1385"/>
      <c r="HCH160" s="1385"/>
      <c r="HCI160" s="1385"/>
      <c r="HCJ160" s="1385"/>
      <c r="HCK160" s="1385"/>
      <c r="HCL160" s="1385"/>
      <c r="HCM160" s="1385"/>
      <c r="HCN160" s="1385"/>
      <c r="HCO160" s="1385"/>
      <c r="HCP160" s="1385"/>
      <c r="HCQ160" s="1385"/>
      <c r="HCR160" s="1385"/>
      <c r="HCS160" s="1385"/>
      <c r="HCT160" s="1385"/>
      <c r="HCU160" s="1385"/>
      <c r="HCV160" s="1385"/>
      <c r="HCW160" s="1385"/>
      <c r="HCX160" s="1385"/>
      <c r="HCY160" s="1385"/>
      <c r="HCZ160" s="1385"/>
      <c r="HDA160" s="1385"/>
      <c r="HDB160" s="1385"/>
      <c r="HDC160" s="1385"/>
      <c r="HDD160" s="1385"/>
      <c r="HDE160" s="1385"/>
      <c r="HDF160" s="1385"/>
      <c r="HDG160" s="1385"/>
      <c r="HDH160" s="1385"/>
      <c r="HDI160" s="1385"/>
      <c r="HDJ160" s="1385"/>
      <c r="HDK160" s="1385"/>
      <c r="HDL160" s="1385"/>
      <c r="HDM160" s="1385"/>
      <c r="HDN160" s="1385"/>
      <c r="HDO160" s="1385"/>
      <c r="HDP160" s="1385"/>
      <c r="HDQ160" s="1385"/>
      <c r="HDR160" s="1385"/>
      <c r="HDS160" s="1385"/>
      <c r="HDT160" s="1385"/>
      <c r="HDU160" s="1385"/>
      <c r="HDV160" s="1385"/>
      <c r="HDW160" s="1385"/>
      <c r="HDX160" s="1385"/>
      <c r="HDY160" s="1385"/>
      <c r="HDZ160" s="1385"/>
      <c r="HEA160" s="1385"/>
      <c r="HEB160" s="1385"/>
      <c r="HEC160" s="1385"/>
      <c r="HED160" s="1385"/>
      <c r="HEE160" s="1385"/>
      <c r="HEF160" s="1385"/>
      <c r="HEG160" s="1385"/>
      <c r="HEH160" s="1385"/>
      <c r="HEI160" s="1385"/>
      <c r="HEJ160" s="1385"/>
      <c r="HEK160" s="1385"/>
      <c r="HEL160" s="1385"/>
      <c r="HEM160" s="1385"/>
      <c r="HEN160" s="1385"/>
      <c r="HEO160" s="1385"/>
      <c r="HEP160" s="1385"/>
      <c r="HEQ160" s="1385"/>
      <c r="HER160" s="1385"/>
      <c r="HES160" s="1385"/>
      <c r="HET160" s="1385"/>
      <c r="HEU160" s="1385"/>
      <c r="HEV160" s="1385"/>
      <c r="HEW160" s="1385"/>
      <c r="HEX160" s="1385"/>
      <c r="HEY160" s="1385"/>
      <c r="HEZ160" s="1385"/>
      <c r="HFA160" s="1385"/>
      <c r="HFB160" s="1385"/>
      <c r="HFC160" s="1385"/>
      <c r="HFD160" s="1385"/>
      <c r="HFE160" s="1385"/>
      <c r="HFF160" s="1385"/>
      <c r="HFG160" s="1385"/>
      <c r="HFH160" s="1385"/>
      <c r="HFI160" s="1385"/>
      <c r="HFJ160" s="1385"/>
      <c r="HFK160" s="1385"/>
      <c r="HFL160" s="1385"/>
      <c r="HFM160" s="1385"/>
      <c r="HFN160" s="1385"/>
      <c r="HFO160" s="1385"/>
      <c r="HFP160" s="1385"/>
      <c r="HFQ160" s="1385"/>
      <c r="HFR160" s="1385"/>
      <c r="HFS160" s="1385"/>
      <c r="HFT160" s="1385"/>
      <c r="HFU160" s="1385"/>
      <c r="HFV160" s="1385"/>
      <c r="HFW160" s="1385"/>
      <c r="HFX160" s="1385"/>
      <c r="HFY160" s="1385"/>
      <c r="HFZ160" s="1385"/>
      <c r="HGA160" s="1385"/>
      <c r="HGB160" s="1385"/>
      <c r="HGC160" s="1385"/>
      <c r="HGD160" s="1385"/>
      <c r="HGE160" s="1385"/>
      <c r="HGF160" s="1385"/>
      <c r="HGG160" s="1385"/>
      <c r="HGH160" s="1385"/>
      <c r="HGI160" s="1385"/>
      <c r="HGJ160" s="1385"/>
      <c r="HGK160" s="1385"/>
      <c r="HGL160" s="1385"/>
      <c r="HGM160" s="1385"/>
      <c r="HGN160" s="1385"/>
      <c r="HGO160" s="1385"/>
      <c r="HGP160" s="1385"/>
      <c r="HGQ160" s="1385"/>
      <c r="HGR160" s="1385"/>
      <c r="HGS160" s="1385"/>
      <c r="HGT160" s="1385"/>
      <c r="HGU160" s="1385"/>
      <c r="HGV160" s="1385"/>
      <c r="HGW160" s="1385"/>
      <c r="HGX160" s="1385"/>
      <c r="HGY160" s="1385"/>
      <c r="HGZ160" s="1385"/>
      <c r="HHA160" s="1385"/>
      <c r="HHB160" s="1385"/>
      <c r="HHC160" s="1385"/>
      <c r="HHD160" s="1385"/>
      <c r="HHE160" s="1385"/>
      <c r="HHF160" s="1385"/>
      <c r="HHG160" s="1385"/>
      <c r="HHH160" s="1385"/>
      <c r="HHI160" s="1385"/>
      <c r="HHJ160" s="1385"/>
      <c r="HHK160" s="1385"/>
      <c r="HHL160" s="1385"/>
      <c r="HHM160" s="1385"/>
      <c r="HHN160" s="1385"/>
      <c r="HHO160" s="1385"/>
      <c r="HHP160" s="1385"/>
      <c r="HHQ160" s="1385"/>
      <c r="HHR160" s="1385"/>
      <c r="HHS160" s="1385"/>
      <c r="HHT160" s="1385"/>
      <c r="HHU160" s="1385"/>
      <c r="HHV160" s="1385"/>
      <c r="HHW160" s="1385"/>
      <c r="HHX160" s="1385"/>
      <c r="HHY160" s="1385"/>
      <c r="HHZ160" s="1385"/>
      <c r="HIA160" s="1385"/>
      <c r="HIB160" s="1385"/>
      <c r="HIC160" s="1385"/>
      <c r="HID160" s="1385"/>
      <c r="HIE160" s="1385"/>
      <c r="HIF160" s="1385"/>
      <c r="HIG160" s="1385"/>
      <c r="HIH160" s="1385"/>
      <c r="HII160" s="1385"/>
      <c r="HIJ160" s="1385"/>
      <c r="HIK160" s="1385"/>
      <c r="HIL160" s="1385"/>
      <c r="HIM160" s="1385"/>
      <c r="HIN160" s="1385"/>
      <c r="HIO160" s="1385"/>
      <c r="HIP160" s="1385"/>
      <c r="HIQ160" s="1385"/>
      <c r="HIR160" s="1385"/>
      <c r="HIS160" s="1385"/>
      <c r="HIT160" s="1385"/>
      <c r="HIU160" s="1385"/>
      <c r="HIV160" s="1385"/>
      <c r="HIW160" s="1385"/>
      <c r="HIX160" s="1385"/>
      <c r="HIY160" s="1385"/>
      <c r="HIZ160" s="1385"/>
      <c r="HJA160" s="1385"/>
      <c r="HJB160" s="1385"/>
      <c r="HJC160" s="1385"/>
      <c r="HJD160" s="1385"/>
      <c r="HJE160" s="1385"/>
      <c r="HJF160" s="1385"/>
      <c r="HJG160" s="1385"/>
      <c r="HJH160" s="1385"/>
      <c r="HJI160" s="1385"/>
      <c r="HJJ160" s="1385"/>
      <c r="HJK160" s="1385"/>
      <c r="HJL160" s="1385"/>
      <c r="HJM160" s="1385"/>
      <c r="HJN160" s="1385"/>
      <c r="HJO160" s="1385"/>
      <c r="HJP160" s="1385"/>
      <c r="HJQ160" s="1385"/>
      <c r="HJR160" s="1385"/>
      <c r="HJS160" s="1385"/>
      <c r="HJT160" s="1385"/>
      <c r="HJU160" s="1385"/>
      <c r="HJV160" s="1385"/>
      <c r="HJW160" s="1385"/>
      <c r="HJX160" s="1385"/>
      <c r="HJY160" s="1385"/>
      <c r="HJZ160" s="1385"/>
      <c r="HKA160" s="1385"/>
      <c r="HKB160" s="1385"/>
      <c r="HKC160" s="1385"/>
      <c r="HKD160" s="1385"/>
      <c r="HKE160" s="1385"/>
      <c r="HKF160" s="1385"/>
      <c r="HKG160" s="1385"/>
      <c r="HKH160" s="1385"/>
      <c r="HKI160" s="1385"/>
      <c r="HKJ160" s="1385"/>
      <c r="HKK160" s="1385"/>
      <c r="HKL160" s="1385"/>
      <c r="HKM160" s="1385"/>
      <c r="HKN160" s="1385"/>
      <c r="HKO160" s="1385"/>
      <c r="HKP160" s="1385"/>
      <c r="HKQ160" s="1385"/>
      <c r="HKR160" s="1385"/>
      <c r="HKS160" s="1385"/>
      <c r="HKT160" s="1385"/>
      <c r="HKU160" s="1385"/>
      <c r="HKV160" s="1385"/>
      <c r="HKW160" s="1385"/>
      <c r="HKX160" s="1385"/>
      <c r="HKY160" s="1385"/>
      <c r="HKZ160" s="1385"/>
      <c r="HLA160" s="1385"/>
      <c r="HLB160" s="1385"/>
      <c r="HLC160" s="1385"/>
      <c r="HLD160" s="1385"/>
      <c r="HLE160" s="1385"/>
      <c r="HLF160" s="1385"/>
      <c r="HLG160" s="1385"/>
      <c r="HLH160" s="1385"/>
      <c r="HLI160" s="1385"/>
      <c r="HLJ160" s="1385"/>
      <c r="HLK160" s="1385"/>
      <c r="HLL160" s="1385"/>
      <c r="HLM160" s="1385"/>
      <c r="HLN160" s="1385"/>
      <c r="HLO160" s="1385"/>
      <c r="HLP160" s="1385"/>
      <c r="HLQ160" s="1385"/>
      <c r="HLR160" s="1385"/>
      <c r="HLS160" s="1385"/>
      <c r="HLT160" s="1385"/>
      <c r="HLU160" s="1385"/>
      <c r="HLV160" s="1385"/>
      <c r="HLW160" s="1385"/>
      <c r="HLX160" s="1385"/>
      <c r="HLY160" s="1385"/>
      <c r="HLZ160" s="1385"/>
      <c r="HMA160" s="1385"/>
      <c r="HMB160" s="1385"/>
      <c r="HMC160" s="1385"/>
      <c r="HMD160" s="1385"/>
      <c r="HME160" s="1385"/>
      <c r="HMF160" s="1385"/>
      <c r="HMG160" s="1385"/>
      <c r="HMH160" s="1385"/>
      <c r="HMI160" s="1385"/>
      <c r="HMJ160" s="1385"/>
      <c r="HMK160" s="1385"/>
      <c r="HML160" s="1385"/>
      <c r="HMM160" s="1385"/>
      <c r="HMN160" s="1385"/>
      <c r="HMO160" s="1385"/>
      <c r="HMP160" s="1385"/>
      <c r="HMQ160" s="1385"/>
      <c r="HMR160" s="1385"/>
      <c r="HMS160" s="1385"/>
      <c r="HMT160" s="1385"/>
      <c r="HMU160" s="1385"/>
      <c r="HMV160" s="1385"/>
      <c r="HMW160" s="1385"/>
      <c r="HMX160" s="1385"/>
      <c r="HMY160" s="1385"/>
      <c r="HMZ160" s="1385"/>
      <c r="HNA160" s="1385"/>
      <c r="HNB160" s="1385"/>
      <c r="HNC160" s="1385"/>
      <c r="HND160" s="1385"/>
      <c r="HNE160" s="1385"/>
      <c r="HNF160" s="1385"/>
      <c r="HNG160" s="1385"/>
      <c r="HNH160" s="1385"/>
      <c r="HNI160" s="1385"/>
      <c r="HNJ160" s="1385"/>
      <c r="HNK160" s="1385"/>
      <c r="HNL160" s="1385"/>
      <c r="HNM160" s="1385"/>
      <c r="HNN160" s="1385"/>
      <c r="HNO160" s="1385"/>
      <c r="HNP160" s="1385"/>
      <c r="HNQ160" s="1385"/>
      <c r="HNR160" s="1385"/>
      <c r="HNS160" s="1385"/>
      <c r="HNT160" s="1385"/>
      <c r="HNU160" s="1385"/>
      <c r="HNV160" s="1385"/>
      <c r="HNW160" s="1385"/>
      <c r="HNX160" s="1385"/>
      <c r="HNY160" s="1385"/>
      <c r="HNZ160" s="1385"/>
      <c r="HOA160" s="1385"/>
      <c r="HOB160" s="1385"/>
      <c r="HOC160" s="1385"/>
      <c r="HOD160" s="1385"/>
      <c r="HOE160" s="1385"/>
      <c r="HOF160" s="1385"/>
      <c r="HOG160" s="1385"/>
      <c r="HOH160" s="1385"/>
      <c r="HOI160" s="1385"/>
      <c r="HOJ160" s="1385"/>
      <c r="HOK160" s="1385"/>
      <c r="HOL160" s="1385"/>
      <c r="HOM160" s="1385"/>
      <c r="HON160" s="1385"/>
      <c r="HOO160" s="1385"/>
      <c r="HOP160" s="1385"/>
      <c r="HOQ160" s="1385"/>
      <c r="HOR160" s="1385"/>
      <c r="HOS160" s="1385"/>
      <c r="HOT160" s="1385"/>
      <c r="HOU160" s="1385"/>
      <c r="HOV160" s="1385"/>
      <c r="HOW160" s="1385"/>
      <c r="HOX160" s="1385"/>
      <c r="HOY160" s="1385"/>
      <c r="HOZ160" s="1385"/>
      <c r="HPA160" s="1385"/>
      <c r="HPB160" s="1385"/>
      <c r="HPC160" s="1385"/>
      <c r="HPD160" s="1385"/>
      <c r="HPE160" s="1385"/>
      <c r="HPF160" s="1385"/>
      <c r="HPG160" s="1385"/>
      <c r="HPH160" s="1385"/>
      <c r="HPI160" s="1385"/>
      <c r="HPJ160" s="1385"/>
      <c r="HPK160" s="1385"/>
      <c r="HPL160" s="1385"/>
      <c r="HPM160" s="1385"/>
      <c r="HPN160" s="1385"/>
      <c r="HPO160" s="1385"/>
      <c r="HPP160" s="1385"/>
      <c r="HPQ160" s="1385"/>
      <c r="HPR160" s="1385"/>
      <c r="HPS160" s="1385"/>
      <c r="HPT160" s="1385"/>
      <c r="HPU160" s="1385"/>
      <c r="HPV160" s="1385"/>
      <c r="HPW160" s="1385"/>
      <c r="HPX160" s="1385"/>
      <c r="HPY160" s="1385"/>
      <c r="HPZ160" s="1385"/>
      <c r="HQA160" s="1385"/>
      <c r="HQB160" s="1385"/>
      <c r="HQC160" s="1385"/>
      <c r="HQD160" s="1385"/>
      <c r="HQE160" s="1385"/>
      <c r="HQF160" s="1385"/>
      <c r="HQG160" s="1385"/>
      <c r="HQH160" s="1385"/>
      <c r="HQI160" s="1385"/>
      <c r="HQJ160" s="1385"/>
      <c r="HQK160" s="1385"/>
      <c r="HQL160" s="1385"/>
      <c r="HQM160" s="1385"/>
      <c r="HQN160" s="1385"/>
      <c r="HQO160" s="1385"/>
      <c r="HQP160" s="1385"/>
      <c r="HQQ160" s="1385"/>
      <c r="HQR160" s="1385"/>
      <c r="HQS160" s="1385"/>
      <c r="HQT160" s="1385"/>
      <c r="HQU160" s="1385"/>
      <c r="HQV160" s="1385"/>
      <c r="HQW160" s="1385"/>
      <c r="HQX160" s="1385"/>
      <c r="HQY160" s="1385"/>
      <c r="HQZ160" s="1385"/>
      <c r="HRA160" s="1385"/>
      <c r="HRB160" s="1385"/>
      <c r="HRC160" s="1385"/>
      <c r="HRD160" s="1385"/>
      <c r="HRE160" s="1385"/>
      <c r="HRF160" s="1385"/>
      <c r="HRG160" s="1385"/>
      <c r="HRH160" s="1385"/>
      <c r="HRI160" s="1385"/>
      <c r="HRJ160" s="1385"/>
      <c r="HRK160" s="1385"/>
      <c r="HRL160" s="1385"/>
      <c r="HRM160" s="1385"/>
      <c r="HRN160" s="1385"/>
      <c r="HRO160" s="1385"/>
      <c r="HRP160" s="1385"/>
      <c r="HRQ160" s="1385"/>
      <c r="HRR160" s="1385"/>
      <c r="HRS160" s="1385"/>
      <c r="HRT160" s="1385"/>
      <c r="HRU160" s="1385"/>
      <c r="HRV160" s="1385"/>
      <c r="HRW160" s="1385"/>
      <c r="HRX160" s="1385"/>
      <c r="HRY160" s="1385"/>
      <c r="HRZ160" s="1385"/>
      <c r="HSA160" s="1385"/>
      <c r="HSB160" s="1385"/>
      <c r="HSC160" s="1385"/>
      <c r="HSD160" s="1385"/>
      <c r="HSE160" s="1385"/>
      <c r="HSF160" s="1385"/>
      <c r="HSG160" s="1385"/>
      <c r="HSH160" s="1385"/>
      <c r="HSI160" s="1385"/>
      <c r="HSJ160" s="1385"/>
      <c r="HSK160" s="1385"/>
      <c r="HSL160" s="1385"/>
      <c r="HSM160" s="1385"/>
      <c r="HSN160" s="1385"/>
      <c r="HSO160" s="1385"/>
      <c r="HSP160" s="1385"/>
      <c r="HSQ160" s="1385"/>
      <c r="HSR160" s="1385"/>
      <c r="HSS160" s="1385"/>
      <c r="HST160" s="1385"/>
      <c r="HSU160" s="1385"/>
      <c r="HSV160" s="1385"/>
      <c r="HSW160" s="1385"/>
      <c r="HSX160" s="1385"/>
      <c r="HSY160" s="1385"/>
      <c r="HSZ160" s="1385"/>
      <c r="HTA160" s="1385"/>
      <c r="HTB160" s="1385"/>
      <c r="HTC160" s="1385"/>
      <c r="HTD160" s="1385"/>
      <c r="HTE160" s="1385"/>
      <c r="HTF160" s="1385"/>
      <c r="HTG160" s="1385"/>
      <c r="HTH160" s="1385"/>
      <c r="HTI160" s="1385"/>
      <c r="HTJ160" s="1385"/>
      <c r="HTK160" s="1385"/>
      <c r="HTL160" s="1385"/>
      <c r="HTM160" s="1385"/>
      <c r="HTN160" s="1385"/>
      <c r="HTO160" s="1385"/>
      <c r="HTP160" s="1385"/>
      <c r="HTQ160" s="1385"/>
      <c r="HTR160" s="1385"/>
      <c r="HTS160" s="1385"/>
      <c r="HTT160" s="1385"/>
      <c r="HTU160" s="1385"/>
      <c r="HTV160" s="1385"/>
      <c r="HTW160" s="1385"/>
      <c r="HTX160" s="1385"/>
      <c r="HTY160" s="1385"/>
      <c r="HTZ160" s="1385"/>
      <c r="HUA160" s="1385"/>
      <c r="HUB160" s="1385"/>
      <c r="HUC160" s="1385"/>
      <c r="HUD160" s="1385"/>
      <c r="HUE160" s="1385"/>
      <c r="HUF160" s="1385"/>
      <c r="HUG160" s="1385"/>
      <c r="HUH160" s="1385"/>
      <c r="HUI160" s="1385"/>
      <c r="HUJ160" s="1385"/>
      <c r="HUK160" s="1385"/>
      <c r="HUL160" s="1385"/>
      <c r="HUM160" s="1385"/>
      <c r="HUN160" s="1385"/>
      <c r="HUO160" s="1385"/>
      <c r="HUP160" s="1385"/>
      <c r="HUQ160" s="1385"/>
      <c r="HUR160" s="1385"/>
      <c r="HUS160" s="1385"/>
      <c r="HUT160" s="1385"/>
      <c r="HUU160" s="1385"/>
      <c r="HUV160" s="1385"/>
      <c r="HUW160" s="1385"/>
      <c r="HUX160" s="1385"/>
      <c r="HUY160" s="1385"/>
      <c r="HUZ160" s="1385"/>
      <c r="HVA160" s="1385"/>
      <c r="HVB160" s="1385"/>
      <c r="HVC160" s="1385"/>
      <c r="HVD160" s="1385"/>
      <c r="HVE160" s="1385"/>
      <c r="HVF160" s="1385"/>
      <c r="HVG160" s="1385"/>
      <c r="HVH160" s="1385"/>
      <c r="HVI160" s="1385"/>
      <c r="HVJ160" s="1385"/>
      <c r="HVK160" s="1385"/>
      <c r="HVL160" s="1385"/>
      <c r="HVM160" s="1385"/>
      <c r="HVN160" s="1385"/>
      <c r="HVO160" s="1385"/>
      <c r="HVP160" s="1385"/>
      <c r="HVQ160" s="1385"/>
      <c r="HVR160" s="1385"/>
      <c r="HVS160" s="1385"/>
      <c r="HVT160" s="1385"/>
      <c r="HVU160" s="1385"/>
      <c r="HVV160" s="1385"/>
      <c r="HVW160" s="1385"/>
      <c r="HVX160" s="1385"/>
      <c r="HVY160" s="1385"/>
      <c r="HVZ160" s="1385"/>
      <c r="HWA160" s="1385"/>
      <c r="HWB160" s="1385"/>
      <c r="HWC160" s="1385"/>
      <c r="HWD160" s="1385"/>
      <c r="HWE160" s="1385"/>
      <c r="HWF160" s="1385"/>
      <c r="HWG160" s="1385"/>
      <c r="HWH160" s="1385"/>
      <c r="HWI160" s="1385"/>
      <c r="HWJ160" s="1385"/>
      <c r="HWK160" s="1385"/>
      <c r="HWL160" s="1385"/>
      <c r="HWM160" s="1385"/>
      <c r="HWN160" s="1385"/>
      <c r="HWO160" s="1385"/>
      <c r="HWP160" s="1385"/>
      <c r="HWQ160" s="1385"/>
      <c r="HWR160" s="1385"/>
      <c r="HWS160" s="1385"/>
      <c r="HWT160" s="1385"/>
      <c r="HWU160" s="1385"/>
      <c r="HWV160" s="1385"/>
      <c r="HWW160" s="1385"/>
      <c r="HWX160" s="1385"/>
      <c r="HWY160" s="1385"/>
      <c r="HWZ160" s="1385"/>
      <c r="HXA160" s="1385"/>
      <c r="HXB160" s="1385"/>
      <c r="HXC160" s="1385"/>
      <c r="HXD160" s="1385"/>
      <c r="HXE160" s="1385"/>
      <c r="HXF160" s="1385"/>
      <c r="HXG160" s="1385"/>
      <c r="HXH160" s="1385"/>
      <c r="HXI160" s="1385"/>
      <c r="HXJ160" s="1385"/>
      <c r="HXK160" s="1385"/>
      <c r="HXL160" s="1385"/>
      <c r="HXM160" s="1385"/>
      <c r="HXN160" s="1385"/>
      <c r="HXO160" s="1385"/>
      <c r="HXP160" s="1385"/>
      <c r="HXQ160" s="1385"/>
      <c r="HXR160" s="1385"/>
      <c r="HXS160" s="1385"/>
      <c r="HXT160" s="1385"/>
      <c r="HXU160" s="1385"/>
      <c r="HXV160" s="1385"/>
      <c r="HXW160" s="1385"/>
      <c r="HXX160" s="1385"/>
      <c r="HXY160" s="1385"/>
      <c r="HXZ160" s="1385"/>
      <c r="HYA160" s="1385"/>
      <c r="HYB160" s="1385"/>
      <c r="HYC160" s="1385"/>
      <c r="HYD160" s="1385"/>
      <c r="HYE160" s="1385"/>
      <c r="HYF160" s="1385"/>
      <c r="HYG160" s="1385"/>
      <c r="HYH160" s="1385"/>
      <c r="HYI160" s="1385"/>
      <c r="HYJ160" s="1385"/>
      <c r="HYK160" s="1385"/>
      <c r="HYL160" s="1385"/>
      <c r="HYM160" s="1385"/>
      <c r="HYN160" s="1385"/>
      <c r="HYO160" s="1385"/>
      <c r="HYP160" s="1385"/>
      <c r="HYQ160" s="1385"/>
      <c r="HYR160" s="1385"/>
      <c r="HYS160" s="1385"/>
      <c r="HYT160" s="1385"/>
      <c r="HYU160" s="1385"/>
      <c r="HYV160" s="1385"/>
      <c r="HYW160" s="1385"/>
      <c r="HYX160" s="1385"/>
      <c r="HYY160" s="1385"/>
      <c r="HYZ160" s="1385"/>
      <c r="HZA160" s="1385"/>
      <c r="HZB160" s="1385"/>
      <c r="HZC160" s="1385"/>
      <c r="HZD160" s="1385"/>
      <c r="HZE160" s="1385"/>
      <c r="HZF160" s="1385"/>
      <c r="HZG160" s="1385"/>
      <c r="HZH160" s="1385"/>
      <c r="HZI160" s="1385"/>
      <c r="HZJ160" s="1385"/>
      <c r="HZK160" s="1385"/>
      <c r="HZL160" s="1385"/>
      <c r="HZM160" s="1385"/>
      <c r="HZN160" s="1385"/>
      <c r="HZO160" s="1385"/>
      <c r="HZP160" s="1385"/>
      <c r="HZQ160" s="1385"/>
      <c r="HZR160" s="1385"/>
      <c r="HZS160" s="1385"/>
      <c r="HZT160" s="1385"/>
      <c r="HZU160" s="1385"/>
      <c r="HZV160" s="1385"/>
      <c r="HZW160" s="1385"/>
      <c r="HZX160" s="1385"/>
      <c r="HZY160" s="1385"/>
      <c r="HZZ160" s="1385"/>
      <c r="IAA160" s="1385"/>
      <c r="IAB160" s="1385"/>
      <c r="IAC160" s="1385"/>
      <c r="IAD160" s="1385"/>
      <c r="IAE160" s="1385"/>
      <c r="IAF160" s="1385"/>
      <c r="IAG160" s="1385"/>
      <c r="IAH160" s="1385"/>
      <c r="IAI160" s="1385"/>
      <c r="IAJ160" s="1385"/>
      <c r="IAK160" s="1385"/>
      <c r="IAL160" s="1385"/>
      <c r="IAM160" s="1385"/>
      <c r="IAN160" s="1385"/>
      <c r="IAO160" s="1385"/>
      <c r="IAP160" s="1385"/>
      <c r="IAQ160" s="1385"/>
      <c r="IAR160" s="1385"/>
      <c r="IAS160" s="1385"/>
      <c r="IAT160" s="1385"/>
      <c r="IAU160" s="1385"/>
      <c r="IAV160" s="1385"/>
      <c r="IAW160" s="1385"/>
      <c r="IAX160" s="1385"/>
      <c r="IAY160" s="1385"/>
      <c r="IAZ160" s="1385"/>
      <c r="IBA160" s="1385"/>
      <c r="IBB160" s="1385"/>
      <c r="IBC160" s="1385"/>
      <c r="IBD160" s="1385"/>
      <c r="IBE160" s="1385"/>
      <c r="IBF160" s="1385"/>
      <c r="IBG160" s="1385"/>
      <c r="IBH160" s="1385"/>
      <c r="IBI160" s="1385"/>
      <c r="IBJ160" s="1385"/>
      <c r="IBK160" s="1385"/>
      <c r="IBL160" s="1385"/>
      <c r="IBM160" s="1385"/>
      <c r="IBN160" s="1385"/>
      <c r="IBO160" s="1385"/>
      <c r="IBP160" s="1385"/>
      <c r="IBQ160" s="1385"/>
      <c r="IBR160" s="1385"/>
      <c r="IBS160" s="1385"/>
      <c r="IBT160" s="1385"/>
      <c r="IBU160" s="1385"/>
      <c r="IBV160" s="1385"/>
      <c r="IBW160" s="1385"/>
      <c r="IBX160" s="1385"/>
      <c r="IBY160" s="1385"/>
      <c r="IBZ160" s="1385"/>
      <c r="ICA160" s="1385"/>
      <c r="ICB160" s="1385"/>
      <c r="ICC160" s="1385"/>
      <c r="ICD160" s="1385"/>
      <c r="ICE160" s="1385"/>
      <c r="ICF160" s="1385"/>
      <c r="ICG160" s="1385"/>
      <c r="ICH160" s="1385"/>
      <c r="ICI160" s="1385"/>
      <c r="ICJ160" s="1385"/>
      <c r="ICK160" s="1385"/>
      <c r="ICL160" s="1385"/>
      <c r="ICM160" s="1385"/>
      <c r="ICN160" s="1385"/>
      <c r="ICO160" s="1385"/>
      <c r="ICP160" s="1385"/>
      <c r="ICQ160" s="1385"/>
      <c r="ICR160" s="1385"/>
      <c r="ICS160" s="1385"/>
      <c r="ICT160" s="1385"/>
      <c r="ICU160" s="1385"/>
      <c r="ICV160" s="1385"/>
      <c r="ICW160" s="1385"/>
      <c r="ICX160" s="1385"/>
      <c r="ICY160" s="1385"/>
      <c r="ICZ160" s="1385"/>
      <c r="IDA160" s="1385"/>
      <c r="IDB160" s="1385"/>
      <c r="IDC160" s="1385"/>
      <c r="IDD160" s="1385"/>
      <c r="IDE160" s="1385"/>
      <c r="IDF160" s="1385"/>
      <c r="IDG160" s="1385"/>
      <c r="IDH160" s="1385"/>
      <c r="IDI160" s="1385"/>
      <c r="IDJ160" s="1385"/>
      <c r="IDK160" s="1385"/>
      <c r="IDL160" s="1385"/>
      <c r="IDM160" s="1385"/>
      <c r="IDN160" s="1385"/>
      <c r="IDO160" s="1385"/>
      <c r="IDP160" s="1385"/>
      <c r="IDQ160" s="1385"/>
      <c r="IDR160" s="1385"/>
      <c r="IDS160" s="1385"/>
      <c r="IDT160" s="1385"/>
      <c r="IDU160" s="1385"/>
      <c r="IDV160" s="1385"/>
      <c r="IDW160" s="1385"/>
      <c r="IDX160" s="1385"/>
      <c r="IDY160" s="1385"/>
      <c r="IDZ160" s="1385"/>
      <c r="IEA160" s="1385"/>
      <c r="IEB160" s="1385"/>
      <c r="IEC160" s="1385"/>
      <c r="IED160" s="1385"/>
      <c r="IEE160" s="1385"/>
      <c r="IEF160" s="1385"/>
      <c r="IEG160" s="1385"/>
      <c r="IEH160" s="1385"/>
      <c r="IEI160" s="1385"/>
      <c r="IEJ160" s="1385"/>
      <c r="IEK160" s="1385"/>
      <c r="IEL160" s="1385"/>
      <c r="IEM160" s="1385"/>
      <c r="IEN160" s="1385"/>
      <c r="IEO160" s="1385"/>
      <c r="IEP160" s="1385"/>
      <c r="IEQ160" s="1385"/>
      <c r="IER160" s="1385"/>
      <c r="IES160" s="1385"/>
      <c r="IET160" s="1385"/>
      <c r="IEU160" s="1385"/>
      <c r="IEV160" s="1385"/>
      <c r="IEW160" s="1385"/>
      <c r="IEX160" s="1385"/>
      <c r="IEY160" s="1385"/>
      <c r="IEZ160" s="1385"/>
      <c r="IFA160" s="1385"/>
      <c r="IFB160" s="1385"/>
      <c r="IFC160" s="1385"/>
      <c r="IFD160" s="1385"/>
      <c r="IFE160" s="1385"/>
      <c r="IFF160" s="1385"/>
      <c r="IFG160" s="1385"/>
      <c r="IFH160" s="1385"/>
      <c r="IFI160" s="1385"/>
      <c r="IFJ160" s="1385"/>
      <c r="IFK160" s="1385"/>
      <c r="IFL160" s="1385"/>
      <c r="IFM160" s="1385"/>
      <c r="IFN160" s="1385"/>
      <c r="IFO160" s="1385"/>
      <c r="IFP160" s="1385"/>
      <c r="IFQ160" s="1385"/>
      <c r="IFR160" s="1385"/>
      <c r="IFS160" s="1385"/>
      <c r="IFT160" s="1385"/>
      <c r="IFU160" s="1385"/>
      <c r="IFV160" s="1385"/>
      <c r="IFW160" s="1385"/>
      <c r="IFX160" s="1385"/>
      <c r="IFY160" s="1385"/>
      <c r="IFZ160" s="1385"/>
      <c r="IGA160" s="1385"/>
      <c r="IGB160" s="1385"/>
      <c r="IGC160" s="1385"/>
      <c r="IGD160" s="1385"/>
      <c r="IGE160" s="1385"/>
      <c r="IGF160" s="1385"/>
      <c r="IGG160" s="1385"/>
      <c r="IGH160" s="1385"/>
      <c r="IGI160" s="1385"/>
      <c r="IGJ160" s="1385"/>
      <c r="IGK160" s="1385"/>
      <c r="IGL160" s="1385"/>
      <c r="IGM160" s="1385"/>
      <c r="IGN160" s="1385"/>
      <c r="IGO160" s="1385"/>
      <c r="IGP160" s="1385"/>
      <c r="IGQ160" s="1385"/>
      <c r="IGR160" s="1385"/>
      <c r="IGS160" s="1385"/>
      <c r="IGT160" s="1385"/>
      <c r="IGU160" s="1385"/>
      <c r="IGV160" s="1385"/>
      <c r="IGW160" s="1385"/>
      <c r="IGX160" s="1385"/>
      <c r="IGY160" s="1385"/>
      <c r="IGZ160" s="1385"/>
      <c r="IHA160" s="1385"/>
      <c r="IHB160" s="1385"/>
      <c r="IHC160" s="1385"/>
      <c r="IHD160" s="1385"/>
      <c r="IHE160" s="1385"/>
      <c r="IHF160" s="1385"/>
      <c r="IHG160" s="1385"/>
      <c r="IHH160" s="1385"/>
      <c r="IHI160" s="1385"/>
      <c r="IHJ160" s="1385"/>
      <c r="IHK160" s="1385"/>
      <c r="IHL160" s="1385"/>
      <c r="IHM160" s="1385"/>
      <c r="IHN160" s="1385"/>
      <c r="IHO160" s="1385"/>
      <c r="IHP160" s="1385"/>
      <c r="IHQ160" s="1385"/>
      <c r="IHR160" s="1385"/>
      <c r="IHS160" s="1385"/>
      <c r="IHT160" s="1385"/>
      <c r="IHU160" s="1385"/>
      <c r="IHV160" s="1385"/>
      <c r="IHW160" s="1385"/>
      <c r="IHX160" s="1385"/>
      <c r="IHY160" s="1385"/>
      <c r="IHZ160" s="1385"/>
      <c r="IIA160" s="1385"/>
      <c r="IIB160" s="1385"/>
      <c r="IIC160" s="1385"/>
      <c r="IID160" s="1385"/>
      <c r="IIE160" s="1385"/>
      <c r="IIF160" s="1385"/>
      <c r="IIG160" s="1385"/>
      <c r="IIH160" s="1385"/>
      <c r="III160" s="1385"/>
      <c r="IIJ160" s="1385"/>
      <c r="IIK160" s="1385"/>
      <c r="IIL160" s="1385"/>
      <c r="IIM160" s="1385"/>
      <c r="IIN160" s="1385"/>
      <c r="IIO160" s="1385"/>
      <c r="IIP160" s="1385"/>
      <c r="IIQ160" s="1385"/>
      <c r="IIR160" s="1385"/>
      <c r="IIS160" s="1385"/>
      <c r="IIT160" s="1385"/>
      <c r="IIU160" s="1385"/>
      <c r="IIV160" s="1385"/>
      <c r="IIW160" s="1385"/>
      <c r="IIX160" s="1385"/>
      <c r="IIY160" s="1385"/>
      <c r="IIZ160" s="1385"/>
      <c r="IJA160" s="1385"/>
      <c r="IJB160" s="1385"/>
      <c r="IJC160" s="1385"/>
      <c r="IJD160" s="1385"/>
      <c r="IJE160" s="1385"/>
      <c r="IJF160" s="1385"/>
      <c r="IJG160" s="1385"/>
      <c r="IJH160" s="1385"/>
      <c r="IJI160" s="1385"/>
      <c r="IJJ160" s="1385"/>
      <c r="IJK160" s="1385"/>
      <c r="IJL160" s="1385"/>
      <c r="IJM160" s="1385"/>
      <c r="IJN160" s="1385"/>
      <c r="IJO160" s="1385"/>
      <c r="IJP160" s="1385"/>
      <c r="IJQ160" s="1385"/>
      <c r="IJR160" s="1385"/>
      <c r="IJS160" s="1385"/>
      <c r="IJT160" s="1385"/>
      <c r="IJU160" s="1385"/>
      <c r="IJV160" s="1385"/>
      <c r="IJW160" s="1385"/>
      <c r="IJX160" s="1385"/>
      <c r="IJY160" s="1385"/>
      <c r="IJZ160" s="1385"/>
      <c r="IKA160" s="1385"/>
      <c r="IKB160" s="1385"/>
      <c r="IKC160" s="1385"/>
      <c r="IKD160" s="1385"/>
      <c r="IKE160" s="1385"/>
      <c r="IKF160" s="1385"/>
      <c r="IKG160" s="1385"/>
      <c r="IKH160" s="1385"/>
      <c r="IKI160" s="1385"/>
      <c r="IKJ160" s="1385"/>
      <c r="IKK160" s="1385"/>
      <c r="IKL160" s="1385"/>
      <c r="IKM160" s="1385"/>
      <c r="IKN160" s="1385"/>
      <c r="IKO160" s="1385"/>
      <c r="IKP160" s="1385"/>
      <c r="IKQ160" s="1385"/>
      <c r="IKR160" s="1385"/>
      <c r="IKS160" s="1385"/>
      <c r="IKT160" s="1385"/>
      <c r="IKU160" s="1385"/>
      <c r="IKV160" s="1385"/>
      <c r="IKW160" s="1385"/>
      <c r="IKX160" s="1385"/>
      <c r="IKY160" s="1385"/>
      <c r="IKZ160" s="1385"/>
      <c r="ILA160" s="1385"/>
      <c r="ILB160" s="1385"/>
      <c r="ILC160" s="1385"/>
      <c r="ILD160" s="1385"/>
      <c r="ILE160" s="1385"/>
      <c r="ILF160" s="1385"/>
      <c r="ILG160" s="1385"/>
      <c r="ILH160" s="1385"/>
      <c r="ILI160" s="1385"/>
      <c r="ILJ160" s="1385"/>
      <c r="ILK160" s="1385"/>
      <c r="ILL160" s="1385"/>
      <c r="ILM160" s="1385"/>
      <c r="ILN160" s="1385"/>
      <c r="ILO160" s="1385"/>
      <c r="ILP160" s="1385"/>
      <c r="ILQ160" s="1385"/>
      <c r="ILR160" s="1385"/>
      <c r="ILS160" s="1385"/>
      <c r="ILT160" s="1385"/>
      <c r="ILU160" s="1385"/>
      <c r="ILV160" s="1385"/>
      <c r="ILW160" s="1385"/>
      <c r="ILX160" s="1385"/>
      <c r="ILY160" s="1385"/>
      <c r="ILZ160" s="1385"/>
      <c r="IMA160" s="1385"/>
      <c r="IMB160" s="1385"/>
      <c r="IMC160" s="1385"/>
      <c r="IMD160" s="1385"/>
      <c r="IME160" s="1385"/>
      <c r="IMF160" s="1385"/>
      <c r="IMG160" s="1385"/>
      <c r="IMH160" s="1385"/>
      <c r="IMI160" s="1385"/>
      <c r="IMJ160" s="1385"/>
      <c r="IMK160" s="1385"/>
      <c r="IML160" s="1385"/>
      <c r="IMM160" s="1385"/>
      <c r="IMN160" s="1385"/>
      <c r="IMO160" s="1385"/>
      <c r="IMP160" s="1385"/>
      <c r="IMQ160" s="1385"/>
      <c r="IMR160" s="1385"/>
      <c r="IMS160" s="1385"/>
      <c r="IMT160" s="1385"/>
      <c r="IMU160" s="1385"/>
      <c r="IMV160" s="1385"/>
      <c r="IMW160" s="1385"/>
      <c r="IMX160" s="1385"/>
      <c r="IMY160" s="1385"/>
      <c r="IMZ160" s="1385"/>
      <c r="INA160" s="1385"/>
      <c r="INB160" s="1385"/>
      <c r="INC160" s="1385"/>
      <c r="IND160" s="1385"/>
      <c r="INE160" s="1385"/>
      <c r="INF160" s="1385"/>
      <c r="ING160" s="1385"/>
      <c r="INH160" s="1385"/>
      <c r="INI160" s="1385"/>
      <c r="INJ160" s="1385"/>
      <c r="INK160" s="1385"/>
      <c r="INL160" s="1385"/>
      <c r="INM160" s="1385"/>
      <c r="INN160" s="1385"/>
      <c r="INO160" s="1385"/>
      <c r="INP160" s="1385"/>
      <c r="INQ160" s="1385"/>
      <c r="INR160" s="1385"/>
      <c r="INS160" s="1385"/>
      <c r="INT160" s="1385"/>
      <c r="INU160" s="1385"/>
      <c r="INV160" s="1385"/>
      <c r="INW160" s="1385"/>
      <c r="INX160" s="1385"/>
      <c r="INY160" s="1385"/>
      <c r="INZ160" s="1385"/>
      <c r="IOA160" s="1385"/>
      <c r="IOB160" s="1385"/>
      <c r="IOC160" s="1385"/>
      <c r="IOD160" s="1385"/>
      <c r="IOE160" s="1385"/>
      <c r="IOF160" s="1385"/>
      <c r="IOG160" s="1385"/>
      <c r="IOH160" s="1385"/>
      <c r="IOI160" s="1385"/>
      <c r="IOJ160" s="1385"/>
      <c r="IOK160" s="1385"/>
      <c r="IOL160" s="1385"/>
      <c r="IOM160" s="1385"/>
      <c r="ION160" s="1385"/>
      <c r="IOO160" s="1385"/>
      <c r="IOP160" s="1385"/>
      <c r="IOQ160" s="1385"/>
      <c r="IOR160" s="1385"/>
      <c r="IOS160" s="1385"/>
      <c r="IOT160" s="1385"/>
      <c r="IOU160" s="1385"/>
      <c r="IOV160" s="1385"/>
      <c r="IOW160" s="1385"/>
      <c r="IOX160" s="1385"/>
      <c r="IOY160" s="1385"/>
      <c r="IOZ160" s="1385"/>
      <c r="IPA160" s="1385"/>
      <c r="IPB160" s="1385"/>
      <c r="IPC160" s="1385"/>
      <c r="IPD160" s="1385"/>
      <c r="IPE160" s="1385"/>
      <c r="IPF160" s="1385"/>
      <c r="IPG160" s="1385"/>
      <c r="IPH160" s="1385"/>
      <c r="IPI160" s="1385"/>
      <c r="IPJ160" s="1385"/>
      <c r="IPK160" s="1385"/>
      <c r="IPL160" s="1385"/>
      <c r="IPM160" s="1385"/>
      <c r="IPN160" s="1385"/>
      <c r="IPO160" s="1385"/>
      <c r="IPP160" s="1385"/>
      <c r="IPQ160" s="1385"/>
      <c r="IPR160" s="1385"/>
      <c r="IPS160" s="1385"/>
      <c r="IPT160" s="1385"/>
      <c r="IPU160" s="1385"/>
      <c r="IPV160" s="1385"/>
      <c r="IPW160" s="1385"/>
      <c r="IPX160" s="1385"/>
      <c r="IPY160" s="1385"/>
      <c r="IPZ160" s="1385"/>
      <c r="IQA160" s="1385"/>
      <c r="IQB160" s="1385"/>
      <c r="IQC160" s="1385"/>
      <c r="IQD160" s="1385"/>
      <c r="IQE160" s="1385"/>
      <c r="IQF160" s="1385"/>
      <c r="IQG160" s="1385"/>
      <c r="IQH160" s="1385"/>
      <c r="IQI160" s="1385"/>
      <c r="IQJ160" s="1385"/>
      <c r="IQK160" s="1385"/>
      <c r="IQL160" s="1385"/>
      <c r="IQM160" s="1385"/>
      <c r="IQN160" s="1385"/>
      <c r="IQO160" s="1385"/>
      <c r="IQP160" s="1385"/>
      <c r="IQQ160" s="1385"/>
      <c r="IQR160" s="1385"/>
      <c r="IQS160" s="1385"/>
      <c r="IQT160" s="1385"/>
      <c r="IQU160" s="1385"/>
      <c r="IQV160" s="1385"/>
      <c r="IQW160" s="1385"/>
      <c r="IQX160" s="1385"/>
      <c r="IQY160" s="1385"/>
      <c r="IQZ160" s="1385"/>
      <c r="IRA160" s="1385"/>
      <c r="IRB160" s="1385"/>
      <c r="IRC160" s="1385"/>
      <c r="IRD160" s="1385"/>
      <c r="IRE160" s="1385"/>
      <c r="IRF160" s="1385"/>
      <c r="IRG160" s="1385"/>
      <c r="IRH160" s="1385"/>
      <c r="IRI160" s="1385"/>
      <c r="IRJ160" s="1385"/>
      <c r="IRK160" s="1385"/>
      <c r="IRL160" s="1385"/>
      <c r="IRM160" s="1385"/>
      <c r="IRN160" s="1385"/>
      <c r="IRO160" s="1385"/>
      <c r="IRP160" s="1385"/>
      <c r="IRQ160" s="1385"/>
      <c r="IRR160" s="1385"/>
      <c r="IRS160" s="1385"/>
      <c r="IRT160" s="1385"/>
      <c r="IRU160" s="1385"/>
      <c r="IRV160" s="1385"/>
      <c r="IRW160" s="1385"/>
      <c r="IRX160" s="1385"/>
      <c r="IRY160" s="1385"/>
      <c r="IRZ160" s="1385"/>
      <c r="ISA160" s="1385"/>
      <c r="ISB160" s="1385"/>
      <c r="ISC160" s="1385"/>
      <c r="ISD160" s="1385"/>
      <c r="ISE160" s="1385"/>
      <c r="ISF160" s="1385"/>
      <c r="ISG160" s="1385"/>
      <c r="ISH160" s="1385"/>
      <c r="ISI160" s="1385"/>
      <c r="ISJ160" s="1385"/>
      <c r="ISK160" s="1385"/>
      <c r="ISL160" s="1385"/>
      <c r="ISM160" s="1385"/>
      <c r="ISN160" s="1385"/>
      <c r="ISO160" s="1385"/>
      <c r="ISP160" s="1385"/>
      <c r="ISQ160" s="1385"/>
      <c r="ISR160" s="1385"/>
      <c r="ISS160" s="1385"/>
      <c r="IST160" s="1385"/>
      <c r="ISU160" s="1385"/>
      <c r="ISV160" s="1385"/>
      <c r="ISW160" s="1385"/>
      <c r="ISX160" s="1385"/>
      <c r="ISY160" s="1385"/>
      <c r="ISZ160" s="1385"/>
      <c r="ITA160" s="1385"/>
      <c r="ITB160" s="1385"/>
      <c r="ITC160" s="1385"/>
      <c r="ITD160" s="1385"/>
      <c r="ITE160" s="1385"/>
      <c r="ITF160" s="1385"/>
      <c r="ITG160" s="1385"/>
      <c r="ITH160" s="1385"/>
      <c r="ITI160" s="1385"/>
      <c r="ITJ160" s="1385"/>
      <c r="ITK160" s="1385"/>
      <c r="ITL160" s="1385"/>
      <c r="ITM160" s="1385"/>
      <c r="ITN160" s="1385"/>
      <c r="ITO160" s="1385"/>
      <c r="ITP160" s="1385"/>
      <c r="ITQ160" s="1385"/>
      <c r="ITR160" s="1385"/>
      <c r="ITS160" s="1385"/>
      <c r="ITT160" s="1385"/>
      <c r="ITU160" s="1385"/>
      <c r="ITV160" s="1385"/>
      <c r="ITW160" s="1385"/>
      <c r="ITX160" s="1385"/>
      <c r="ITY160" s="1385"/>
      <c r="ITZ160" s="1385"/>
      <c r="IUA160" s="1385"/>
      <c r="IUB160" s="1385"/>
      <c r="IUC160" s="1385"/>
      <c r="IUD160" s="1385"/>
      <c r="IUE160" s="1385"/>
      <c r="IUF160" s="1385"/>
      <c r="IUG160" s="1385"/>
      <c r="IUH160" s="1385"/>
      <c r="IUI160" s="1385"/>
      <c r="IUJ160" s="1385"/>
      <c r="IUK160" s="1385"/>
      <c r="IUL160" s="1385"/>
      <c r="IUM160" s="1385"/>
      <c r="IUN160" s="1385"/>
      <c r="IUO160" s="1385"/>
      <c r="IUP160" s="1385"/>
      <c r="IUQ160" s="1385"/>
      <c r="IUR160" s="1385"/>
      <c r="IUS160" s="1385"/>
      <c r="IUT160" s="1385"/>
      <c r="IUU160" s="1385"/>
      <c r="IUV160" s="1385"/>
      <c r="IUW160" s="1385"/>
      <c r="IUX160" s="1385"/>
      <c r="IUY160" s="1385"/>
      <c r="IUZ160" s="1385"/>
      <c r="IVA160" s="1385"/>
      <c r="IVB160" s="1385"/>
      <c r="IVC160" s="1385"/>
      <c r="IVD160" s="1385"/>
      <c r="IVE160" s="1385"/>
      <c r="IVF160" s="1385"/>
      <c r="IVG160" s="1385"/>
      <c r="IVH160" s="1385"/>
      <c r="IVI160" s="1385"/>
      <c r="IVJ160" s="1385"/>
      <c r="IVK160" s="1385"/>
      <c r="IVL160" s="1385"/>
      <c r="IVM160" s="1385"/>
      <c r="IVN160" s="1385"/>
      <c r="IVO160" s="1385"/>
      <c r="IVP160" s="1385"/>
      <c r="IVQ160" s="1385"/>
      <c r="IVR160" s="1385"/>
      <c r="IVS160" s="1385"/>
      <c r="IVT160" s="1385"/>
      <c r="IVU160" s="1385"/>
      <c r="IVV160" s="1385"/>
      <c r="IVW160" s="1385"/>
      <c r="IVX160" s="1385"/>
      <c r="IVY160" s="1385"/>
      <c r="IVZ160" s="1385"/>
      <c r="IWA160" s="1385"/>
      <c r="IWB160" s="1385"/>
      <c r="IWC160" s="1385"/>
      <c r="IWD160" s="1385"/>
      <c r="IWE160" s="1385"/>
      <c r="IWF160" s="1385"/>
      <c r="IWG160" s="1385"/>
      <c r="IWH160" s="1385"/>
      <c r="IWI160" s="1385"/>
      <c r="IWJ160" s="1385"/>
      <c r="IWK160" s="1385"/>
      <c r="IWL160" s="1385"/>
      <c r="IWM160" s="1385"/>
      <c r="IWN160" s="1385"/>
      <c r="IWO160" s="1385"/>
      <c r="IWP160" s="1385"/>
      <c r="IWQ160" s="1385"/>
      <c r="IWR160" s="1385"/>
      <c r="IWS160" s="1385"/>
      <c r="IWT160" s="1385"/>
      <c r="IWU160" s="1385"/>
      <c r="IWV160" s="1385"/>
      <c r="IWW160" s="1385"/>
      <c r="IWX160" s="1385"/>
      <c r="IWY160" s="1385"/>
      <c r="IWZ160" s="1385"/>
      <c r="IXA160" s="1385"/>
      <c r="IXB160" s="1385"/>
      <c r="IXC160" s="1385"/>
      <c r="IXD160" s="1385"/>
      <c r="IXE160" s="1385"/>
      <c r="IXF160" s="1385"/>
      <c r="IXG160" s="1385"/>
      <c r="IXH160" s="1385"/>
      <c r="IXI160" s="1385"/>
      <c r="IXJ160" s="1385"/>
      <c r="IXK160" s="1385"/>
      <c r="IXL160" s="1385"/>
      <c r="IXM160" s="1385"/>
      <c r="IXN160" s="1385"/>
      <c r="IXO160" s="1385"/>
      <c r="IXP160" s="1385"/>
      <c r="IXQ160" s="1385"/>
      <c r="IXR160" s="1385"/>
      <c r="IXS160" s="1385"/>
      <c r="IXT160" s="1385"/>
      <c r="IXU160" s="1385"/>
      <c r="IXV160" s="1385"/>
      <c r="IXW160" s="1385"/>
      <c r="IXX160" s="1385"/>
      <c r="IXY160" s="1385"/>
      <c r="IXZ160" s="1385"/>
      <c r="IYA160" s="1385"/>
      <c r="IYB160" s="1385"/>
      <c r="IYC160" s="1385"/>
      <c r="IYD160" s="1385"/>
      <c r="IYE160" s="1385"/>
      <c r="IYF160" s="1385"/>
      <c r="IYG160" s="1385"/>
      <c r="IYH160" s="1385"/>
      <c r="IYI160" s="1385"/>
      <c r="IYJ160" s="1385"/>
      <c r="IYK160" s="1385"/>
      <c r="IYL160" s="1385"/>
      <c r="IYM160" s="1385"/>
      <c r="IYN160" s="1385"/>
      <c r="IYO160" s="1385"/>
      <c r="IYP160" s="1385"/>
      <c r="IYQ160" s="1385"/>
      <c r="IYR160" s="1385"/>
      <c r="IYS160" s="1385"/>
      <c r="IYT160" s="1385"/>
      <c r="IYU160" s="1385"/>
      <c r="IYV160" s="1385"/>
      <c r="IYW160" s="1385"/>
      <c r="IYX160" s="1385"/>
      <c r="IYY160" s="1385"/>
      <c r="IYZ160" s="1385"/>
      <c r="IZA160" s="1385"/>
      <c r="IZB160" s="1385"/>
      <c r="IZC160" s="1385"/>
      <c r="IZD160" s="1385"/>
      <c r="IZE160" s="1385"/>
      <c r="IZF160" s="1385"/>
      <c r="IZG160" s="1385"/>
      <c r="IZH160" s="1385"/>
      <c r="IZI160" s="1385"/>
      <c r="IZJ160" s="1385"/>
      <c r="IZK160" s="1385"/>
      <c r="IZL160" s="1385"/>
      <c r="IZM160" s="1385"/>
      <c r="IZN160" s="1385"/>
      <c r="IZO160" s="1385"/>
      <c r="IZP160" s="1385"/>
      <c r="IZQ160" s="1385"/>
      <c r="IZR160" s="1385"/>
      <c r="IZS160" s="1385"/>
      <c r="IZT160" s="1385"/>
      <c r="IZU160" s="1385"/>
      <c r="IZV160" s="1385"/>
      <c r="IZW160" s="1385"/>
      <c r="IZX160" s="1385"/>
      <c r="IZY160" s="1385"/>
      <c r="IZZ160" s="1385"/>
      <c r="JAA160" s="1385"/>
      <c r="JAB160" s="1385"/>
      <c r="JAC160" s="1385"/>
      <c r="JAD160" s="1385"/>
      <c r="JAE160" s="1385"/>
      <c r="JAF160" s="1385"/>
      <c r="JAG160" s="1385"/>
      <c r="JAH160" s="1385"/>
      <c r="JAI160" s="1385"/>
      <c r="JAJ160" s="1385"/>
      <c r="JAK160" s="1385"/>
      <c r="JAL160" s="1385"/>
      <c r="JAM160" s="1385"/>
      <c r="JAN160" s="1385"/>
      <c r="JAO160" s="1385"/>
      <c r="JAP160" s="1385"/>
      <c r="JAQ160" s="1385"/>
      <c r="JAR160" s="1385"/>
      <c r="JAS160" s="1385"/>
      <c r="JAT160" s="1385"/>
      <c r="JAU160" s="1385"/>
      <c r="JAV160" s="1385"/>
      <c r="JAW160" s="1385"/>
      <c r="JAX160" s="1385"/>
      <c r="JAY160" s="1385"/>
      <c r="JAZ160" s="1385"/>
      <c r="JBA160" s="1385"/>
      <c r="JBB160" s="1385"/>
      <c r="JBC160" s="1385"/>
      <c r="JBD160" s="1385"/>
      <c r="JBE160" s="1385"/>
      <c r="JBF160" s="1385"/>
      <c r="JBG160" s="1385"/>
      <c r="JBH160" s="1385"/>
      <c r="JBI160" s="1385"/>
      <c r="JBJ160" s="1385"/>
      <c r="JBK160" s="1385"/>
      <c r="JBL160" s="1385"/>
      <c r="JBM160" s="1385"/>
      <c r="JBN160" s="1385"/>
      <c r="JBO160" s="1385"/>
      <c r="JBP160" s="1385"/>
      <c r="JBQ160" s="1385"/>
      <c r="JBR160" s="1385"/>
      <c r="JBS160" s="1385"/>
      <c r="JBT160" s="1385"/>
      <c r="JBU160" s="1385"/>
      <c r="JBV160" s="1385"/>
      <c r="JBW160" s="1385"/>
      <c r="JBX160" s="1385"/>
      <c r="JBY160" s="1385"/>
      <c r="JBZ160" s="1385"/>
      <c r="JCA160" s="1385"/>
      <c r="JCB160" s="1385"/>
      <c r="JCC160" s="1385"/>
      <c r="JCD160" s="1385"/>
      <c r="JCE160" s="1385"/>
      <c r="JCF160" s="1385"/>
      <c r="JCG160" s="1385"/>
      <c r="JCH160" s="1385"/>
      <c r="JCI160" s="1385"/>
      <c r="JCJ160" s="1385"/>
      <c r="JCK160" s="1385"/>
      <c r="JCL160" s="1385"/>
      <c r="JCM160" s="1385"/>
      <c r="JCN160" s="1385"/>
      <c r="JCO160" s="1385"/>
      <c r="JCP160" s="1385"/>
      <c r="JCQ160" s="1385"/>
      <c r="JCR160" s="1385"/>
      <c r="JCS160" s="1385"/>
      <c r="JCT160" s="1385"/>
      <c r="JCU160" s="1385"/>
      <c r="JCV160" s="1385"/>
      <c r="JCW160" s="1385"/>
      <c r="JCX160" s="1385"/>
      <c r="JCY160" s="1385"/>
      <c r="JCZ160" s="1385"/>
      <c r="JDA160" s="1385"/>
      <c r="JDB160" s="1385"/>
      <c r="JDC160" s="1385"/>
      <c r="JDD160" s="1385"/>
      <c r="JDE160" s="1385"/>
      <c r="JDF160" s="1385"/>
      <c r="JDG160" s="1385"/>
      <c r="JDH160" s="1385"/>
      <c r="JDI160" s="1385"/>
      <c r="JDJ160" s="1385"/>
      <c r="JDK160" s="1385"/>
      <c r="JDL160" s="1385"/>
      <c r="JDM160" s="1385"/>
      <c r="JDN160" s="1385"/>
      <c r="JDO160" s="1385"/>
      <c r="JDP160" s="1385"/>
      <c r="JDQ160" s="1385"/>
      <c r="JDR160" s="1385"/>
      <c r="JDS160" s="1385"/>
      <c r="JDT160" s="1385"/>
      <c r="JDU160" s="1385"/>
      <c r="JDV160" s="1385"/>
      <c r="JDW160" s="1385"/>
      <c r="JDX160" s="1385"/>
      <c r="JDY160" s="1385"/>
      <c r="JDZ160" s="1385"/>
      <c r="JEA160" s="1385"/>
      <c r="JEB160" s="1385"/>
      <c r="JEC160" s="1385"/>
      <c r="JED160" s="1385"/>
      <c r="JEE160" s="1385"/>
      <c r="JEF160" s="1385"/>
      <c r="JEG160" s="1385"/>
      <c r="JEH160" s="1385"/>
      <c r="JEI160" s="1385"/>
      <c r="JEJ160" s="1385"/>
      <c r="JEK160" s="1385"/>
      <c r="JEL160" s="1385"/>
      <c r="JEM160" s="1385"/>
      <c r="JEN160" s="1385"/>
      <c r="JEO160" s="1385"/>
      <c r="JEP160" s="1385"/>
      <c r="JEQ160" s="1385"/>
      <c r="JER160" s="1385"/>
      <c r="JES160" s="1385"/>
      <c r="JET160" s="1385"/>
      <c r="JEU160" s="1385"/>
      <c r="JEV160" s="1385"/>
      <c r="JEW160" s="1385"/>
      <c r="JEX160" s="1385"/>
      <c r="JEY160" s="1385"/>
      <c r="JEZ160" s="1385"/>
      <c r="JFA160" s="1385"/>
      <c r="JFB160" s="1385"/>
      <c r="JFC160" s="1385"/>
      <c r="JFD160" s="1385"/>
      <c r="JFE160" s="1385"/>
      <c r="JFF160" s="1385"/>
      <c r="JFG160" s="1385"/>
      <c r="JFH160" s="1385"/>
      <c r="JFI160" s="1385"/>
      <c r="JFJ160" s="1385"/>
      <c r="JFK160" s="1385"/>
      <c r="JFL160" s="1385"/>
      <c r="JFM160" s="1385"/>
      <c r="JFN160" s="1385"/>
      <c r="JFO160" s="1385"/>
      <c r="JFP160" s="1385"/>
      <c r="JFQ160" s="1385"/>
      <c r="JFR160" s="1385"/>
      <c r="JFS160" s="1385"/>
      <c r="JFT160" s="1385"/>
      <c r="JFU160" s="1385"/>
      <c r="JFV160" s="1385"/>
      <c r="JFW160" s="1385"/>
      <c r="JFX160" s="1385"/>
      <c r="JFY160" s="1385"/>
      <c r="JFZ160" s="1385"/>
      <c r="JGA160" s="1385"/>
      <c r="JGB160" s="1385"/>
      <c r="JGC160" s="1385"/>
      <c r="JGD160" s="1385"/>
      <c r="JGE160" s="1385"/>
      <c r="JGF160" s="1385"/>
      <c r="JGG160" s="1385"/>
      <c r="JGH160" s="1385"/>
      <c r="JGI160" s="1385"/>
      <c r="JGJ160" s="1385"/>
      <c r="JGK160" s="1385"/>
      <c r="JGL160" s="1385"/>
      <c r="JGM160" s="1385"/>
      <c r="JGN160" s="1385"/>
      <c r="JGO160" s="1385"/>
      <c r="JGP160" s="1385"/>
      <c r="JGQ160" s="1385"/>
      <c r="JGR160" s="1385"/>
      <c r="JGS160" s="1385"/>
      <c r="JGT160" s="1385"/>
      <c r="JGU160" s="1385"/>
      <c r="JGV160" s="1385"/>
      <c r="JGW160" s="1385"/>
      <c r="JGX160" s="1385"/>
      <c r="JGY160" s="1385"/>
      <c r="JGZ160" s="1385"/>
      <c r="JHA160" s="1385"/>
      <c r="JHB160" s="1385"/>
      <c r="JHC160" s="1385"/>
      <c r="JHD160" s="1385"/>
      <c r="JHE160" s="1385"/>
      <c r="JHF160" s="1385"/>
      <c r="JHG160" s="1385"/>
      <c r="JHH160" s="1385"/>
      <c r="JHI160" s="1385"/>
      <c r="JHJ160" s="1385"/>
      <c r="JHK160" s="1385"/>
      <c r="JHL160" s="1385"/>
      <c r="JHM160" s="1385"/>
      <c r="JHN160" s="1385"/>
      <c r="JHO160" s="1385"/>
      <c r="JHP160" s="1385"/>
      <c r="JHQ160" s="1385"/>
      <c r="JHR160" s="1385"/>
      <c r="JHS160" s="1385"/>
      <c r="JHT160" s="1385"/>
      <c r="JHU160" s="1385"/>
      <c r="JHV160" s="1385"/>
      <c r="JHW160" s="1385"/>
      <c r="JHX160" s="1385"/>
      <c r="JHY160" s="1385"/>
      <c r="JHZ160" s="1385"/>
      <c r="JIA160" s="1385"/>
      <c r="JIB160" s="1385"/>
      <c r="JIC160" s="1385"/>
      <c r="JID160" s="1385"/>
      <c r="JIE160" s="1385"/>
      <c r="JIF160" s="1385"/>
      <c r="JIG160" s="1385"/>
      <c r="JIH160" s="1385"/>
      <c r="JII160" s="1385"/>
      <c r="JIJ160" s="1385"/>
      <c r="JIK160" s="1385"/>
      <c r="JIL160" s="1385"/>
      <c r="JIM160" s="1385"/>
      <c r="JIN160" s="1385"/>
      <c r="JIO160" s="1385"/>
      <c r="JIP160" s="1385"/>
      <c r="JIQ160" s="1385"/>
      <c r="JIR160" s="1385"/>
      <c r="JIS160" s="1385"/>
      <c r="JIT160" s="1385"/>
      <c r="JIU160" s="1385"/>
      <c r="JIV160" s="1385"/>
      <c r="JIW160" s="1385"/>
      <c r="JIX160" s="1385"/>
      <c r="JIY160" s="1385"/>
      <c r="JIZ160" s="1385"/>
      <c r="JJA160" s="1385"/>
      <c r="JJB160" s="1385"/>
      <c r="JJC160" s="1385"/>
      <c r="JJD160" s="1385"/>
      <c r="JJE160" s="1385"/>
      <c r="JJF160" s="1385"/>
      <c r="JJG160" s="1385"/>
      <c r="JJH160" s="1385"/>
      <c r="JJI160" s="1385"/>
      <c r="JJJ160" s="1385"/>
      <c r="JJK160" s="1385"/>
      <c r="JJL160" s="1385"/>
      <c r="JJM160" s="1385"/>
      <c r="JJN160" s="1385"/>
      <c r="JJO160" s="1385"/>
      <c r="JJP160" s="1385"/>
      <c r="JJQ160" s="1385"/>
      <c r="JJR160" s="1385"/>
      <c r="JJS160" s="1385"/>
      <c r="JJT160" s="1385"/>
      <c r="JJU160" s="1385"/>
      <c r="JJV160" s="1385"/>
      <c r="JJW160" s="1385"/>
      <c r="JJX160" s="1385"/>
      <c r="JJY160" s="1385"/>
      <c r="JJZ160" s="1385"/>
      <c r="JKA160" s="1385"/>
      <c r="JKB160" s="1385"/>
      <c r="JKC160" s="1385"/>
      <c r="JKD160" s="1385"/>
      <c r="JKE160" s="1385"/>
      <c r="JKF160" s="1385"/>
      <c r="JKG160" s="1385"/>
      <c r="JKH160" s="1385"/>
      <c r="JKI160" s="1385"/>
      <c r="JKJ160" s="1385"/>
      <c r="JKK160" s="1385"/>
      <c r="JKL160" s="1385"/>
      <c r="JKM160" s="1385"/>
      <c r="JKN160" s="1385"/>
      <c r="JKO160" s="1385"/>
      <c r="JKP160" s="1385"/>
      <c r="JKQ160" s="1385"/>
      <c r="JKR160" s="1385"/>
      <c r="JKS160" s="1385"/>
      <c r="JKT160" s="1385"/>
      <c r="JKU160" s="1385"/>
      <c r="JKV160" s="1385"/>
      <c r="JKW160" s="1385"/>
      <c r="JKX160" s="1385"/>
      <c r="JKY160" s="1385"/>
      <c r="JKZ160" s="1385"/>
      <c r="JLA160" s="1385"/>
      <c r="JLB160" s="1385"/>
      <c r="JLC160" s="1385"/>
      <c r="JLD160" s="1385"/>
      <c r="JLE160" s="1385"/>
      <c r="JLF160" s="1385"/>
      <c r="JLG160" s="1385"/>
      <c r="JLH160" s="1385"/>
      <c r="JLI160" s="1385"/>
      <c r="JLJ160" s="1385"/>
      <c r="JLK160" s="1385"/>
      <c r="JLL160" s="1385"/>
      <c r="JLM160" s="1385"/>
      <c r="JLN160" s="1385"/>
      <c r="JLO160" s="1385"/>
      <c r="JLP160" s="1385"/>
      <c r="JLQ160" s="1385"/>
      <c r="JLR160" s="1385"/>
      <c r="JLS160" s="1385"/>
      <c r="JLT160" s="1385"/>
      <c r="JLU160" s="1385"/>
      <c r="JLV160" s="1385"/>
      <c r="JLW160" s="1385"/>
      <c r="JLX160" s="1385"/>
      <c r="JLY160" s="1385"/>
      <c r="JLZ160" s="1385"/>
      <c r="JMA160" s="1385"/>
      <c r="JMB160" s="1385"/>
      <c r="JMC160" s="1385"/>
      <c r="JMD160" s="1385"/>
      <c r="JME160" s="1385"/>
      <c r="JMF160" s="1385"/>
      <c r="JMG160" s="1385"/>
      <c r="JMH160" s="1385"/>
      <c r="JMI160" s="1385"/>
      <c r="JMJ160" s="1385"/>
      <c r="JMK160" s="1385"/>
      <c r="JML160" s="1385"/>
      <c r="JMM160" s="1385"/>
      <c r="JMN160" s="1385"/>
      <c r="JMO160" s="1385"/>
      <c r="JMP160" s="1385"/>
      <c r="JMQ160" s="1385"/>
      <c r="JMR160" s="1385"/>
      <c r="JMS160" s="1385"/>
      <c r="JMT160" s="1385"/>
      <c r="JMU160" s="1385"/>
      <c r="JMV160" s="1385"/>
      <c r="JMW160" s="1385"/>
      <c r="JMX160" s="1385"/>
      <c r="JMY160" s="1385"/>
      <c r="JMZ160" s="1385"/>
      <c r="JNA160" s="1385"/>
      <c r="JNB160" s="1385"/>
      <c r="JNC160" s="1385"/>
      <c r="JND160" s="1385"/>
      <c r="JNE160" s="1385"/>
      <c r="JNF160" s="1385"/>
      <c r="JNG160" s="1385"/>
      <c r="JNH160" s="1385"/>
      <c r="JNI160" s="1385"/>
      <c r="JNJ160" s="1385"/>
      <c r="JNK160" s="1385"/>
      <c r="JNL160" s="1385"/>
      <c r="JNM160" s="1385"/>
      <c r="JNN160" s="1385"/>
      <c r="JNO160" s="1385"/>
      <c r="JNP160" s="1385"/>
      <c r="JNQ160" s="1385"/>
      <c r="JNR160" s="1385"/>
      <c r="JNS160" s="1385"/>
      <c r="JNT160" s="1385"/>
      <c r="JNU160" s="1385"/>
      <c r="JNV160" s="1385"/>
      <c r="JNW160" s="1385"/>
      <c r="JNX160" s="1385"/>
      <c r="JNY160" s="1385"/>
      <c r="JNZ160" s="1385"/>
      <c r="JOA160" s="1385"/>
      <c r="JOB160" s="1385"/>
      <c r="JOC160" s="1385"/>
      <c r="JOD160" s="1385"/>
      <c r="JOE160" s="1385"/>
      <c r="JOF160" s="1385"/>
      <c r="JOG160" s="1385"/>
      <c r="JOH160" s="1385"/>
      <c r="JOI160" s="1385"/>
      <c r="JOJ160" s="1385"/>
      <c r="JOK160" s="1385"/>
      <c r="JOL160" s="1385"/>
      <c r="JOM160" s="1385"/>
      <c r="JON160" s="1385"/>
      <c r="JOO160" s="1385"/>
      <c r="JOP160" s="1385"/>
      <c r="JOQ160" s="1385"/>
      <c r="JOR160" s="1385"/>
      <c r="JOS160" s="1385"/>
      <c r="JOT160" s="1385"/>
      <c r="JOU160" s="1385"/>
      <c r="JOV160" s="1385"/>
      <c r="JOW160" s="1385"/>
      <c r="JOX160" s="1385"/>
      <c r="JOY160" s="1385"/>
      <c r="JOZ160" s="1385"/>
      <c r="JPA160" s="1385"/>
      <c r="JPB160" s="1385"/>
      <c r="JPC160" s="1385"/>
      <c r="JPD160" s="1385"/>
      <c r="JPE160" s="1385"/>
      <c r="JPF160" s="1385"/>
      <c r="JPG160" s="1385"/>
      <c r="JPH160" s="1385"/>
      <c r="JPI160" s="1385"/>
      <c r="JPJ160" s="1385"/>
      <c r="JPK160" s="1385"/>
      <c r="JPL160" s="1385"/>
      <c r="JPM160" s="1385"/>
      <c r="JPN160" s="1385"/>
      <c r="JPO160" s="1385"/>
      <c r="JPP160" s="1385"/>
      <c r="JPQ160" s="1385"/>
      <c r="JPR160" s="1385"/>
      <c r="JPS160" s="1385"/>
      <c r="JPT160" s="1385"/>
      <c r="JPU160" s="1385"/>
      <c r="JPV160" s="1385"/>
      <c r="JPW160" s="1385"/>
      <c r="JPX160" s="1385"/>
      <c r="JPY160" s="1385"/>
      <c r="JPZ160" s="1385"/>
      <c r="JQA160" s="1385"/>
      <c r="JQB160" s="1385"/>
      <c r="JQC160" s="1385"/>
      <c r="JQD160" s="1385"/>
      <c r="JQE160" s="1385"/>
      <c r="JQF160" s="1385"/>
      <c r="JQG160" s="1385"/>
      <c r="JQH160" s="1385"/>
      <c r="JQI160" s="1385"/>
      <c r="JQJ160" s="1385"/>
      <c r="JQK160" s="1385"/>
      <c r="JQL160" s="1385"/>
      <c r="JQM160" s="1385"/>
      <c r="JQN160" s="1385"/>
      <c r="JQO160" s="1385"/>
      <c r="JQP160" s="1385"/>
      <c r="JQQ160" s="1385"/>
      <c r="JQR160" s="1385"/>
      <c r="JQS160" s="1385"/>
      <c r="JQT160" s="1385"/>
      <c r="JQU160" s="1385"/>
      <c r="JQV160" s="1385"/>
      <c r="JQW160" s="1385"/>
      <c r="JQX160" s="1385"/>
      <c r="JQY160" s="1385"/>
      <c r="JQZ160" s="1385"/>
      <c r="JRA160" s="1385"/>
      <c r="JRB160" s="1385"/>
      <c r="JRC160" s="1385"/>
      <c r="JRD160" s="1385"/>
      <c r="JRE160" s="1385"/>
      <c r="JRF160" s="1385"/>
      <c r="JRG160" s="1385"/>
      <c r="JRH160" s="1385"/>
      <c r="JRI160" s="1385"/>
      <c r="JRJ160" s="1385"/>
      <c r="JRK160" s="1385"/>
      <c r="JRL160" s="1385"/>
      <c r="JRM160" s="1385"/>
      <c r="JRN160" s="1385"/>
      <c r="JRO160" s="1385"/>
      <c r="JRP160" s="1385"/>
      <c r="JRQ160" s="1385"/>
      <c r="JRR160" s="1385"/>
      <c r="JRS160" s="1385"/>
      <c r="JRT160" s="1385"/>
      <c r="JRU160" s="1385"/>
      <c r="JRV160" s="1385"/>
      <c r="JRW160" s="1385"/>
      <c r="JRX160" s="1385"/>
      <c r="JRY160" s="1385"/>
      <c r="JRZ160" s="1385"/>
      <c r="JSA160" s="1385"/>
      <c r="JSB160" s="1385"/>
      <c r="JSC160" s="1385"/>
      <c r="JSD160" s="1385"/>
      <c r="JSE160" s="1385"/>
      <c r="JSF160" s="1385"/>
      <c r="JSG160" s="1385"/>
      <c r="JSH160" s="1385"/>
      <c r="JSI160" s="1385"/>
      <c r="JSJ160" s="1385"/>
      <c r="JSK160" s="1385"/>
      <c r="JSL160" s="1385"/>
      <c r="JSM160" s="1385"/>
      <c r="JSN160" s="1385"/>
      <c r="JSO160" s="1385"/>
      <c r="JSP160" s="1385"/>
      <c r="JSQ160" s="1385"/>
      <c r="JSR160" s="1385"/>
      <c r="JSS160" s="1385"/>
      <c r="JST160" s="1385"/>
      <c r="JSU160" s="1385"/>
      <c r="JSV160" s="1385"/>
      <c r="JSW160" s="1385"/>
      <c r="JSX160" s="1385"/>
      <c r="JSY160" s="1385"/>
      <c r="JSZ160" s="1385"/>
      <c r="JTA160" s="1385"/>
      <c r="JTB160" s="1385"/>
      <c r="JTC160" s="1385"/>
      <c r="JTD160" s="1385"/>
      <c r="JTE160" s="1385"/>
      <c r="JTF160" s="1385"/>
      <c r="JTG160" s="1385"/>
      <c r="JTH160" s="1385"/>
      <c r="JTI160" s="1385"/>
      <c r="JTJ160" s="1385"/>
      <c r="JTK160" s="1385"/>
      <c r="JTL160" s="1385"/>
      <c r="JTM160" s="1385"/>
      <c r="JTN160" s="1385"/>
      <c r="JTO160" s="1385"/>
      <c r="JTP160" s="1385"/>
      <c r="JTQ160" s="1385"/>
      <c r="JTR160" s="1385"/>
      <c r="JTS160" s="1385"/>
      <c r="JTT160" s="1385"/>
      <c r="JTU160" s="1385"/>
      <c r="JTV160" s="1385"/>
      <c r="JTW160" s="1385"/>
      <c r="JTX160" s="1385"/>
      <c r="JTY160" s="1385"/>
      <c r="JTZ160" s="1385"/>
      <c r="JUA160" s="1385"/>
      <c r="JUB160" s="1385"/>
      <c r="JUC160" s="1385"/>
      <c r="JUD160" s="1385"/>
      <c r="JUE160" s="1385"/>
      <c r="JUF160" s="1385"/>
      <c r="JUG160" s="1385"/>
      <c r="JUH160" s="1385"/>
      <c r="JUI160" s="1385"/>
      <c r="JUJ160" s="1385"/>
      <c r="JUK160" s="1385"/>
      <c r="JUL160" s="1385"/>
      <c r="JUM160" s="1385"/>
      <c r="JUN160" s="1385"/>
      <c r="JUO160" s="1385"/>
      <c r="JUP160" s="1385"/>
      <c r="JUQ160" s="1385"/>
      <c r="JUR160" s="1385"/>
      <c r="JUS160" s="1385"/>
      <c r="JUT160" s="1385"/>
      <c r="JUU160" s="1385"/>
      <c r="JUV160" s="1385"/>
      <c r="JUW160" s="1385"/>
      <c r="JUX160" s="1385"/>
      <c r="JUY160" s="1385"/>
      <c r="JUZ160" s="1385"/>
      <c r="JVA160" s="1385"/>
      <c r="JVB160" s="1385"/>
      <c r="JVC160" s="1385"/>
      <c r="JVD160" s="1385"/>
      <c r="JVE160" s="1385"/>
      <c r="JVF160" s="1385"/>
      <c r="JVG160" s="1385"/>
      <c r="JVH160" s="1385"/>
      <c r="JVI160" s="1385"/>
      <c r="JVJ160" s="1385"/>
      <c r="JVK160" s="1385"/>
      <c r="JVL160" s="1385"/>
      <c r="JVM160" s="1385"/>
      <c r="JVN160" s="1385"/>
      <c r="JVO160" s="1385"/>
      <c r="JVP160" s="1385"/>
      <c r="JVQ160" s="1385"/>
      <c r="JVR160" s="1385"/>
      <c r="JVS160" s="1385"/>
      <c r="JVT160" s="1385"/>
      <c r="JVU160" s="1385"/>
      <c r="JVV160" s="1385"/>
      <c r="JVW160" s="1385"/>
      <c r="JVX160" s="1385"/>
      <c r="JVY160" s="1385"/>
      <c r="JVZ160" s="1385"/>
      <c r="JWA160" s="1385"/>
      <c r="JWB160" s="1385"/>
      <c r="JWC160" s="1385"/>
      <c r="JWD160" s="1385"/>
      <c r="JWE160" s="1385"/>
      <c r="JWF160" s="1385"/>
      <c r="JWG160" s="1385"/>
      <c r="JWH160" s="1385"/>
      <c r="JWI160" s="1385"/>
      <c r="JWJ160" s="1385"/>
      <c r="JWK160" s="1385"/>
      <c r="JWL160" s="1385"/>
      <c r="JWM160" s="1385"/>
      <c r="JWN160" s="1385"/>
      <c r="JWO160" s="1385"/>
      <c r="JWP160" s="1385"/>
      <c r="JWQ160" s="1385"/>
      <c r="JWR160" s="1385"/>
      <c r="JWS160" s="1385"/>
      <c r="JWT160" s="1385"/>
      <c r="JWU160" s="1385"/>
      <c r="JWV160" s="1385"/>
      <c r="JWW160" s="1385"/>
      <c r="JWX160" s="1385"/>
      <c r="JWY160" s="1385"/>
      <c r="JWZ160" s="1385"/>
      <c r="JXA160" s="1385"/>
      <c r="JXB160" s="1385"/>
      <c r="JXC160" s="1385"/>
      <c r="JXD160" s="1385"/>
      <c r="JXE160" s="1385"/>
      <c r="JXF160" s="1385"/>
      <c r="JXG160" s="1385"/>
      <c r="JXH160" s="1385"/>
      <c r="JXI160" s="1385"/>
      <c r="JXJ160" s="1385"/>
      <c r="JXK160" s="1385"/>
      <c r="JXL160" s="1385"/>
      <c r="JXM160" s="1385"/>
      <c r="JXN160" s="1385"/>
      <c r="JXO160" s="1385"/>
      <c r="JXP160" s="1385"/>
      <c r="JXQ160" s="1385"/>
      <c r="JXR160" s="1385"/>
      <c r="JXS160" s="1385"/>
      <c r="JXT160" s="1385"/>
      <c r="JXU160" s="1385"/>
      <c r="JXV160" s="1385"/>
      <c r="JXW160" s="1385"/>
      <c r="JXX160" s="1385"/>
      <c r="JXY160" s="1385"/>
      <c r="JXZ160" s="1385"/>
      <c r="JYA160" s="1385"/>
      <c r="JYB160" s="1385"/>
      <c r="JYC160" s="1385"/>
      <c r="JYD160" s="1385"/>
      <c r="JYE160" s="1385"/>
      <c r="JYF160" s="1385"/>
      <c r="JYG160" s="1385"/>
      <c r="JYH160" s="1385"/>
      <c r="JYI160" s="1385"/>
      <c r="JYJ160" s="1385"/>
      <c r="JYK160" s="1385"/>
      <c r="JYL160" s="1385"/>
      <c r="JYM160" s="1385"/>
      <c r="JYN160" s="1385"/>
      <c r="JYO160" s="1385"/>
      <c r="JYP160" s="1385"/>
      <c r="JYQ160" s="1385"/>
      <c r="JYR160" s="1385"/>
      <c r="JYS160" s="1385"/>
      <c r="JYT160" s="1385"/>
      <c r="JYU160" s="1385"/>
      <c r="JYV160" s="1385"/>
      <c r="JYW160" s="1385"/>
      <c r="JYX160" s="1385"/>
      <c r="JYY160" s="1385"/>
      <c r="JYZ160" s="1385"/>
      <c r="JZA160" s="1385"/>
      <c r="JZB160" s="1385"/>
      <c r="JZC160" s="1385"/>
      <c r="JZD160" s="1385"/>
      <c r="JZE160" s="1385"/>
      <c r="JZF160" s="1385"/>
      <c r="JZG160" s="1385"/>
      <c r="JZH160" s="1385"/>
      <c r="JZI160" s="1385"/>
      <c r="JZJ160" s="1385"/>
      <c r="JZK160" s="1385"/>
      <c r="JZL160" s="1385"/>
      <c r="JZM160" s="1385"/>
      <c r="JZN160" s="1385"/>
      <c r="JZO160" s="1385"/>
      <c r="JZP160" s="1385"/>
      <c r="JZQ160" s="1385"/>
      <c r="JZR160" s="1385"/>
      <c r="JZS160" s="1385"/>
      <c r="JZT160" s="1385"/>
      <c r="JZU160" s="1385"/>
      <c r="JZV160" s="1385"/>
      <c r="JZW160" s="1385"/>
      <c r="JZX160" s="1385"/>
      <c r="JZY160" s="1385"/>
      <c r="JZZ160" s="1385"/>
      <c r="KAA160" s="1385"/>
      <c r="KAB160" s="1385"/>
      <c r="KAC160" s="1385"/>
      <c r="KAD160" s="1385"/>
      <c r="KAE160" s="1385"/>
      <c r="KAF160" s="1385"/>
      <c r="KAG160" s="1385"/>
      <c r="KAH160" s="1385"/>
      <c r="KAI160" s="1385"/>
      <c r="KAJ160" s="1385"/>
      <c r="KAK160" s="1385"/>
      <c r="KAL160" s="1385"/>
      <c r="KAM160" s="1385"/>
      <c r="KAN160" s="1385"/>
      <c r="KAO160" s="1385"/>
      <c r="KAP160" s="1385"/>
      <c r="KAQ160" s="1385"/>
      <c r="KAR160" s="1385"/>
      <c r="KAS160" s="1385"/>
      <c r="KAT160" s="1385"/>
      <c r="KAU160" s="1385"/>
      <c r="KAV160" s="1385"/>
      <c r="KAW160" s="1385"/>
      <c r="KAX160" s="1385"/>
      <c r="KAY160" s="1385"/>
      <c r="KAZ160" s="1385"/>
      <c r="KBA160" s="1385"/>
      <c r="KBB160" s="1385"/>
      <c r="KBC160" s="1385"/>
      <c r="KBD160" s="1385"/>
      <c r="KBE160" s="1385"/>
      <c r="KBF160" s="1385"/>
      <c r="KBG160" s="1385"/>
      <c r="KBH160" s="1385"/>
      <c r="KBI160" s="1385"/>
      <c r="KBJ160" s="1385"/>
      <c r="KBK160" s="1385"/>
      <c r="KBL160" s="1385"/>
      <c r="KBM160" s="1385"/>
      <c r="KBN160" s="1385"/>
      <c r="KBO160" s="1385"/>
      <c r="KBP160" s="1385"/>
      <c r="KBQ160" s="1385"/>
      <c r="KBR160" s="1385"/>
      <c r="KBS160" s="1385"/>
      <c r="KBT160" s="1385"/>
      <c r="KBU160" s="1385"/>
      <c r="KBV160" s="1385"/>
      <c r="KBW160" s="1385"/>
      <c r="KBX160" s="1385"/>
      <c r="KBY160" s="1385"/>
      <c r="KBZ160" s="1385"/>
      <c r="KCA160" s="1385"/>
      <c r="KCB160" s="1385"/>
      <c r="KCC160" s="1385"/>
      <c r="KCD160" s="1385"/>
      <c r="KCE160" s="1385"/>
      <c r="KCF160" s="1385"/>
      <c r="KCG160" s="1385"/>
      <c r="KCH160" s="1385"/>
      <c r="KCI160" s="1385"/>
      <c r="KCJ160" s="1385"/>
      <c r="KCK160" s="1385"/>
      <c r="KCL160" s="1385"/>
      <c r="KCM160" s="1385"/>
      <c r="KCN160" s="1385"/>
      <c r="KCO160" s="1385"/>
      <c r="KCP160" s="1385"/>
      <c r="KCQ160" s="1385"/>
      <c r="KCR160" s="1385"/>
      <c r="KCS160" s="1385"/>
      <c r="KCT160" s="1385"/>
      <c r="KCU160" s="1385"/>
      <c r="KCV160" s="1385"/>
      <c r="KCW160" s="1385"/>
      <c r="KCX160" s="1385"/>
      <c r="KCY160" s="1385"/>
      <c r="KCZ160" s="1385"/>
      <c r="KDA160" s="1385"/>
      <c r="KDB160" s="1385"/>
      <c r="KDC160" s="1385"/>
      <c r="KDD160" s="1385"/>
      <c r="KDE160" s="1385"/>
      <c r="KDF160" s="1385"/>
      <c r="KDG160" s="1385"/>
      <c r="KDH160" s="1385"/>
      <c r="KDI160" s="1385"/>
      <c r="KDJ160" s="1385"/>
      <c r="KDK160" s="1385"/>
      <c r="KDL160" s="1385"/>
      <c r="KDM160" s="1385"/>
      <c r="KDN160" s="1385"/>
      <c r="KDO160" s="1385"/>
      <c r="KDP160" s="1385"/>
      <c r="KDQ160" s="1385"/>
      <c r="KDR160" s="1385"/>
      <c r="KDS160" s="1385"/>
      <c r="KDT160" s="1385"/>
      <c r="KDU160" s="1385"/>
      <c r="KDV160" s="1385"/>
      <c r="KDW160" s="1385"/>
      <c r="KDX160" s="1385"/>
      <c r="KDY160" s="1385"/>
      <c r="KDZ160" s="1385"/>
      <c r="KEA160" s="1385"/>
      <c r="KEB160" s="1385"/>
      <c r="KEC160" s="1385"/>
      <c r="KED160" s="1385"/>
      <c r="KEE160" s="1385"/>
      <c r="KEF160" s="1385"/>
      <c r="KEG160" s="1385"/>
      <c r="KEH160" s="1385"/>
      <c r="KEI160" s="1385"/>
      <c r="KEJ160" s="1385"/>
      <c r="KEK160" s="1385"/>
      <c r="KEL160" s="1385"/>
      <c r="KEM160" s="1385"/>
      <c r="KEN160" s="1385"/>
      <c r="KEO160" s="1385"/>
      <c r="KEP160" s="1385"/>
      <c r="KEQ160" s="1385"/>
      <c r="KER160" s="1385"/>
      <c r="KES160" s="1385"/>
      <c r="KET160" s="1385"/>
      <c r="KEU160" s="1385"/>
      <c r="KEV160" s="1385"/>
      <c r="KEW160" s="1385"/>
      <c r="KEX160" s="1385"/>
      <c r="KEY160" s="1385"/>
      <c r="KEZ160" s="1385"/>
      <c r="KFA160" s="1385"/>
      <c r="KFB160" s="1385"/>
      <c r="KFC160" s="1385"/>
      <c r="KFD160" s="1385"/>
      <c r="KFE160" s="1385"/>
      <c r="KFF160" s="1385"/>
      <c r="KFG160" s="1385"/>
      <c r="KFH160" s="1385"/>
      <c r="KFI160" s="1385"/>
      <c r="KFJ160" s="1385"/>
      <c r="KFK160" s="1385"/>
      <c r="KFL160" s="1385"/>
      <c r="KFM160" s="1385"/>
      <c r="KFN160" s="1385"/>
      <c r="KFO160" s="1385"/>
      <c r="KFP160" s="1385"/>
      <c r="KFQ160" s="1385"/>
      <c r="KFR160" s="1385"/>
      <c r="KFS160" s="1385"/>
      <c r="KFT160" s="1385"/>
      <c r="KFU160" s="1385"/>
      <c r="KFV160" s="1385"/>
      <c r="KFW160" s="1385"/>
      <c r="KFX160" s="1385"/>
      <c r="KFY160" s="1385"/>
      <c r="KFZ160" s="1385"/>
      <c r="KGA160" s="1385"/>
      <c r="KGB160" s="1385"/>
      <c r="KGC160" s="1385"/>
      <c r="KGD160" s="1385"/>
      <c r="KGE160" s="1385"/>
      <c r="KGF160" s="1385"/>
      <c r="KGG160" s="1385"/>
      <c r="KGH160" s="1385"/>
      <c r="KGI160" s="1385"/>
      <c r="KGJ160" s="1385"/>
      <c r="KGK160" s="1385"/>
      <c r="KGL160" s="1385"/>
      <c r="KGM160" s="1385"/>
      <c r="KGN160" s="1385"/>
      <c r="KGO160" s="1385"/>
      <c r="KGP160" s="1385"/>
      <c r="KGQ160" s="1385"/>
      <c r="KGR160" s="1385"/>
      <c r="KGS160" s="1385"/>
      <c r="KGT160" s="1385"/>
      <c r="KGU160" s="1385"/>
      <c r="KGV160" s="1385"/>
      <c r="KGW160" s="1385"/>
      <c r="KGX160" s="1385"/>
      <c r="KGY160" s="1385"/>
      <c r="KGZ160" s="1385"/>
      <c r="KHA160" s="1385"/>
      <c r="KHB160" s="1385"/>
      <c r="KHC160" s="1385"/>
      <c r="KHD160" s="1385"/>
      <c r="KHE160" s="1385"/>
      <c r="KHF160" s="1385"/>
      <c r="KHG160" s="1385"/>
      <c r="KHH160" s="1385"/>
      <c r="KHI160" s="1385"/>
      <c r="KHJ160" s="1385"/>
      <c r="KHK160" s="1385"/>
      <c r="KHL160" s="1385"/>
      <c r="KHM160" s="1385"/>
      <c r="KHN160" s="1385"/>
      <c r="KHO160" s="1385"/>
      <c r="KHP160" s="1385"/>
      <c r="KHQ160" s="1385"/>
      <c r="KHR160" s="1385"/>
      <c r="KHS160" s="1385"/>
      <c r="KHT160" s="1385"/>
      <c r="KHU160" s="1385"/>
      <c r="KHV160" s="1385"/>
      <c r="KHW160" s="1385"/>
      <c r="KHX160" s="1385"/>
      <c r="KHY160" s="1385"/>
      <c r="KHZ160" s="1385"/>
      <c r="KIA160" s="1385"/>
      <c r="KIB160" s="1385"/>
      <c r="KIC160" s="1385"/>
      <c r="KID160" s="1385"/>
      <c r="KIE160" s="1385"/>
      <c r="KIF160" s="1385"/>
      <c r="KIG160" s="1385"/>
      <c r="KIH160" s="1385"/>
      <c r="KII160" s="1385"/>
      <c r="KIJ160" s="1385"/>
      <c r="KIK160" s="1385"/>
      <c r="KIL160" s="1385"/>
      <c r="KIM160" s="1385"/>
      <c r="KIN160" s="1385"/>
      <c r="KIO160" s="1385"/>
      <c r="KIP160" s="1385"/>
      <c r="KIQ160" s="1385"/>
      <c r="KIR160" s="1385"/>
      <c r="KIS160" s="1385"/>
      <c r="KIT160" s="1385"/>
      <c r="KIU160" s="1385"/>
      <c r="KIV160" s="1385"/>
      <c r="KIW160" s="1385"/>
      <c r="KIX160" s="1385"/>
      <c r="KIY160" s="1385"/>
      <c r="KIZ160" s="1385"/>
      <c r="KJA160" s="1385"/>
      <c r="KJB160" s="1385"/>
      <c r="KJC160" s="1385"/>
      <c r="KJD160" s="1385"/>
      <c r="KJE160" s="1385"/>
      <c r="KJF160" s="1385"/>
      <c r="KJG160" s="1385"/>
      <c r="KJH160" s="1385"/>
      <c r="KJI160" s="1385"/>
      <c r="KJJ160" s="1385"/>
      <c r="KJK160" s="1385"/>
      <c r="KJL160" s="1385"/>
      <c r="KJM160" s="1385"/>
      <c r="KJN160" s="1385"/>
      <c r="KJO160" s="1385"/>
      <c r="KJP160" s="1385"/>
      <c r="KJQ160" s="1385"/>
      <c r="KJR160" s="1385"/>
      <c r="KJS160" s="1385"/>
      <c r="KJT160" s="1385"/>
      <c r="KJU160" s="1385"/>
      <c r="KJV160" s="1385"/>
      <c r="KJW160" s="1385"/>
      <c r="KJX160" s="1385"/>
      <c r="KJY160" s="1385"/>
      <c r="KJZ160" s="1385"/>
      <c r="KKA160" s="1385"/>
      <c r="KKB160" s="1385"/>
      <c r="KKC160" s="1385"/>
      <c r="KKD160" s="1385"/>
      <c r="KKE160" s="1385"/>
      <c r="KKF160" s="1385"/>
      <c r="KKG160" s="1385"/>
      <c r="KKH160" s="1385"/>
      <c r="KKI160" s="1385"/>
      <c r="KKJ160" s="1385"/>
      <c r="KKK160" s="1385"/>
      <c r="KKL160" s="1385"/>
      <c r="KKM160" s="1385"/>
      <c r="KKN160" s="1385"/>
      <c r="KKO160" s="1385"/>
      <c r="KKP160" s="1385"/>
      <c r="KKQ160" s="1385"/>
      <c r="KKR160" s="1385"/>
      <c r="KKS160" s="1385"/>
      <c r="KKT160" s="1385"/>
      <c r="KKU160" s="1385"/>
      <c r="KKV160" s="1385"/>
      <c r="KKW160" s="1385"/>
      <c r="KKX160" s="1385"/>
      <c r="KKY160" s="1385"/>
      <c r="KKZ160" s="1385"/>
      <c r="KLA160" s="1385"/>
      <c r="KLB160" s="1385"/>
      <c r="KLC160" s="1385"/>
      <c r="KLD160" s="1385"/>
      <c r="KLE160" s="1385"/>
      <c r="KLF160" s="1385"/>
      <c r="KLG160" s="1385"/>
      <c r="KLH160" s="1385"/>
      <c r="KLI160" s="1385"/>
      <c r="KLJ160" s="1385"/>
      <c r="KLK160" s="1385"/>
      <c r="KLL160" s="1385"/>
      <c r="KLM160" s="1385"/>
      <c r="KLN160" s="1385"/>
      <c r="KLO160" s="1385"/>
      <c r="KLP160" s="1385"/>
      <c r="KLQ160" s="1385"/>
      <c r="KLR160" s="1385"/>
      <c r="KLS160" s="1385"/>
      <c r="KLT160" s="1385"/>
      <c r="KLU160" s="1385"/>
      <c r="KLV160" s="1385"/>
      <c r="KLW160" s="1385"/>
      <c r="KLX160" s="1385"/>
      <c r="KLY160" s="1385"/>
      <c r="KLZ160" s="1385"/>
      <c r="KMA160" s="1385"/>
      <c r="KMB160" s="1385"/>
      <c r="KMC160" s="1385"/>
      <c r="KMD160" s="1385"/>
      <c r="KME160" s="1385"/>
      <c r="KMF160" s="1385"/>
      <c r="KMG160" s="1385"/>
      <c r="KMH160" s="1385"/>
      <c r="KMI160" s="1385"/>
      <c r="KMJ160" s="1385"/>
      <c r="KMK160" s="1385"/>
      <c r="KML160" s="1385"/>
      <c r="KMM160" s="1385"/>
      <c r="KMN160" s="1385"/>
      <c r="KMO160" s="1385"/>
      <c r="KMP160" s="1385"/>
      <c r="KMQ160" s="1385"/>
      <c r="KMR160" s="1385"/>
      <c r="KMS160" s="1385"/>
      <c r="KMT160" s="1385"/>
      <c r="KMU160" s="1385"/>
      <c r="KMV160" s="1385"/>
      <c r="KMW160" s="1385"/>
      <c r="KMX160" s="1385"/>
      <c r="KMY160" s="1385"/>
      <c r="KMZ160" s="1385"/>
      <c r="KNA160" s="1385"/>
      <c r="KNB160" s="1385"/>
      <c r="KNC160" s="1385"/>
      <c r="KND160" s="1385"/>
      <c r="KNE160" s="1385"/>
      <c r="KNF160" s="1385"/>
      <c r="KNG160" s="1385"/>
      <c r="KNH160" s="1385"/>
      <c r="KNI160" s="1385"/>
      <c r="KNJ160" s="1385"/>
      <c r="KNK160" s="1385"/>
      <c r="KNL160" s="1385"/>
      <c r="KNM160" s="1385"/>
      <c r="KNN160" s="1385"/>
      <c r="KNO160" s="1385"/>
      <c r="KNP160" s="1385"/>
      <c r="KNQ160" s="1385"/>
      <c r="KNR160" s="1385"/>
      <c r="KNS160" s="1385"/>
      <c r="KNT160" s="1385"/>
      <c r="KNU160" s="1385"/>
      <c r="KNV160" s="1385"/>
      <c r="KNW160" s="1385"/>
      <c r="KNX160" s="1385"/>
      <c r="KNY160" s="1385"/>
      <c r="KNZ160" s="1385"/>
      <c r="KOA160" s="1385"/>
      <c r="KOB160" s="1385"/>
      <c r="KOC160" s="1385"/>
      <c r="KOD160" s="1385"/>
      <c r="KOE160" s="1385"/>
      <c r="KOF160" s="1385"/>
      <c r="KOG160" s="1385"/>
      <c r="KOH160" s="1385"/>
      <c r="KOI160" s="1385"/>
      <c r="KOJ160" s="1385"/>
      <c r="KOK160" s="1385"/>
      <c r="KOL160" s="1385"/>
      <c r="KOM160" s="1385"/>
      <c r="KON160" s="1385"/>
      <c r="KOO160" s="1385"/>
      <c r="KOP160" s="1385"/>
      <c r="KOQ160" s="1385"/>
      <c r="KOR160" s="1385"/>
      <c r="KOS160" s="1385"/>
      <c r="KOT160" s="1385"/>
      <c r="KOU160" s="1385"/>
      <c r="KOV160" s="1385"/>
      <c r="KOW160" s="1385"/>
      <c r="KOX160" s="1385"/>
      <c r="KOY160" s="1385"/>
      <c r="KOZ160" s="1385"/>
      <c r="KPA160" s="1385"/>
      <c r="KPB160" s="1385"/>
      <c r="KPC160" s="1385"/>
      <c r="KPD160" s="1385"/>
      <c r="KPE160" s="1385"/>
      <c r="KPF160" s="1385"/>
      <c r="KPG160" s="1385"/>
      <c r="KPH160" s="1385"/>
      <c r="KPI160" s="1385"/>
      <c r="KPJ160" s="1385"/>
      <c r="KPK160" s="1385"/>
      <c r="KPL160" s="1385"/>
      <c r="KPM160" s="1385"/>
      <c r="KPN160" s="1385"/>
      <c r="KPO160" s="1385"/>
      <c r="KPP160" s="1385"/>
      <c r="KPQ160" s="1385"/>
      <c r="KPR160" s="1385"/>
      <c r="KPS160" s="1385"/>
      <c r="KPT160" s="1385"/>
      <c r="KPU160" s="1385"/>
      <c r="KPV160" s="1385"/>
      <c r="KPW160" s="1385"/>
      <c r="KPX160" s="1385"/>
      <c r="KPY160" s="1385"/>
      <c r="KPZ160" s="1385"/>
      <c r="KQA160" s="1385"/>
      <c r="KQB160" s="1385"/>
      <c r="KQC160" s="1385"/>
      <c r="KQD160" s="1385"/>
      <c r="KQE160" s="1385"/>
      <c r="KQF160" s="1385"/>
      <c r="KQG160" s="1385"/>
      <c r="KQH160" s="1385"/>
      <c r="KQI160" s="1385"/>
      <c r="KQJ160" s="1385"/>
      <c r="KQK160" s="1385"/>
      <c r="KQL160" s="1385"/>
      <c r="KQM160" s="1385"/>
      <c r="KQN160" s="1385"/>
      <c r="KQO160" s="1385"/>
      <c r="KQP160" s="1385"/>
      <c r="KQQ160" s="1385"/>
      <c r="KQR160" s="1385"/>
      <c r="KQS160" s="1385"/>
      <c r="KQT160" s="1385"/>
      <c r="KQU160" s="1385"/>
      <c r="KQV160" s="1385"/>
      <c r="KQW160" s="1385"/>
      <c r="KQX160" s="1385"/>
      <c r="KQY160" s="1385"/>
      <c r="KQZ160" s="1385"/>
      <c r="KRA160" s="1385"/>
      <c r="KRB160" s="1385"/>
      <c r="KRC160" s="1385"/>
      <c r="KRD160" s="1385"/>
      <c r="KRE160" s="1385"/>
      <c r="KRF160" s="1385"/>
      <c r="KRG160" s="1385"/>
      <c r="KRH160" s="1385"/>
      <c r="KRI160" s="1385"/>
      <c r="KRJ160" s="1385"/>
      <c r="KRK160" s="1385"/>
      <c r="KRL160" s="1385"/>
      <c r="KRM160" s="1385"/>
      <c r="KRN160" s="1385"/>
      <c r="KRO160" s="1385"/>
      <c r="KRP160" s="1385"/>
      <c r="KRQ160" s="1385"/>
      <c r="KRR160" s="1385"/>
      <c r="KRS160" s="1385"/>
      <c r="KRT160" s="1385"/>
      <c r="KRU160" s="1385"/>
      <c r="KRV160" s="1385"/>
      <c r="KRW160" s="1385"/>
      <c r="KRX160" s="1385"/>
      <c r="KRY160" s="1385"/>
      <c r="KRZ160" s="1385"/>
      <c r="KSA160" s="1385"/>
      <c r="KSB160" s="1385"/>
      <c r="KSC160" s="1385"/>
      <c r="KSD160" s="1385"/>
      <c r="KSE160" s="1385"/>
      <c r="KSF160" s="1385"/>
      <c r="KSG160" s="1385"/>
      <c r="KSH160" s="1385"/>
      <c r="KSI160" s="1385"/>
      <c r="KSJ160" s="1385"/>
      <c r="KSK160" s="1385"/>
      <c r="KSL160" s="1385"/>
      <c r="KSM160" s="1385"/>
      <c r="KSN160" s="1385"/>
      <c r="KSO160" s="1385"/>
      <c r="KSP160" s="1385"/>
      <c r="KSQ160" s="1385"/>
      <c r="KSR160" s="1385"/>
      <c r="KSS160" s="1385"/>
      <c r="KST160" s="1385"/>
      <c r="KSU160" s="1385"/>
      <c r="KSV160" s="1385"/>
      <c r="KSW160" s="1385"/>
      <c r="KSX160" s="1385"/>
      <c r="KSY160" s="1385"/>
      <c r="KSZ160" s="1385"/>
      <c r="KTA160" s="1385"/>
      <c r="KTB160" s="1385"/>
      <c r="KTC160" s="1385"/>
      <c r="KTD160" s="1385"/>
      <c r="KTE160" s="1385"/>
      <c r="KTF160" s="1385"/>
      <c r="KTG160" s="1385"/>
      <c r="KTH160" s="1385"/>
      <c r="KTI160" s="1385"/>
      <c r="KTJ160" s="1385"/>
      <c r="KTK160" s="1385"/>
      <c r="KTL160" s="1385"/>
      <c r="KTM160" s="1385"/>
      <c r="KTN160" s="1385"/>
      <c r="KTO160" s="1385"/>
      <c r="KTP160" s="1385"/>
      <c r="KTQ160" s="1385"/>
      <c r="KTR160" s="1385"/>
      <c r="KTS160" s="1385"/>
      <c r="KTT160" s="1385"/>
      <c r="KTU160" s="1385"/>
      <c r="KTV160" s="1385"/>
      <c r="KTW160" s="1385"/>
      <c r="KTX160" s="1385"/>
      <c r="KTY160" s="1385"/>
      <c r="KTZ160" s="1385"/>
      <c r="KUA160" s="1385"/>
      <c r="KUB160" s="1385"/>
      <c r="KUC160" s="1385"/>
      <c r="KUD160" s="1385"/>
      <c r="KUE160" s="1385"/>
      <c r="KUF160" s="1385"/>
      <c r="KUG160" s="1385"/>
      <c r="KUH160" s="1385"/>
      <c r="KUI160" s="1385"/>
      <c r="KUJ160" s="1385"/>
      <c r="KUK160" s="1385"/>
      <c r="KUL160" s="1385"/>
      <c r="KUM160" s="1385"/>
      <c r="KUN160" s="1385"/>
      <c r="KUO160" s="1385"/>
      <c r="KUP160" s="1385"/>
      <c r="KUQ160" s="1385"/>
      <c r="KUR160" s="1385"/>
      <c r="KUS160" s="1385"/>
      <c r="KUT160" s="1385"/>
      <c r="KUU160" s="1385"/>
      <c r="KUV160" s="1385"/>
      <c r="KUW160" s="1385"/>
      <c r="KUX160" s="1385"/>
      <c r="KUY160" s="1385"/>
      <c r="KUZ160" s="1385"/>
      <c r="KVA160" s="1385"/>
      <c r="KVB160" s="1385"/>
      <c r="KVC160" s="1385"/>
      <c r="KVD160" s="1385"/>
      <c r="KVE160" s="1385"/>
      <c r="KVF160" s="1385"/>
      <c r="KVG160" s="1385"/>
      <c r="KVH160" s="1385"/>
      <c r="KVI160" s="1385"/>
      <c r="KVJ160" s="1385"/>
      <c r="KVK160" s="1385"/>
      <c r="KVL160" s="1385"/>
      <c r="KVM160" s="1385"/>
      <c r="KVN160" s="1385"/>
      <c r="KVO160" s="1385"/>
      <c r="KVP160" s="1385"/>
      <c r="KVQ160" s="1385"/>
      <c r="KVR160" s="1385"/>
      <c r="KVS160" s="1385"/>
      <c r="KVT160" s="1385"/>
      <c r="KVU160" s="1385"/>
      <c r="KVV160" s="1385"/>
      <c r="KVW160" s="1385"/>
      <c r="KVX160" s="1385"/>
      <c r="KVY160" s="1385"/>
      <c r="KVZ160" s="1385"/>
      <c r="KWA160" s="1385"/>
      <c r="KWB160" s="1385"/>
      <c r="KWC160" s="1385"/>
      <c r="KWD160" s="1385"/>
      <c r="KWE160" s="1385"/>
      <c r="KWF160" s="1385"/>
      <c r="KWG160" s="1385"/>
      <c r="KWH160" s="1385"/>
      <c r="KWI160" s="1385"/>
      <c r="KWJ160" s="1385"/>
      <c r="KWK160" s="1385"/>
      <c r="KWL160" s="1385"/>
      <c r="KWM160" s="1385"/>
      <c r="KWN160" s="1385"/>
      <c r="KWO160" s="1385"/>
      <c r="KWP160" s="1385"/>
      <c r="KWQ160" s="1385"/>
      <c r="KWR160" s="1385"/>
      <c r="KWS160" s="1385"/>
      <c r="KWT160" s="1385"/>
      <c r="KWU160" s="1385"/>
      <c r="KWV160" s="1385"/>
      <c r="KWW160" s="1385"/>
      <c r="KWX160" s="1385"/>
      <c r="KWY160" s="1385"/>
      <c r="KWZ160" s="1385"/>
      <c r="KXA160" s="1385"/>
      <c r="KXB160" s="1385"/>
      <c r="KXC160" s="1385"/>
      <c r="KXD160" s="1385"/>
      <c r="KXE160" s="1385"/>
      <c r="KXF160" s="1385"/>
      <c r="KXG160" s="1385"/>
      <c r="KXH160" s="1385"/>
      <c r="KXI160" s="1385"/>
      <c r="KXJ160" s="1385"/>
      <c r="KXK160" s="1385"/>
      <c r="KXL160" s="1385"/>
      <c r="KXM160" s="1385"/>
      <c r="KXN160" s="1385"/>
      <c r="KXO160" s="1385"/>
      <c r="KXP160" s="1385"/>
      <c r="KXQ160" s="1385"/>
      <c r="KXR160" s="1385"/>
      <c r="KXS160" s="1385"/>
      <c r="KXT160" s="1385"/>
      <c r="KXU160" s="1385"/>
      <c r="KXV160" s="1385"/>
      <c r="KXW160" s="1385"/>
      <c r="KXX160" s="1385"/>
      <c r="KXY160" s="1385"/>
      <c r="KXZ160" s="1385"/>
      <c r="KYA160" s="1385"/>
      <c r="KYB160" s="1385"/>
      <c r="KYC160" s="1385"/>
      <c r="KYD160" s="1385"/>
      <c r="KYE160" s="1385"/>
      <c r="KYF160" s="1385"/>
      <c r="KYG160" s="1385"/>
      <c r="KYH160" s="1385"/>
      <c r="KYI160" s="1385"/>
      <c r="KYJ160" s="1385"/>
      <c r="KYK160" s="1385"/>
      <c r="KYL160" s="1385"/>
      <c r="KYM160" s="1385"/>
      <c r="KYN160" s="1385"/>
      <c r="KYO160" s="1385"/>
      <c r="KYP160" s="1385"/>
      <c r="KYQ160" s="1385"/>
      <c r="KYR160" s="1385"/>
      <c r="KYS160" s="1385"/>
      <c r="KYT160" s="1385"/>
      <c r="KYU160" s="1385"/>
      <c r="KYV160" s="1385"/>
      <c r="KYW160" s="1385"/>
      <c r="KYX160" s="1385"/>
      <c r="KYY160" s="1385"/>
      <c r="KYZ160" s="1385"/>
      <c r="KZA160" s="1385"/>
      <c r="KZB160" s="1385"/>
      <c r="KZC160" s="1385"/>
      <c r="KZD160" s="1385"/>
      <c r="KZE160" s="1385"/>
      <c r="KZF160" s="1385"/>
      <c r="KZG160" s="1385"/>
      <c r="KZH160" s="1385"/>
      <c r="KZI160" s="1385"/>
      <c r="KZJ160" s="1385"/>
      <c r="KZK160" s="1385"/>
      <c r="KZL160" s="1385"/>
      <c r="KZM160" s="1385"/>
      <c r="KZN160" s="1385"/>
      <c r="KZO160" s="1385"/>
      <c r="KZP160" s="1385"/>
      <c r="KZQ160" s="1385"/>
      <c r="KZR160" s="1385"/>
      <c r="KZS160" s="1385"/>
      <c r="KZT160" s="1385"/>
      <c r="KZU160" s="1385"/>
      <c r="KZV160" s="1385"/>
      <c r="KZW160" s="1385"/>
      <c r="KZX160" s="1385"/>
      <c r="KZY160" s="1385"/>
      <c r="KZZ160" s="1385"/>
      <c r="LAA160" s="1385"/>
      <c r="LAB160" s="1385"/>
      <c r="LAC160" s="1385"/>
      <c r="LAD160" s="1385"/>
      <c r="LAE160" s="1385"/>
      <c r="LAF160" s="1385"/>
      <c r="LAG160" s="1385"/>
      <c r="LAH160" s="1385"/>
      <c r="LAI160" s="1385"/>
      <c r="LAJ160" s="1385"/>
      <c r="LAK160" s="1385"/>
      <c r="LAL160" s="1385"/>
      <c r="LAM160" s="1385"/>
      <c r="LAN160" s="1385"/>
      <c r="LAO160" s="1385"/>
      <c r="LAP160" s="1385"/>
      <c r="LAQ160" s="1385"/>
      <c r="LAR160" s="1385"/>
      <c r="LAS160" s="1385"/>
      <c r="LAT160" s="1385"/>
      <c r="LAU160" s="1385"/>
      <c r="LAV160" s="1385"/>
      <c r="LAW160" s="1385"/>
      <c r="LAX160" s="1385"/>
      <c r="LAY160" s="1385"/>
      <c r="LAZ160" s="1385"/>
      <c r="LBA160" s="1385"/>
      <c r="LBB160" s="1385"/>
      <c r="LBC160" s="1385"/>
      <c r="LBD160" s="1385"/>
      <c r="LBE160" s="1385"/>
      <c r="LBF160" s="1385"/>
      <c r="LBG160" s="1385"/>
      <c r="LBH160" s="1385"/>
      <c r="LBI160" s="1385"/>
      <c r="LBJ160" s="1385"/>
      <c r="LBK160" s="1385"/>
      <c r="LBL160" s="1385"/>
      <c r="LBM160" s="1385"/>
      <c r="LBN160" s="1385"/>
      <c r="LBO160" s="1385"/>
      <c r="LBP160" s="1385"/>
      <c r="LBQ160" s="1385"/>
      <c r="LBR160" s="1385"/>
      <c r="LBS160" s="1385"/>
      <c r="LBT160" s="1385"/>
      <c r="LBU160" s="1385"/>
      <c r="LBV160" s="1385"/>
      <c r="LBW160" s="1385"/>
      <c r="LBX160" s="1385"/>
      <c r="LBY160" s="1385"/>
      <c r="LBZ160" s="1385"/>
      <c r="LCA160" s="1385"/>
      <c r="LCB160" s="1385"/>
      <c r="LCC160" s="1385"/>
      <c r="LCD160" s="1385"/>
      <c r="LCE160" s="1385"/>
      <c r="LCF160" s="1385"/>
      <c r="LCG160" s="1385"/>
      <c r="LCH160" s="1385"/>
      <c r="LCI160" s="1385"/>
      <c r="LCJ160" s="1385"/>
      <c r="LCK160" s="1385"/>
      <c r="LCL160" s="1385"/>
      <c r="LCM160" s="1385"/>
      <c r="LCN160" s="1385"/>
      <c r="LCO160" s="1385"/>
      <c r="LCP160" s="1385"/>
      <c r="LCQ160" s="1385"/>
      <c r="LCR160" s="1385"/>
      <c r="LCS160" s="1385"/>
      <c r="LCT160" s="1385"/>
      <c r="LCU160" s="1385"/>
      <c r="LCV160" s="1385"/>
      <c r="LCW160" s="1385"/>
      <c r="LCX160" s="1385"/>
      <c r="LCY160" s="1385"/>
      <c r="LCZ160" s="1385"/>
      <c r="LDA160" s="1385"/>
      <c r="LDB160" s="1385"/>
      <c r="LDC160" s="1385"/>
      <c r="LDD160" s="1385"/>
      <c r="LDE160" s="1385"/>
      <c r="LDF160" s="1385"/>
      <c r="LDG160" s="1385"/>
      <c r="LDH160" s="1385"/>
      <c r="LDI160" s="1385"/>
      <c r="LDJ160" s="1385"/>
      <c r="LDK160" s="1385"/>
      <c r="LDL160" s="1385"/>
      <c r="LDM160" s="1385"/>
      <c r="LDN160" s="1385"/>
      <c r="LDO160" s="1385"/>
      <c r="LDP160" s="1385"/>
      <c r="LDQ160" s="1385"/>
      <c r="LDR160" s="1385"/>
      <c r="LDS160" s="1385"/>
      <c r="LDT160" s="1385"/>
      <c r="LDU160" s="1385"/>
      <c r="LDV160" s="1385"/>
      <c r="LDW160" s="1385"/>
      <c r="LDX160" s="1385"/>
      <c r="LDY160" s="1385"/>
      <c r="LDZ160" s="1385"/>
      <c r="LEA160" s="1385"/>
      <c r="LEB160" s="1385"/>
      <c r="LEC160" s="1385"/>
      <c r="LED160" s="1385"/>
      <c r="LEE160" s="1385"/>
      <c r="LEF160" s="1385"/>
      <c r="LEG160" s="1385"/>
      <c r="LEH160" s="1385"/>
      <c r="LEI160" s="1385"/>
      <c r="LEJ160" s="1385"/>
      <c r="LEK160" s="1385"/>
      <c r="LEL160" s="1385"/>
      <c r="LEM160" s="1385"/>
      <c r="LEN160" s="1385"/>
      <c r="LEO160" s="1385"/>
      <c r="LEP160" s="1385"/>
      <c r="LEQ160" s="1385"/>
      <c r="LER160" s="1385"/>
      <c r="LES160" s="1385"/>
      <c r="LET160" s="1385"/>
      <c r="LEU160" s="1385"/>
      <c r="LEV160" s="1385"/>
      <c r="LEW160" s="1385"/>
      <c r="LEX160" s="1385"/>
      <c r="LEY160" s="1385"/>
      <c r="LEZ160" s="1385"/>
      <c r="LFA160" s="1385"/>
      <c r="LFB160" s="1385"/>
      <c r="LFC160" s="1385"/>
      <c r="LFD160" s="1385"/>
      <c r="LFE160" s="1385"/>
      <c r="LFF160" s="1385"/>
      <c r="LFG160" s="1385"/>
      <c r="LFH160" s="1385"/>
      <c r="LFI160" s="1385"/>
      <c r="LFJ160" s="1385"/>
      <c r="LFK160" s="1385"/>
      <c r="LFL160" s="1385"/>
      <c r="LFM160" s="1385"/>
      <c r="LFN160" s="1385"/>
      <c r="LFO160" s="1385"/>
      <c r="LFP160" s="1385"/>
      <c r="LFQ160" s="1385"/>
      <c r="LFR160" s="1385"/>
      <c r="LFS160" s="1385"/>
      <c r="LFT160" s="1385"/>
      <c r="LFU160" s="1385"/>
      <c r="LFV160" s="1385"/>
      <c r="LFW160" s="1385"/>
      <c r="LFX160" s="1385"/>
      <c r="LFY160" s="1385"/>
      <c r="LFZ160" s="1385"/>
      <c r="LGA160" s="1385"/>
      <c r="LGB160" s="1385"/>
      <c r="LGC160" s="1385"/>
      <c r="LGD160" s="1385"/>
      <c r="LGE160" s="1385"/>
      <c r="LGF160" s="1385"/>
      <c r="LGG160" s="1385"/>
      <c r="LGH160" s="1385"/>
      <c r="LGI160" s="1385"/>
      <c r="LGJ160" s="1385"/>
      <c r="LGK160" s="1385"/>
      <c r="LGL160" s="1385"/>
      <c r="LGM160" s="1385"/>
      <c r="LGN160" s="1385"/>
      <c r="LGO160" s="1385"/>
      <c r="LGP160" s="1385"/>
      <c r="LGQ160" s="1385"/>
      <c r="LGR160" s="1385"/>
      <c r="LGS160" s="1385"/>
      <c r="LGT160" s="1385"/>
      <c r="LGU160" s="1385"/>
      <c r="LGV160" s="1385"/>
      <c r="LGW160" s="1385"/>
      <c r="LGX160" s="1385"/>
      <c r="LGY160" s="1385"/>
      <c r="LGZ160" s="1385"/>
      <c r="LHA160" s="1385"/>
      <c r="LHB160" s="1385"/>
      <c r="LHC160" s="1385"/>
      <c r="LHD160" s="1385"/>
      <c r="LHE160" s="1385"/>
      <c r="LHF160" s="1385"/>
      <c r="LHG160" s="1385"/>
      <c r="LHH160" s="1385"/>
      <c r="LHI160" s="1385"/>
      <c r="LHJ160" s="1385"/>
      <c r="LHK160" s="1385"/>
      <c r="LHL160" s="1385"/>
      <c r="LHM160" s="1385"/>
      <c r="LHN160" s="1385"/>
      <c r="LHO160" s="1385"/>
      <c r="LHP160" s="1385"/>
      <c r="LHQ160" s="1385"/>
      <c r="LHR160" s="1385"/>
      <c r="LHS160" s="1385"/>
      <c r="LHT160" s="1385"/>
      <c r="LHU160" s="1385"/>
      <c r="LHV160" s="1385"/>
      <c r="LHW160" s="1385"/>
      <c r="LHX160" s="1385"/>
      <c r="LHY160" s="1385"/>
      <c r="LHZ160" s="1385"/>
      <c r="LIA160" s="1385"/>
      <c r="LIB160" s="1385"/>
      <c r="LIC160" s="1385"/>
      <c r="LID160" s="1385"/>
      <c r="LIE160" s="1385"/>
      <c r="LIF160" s="1385"/>
      <c r="LIG160" s="1385"/>
      <c r="LIH160" s="1385"/>
      <c r="LII160" s="1385"/>
      <c r="LIJ160" s="1385"/>
      <c r="LIK160" s="1385"/>
      <c r="LIL160" s="1385"/>
      <c r="LIM160" s="1385"/>
      <c r="LIN160" s="1385"/>
      <c r="LIO160" s="1385"/>
      <c r="LIP160" s="1385"/>
      <c r="LIQ160" s="1385"/>
      <c r="LIR160" s="1385"/>
      <c r="LIS160" s="1385"/>
      <c r="LIT160" s="1385"/>
      <c r="LIU160" s="1385"/>
      <c r="LIV160" s="1385"/>
      <c r="LIW160" s="1385"/>
      <c r="LIX160" s="1385"/>
      <c r="LIY160" s="1385"/>
      <c r="LIZ160" s="1385"/>
      <c r="LJA160" s="1385"/>
      <c r="LJB160" s="1385"/>
      <c r="LJC160" s="1385"/>
      <c r="LJD160" s="1385"/>
      <c r="LJE160" s="1385"/>
      <c r="LJF160" s="1385"/>
      <c r="LJG160" s="1385"/>
      <c r="LJH160" s="1385"/>
      <c r="LJI160" s="1385"/>
      <c r="LJJ160" s="1385"/>
      <c r="LJK160" s="1385"/>
      <c r="LJL160" s="1385"/>
      <c r="LJM160" s="1385"/>
      <c r="LJN160" s="1385"/>
      <c r="LJO160" s="1385"/>
      <c r="LJP160" s="1385"/>
      <c r="LJQ160" s="1385"/>
      <c r="LJR160" s="1385"/>
      <c r="LJS160" s="1385"/>
      <c r="LJT160" s="1385"/>
      <c r="LJU160" s="1385"/>
      <c r="LJV160" s="1385"/>
      <c r="LJW160" s="1385"/>
      <c r="LJX160" s="1385"/>
      <c r="LJY160" s="1385"/>
      <c r="LJZ160" s="1385"/>
      <c r="LKA160" s="1385"/>
      <c r="LKB160" s="1385"/>
      <c r="LKC160" s="1385"/>
      <c r="LKD160" s="1385"/>
      <c r="LKE160" s="1385"/>
      <c r="LKF160" s="1385"/>
      <c r="LKG160" s="1385"/>
      <c r="LKH160" s="1385"/>
      <c r="LKI160" s="1385"/>
      <c r="LKJ160" s="1385"/>
      <c r="LKK160" s="1385"/>
      <c r="LKL160" s="1385"/>
      <c r="LKM160" s="1385"/>
      <c r="LKN160" s="1385"/>
      <c r="LKO160" s="1385"/>
      <c r="LKP160" s="1385"/>
      <c r="LKQ160" s="1385"/>
      <c r="LKR160" s="1385"/>
      <c r="LKS160" s="1385"/>
      <c r="LKT160" s="1385"/>
      <c r="LKU160" s="1385"/>
      <c r="LKV160" s="1385"/>
      <c r="LKW160" s="1385"/>
      <c r="LKX160" s="1385"/>
      <c r="LKY160" s="1385"/>
      <c r="LKZ160" s="1385"/>
      <c r="LLA160" s="1385"/>
      <c r="LLB160" s="1385"/>
      <c r="LLC160" s="1385"/>
      <c r="LLD160" s="1385"/>
      <c r="LLE160" s="1385"/>
      <c r="LLF160" s="1385"/>
      <c r="LLG160" s="1385"/>
      <c r="LLH160" s="1385"/>
      <c r="LLI160" s="1385"/>
      <c r="LLJ160" s="1385"/>
      <c r="LLK160" s="1385"/>
      <c r="LLL160" s="1385"/>
      <c r="LLM160" s="1385"/>
      <c r="LLN160" s="1385"/>
      <c r="LLO160" s="1385"/>
      <c r="LLP160" s="1385"/>
      <c r="LLQ160" s="1385"/>
      <c r="LLR160" s="1385"/>
      <c r="LLS160" s="1385"/>
      <c r="LLT160" s="1385"/>
      <c r="LLU160" s="1385"/>
      <c r="LLV160" s="1385"/>
      <c r="LLW160" s="1385"/>
      <c r="LLX160" s="1385"/>
      <c r="LLY160" s="1385"/>
      <c r="LLZ160" s="1385"/>
      <c r="LMA160" s="1385"/>
      <c r="LMB160" s="1385"/>
      <c r="LMC160" s="1385"/>
      <c r="LMD160" s="1385"/>
      <c r="LME160" s="1385"/>
      <c r="LMF160" s="1385"/>
      <c r="LMG160" s="1385"/>
      <c r="LMH160" s="1385"/>
      <c r="LMI160" s="1385"/>
      <c r="LMJ160" s="1385"/>
      <c r="LMK160" s="1385"/>
      <c r="LML160" s="1385"/>
      <c r="LMM160" s="1385"/>
      <c r="LMN160" s="1385"/>
      <c r="LMO160" s="1385"/>
      <c r="LMP160" s="1385"/>
      <c r="LMQ160" s="1385"/>
      <c r="LMR160" s="1385"/>
      <c r="LMS160" s="1385"/>
      <c r="LMT160" s="1385"/>
      <c r="LMU160" s="1385"/>
      <c r="LMV160" s="1385"/>
      <c r="LMW160" s="1385"/>
      <c r="LMX160" s="1385"/>
      <c r="LMY160" s="1385"/>
      <c r="LMZ160" s="1385"/>
      <c r="LNA160" s="1385"/>
      <c r="LNB160" s="1385"/>
      <c r="LNC160" s="1385"/>
      <c r="LND160" s="1385"/>
      <c r="LNE160" s="1385"/>
      <c r="LNF160" s="1385"/>
      <c r="LNG160" s="1385"/>
      <c r="LNH160" s="1385"/>
      <c r="LNI160" s="1385"/>
      <c r="LNJ160" s="1385"/>
      <c r="LNK160" s="1385"/>
      <c r="LNL160" s="1385"/>
      <c r="LNM160" s="1385"/>
      <c r="LNN160" s="1385"/>
      <c r="LNO160" s="1385"/>
      <c r="LNP160" s="1385"/>
      <c r="LNQ160" s="1385"/>
      <c r="LNR160" s="1385"/>
      <c r="LNS160" s="1385"/>
      <c r="LNT160" s="1385"/>
      <c r="LNU160" s="1385"/>
      <c r="LNV160" s="1385"/>
      <c r="LNW160" s="1385"/>
      <c r="LNX160" s="1385"/>
      <c r="LNY160" s="1385"/>
      <c r="LNZ160" s="1385"/>
      <c r="LOA160" s="1385"/>
      <c r="LOB160" s="1385"/>
      <c r="LOC160" s="1385"/>
      <c r="LOD160" s="1385"/>
      <c r="LOE160" s="1385"/>
      <c r="LOF160" s="1385"/>
      <c r="LOG160" s="1385"/>
      <c r="LOH160" s="1385"/>
      <c r="LOI160" s="1385"/>
      <c r="LOJ160" s="1385"/>
      <c r="LOK160" s="1385"/>
      <c r="LOL160" s="1385"/>
      <c r="LOM160" s="1385"/>
      <c r="LON160" s="1385"/>
      <c r="LOO160" s="1385"/>
      <c r="LOP160" s="1385"/>
      <c r="LOQ160" s="1385"/>
      <c r="LOR160" s="1385"/>
      <c r="LOS160" s="1385"/>
      <c r="LOT160" s="1385"/>
      <c r="LOU160" s="1385"/>
      <c r="LOV160" s="1385"/>
      <c r="LOW160" s="1385"/>
      <c r="LOX160" s="1385"/>
      <c r="LOY160" s="1385"/>
      <c r="LOZ160" s="1385"/>
      <c r="LPA160" s="1385"/>
      <c r="LPB160" s="1385"/>
      <c r="LPC160" s="1385"/>
      <c r="LPD160" s="1385"/>
      <c r="LPE160" s="1385"/>
      <c r="LPF160" s="1385"/>
      <c r="LPG160" s="1385"/>
      <c r="LPH160" s="1385"/>
      <c r="LPI160" s="1385"/>
      <c r="LPJ160" s="1385"/>
      <c r="LPK160" s="1385"/>
      <c r="LPL160" s="1385"/>
      <c r="LPM160" s="1385"/>
      <c r="LPN160" s="1385"/>
      <c r="LPO160" s="1385"/>
      <c r="LPP160" s="1385"/>
      <c r="LPQ160" s="1385"/>
      <c r="LPR160" s="1385"/>
      <c r="LPS160" s="1385"/>
      <c r="LPT160" s="1385"/>
      <c r="LPU160" s="1385"/>
      <c r="LPV160" s="1385"/>
      <c r="LPW160" s="1385"/>
      <c r="LPX160" s="1385"/>
      <c r="LPY160" s="1385"/>
      <c r="LPZ160" s="1385"/>
      <c r="LQA160" s="1385"/>
      <c r="LQB160" s="1385"/>
      <c r="LQC160" s="1385"/>
      <c r="LQD160" s="1385"/>
      <c r="LQE160" s="1385"/>
      <c r="LQF160" s="1385"/>
      <c r="LQG160" s="1385"/>
      <c r="LQH160" s="1385"/>
      <c r="LQI160" s="1385"/>
      <c r="LQJ160" s="1385"/>
      <c r="LQK160" s="1385"/>
      <c r="LQL160" s="1385"/>
      <c r="LQM160" s="1385"/>
      <c r="LQN160" s="1385"/>
      <c r="LQO160" s="1385"/>
      <c r="LQP160" s="1385"/>
      <c r="LQQ160" s="1385"/>
      <c r="LQR160" s="1385"/>
      <c r="LQS160" s="1385"/>
      <c r="LQT160" s="1385"/>
      <c r="LQU160" s="1385"/>
      <c r="LQV160" s="1385"/>
      <c r="LQW160" s="1385"/>
      <c r="LQX160" s="1385"/>
      <c r="LQY160" s="1385"/>
      <c r="LQZ160" s="1385"/>
      <c r="LRA160" s="1385"/>
      <c r="LRB160" s="1385"/>
      <c r="LRC160" s="1385"/>
      <c r="LRD160" s="1385"/>
      <c r="LRE160" s="1385"/>
      <c r="LRF160" s="1385"/>
      <c r="LRG160" s="1385"/>
      <c r="LRH160" s="1385"/>
      <c r="LRI160" s="1385"/>
      <c r="LRJ160" s="1385"/>
      <c r="LRK160" s="1385"/>
      <c r="LRL160" s="1385"/>
      <c r="LRM160" s="1385"/>
      <c r="LRN160" s="1385"/>
      <c r="LRO160" s="1385"/>
      <c r="LRP160" s="1385"/>
      <c r="LRQ160" s="1385"/>
      <c r="LRR160" s="1385"/>
      <c r="LRS160" s="1385"/>
      <c r="LRT160" s="1385"/>
      <c r="LRU160" s="1385"/>
      <c r="LRV160" s="1385"/>
      <c r="LRW160" s="1385"/>
      <c r="LRX160" s="1385"/>
      <c r="LRY160" s="1385"/>
      <c r="LRZ160" s="1385"/>
      <c r="LSA160" s="1385"/>
      <c r="LSB160" s="1385"/>
      <c r="LSC160" s="1385"/>
      <c r="LSD160" s="1385"/>
      <c r="LSE160" s="1385"/>
      <c r="LSF160" s="1385"/>
      <c r="LSG160" s="1385"/>
      <c r="LSH160" s="1385"/>
      <c r="LSI160" s="1385"/>
      <c r="LSJ160" s="1385"/>
      <c r="LSK160" s="1385"/>
      <c r="LSL160" s="1385"/>
      <c r="LSM160" s="1385"/>
      <c r="LSN160" s="1385"/>
      <c r="LSO160" s="1385"/>
      <c r="LSP160" s="1385"/>
      <c r="LSQ160" s="1385"/>
      <c r="LSR160" s="1385"/>
      <c r="LSS160" s="1385"/>
      <c r="LST160" s="1385"/>
      <c r="LSU160" s="1385"/>
      <c r="LSV160" s="1385"/>
      <c r="LSW160" s="1385"/>
      <c r="LSX160" s="1385"/>
      <c r="LSY160" s="1385"/>
      <c r="LSZ160" s="1385"/>
      <c r="LTA160" s="1385"/>
      <c r="LTB160" s="1385"/>
      <c r="LTC160" s="1385"/>
      <c r="LTD160" s="1385"/>
      <c r="LTE160" s="1385"/>
      <c r="LTF160" s="1385"/>
      <c r="LTG160" s="1385"/>
      <c r="LTH160" s="1385"/>
      <c r="LTI160" s="1385"/>
      <c r="LTJ160" s="1385"/>
      <c r="LTK160" s="1385"/>
      <c r="LTL160" s="1385"/>
      <c r="LTM160" s="1385"/>
      <c r="LTN160" s="1385"/>
      <c r="LTO160" s="1385"/>
      <c r="LTP160" s="1385"/>
      <c r="LTQ160" s="1385"/>
      <c r="LTR160" s="1385"/>
      <c r="LTS160" s="1385"/>
      <c r="LTT160" s="1385"/>
      <c r="LTU160" s="1385"/>
      <c r="LTV160" s="1385"/>
      <c r="LTW160" s="1385"/>
      <c r="LTX160" s="1385"/>
      <c r="LTY160" s="1385"/>
      <c r="LTZ160" s="1385"/>
      <c r="LUA160" s="1385"/>
      <c r="LUB160" s="1385"/>
      <c r="LUC160" s="1385"/>
      <c r="LUD160" s="1385"/>
      <c r="LUE160" s="1385"/>
      <c r="LUF160" s="1385"/>
      <c r="LUG160" s="1385"/>
      <c r="LUH160" s="1385"/>
      <c r="LUI160" s="1385"/>
      <c r="LUJ160" s="1385"/>
      <c r="LUK160" s="1385"/>
      <c r="LUL160" s="1385"/>
      <c r="LUM160" s="1385"/>
      <c r="LUN160" s="1385"/>
      <c r="LUO160" s="1385"/>
      <c r="LUP160" s="1385"/>
      <c r="LUQ160" s="1385"/>
      <c r="LUR160" s="1385"/>
      <c r="LUS160" s="1385"/>
      <c r="LUT160" s="1385"/>
      <c r="LUU160" s="1385"/>
      <c r="LUV160" s="1385"/>
      <c r="LUW160" s="1385"/>
      <c r="LUX160" s="1385"/>
      <c r="LUY160" s="1385"/>
      <c r="LUZ160" s="1385"/>
      <c r="LVA160" s="1385"/>
      <c r="LVB160" s="1385"/>
      <c r="LVC160" s="1385"/>
      <c r="LVD160" s="1385"/>
      <c r="LVE160" s="1385"/>
      <c r="LVF160" s="1385"/>
      <c r="LVG160" s="1385"/>
      <c r="LVH160" s="1385"/>
      <c r="LVI160" s="1385"/>
      <c r="LVJ160" s="1385"/>
      <c r="LVK160" s="1385"/>
      <c r="LVL160" s="1385"/>
      <c r="LVM160" s="1385"/>
      <c r="LVN160" s="1385"/>
      <c r="LVO160" s="1385"/>
      <c r="LVP160" s="1385"/>
      <c r="LVQ160" s="1385"/>
      <c r="LVR160" s="1385"/>
      <c r="LVS160" s="1385"/>
      <c r="LVT160" s="1385"/>
      <c r="LVU160" s="1385"/>
      <c r="LVV160" s="1385"/>
      <c r="LVW160" s="1385"/>
      <c r="LVX160" s="1385"/>
      <c r="LVY160" s="1385"/>
      <c r="LVZ160" s="1385"/>
      <c r="LWA160" s="1385"/>
      <c r="LWB160" s="1385"/>
      <c r="LWC160" s="1385"/>
      <c r="LWD160" s="1385"/>
      <c r="LWE160" s="1385"/>
      <c r="LWF160" s="1385"/>
      <c r="LWG160" s="1385"/>
      <c r="LWH160" s="1385"/>
      <c r="LWI160" s="1385"/>
      <c r="LWJ160" s="1385"/>
      <c r="LWK160" s="1385"/>
      <c r="LWL160" s="1385"/>
      <c r="LWM160" s="1385"/>
      <c r="LWN160" s="1385"/>
      <c r="LWO160" s="1385"/>
      <c r="LWP160" s="1385"/>
      <c r="LWQ160" s="1385"/>
      <c r="LWR160" s="1385"/>
      <c r="LWS160" s="1385"/>
      <c r="LWT160" s="1385"/>
      <c r="LWU160" s="1385"/>
      <c r="LWV160" s="1385"/>
      <c r="LWW160" s="1385"/>
      <c r="LWX160" s="1385"/>
      <c r="LWY160" s="1385"/>
      <c r="LWZ160" s="1385"/>
      <c r="LXA160" s="1385"/>
      <c r="LXB160" s="1385"/>
      <c r="LXC160" s="1385"/>
      <c r="LXD160" s="1385"/>
      <c r="LXE160" s="1385"/>
      <c r="LXF160" s="1385"/>
      <c r="LXG160" s="1385"/>
      <c r="LXH160" s="1385"/>
      <c r="LXI160" s="1385"/>
      <c r="LXJ160" s="1385"/>
      <c r="LXK160" s="1385"/>
      <c r="LXL160" s="1385"/>
      <c r="LXM160" s="1385"/>
      <c r="LXN160" s="1385"/>
      <c r="LXO160" s="1385"/>
      <c r="LXP160" s="1385"/>
      <c r="LXQ160" s="1385"/>
      <c r="LXR160" s="1385"/>
      <c r="LXS160" s="1385"/>
      <c r="LXT160" s="1385"/>
      <c r="LXU160" s="1385"/>
      <c r="LXV160" s="1385"/>
      <c r="LXW160" s="1385"/>
      <c r="LXX160" s="1385"/>
      <c r="LXY160" s="1385"/>
      <c r="LXZ160" s="1385"/>
      <c r="LYA160" s="1385"/>
      <c r="LYB160" s="1385"/>
      <c r="LYC160" s="1385"/>
      <c r="LYD160" s="1385"/>
      <c r="LYE160" s="1385"/>
      <c r="LYF160" s="1385"/>
      <c r="LYG160" s="1385"/>
      <c r="LYH160" s="1385"/>
      <c r="LYI160" s="1385"/>
      <c r="LYJ160" s="1385"/>
      <c r="LYK160" s="1385"/>
      <c r="LYL160" s="1385"/>
      <c r="LYM160" s="1385"/>
      <c r="LYN160" s="1385"/>
      <c r="LYO160" s="1385"/>
      <c r="LYP160" s="1385"/>
      <c r="LYQ160" s="1385"/>
      <c r="LYR160" s="1385"/>
      <c r="LYS160" s="1385"/>
      <c r="LYT160" s="1385"/>
      <c r="LYU160" s="1385"/>
      <c r="LYV160" s="1385"/>
      <c r="LYW160" s="1385"/>
      <c r="LYX160" s="1385"/>
      <c r="LYY160" s="1385"/>
      <c r="LYZ160" s="1385"/>
      <c r="LZA160" s="1385"/>
      <c r="LZB160" s="1385"/>
      <c r="LZC160" s="1385"/>
      <c r="LZD160" s="1385"/>
      <c r="LZE160" s="1385"/>
      <c r="LZF160" s="1385"/>
      <c r="LZG160" s="1385"/>
      <c r="LZH160" s="1385"/>
      <c r="LZI160" s="1385"/>
      <c r="LZJ160" s="1385"/>
      <c r="LZK160" s="1385"/>
      <c r="LZL160" s="1385"/>
      <c r="LZM160" s="1385"/>
      <c r="LZN160" s="1385"/>
      <c r="LZO160" s="1385"/>
      <c r="LZP160" s="1385"/>
      <c r="LZQ160" s="1385"/>
      <c r="LZR160" s="1385"/>
      <c r="LZS160" s="1385"/>
      <c r="LZT160" s="1385"/>
      <c r="LZU160" s="1385"/>
      <c r="LZV160" s="1385"/>
      <c r="LZW160" s="1385"/>
      <c r="LZX160" s="1385"/>
      <c r="LZY160" s="1385"/>
      <c r="LZZ160" s="1385"/>
      <c r="MAA160" s="1385"/>
      <c r="MAB160" s="1385"/>
      <c r="MAC160" s="1385"/>
      <c r="MAD160" s="1385"/>
      <c r="MAE160" s="1385"/>
      <c r="MAF160" s="1385"/>
      <c r="MAG160" s="1385"/>
      <c r="MAH160" s="1385"/>
      <c r="MAI160" s="1385"/>
      <c r="MAJ160" s="1385"/>
      <c r="MAK160" s="1385"/>
      <c r="MAL160" s="1385"/>
      <c r="MAM160" s="1385"/>
      <c r="MAN160" s="1385"/>
      <c r="MAO160" s="1385"/>
      <c r="MAP160" s="1385"/>
      <c r="MAQ160" s="1385"/>
      <c r="MAR160" s="1385"/>
      <c r="MAS160" s="1385"/>
      <c r="MAT160" s="1385"/>
      <c r="MAU160" s="1385"/>
      <c r="MAV160" s="1385"/>
      <c r="MAW160" s="1385"/>
      <c r="MAX160" s="1385"/>
      <c r="MAY160" s="1385"/>
      <c r="MAZ160" s="1385"/>
      <c r="MBA160" s="1385"/>
      <c r="MBB160" s="1385"/>
      <c r="MBC160" s="1385"/>
      <c r="MBD160" s="1385"/>
      <c r="MBE160" s="1385"/>
      <c r="MBF160" s="1385"/>
      <c r="MBG160" s="1385"/>
      <c r="MBH160" s="1385"/>
      <c r="MBI160" s="1385"/>
      <c r="MBJ160" s="1385"/>
      <c r="MBK160" s="1385"/>
      <c r="MBL160" s="1385"/>
      <c r="MBM160" s="1385"/>
      <c r="MBN160" s="1385"/>
      <c r="MBO160" s="1385"/>
      <c r="MBP160" s="1385"/>
      <c r="MBQ160" s="1385"/>
      <c r="MBR160" s="1385"/>
      <c r="MBS160" s="1385"/>
      <c r="MBT160" s="1385"/>
      <c r="MBU160" s="1385"/>
      <c r="MBV160" s="1385"/>
      <c r="MBW160" s="1385"/>
      <c r="MBX160" s="1385"/>
      <c r="MBY160" s="1385"/>
      <c r="MBZ160" s="1385"/>
      <c r="MCA160" s="1385"/>
      <c r="MCB160" s="1385"/>
      <c r="MCC160" s="1385"/>
      <c r="MCD160" s="1385"/>
      <c r="MCE160" s="1385"/>
      <c r="MCF160" s="1385"/>
      <c r="MCG160" s="1385"/>
      <c r="MCH160" s="1385"/>
      <c r="MCI160" s="1385"/>
      <c r="MCJ160" s="1385"/>
      <c r="MCK160" s="1385"/>
      <c r="MCL160" s="1385"/>
      <c r="MCM160" s="1385"/>
      <c r="MCN160" s="1385"/>
      <c r="MCO160" s="1385"/>
      <c r="MCP160" s="1385"/>
      <c r="MCQ160" s="1385"/>
      <c r="MCR160" s="1385"/>
      <c r="MCS160" s="1385"/>
      <c r="MCT160" s="1385"/>
      <c r="MCU160" s="1385"/>
      <c r="MCV160" s="1385"/>
      <c r="MCW160" s="1385"/>
      <c r="MCX160" s="1385"/>
      <c r="MCY160" s="1385"/>
      <c r="MCZ160" s="1385"/>
      <c r="MDA160" s="1385"/>
      <c r="MDB160" s="1385"/>
      <c r="MDC160" s="1385"/>
      <c r="MDD160" s="1385"/>
      <c r="MDE160" s="1385"/>
      <c r="MDF160" s="1385"/>
      <c r="MDG160" s="1385"/>
      <c r="MDH160" s="1385"/>
      <c r="MDI160" s="1385"/>
      <c r="MDJ160" s="1385"/>
      <c r="MDK160" s="1385"/>
      <c r="MDL160" s="1385"/>
      <c r="MDM160" s="1385"/>
      <c r="MDN160" s="1385"/>
      <c r="MDO160" s="1385"/>
      <c r="MDP160" s="1385"/>
      <c r="MDQ160" s="1385"/>
      <c r="MDR160" s="1385"/>
      <c r="MDS160" s="1385"/>
      <c r="MDT160" s="1385"/>
      <c r="MDU160" s="1385"/>
      <c r="MDV160" s="1385"/>
      <c r="MDW160" s="1385"/>
      <c r="MDX160" s="1385"/>
      <c r="MDY160" s="1385"/>
      <c r="MDZ160" s="1385"/>
      <c r="MEA160" s="1385"/>
      <c r="MEB160" s="1385"/>
      <c r="MEC160" s="1385"/>
      <c r="MED160" s="1385"/>
      <c r="MEE160" s="1385"/>
      <c r="MEF160" s="1385"/>
      <c r="MEG160" s="1385"/>
      <c r="MEH160" s="1385"/>
      <c r="MEI160" s="1385"/>
      <c r="MEJ160" s="1385"/>
      <c r="MEK160" s="1385"/>
      <c r="MEL160" s="1385"/>
      <c r="MEM160" s="1385"/>
      <c r="MEN160" s="1385"/>
      <c r="MEO160" s="1385"/>
      <c r="MEP160" s="1385"/>
      <c r="MEQ160" s="1385"/>
      <c r="MER160" s="1385"/>
      <c r="MES160" s="1385"/>
      <c r="MET160" s="1385"/>
      <c r="MEU160" s="1385"/>
      <c r="MEV160" s="1385"/>
      <c r="MEW160" s="1385"/>
      <c r="MEX160" s="1385"/>
      <c r="MEY160" s="1385"/>
      <c r="MEZ160" s="1385"/>
      <c r="MFA160" s="1385"/>
      <c r="MFB160" s="1385"/>
      <c r="MFC160" s="1385"/>
      <c r="MFD160" s="1385"/>
      <c r="MFE160" s="1385"/>
      <c r="MFF160" s="1385"/>
      <c r="MFG160" s="1385"/>
      <c r="MFH160" s="1385"/>
      <c r="MFI160" s="1385"/>
      <c r="MFJ160" s="1385"/>
      <c r="MFK160" s="1385"/>
      <c r="MFL160" s="1385"/>
      <c r="MFM160" s="1385"/>
      <c r="MFN160" s="1385"/>
      <c r="MFO160" s="1385"/>
      <c r="MFP160" s="1385"/>
      <c r="MFQ160" s="1385"/>
      <c r="MFR160" s="1385"/>
      <c r="MFS160" s="1385"/>
      <c r="MFT160" s="1385"/>
      <c r="MFU160" s="1385"/>
      <c r="MFV160" s="1385"/>
      <c r="MFW160" s="1385"/>
      <c r="MFX160" s="1385"/>
      <c r="MFY160" s="1385"/>
      <c r="MFZ160" s="1385"/>
      <c r="MGA160" s="1385"/>
      <c r="MGB160" s="1385"/>
      <c r="MGC160" s="1385"/>
      <c r="MGD160" s="1385"/>
      <c r="MGE160" s="1385"/>
      <c r="MGF160" s="1385"/>
      <c r="MGG160" s="1385"/>
      <c r="MGH160" s="1385"/>
      <c r="MGI160" s="1385"/>
      <c r="MGJ160" s="1385"/>
      <c r="MGK160" s="1385"/>
      <c r="MGL160" s="1385"/>
      <c r="MGM160" s="1385"/>
      <c r="MGN160" s="1385"/>
      <c r="MGO160" s="1385"/>
      <c r="MGP160" s="1385"/>
      <c r="MGQ160" s="1385"/>
      <c r="MGR160" s="1385"/>
      <c r="MGS160" s="1385"/>
      <c r="MGT160" s="1385"/>
      <c r="MGU160" s="1385"/>
      <c r="MGV160" s="1385"/>
      <c r="MGW160" s="1385"/>
      <c r="MGX160" s="1385"/>
      <c r="MGY160" s="1385"/>
      <c r="MGZ160" s="1385"/>
      <c r="MHA160" s="1385"/>
      <c r="MHB160" s="1385"/>
      <c r="MHC160" s="1385"/>
      <c r="MHD160" s="1385"/>
      <c r="MHE160" s="1385"/>
      <c r="MHF160" s="1385"/>
      <c r="MHG160" s="1385"/>
      <c r="MHH160" s="1385"/>
      <c r="MHI160" s="1385"/>
      <c r="MHJ160" s="1385"/>
      <c r="MHK160" s="1385"/>
      <c r="MHL160" s="1385"/>
      <c r="MHM160" s="1385"/>
      <c r="MHN160" s="1385"/>
      <c r="MHO160" s="1385"/>
      <c r="MHP160" s="1385"/>
      <c r="MHQ160" s="1385"/>
      <c r="MHR160" s="1385"/>
      <c r="MHS160" s="1385"/>
      <c r="MHT160" s="1385"/>
      <c r="MHU160" s="1385"/>
      <c r="MHV160" s="1385"/>
      <c r="MHW160" s="1385"/>
      <c r="MHX160" s="1385"/>
      <c r="MHY160" s="1385"/>
      <c r="MHZ160" s="1385"/>
      <c r="MIA160" s="1385"/>
      <c r="MIB160" s="1385"/>
      <c r="MIC160" s="1385"/>
      <c r="MID160" s="1385"/>
      <c r="MIE160" s="1385"/>
      <c r="MIF160" s="1385"/>
      <c r="MIG160" s="1385"/>
      <c r="MIH160" s="1385"/>
      <c r="MII160" s="1385"/>
      <c r="MIJ160" s="1385"/>
      <c r="MIK160" s="1385"/>
      <c r="MIL160" s="1385"/>
      <c r="MIM160" s="1385"/>
      <c r="MIN160" s="1385"/>
      <c r="MIO160" s="1385"/>
      <c r="MIP160" s="1385"/>
      <c r="MIQ160" s="1385"/>
      <c r="MIR160" s="1385"/>
      <c r="MIS160" s="1385"/>
      <c r="MIT160" s="1385"/>
      <c r="MIU160" s="1385"/>
      <c r="MIV160" s="1385"/>
      <c r="MIW160" s="1385"/>
      <c r="MIX160" s="1385"/>
      <c r="MIY160" s="1385"/>
      <c r="MIZ160" s="1385"/>
      <c r="MJA160" s="1385"/>
      <c r="MJB160" s="1385"/>
      <c r="MJC160" s="1385"/>
      <c r="MJD160" s="1385"/>
      <c r="MJE160" s="1385"/>
      <c r="MJF160" s="1385"/>
      <c r="MJG160" s="1385"/>
      <c r="MJH160" s="1385"/>
      <c r="MJI160" s="1385"/>
      <c r="MJJ160" s="1385"/>
      <c r="MJK160" s="1385"/>
      <c r="MJL160" s="1385"/>
      <c r="MJM160" s="1385"/>
      <c r="MJN160" s="1385"/>
      <c r="MJO160" s="1385"/>
      <c r="MJP160" s="1385"/>
      <c r="MJQ160" s="1385"/>
      <c r="MJR160" s="1385"/>
      <c r="MJS160" s="1385"/>
      <c r="MJT160" s="1385"/>
      <c r="MJU160" s="1385"/>
      <c r="MJV160" s="1385"/>
      <c r="MJW160" s="1385"/>
      <c r="MJX160" s="1385"/>
      <c r="MJY160" s="1385"/>
      <c r="MJZ160" s="1385"/>
      <c r="MKA160" s="1385"/>
      <c r="MKB160" s="1385"/>
      <c r="MKC160" s="1385"/>
      <c r="MKD160" s="1385"/>
      <c r="MKE160" s="1385"/>
      <c r="MKF160" s="1385"/>
      <c r="MKG160" s="1385"/>
      <c r="MKH160" s="1385"/>
      <c r="MKI160" s="1385"/>
      <c r="MKJ160" s="1385"/>
      <c r="MKK160" s="1385"/>
      <c r="MKL160" s="1385"/>
      <c r="MKM160" s="1385"/>
      <c r="MKN160" s="1385"/>
      <c r="MKO160" s="1385"/>
      <c r="MKP160" s="1385"/>
      <c r="MKQ160" s="1385"/>
      <c r="MKR160" s="1385"/>
      <c r="MKS160" s="1385"/>
      <c r="MKT160" s="1385"/>
      <c r="MKU160" s="1385"/>
      <c r="MKV160" s="1385"/>
      <c r="MKW160" s="1385"/>
      <c r="MKX160" s="1385"/>
      <c r="MKY160" s="1385"/>
      <c r="MKZ160" s="1385"/>
      <c r="MLA160" s="1385"/>
      <c r="MLB160" s="1385"/>
      <c r="MLC160" s="1385"/>
      <c r="MLD160" s="1385"/>
      <c r="MLE160" s="1385"/>
      <c r="MLF160" s="1385"/>
      <c r="MLG160" s="1385"/>
      <c r="MLH160" s="1385"/>
      <c r="MLI160" s="1385"/>
      <c r="MLJ160" s="1385"/>
      <c r="MLK160" s="1385"/>
      <c r="MLL160" s="1385"/>
      <c r="MLM160" s="1385"/>
      <c r="MLN160" s="1385"/>
      <c r="MLO160" s="1385"/>
      <c r="MLP160" s="1385"/>
      <c r="MLQ160" s="1385"/>
      <c r="MLR160" s="1385"/>
      <c r="MLS160" s="1385"/>
      <c r="MLT160" s="1385"/>
      <c r="MLU160" s="1385"/>
      <c r="MLV160" s="1385"/>
      <c r="MLW160" s="1385"/>
      <c r="MLX160" s="1385"/>
      <c r="MLY160" s="1385"/>
      <c r="MLZ160" s="1385"/>
      <c r="MMA160" s="1385"/>
      <c r="MMB160" s="1385"/>
      <c r="MMC160" s="1385"/>
      <c r="MMD160" s="1385"/>
      <c r="MME160" s="1385"/>
      <c r="MMF160" s="1385"/>
      <c r="MMG160" s="1385"/>
      <c r="MMH160" s="1385"/>
      <c r="MMI160" s="1385"/>
      <c r="MMJ160" s="1385"/>
      <c r="MMK160" s="1385"/>
      <c r="MML160" s="1385"/>
      <c r="MMM160" s="1385"/>
      <c r="MMN160" s="1385"/>
      <c r="MMO160" s="1385"/>
      <c r="MMP160" s="1385"/>
      <c r="MMQ160" s="1385"/>
      <c r="MMR160" s="1385"/>
      <c r="MMS160" s="1385"/>
      <c r="MMT160" s="1385"/>
      <c r="MMU160" s="1385"/>
      <c r="MMV160" s="1385"/>
      <c r="MMW160" s="1385"/>
      <c r="MMX160" s="1385"/>
      <c r="MMY160" s="1385"/>
      <c r="MMZ160" s="1385"/>
      <c r="MNA160" s="1385"/>
      <c r="MNB160" s="1385"/>
      <c r="MNC160" s="1385"/>
      <c r="MND160" s="1385"/>
      <c r="MNE160" s="1385"/>
      <c r="MNF160" s="1385"/>
      <c r="MNG160" s="1385"/>
      <c r="MNH160" s="1385"/>
      <c r="MNI160" s="1385"/>
      <c r="MNJ160" s="1385"/>
      <c r="MNK160" s="1385"/>
      <c r="MNL160" s="1385"/>
      <c r="MNM160" s="1385"/>
      <c r="MNN160" s="1385"/>
      <c r="MNO160" s="1385"/>
      <c r="MNP160" s="1385"/>
      <c r="MNQ160" s="1385"/>
      <c r="MNR160" s="1385"/>
      <c r="MNS160" s="1385"/>
      <c r="MNT160" s="1385"/>
      <c r="MNU160" s="1385"/>
      <c r="MNV160" s="1385"/>
      <c r="MNW160" s="1385"/>
      <c r="MNX160" s="1385"/>
      <c r="MNY160" s="1385"/>
      <c r="MNZ160" s="1385"/>
      <c r="MOA160" s="1385"/>
      <c r="MOB160" s="1385"/>
      <c r="MOC160" s="1385"/>
      <c r="MOD160" s="1385"/>
      <c r="MOE160" s="1385"/>
      <c r="MOF160" s="1385"/>
      <c r="MOG160" s="1385"/>
      <c r="MOH160" s="1385"/>
      <c r="MOI160" s="1385"/>
      <c r="MOJ160" s="1385"/>
      <c r="MOK160" s="1385"/>
      <c r="MOL160" s="1385"/>
      <c r="MOM160" s="1385"/>
      <c r="MON160" s="1385"/>
      <c r="MOO160" s="1385"/>
      <c r="MOP160" s="1385"/>
      <c r="MOQ160" s="1385"/>
      <c r="MOR160" s="1385"/>
      <c r="MOS160" s="1385"/>
      <c r="MOT160" s="1385"/>
      <c r="MOU160" s="1385"/>
      <c r="MOV160" s="1385"/>
      <c r="MOW160" s="1385"/>
      <c r="MOX160" s="1385"/>
      <c r="MOY160" s="1385"/>
      <c r="MOZ160" s="1385"/>
      <c r="MPA160" s="1385"/>
      <c r="MPB160" s="1385"/>
      <c r="MPC160" s="1385"/>
      <c r="MPD160" s="1385"/>
      <c r="MPE160" s="1385"/>
      <c r="MPF160" s="1385"/>
      <c r="MPG160" s="1385"/>
      <c r="MPH160" s="1385"/>
      <c r="MPI160" s="1385"/>
      <c r="MPJ160" s="1385"/>
      <c r="MPK160" s="1385"/>
      <c r="MPL160" s="1385"/>
      <c r="MPM160" s="1385"/>
      <c r="MPN160" s="1385"/>
      <c r="MPO160" s="1385"/>
      <c r="MPP160" s="1385"/>
      <c r="MPQ160" s="1385"/>
      <c r="MPR160" s="1385"/>
      <c r="MPS160" s="1385"/>
      <c r="MPT160" s="1385"/>
      <c r="MPU160" s="1385"/>
      <c r="MPV160" s="1385"/>
      <c r="MPW160" s="1385"/>
      <c r="MPX160" s="1385"/>
      <c r="MPY160" s="1385"/>
      <c r="MPZ160" s="1385"/>
      <c r="MQA160" s="1385"/>
      <c r="MQB160" s="1385"/>
      <c r="MQC160" s="1385"/>
      <c r="MQD160" s="1385"/>
      <c r="MQE160" s="1385"/>
      <c r="MQF160" s="1385"/>
      <c r="MQG160" s="1385"/>
      <c r="MQH160" s="1385"/>
      <c r="MQI160" s="1385"/>
      <c r="MQJ160" s="1385"/>
      <c r="MQK160" s="1385"/>
      <c r="MQL160" s="1385"/>
      <c r="MQM160" s="1385"/>
      <c r="MQN160" s="1385"/>
      <c r="MQO160" s="1385"/>
      <c r="MQP160" s="1385"/>
      <c r="MQQ160" s="1385"/>
      <c r="MQR160" s="1385"/>
      <c r="MQS160" s="1385"/>
      <c r="MQT160" s="1385"/>
      <c r="MQU160" s="1385"/>
      <c r="MQV160" s="1385"/>
      <c r="MQW160" s="1385"/>
      <c r="MQX160" s="1385"/>
      <c r="MQY160" s="1385"/>
      <c r="MQZ160" s="1385"/>
      <c r="MRA160" s="1385"/>
      <c r="MRB160" s="1385"/>
      <c r="MRC160" s="1385"/>
      <c r="MRD160" s="1385"/>
      <c r="MRE160" s="1385"/>
      <c r="MRF160" s="1385"/>
      <c r="MRG160" s="1385"/>
      <c r="MRH160" s="1385"/>
      <c r="MRI160" s="1385"/>
      <c r="MRJ160" s="1385"/>
      <c r="MRK160" s="1385"/>
      <c r="MRL160" s="1385"/>
      <c r="MRM160" s="1385"/>
      <c r="MRN160" s="1385"/>
      <c r="MRO160" s="1385"/>
      <c r="MRP160" s="1385"/>
      <c r="MRQ160" s="1385"/>
      <c r="MRR160" s="1385"/>
      <c r="MRS160" s="1385"/>
      <c r="MRT160" s="1385"/>
      <c r="MRU160" s="1385"/>
      <c r="MRV160" s="1385"/>
      <c r="MRW160" s="1385"/>
      <c r="MRX160" s="1385"/>
      <c r="MRY160" s="1385"/>
      <c r="MRZ160" s="1385"/>
      <c r="MSA160" s="1385"/>
      <c r="MSB160" s="1385"/>
      <c r="MSC160" s="1385"/>
      <c r="MSD160" s="1385"/>
      <c r="MSE160" s="1385"/>
      <c r="MSF160" s="1385"/>
      <c r="MSG160" s="1385"/>
      <c r="MSH160" s="1385"/>
      <c r="MSI160" s="1385"/>
      <c r="MSJ160" s="1385"/>
      <c r="MSK160" s="1385"/>
      <c r="MSL160" s="1385"/>
      <c r="MSM160" s="1385"/>
      <c r="MSN160" s="1385"/>
      <c r="MSO160" s="1385"/>
      <c r="MSP160" s="1385"/>
      <c r="MSQ160" s="1385"/>
      <c r="MSR160" s="1385"/>
      <c r="MSS160" s="1385"/>
      <c r="MST160" s="1385"/>
      <c r="MSU160" s="1385"/>
      <c r="MSV160" s="1385"/>
      <c r="MSW160" s="1385"/>
      <c r="MSX160" s="1385"/>
      <c r="MSY160" s="1385"/>
      <c r="MSZ160" s="1385"/>
      <c r="MTA160" s="1385"/>
      <c r="MTB160" s="1385"/>
      <c r="MTC160" s="1385"/>
      <c r="MTD160" s="1385"/>
      <c r="MTE160" s="1385"/>
      <c r="MTF160" s="1385"/>
      <c r="MTG160" s="1385"/>
      <c r="MTH160" s="1385"/>
      <c r="MTI160" s="1385"/>
      <c r="MTJ160" s="1385"/>
      <c r="MTK160" s="1385"/>
      <c r="MTL160" s="1385"/>
      <c r="MTM160" s="1385"/>
      <c r="MTN160" s="1385"/>
      <c r="MTO160" s="1385"/>
      <c r="MTP160" s="1385"/>
      <c r="MTQ160" s="1385"/>
      <c r="MTR160" s="1385"/>
      <c r="MTS160" s="1385"/>
      <c r="MTT160" s="1385"/>
      <c r="MTU160" s="1385"/>
      <c r="MTV160" s="1385"/>
      <c r="MTW160" s="1385"/>
      <c r="MTX160" s="1385"/>
      <c r="MTY160" s="1385"/>
      <c r="MTZ160" s="1385"/>
      <c r="MUA160" s="1385"/>
      <c r="MUB160" s="1385"/>
      <c r="MUC160" s="1385"/>
      <c r="MUD160" s="1385"/>
      <c r="MUE160" s="1385"/>
      <c r="MUF160" s="1385"/>
      <c r="MUG160" s="1385"/>
      <c r="MUH160" s="1385"/>
      <c r="MUI160" s="1385"/>
      <c r="MUJ160" s="1385"/>
      <c r="MUK160" s="1385"/>
      <c r="MUL160" s="1385"/>
      <c r="MUM160" s="1385"/>
      <c r="MUN160" s="1385"/>
      <c r="MUO160" s="1385"/>
      <c r="MUP160" s="1385"/>
      <c r="MUQ160" s="1385"/>
      <c r="MUR160" s="1385"/>
      <c r="MUS160" s="1385"/>
      <c r="MUT160" s="1385"/>
      <c r="MUU160" s="1385"/>
      <c r="MUV160" s="1385"/>
      <c r="MUW160" s="1385"/>
      <c r="MUX160" s="1385"/>
      <c r="MUY160" s="1385"/>
      <c r="MUZ160" s="1385"/>
      <c r="MVA160" s="1385"/>
      <c r="MVB160" s="1385"/>
      <c r="MVC160" s="1385"/>
      <c r="MVD160" s="1385"/>
      <c r="MVE160" s="1385"/>
      <c r="MVF160" s="1385"/>
      <c r="MVG160" s="1385"/>
      <c r="MVH160" s="1385"/>
      <c r="MVI160" s="1385"/>
      <c r="MVJ160" s="1385"/>
      <c r="MVK160" s="1385"/>
      <c r="MVL160" s="1385"/>
      <c r="MVM160" s="1385"/>
      <c r="MVN160" s="1385"/>
      <c r="MVO160" s="1385"/>
      <c r="MVP160" s="1385"/>
      <c r="MVQ160" s="1385"/>
      <c r="MVR160" s="1385"/>
      <c r="MVS160" s="1385"/>
      <c r="MVT160" s="1385"/>
      <c r="MVU160" s="1385"/>
      <c r="MVV160" s="1385"/>
      <c r="MVW160" s="1385"/>
      <c r="MVX160" s="1385"/>
      <c r="MVY160" s="1385"/>
      <c r="MVZ160" s="1385"/>
      <c r="MWA160" s="1385"/>
      <c r="MWB160" s="1385"/>
      <c r="MWC160" s="1385"/>
      <c r="MWD160" s="1385"/>
      <c r="MWE160" s="1385"/>
      <c r="MWF160" s="1385"/>
      <c r="MWG160" s="1385"/>
      <c r="MWH160" s="1385"/>
      <c r="MWI160" s="1385"/>
      <c r="MWJ160" s="1385"/>
      <c r="MWK160" s="1385"/>
      <c r="MWL160" s="1385"/>
      <c r="MWM160" s="1385"/>
      <c r="MWN160" s="1385"/>
      <c r="MWO160" s="1385"/>
      <c r="MWP160" s="1385"/>
      <c r="MWQ160" s="1385"/>
      <c r="MWR160" s="1385"/>
      <c r="MWS160" s="1385"/>
      <c r="MWT160" s="1385"/>
      <c r="MWU160" s="1385"/>
      <c r="MWV160" s="1385"/>
      <c r="MWW160" s="1385"/>
      <c r="MWX160" s="1385"/>
      <c r="MWY160" s="1385"/>
      <c r="MWZ160" s="1385"/>
      <c r="MXA160" s="1385"/>
      <c r="MXB160" s="1385"/>
      <c r="MXC160" s="1385"/>
      <c r="MXD160" s="1385"/>
      <c r="MXE160" s="1385"/>
      <c r="MXF160" s="1385"/>
      <c r="MXG160" s="1385"/>
      <c r="MXH160" s="1385"/>
      <c r="MXI160" s="1385"/>
      <c r="MXJ160" s="1385"/>
      <c r="MXK160" s="1385"/>
      <c r="MXL160" s="1385"/>
      <c r="MXM160" s="1385"/>
      <c r="MXN160" s="1385"/>
      <c r="MXO160" s="1385"/>
      <c r="MXP160" s="1385"/>
      <c r="MXQ160" s="1385"/>
      <c r="MXR160" s="1385"/>
      <c r="MXS160" s="1385"/>
      <c r="MXT160" s="1385"/>
      <c r="MXU160" s="1385"/>
      <c r="MXV160" s="1385"/>
      <c r="MXW160" s="1385"/>
      <c r="MXX160" s="1385"/>
      <c r="MXY160" s="1385"/>
      <c r="MXZ160" s="1385"/>
      <c r="MYA160" s="1385"/>
      <c r="MYB160" s="1385"/>
      <c r="MYC160" s="1385"/>
      <c r="MYD160" s="1385"/>
      <c r="MYE160" s="1385"/>
      <c r="MYF160" s="1385"/>
      <c r="MYG160" s="1385"/>
      <c r="MYH160" s="1385"/>
      <c r="MYI160" s="1385"/>
      <c r="MYJ160" s="1385"/>
      <c r="MYK160" s="1385"/>
      <c r="MYL160" s="1385"/>
      <c r="MYM160" s="1385"/>
      <c r="MYN160" s="1385"/>
      <c r="MYO160" s="1385"/>
      <c r="MYP160" s="1385"/>
      <c r="MYQ160" s="1385"/>
      <c r="MYR160" s="1385"/>
      <c r="MYS160" s="1385"/>
      <c r="MYT160" s="1385"/>
      <c r="MYU160" s="1385"/>
      <c r="MYV160" s="1385"/>
      <c r="MYW160" s="1385"/>
      <c r="MYX160" s="1385"/>
      <c r="MYY160" s="1385"/>
      <c r="MYZ160" s="1385"/>
      <c r="MZA160" s="1385"/>
      <c r="MZB160" s="1385"/>
      <c r="MZC160" s="1385"/>
      <c r="MZD160" s="1385"/>
      <c r="MZE160" s="1385"/>
      <c r="MZF160" s="1385"/>
      <c r="MZG160" s="1385"/>
      <c r="MZH160" s="1385"/>
      <c r="MZI160" s="1385"/>
      <c r="MZJ160" s="1385"/>
      <c r="MZK160" s="1385"/>
      <c r="MZL160" s="1385"/>
      <c r="MZM160" s="1385"/>
      <c r="MZN160" s="1385"/>
      <c r="MZO160" s="1385"/>
      <c r="MZP160" s="1385"/>
      <c r="MZQ160" s="1385"/>
      <c r="MZR160" s="1385"/>
      <c r="MZS160" s="1385"/>
      <c r="MZT160" s="1385"/>
      <c r="MZU160" s="1385"/>
      <c r="MZV160" s="1385"/>
      <c r="MZW160" s="1385"/>
      <c r="MZX160" s="1385"/>
      <c r="MZY160" s="1385"/>
      <c r="MZZ160" s="1385"/>
      <c r="NAA160" s="1385"/>
      <c r="NAB160" s="1385"/>
      <c r="NAC160" s="1385"/>
      <c r="NAD160" s="1385"/>
      <c r="NAE160" s="1385"/>
      <c r="NAF160" s="1385"/>
      <c r="NAG160" s="1385"/>
      <c r="NAH160" s="1385"/>
      <c r="NAI160" s="1385"/>
      <c r="NAJ160" s="1385"/>
      <c r="NAK160" s="1385"/>
      <c r="NAL160" s="1385"/>
      <c r="NAM160" s="1385"/>
      <c r="NAN160" s="1385"/>
      <c r="NAO160" s="1385"/>
      <c r="NAP160" s="1385"/>
      <c r="NAQ160" s="1385"/>
      <c r="NAR160" s="1385"/>
      <c r="NAS160" s="1385"/>
      <c r="NAT160" s="1385"/>
      <c r="NAU160" s="1385"/>
      <c r="NAV160" s="1385"/>
      <c r="NAW160" s="1385"/>
      <c r="NAX160" s="1385"/>
      <c r="NAY160" s="1385"/>
      <c r="NAZ160" s="1385"/>
      <c r="NBA160" s="1385"/>
      <c r="NBB160" s="1385"/>
      <c r="NBC160" s="1385"/>
      <c r="NBD160" s="1385"/>
      <c r="NBE160" s="1385"/>
      <c r="NBF160" s="1385"/>
      <c r="NBG160" s="1385"/>
      <c r="NBH160" s="1385"/>
      <c r="NBI160" s="1385"/>
      <c r="NBJ160" s="1385"/>
      <c r="NBK160" s="1385"/>
      <c r="NBL160" s="1385"/>
      <c r="NBM160" s="1385"/>
      <c r="NBN160" s="1385"/>
      <c r="NBO160" s="1385"/>
      <c r="NBP160" s="1385"/>
      <c r="NBQ160" s="1385"/>
      <c r="NBR160" s="1385"/>
      <c r="NBS160" s="1385"/>
      <c r="NBT160" s="1385"/>
      <c r="NBU160" s="1385"/>
      <c r="NBV160" s="1385"/>
      <c r="NBW160" s="1385"/>
      <c r="NBX160" s="1385"/>
      <c r="NBY160" s="1385"/>
      <c r="NBZ160" s="1385"/>
      <c r="NCA160" s="1385"/>
      <c r="NCB160" s="1385"/>
      <c r="NCC160" s="1385"/>
      <c r="NCD160" s="1385"/>
      <c r="NCE160" s="1385"/>
      <c r="NCF160" s="1385"/>
      <c r="NCG160" s="1385"/>
      <c r="NCH160" s="1385"/>
      <c r="NCI160" s="1385"/>
      <c r="NCJ160" s="1385"/>
      <c r="NCK160" s="1385"/>
      <c r="NCL160" s="1385"/>
      <c r="NCM160" s="1385"/>
      <c r="NCN160" s="1385"/>
      <c r="NCO160" s="1385"/>
      <c r="NCP160" s="1385"/>
      <c r="NCQ160" s="1385"/>
      <c r="NCR160" s="1385"/>
      <c r="NCS160" s="1385"/>
      <c r="NCT160" s="1385"/>
      <c r="NCU160" s="1385"/>
      <c r="NCV160" s="1385"/>
      <c r="NCW160" s="1385"/>
      <c r="NCX160" s="1385"/>
      <c r="NCY160" s="1385"/>
      <c r="NCZ160" s="1385"/>
      <c r="NDA160" s="1385"/>
      <c r="NDB160" s="1385"/>
      <c r="NDC160" s="1385"/>
      <c r="NDD160" s="1385"/>
      <c r="NDE160" s="1385"/>
      <c r="NDF160" s="1385"/>
      <c r="NDG160" s="1385"/>
      <c r="NDH160" s="1385"/>
      <c r="NDI160" s="1385"/>
      <c r="NDJ160" s="1385"/>
      <c r="NDK160" s="1385"/>
      <c r="NDL160" s="1385"/>
      <c r="NDM160" s="1385"/>
      <c r="NDN160" s="1385"/>
      <c r="NDO160" s="1385"/>
      <c r="NDP160" s="1385"/>
      <c r="NDQ160" s="1385"/>
      <c r="NDR160" s="1385"/>
      <c r="NDS160" s="1385"/>
      <c r="NDT160" s="1385"/>
      <c r="NDU160" s="1385"/>
      <c r="NDV160" s="1385"/>
      <c r="NDW160" s="1385"/>
      <c r="NDX160" s="1385"/>
      <c r="NDY160" s="1385"/>
      <c r="NDZ160" s="1385"/>
      <c r="NEA160" s="1385"/>
      <c r="NEB160" s="1385"/>
      <c r="NEC160" s="1385"/>
      <c r="NED160" s="1385"/>
      <c r="NEE160" s="1385"/>
      <c r="NEF160" s="1385"/>
      <c r="NEG160" s="1385"/>
      <c r="NEH160" s="1385"/>
      <c r="NEI160" s="1385"/>
      <c r="NEJ160" s="1385"/>
      <c r="NEK160" s="1385"/>
      <c r="NEL160" s="1385"/>
      <c r="NEM160" s="1385"/>
      <c r="NEN160" s="1385"/>
      <c r="NEO160" s="1385"/>
      <c r="NEP160" s="1385"/>
      <c r="NEQ160" s="1385"/>
      <c r="NER160" s="1385"/>
      <c r="NES160" s="1385"/>
      <c r="NET160" s="1385"/>
      <c r="NEU160" s="1385"/>
      <c r="NEV160" s="1385"/>
      <c r="NEW160" s="1385"/>
      <c r="NEX160" s="1385"/>
      <c r="NEY160" s="1385"/>
      <c r="NEZ160" s="1385"/>
      <c r="NFA160" s="1385"/>
      <c r="NFB160" s="1385"/>
      <c r="NFC160" s="1385"/>
      <c r="NFD160" s="1385"/>
      <c r="NFE160" s="1385"/>
      <c r="NFF160" s="1385"/>
      <c r="NFG160" s="1385"/>
      <c r="NFH160" s="1385"/>
      <c r="NFI160" s="1385"/>
      <c r="NFJ160" s="1385"/>
      <c r="NFK160" s="1385"/>
      <c r="NFL160" s="1385"/>
      <c r="NFM160" s="1385"/>
      <c r="NFN160" s="1385"/>
      <c r="NFO160" s="1385"/>
      <c r="NFP160" s="1385"/>
      <c r="NFQ160" s="1385"/>
      <c r="NFR160" s="1385"/>
      <c r="NFS160" s="1385"/>
      <c r="NFT160" s="1385"/>
      <c r="NFU160" s="1385"/>
      <c r="NFV160" s="1385"/>
      <c r="NFW160" s="1385"/>
      <c r="NFX160" s="1385"/>
      <c r="NFY160" s="1385"/>
      <c r="NFZ160" s="1385"/>
      <c r="NGA160" s="1385"/>
      <c r="NGB160" s="1385"/>
      <c r="NGC160" s="1385"/>
      <c r="NGD160" s="1385"/>
      <c r="NGE160" s="1385"/>
      <c r="NGF160" s="1385"/>
      <c r="NGG160" s="1385"/>
      <c r="NGH160" s="1385"/>
      <c r="NGI160" s="1385"/>
      <c r="NGJ160" s="1385"/>
      <c r="NGK160" s="1385"/>
      <c r="NGL160" s="1385"/>
      <c r="NGM160" s="1385"/>
      <c r="NGN160" s="1385"/>
      <c r="NGO160" s="1385"/>
      <c r="NGP160" s="1385"/>
      <c r="NGQ160" s="1385"/>
      <c r="NGR160" s="1385"/>
      <c r="NGS160" s="1385"/>
      <c r="NGT160" s="1385"/>
      <c r="NGU160" s="1385"/>
      <c r="NGV160" s="1385"/>
      <c r="NGW160" s="1385"/>
      <c r="NGX160" s="1385"/>
      <c r="NGY160" s="1385"/>
      <c r="NGZ160" s="1385"/>
      <c r="NHA160" s="1385"/>
      <c r="NHB160" s="1385"/>
      <c r="NHC160" s="1385"/>
      <c r="NHD160" s="1385"/>
      <c r="NHE160" s="1385"/>
      <c r="NHF160" s="1385"/>
      <c r="NHG160" s="1385"/>
      <c r="NHH160" s="1385"/>
      <c r="NHI160" s="1385"/>
      <c r="NHJ160" s="1385"/>
      <c r="NHK160" s="1385"/>
      <c r="NHL160" s="1385"/>
      <c r="NHM160" s="1385"/>
      <c r="NHN160" s="1385"/>
      <c r="NHO160" s="1385"/>
      <c r="NHP160" s="1385"/>
      <c r="NHQ160" s="1385"/>
      <c r="NHR160" s="1385"/>
      <c r="NHS160" s="1385"/>
      <c r="NHT160" s="1385"/>
      <c r="NHU160" s="1385"/>
      <c r="NHV160" s="1385"/>
      <c r="NHW160" s="1385"/>
      <c r="NHX160" s="1385"/>
      <c r="NHY160" s="1385"/>
      <c r="NHZ160" s="1385"/>
      <c r="NIA160" s="1385"/>
      <c r="NIB160" s="1385"/>
      <c r="NIC160" s="1385"/>
      <c r="NID160" s="1385"/>
      <c r="NIE160" s="1385"/>
      <c r="NIF160" s="1385"/>
      <c r="NIG160" s="1385"/>
      <c r="NIH160" s="1385"/>
      <c r="NII160" s="1385"/>
      <c r="NIJ160" s="1385"/>
      <c r="NIK160" s="1385"/>
      <c r="NIL160" s="1385"/>
      <c r="NIM160" s="1385"/>
      <c r="NIN160" s="1385"/>
      <c r="NIO160" s="1385"/>
      <c r="NIP160" s="1385"/>
      <c r="NIQ160" s="1385"/>
      <c r="NIR160" s="1385"/>
      <c r="NIS160" s="1385"/>
      <c r="NIT160" s="1385"/>
      <c r="NIU160" s="1385"/>
      <c r="NIV160" s="1385"/>
      <c r="NIW160" s="1385"/>
      <c r="NIX160" s="1385"/>
      <c r="NIY160" s="1385"/>
      <c r="NIZ160" s="1385"/>
      <c r="NJA160" s="1385"/>
      <c r="NJB160" s="1385"/>
      <c r="NJC160" s="1385"/>
      <c r="NJD160" s="1385"/>
      <c r="NJE160" s="1385"/>
      <c r="NJF160" s="1385"/>
      <c r="NJG160" s="1385"/>
      <c r="NJH160" s="1385"/>
      <c r="NJI160" s="1385"/>
      <c r="NJJ160" s="1385"/>
      <c r="NJK160" s="1385"/>
      <c r="NJL160" s="1385"/>
      <c r="NJM160" s="1385"/>
      <c r="NJN160" s="1385"/>
      <c r="NJO160" s="1385"/>
      <c r="NJP160" s="1385"/>
      <c r="NJQ160" s="1385"/>
      <c r="NJR160" s="1385"/>
      <c r="NJS160" s="1385"/>
      <c r="NJT160" s="1385"/>
      <c r="NJU160" s="1385"/>
      <c r="NJV160" s="1385"/>
      <c r="NJW160" s="1385"/>
      <c r="NJX160" s="1385"/>
      <c r="NJY160" s="1385"/>
      <c r="NJZ160" s="1385"/>
      <c r="NKA160" s="1385"/>
      <c r="NKB160" s="1385"/>
      <c r="NKC160" s="1385"/>
      <c r="NKD160" s="1385"/>
      <c r="NKE160" s="1385"/>
      <c r="NKF160" s="1385"/>
      <c r="NKG160" s="1385"/>
      <c r="NKH160" s="1385"/>
      <c r="NKI160" s="1385"/>
      <c r="NKJ160" s="1385"/>
      <c r="NKK160" s="1385"/>
      <c r="NKL160" s="1385"/>
      <c r="NKM160" s="1385"/>
      <c r="NKN160" s="1385"/>
      <c r="NKO160" s="1385"/>
      <c r="NKP160" s="1385"/>
      <c r="NKQ160" s="1385"/>
      <c r="NKR160" s="1385"/>
      <c r="NKS160" s="1385"/>
      <c r="NKT160" s="1385"/>
      <c r="NKU160" s="1385"/>
      <c r="NKV160" s="1385"/>
      <c r="NKW160" s="1385"/>
      <c r="NKX160" s="1385"/>
      <c r="NKY160" s="1385"/>
      <c r="NKZ160" s="1385"/>
      <c r="NLA160" s="1385"/>
      <c r="NLB160" s="1385"/>
      <c r="NLC160" s="1385"/>
      <c r="NLD160" s="1385"/>
      <c r="NLE160" s="1385"/>
      <c r="NLF160" s="1385"/>
      <c r="NLG160" s="1385"/>
      <c r="NLH160" s="1385"/>
      <c r="NLI160" s="1385"/>
      <c r="NLJ160" s="1385"/>
      <c r="NLK160" s="1385"/>
      <c r="NLL160" s="1385"/>
      <c r="NLM160" s="1385"/>
      <c r="NLN160" s="1385"/>
      <c r="NLO160" s="1385"/>
      <c r="NLP160" s="1385"/>
      <c r="NLQ160" s="1385"/>
      <c r="NLR160" s="1385"/>
      <c r="NLS160" s="1385"/>
      <c r="NLT160" s="1385"/>
      <c r="NLU160" s="1385"/>
      <c r="NLV160" s="1385"/>
      <c r="NLW160" s="1385"/>
      <c r="NLX160" s="1385"/>
      <c r="NLY160" s="1385"/>
      <c r="NLZ160" s="1385"/>
      <c r="NMA160" s="1385"/>
      <c r="NMB160" s="1385"/>
      <c r="NMC160" s="1385"/>
      <c r="NMD160" s="1385"/>
      <c r="NME160" s="1385"/>
      <c r="NMF160" s="1385"/>
      <c r="NMG160" s="1385"/>
      <c r="NMH160" s="1385"/>
      <c r="NMI160" s="1385"/>
      <c r="NMJ160" s="1385"/>
      <c r="NMK160" s="1385"/>
      <c r="NML160" s="1385"/>
      <c r="NMM160" s="1385"/>
      <c r="NMN160" s="1385"/>
      <c r="NMO160" s="1385"/>
      <c r="NMP160" s="1385"/>
      <c r="NMQ160" s="1385"/>
      <c r="NMR160" s="1385"/>
      <c r="NMS160" s="1385"/>
      <c r="NMT160" s="1385"/>
      <c r="NMU160" s="1385"/>
      <c r="NMV160" s="1385"/>
      <c r="NMW160" s="1385"/>
      <c r="NMX160" s="1385"/>
      <c r="NMY160" s="1385"/>
      <c r="NMZ160" s="1385"/>
      <c r="NNA160" s="1385"/>
      <c r="NNB160" s="1385"/>
      <c r="NNC160" s="1385"/>
      <c r="NND160" s="1385"/>
      <c r="NNE160" s="1385"/>
      <c r="NNF160" s="1385"/>
      <c r="NNG160" s="1385"/>
      <c r="NNH160" s="1385"/>
      <c r="NNI160" s="1385"/>
      <c r="NNJ160" s="1385"/>
      <c r="NNK160" s="1385"/>
      <c r="NNL160" s="1385"/>
      <c r="NNM160" s="1385"/>
      <c r="NNN160" s="1385"/>
      <c r="NNO160" s="1385"/>
      <c r="NNP160" s="1385"/>
      <c r="NNQ160" s="1385"/>
      <c r="NNR160" s="1385"/>
      <c r="NNS160" s="1385"/>
      <c r="NNT160" s="1385"/>
      <c r="NNU160" s="1385"/>
      <c r="NNV160" s="1385"/>
      <c r="NNW160" s="1385"/>
      <c r="NNX160" s="1385"/>
      <c r="NNY160" s="1385"/>
      <c r="NNZ160" s="1385"/>
      <c r="NOA160" s="1385"/>
      <c r="NOB160" s="1385"/>
      <c r="NOC160" s="1385"/>
      <c r="NOD160" s="1385"/>
      <c r="NOE160" s="1385"/>
      <c r="NOF160" s="1385"/>
      <c r="NOG160" s="1385"/>
      <c r="NOH160" s="1385"/>
      <c r="NOI160" s="1385"/>
      <c r="NOJ160" s="1385"/>
      <c r="NOK160" s="1385"/>
      <c r="NOL160" s="1385"/>
      <c r="NOM160" s="1385"/>
      <c r="NON160" s="1385"/>
      <c r="NOO160" s="1385"/>
      <c r="NOP160" s="1385"/>
      <c r="NOQ160" s="1385"/>
      <c r="NOR160" s="1385"/>
      <c r="NOS160" s="1385"/>
      <c r="NOT160" s="1385"/>
      <c r="NOU160" s="1385"/>
      <c r="NOV160" s="1385"/>
      <c r="NOW160" s="1385"/>
      <c r="NOX160" s="1385"/>
      <c r="NOY160" s="1385"/>
      <c r="NOZ160" s="1385"/>
      <c r="NPA160" s="1385"/>
      <c r="NPB160" s="1385"/>
      <c r="NPC160" s="1385"/>
      <c r="NPD160" s="1385"/>
      <c r="NPE160" s="1385"/>
      <c r="NPF160" s="1385"/>
      <c r="NPG160" s="1385"/>
      <c r="NPH160" s="1385"/>
      <c r="NPI160" s="1385"/>
      <c r="NPJ160" s="1385"/>
      <c r="NPK160" s="1385"/>
      <c r="NPL160" s="1385"/>
      <c r="NPM160" s="1385"/>
      <c r="NPN160" s="1385"/>
      <c r="NPO160" s="1385"/>
      <c r="NPP160" s="1385"/>
      <c r="NPQ160" s="1385"/>
      <c r="NPR160" s="1385"/>
      <c r="NPS160" s="1385"/>
      <c r="NPT160" s="1385"/>
      <c r="NPU160" s="1385"/>
      <c r="NPV160" s="1385"/>
      <c r="NPW160" s="1385"/>
      <c r="NPX160" s="1385"/>
      <c r="NPY160" s="1385"/>
      <c r="NPZ160" s="1385"/>
      <c r="NQA160" s="1385"/>
      <c r="NQB160" s="1385"/>
      <c r="NQC160" s="1385"/>
      <c r="NQD160" s="1385"/>
      <c r="NQE160" s="1385"/>
      <c r="NQF160" s="1385"/>
      <c r="NQG160" s="1385"/>
      <c r="NQH160" s="1385"/>
      <c r="NQI160" s="1385"/>
      <c r="NQJ160" s="1385"/>
      <c r="NQK160" s="1385"/>
      <c r="NQL160" s="1385"/>
      <c r="NQM160" s="1385"/>
      <c r="NQN160" s="1385"/>
      <c r="NQO160" s="1385"/>
      <c r="NQP160" s="1385"/>
      <c r="NQQ160" s="1385"/>
      <c r="NQR160" s="1385"/>
      <c r="NQS160" s="1385"/>
      <c r="NQT160" s="1385"/>
      <c r="NQU160" s="1385"/>
      <c r="NQV160" s="1385"/>
      <c r="NQW160" s="1385"/>
      <c r="NQX160" s="1385"/>
      <c r="NQY160" s="1385"/>
      <c r="NQZ160" s="1385"/>
      <c r="NRA160" s="1385"/>
      <c r="NRB160" s="1385"/>
      <c r="NRC160" s="1385"/>
      <c r="NRD160" s="1385"/>
      <c r="NRE160" s="1385"/>
      <c r="NRF160" s="1385"/>
      <c r="NRG160" s="1385"/>
      <c r="NRH160" s="1385"/>
      <c r="NRI160" s="1385"/>
      <c r="NRJ160" s="1385"/>
      <c r="NRK160" s="1385"/>
      <c r="NRL160" s="1385"/>
      <c r="NRM160" s="1385"/>
      <c r="NRN160" s="1385"/>
      <c r="NRO160" s="1385"/>
      <c r="NRP160" s="1385"/>
      <c r="NRQ160" s="1385"/>
      <c r="NRR160" s="1385"/>
      <c r="NRS160" s="1385"/>
      <c r="NRT160" s="1385"/>
      <c r="NRU160" s="1385"/>
      <c r="NRV160" s="1385"/>
      <c r="NRW160" s="1385"/>
      <c r="NRX160" s="1385"/>
      <c r="NRY160" s="1385"/>
      <c r="NRZ160" s="1385"/>
      <c r="NSA160" s="1385"/>
      <c r="NSB160" s="1385"/>
      <c r="NSC160" s="1385"/>
      <c r="NSD160" s="1385"/>
      <c r="NSE160" s="1385"/>
      <c r="NSF160" s="1385"/>
      <c r="NSG160" s="1385"/>
      <c r="NSH160" s="1385"/>
      <c r="NSI160" s="1385"/>
      <c r="NSJ160" s="1385"/>
      <c r="NSK160" s="1385"/>
      <c r="NSL160" s="1385"/>
      <c r="NSM160" s="1385"/>
      <c r="NSN160" s="1385"/>
      <c r="NSO160" s="1385"/>
      <c r="NSP160" s="1385"/>
      <c r="NSQ160" s="1385"/>
      <c r="NSR160" s="1385"/>
      <c r="NSS160" s="1385"/>
      <c r="NST160" s="1385"/>
      <c r="NSU160" s="1385"/>
      <c r="NSV160" s="1385"/>
      <c r="NSW160" s="1385"/>
      <c r="NSX160" s="1385"/>
      <c r="NSY160" s="1385"/>
      <c r="NSZ160" s="1385"/>
      <c r="NTA160" s="1385"/>
      <c r="NTB160" s="1385"/>
      <c r="NTC160" s="1385"/>
      <c r="NTD160" s="1385"/>
      <c r="NTE160" s="1385"/>
      <c r="NTF160" s="1385"/>
      <c r="NTG160" s="1385"/>
      <c r="NTH160" s="1385"/>
      <c r="NTI160" s="1385"/>
      <c r="NTJ160" s="1385"/>
      <c r="NTK160" s="1385"/>
      <c r="NTL160" s="1385"/>
      <c r="NTM160" s="1385"/>
      <c r="NTN160" s="1385"/>
      <c r="NTO160" s="1385"/>
      <c r="NTP160" s="1385"/>
      <c r="NTQ160" s="1385"/>
      <c r="NTR160" s="1385"/>
      <c r="NTS160" s="1385"/>
      <c r="NTT160" s="1385"/>
      <c r="NTU160" s="1385"/>
      <c r="NTV160" s="1385"/>
      <c r="NTW160" s="1385"/>
      <c r="NTX160" s="1385"/>
      <c r="NTY160" s="1385"/>
      <c r="NTZ160" s="1385"/>
      <c r="NUA160" s="1385"/>
      <c r="NUB160" s="1385"/>
      <c r="NUC160" s="1385"/>
      <c r="NUD160" s="1385"/>
      <c r="NUE160" s="1385"/>
      <c r="NUF160" s="1385"/>
      <c r="NUG160" s="1385"/>
      <c r="NUH160" s="1385"/>
      <c r="NUI160" s="1385"/>
      <c r="NUJ160" s="1385"/>
      <c r="NUK160" s="1385"/>
      <c r="NUL160" s="1385"/>
      <c r="NUM160" s="1385"/>
      <c r="NUN160" s="1385"/>
      <c r="NUO160" s="1385"/>
      <c r="NUP160" s="1385"/>
      <c r="NUQ160" s="1385"/>
      <c r="NUR160" s="1385"/>
      <c r="NUS160" s="1385"/>
      <c r="NUT160" s="1385"/>
      <c r="NUU160" s="1385"/>
      <c r="NUV160" s="1385"/>
      <c r="NUW160" s="1385"/>
      <c r="NUX160" s="1385"/>
      <c r="NUY160" s="1385"/>
      <c r="NUZ160" s="1385"/>
      <c r="NVA160" s="1385"/>
      <c r="NVB160" s="1385"/>
      <c r="NVC160" s="1385"/>
      <c r="NVD160" s="1385"/>
      <c r="NVE160" s="1385"/>
      <c r="NVF160" s="1385"/>
      <c r="NVG160" s="1385"/>
      <c r="NVH160" s="1385"/>
      <c r="NVI160" s="1385"/>
      <c r="NVJ160" s="1385"/>
      <c r="NVK160" s="1385"/>
      <c r="NVL160" s="1385"/>
      <c r="NVM160" s="1385"/>
      <c r="NVN160" s="1385"/>
      <c r="NVO160" s="1385"/>
      <c r="NVP160" s="1385"/>
      <c r="NVQ160" s="1385"/>
      <c r="NVR160" s="1385"/>
      <c r="NVS160" s="1385"/>
      <c r="NVT160" s="1385"/>
      <c r="NVU160" s="1385"/>
      <c r="NVV160" s="1385"/>
      <c r="NVW160" s="1385"/>
      <c r="NVX160" s="1385"/>
      <c r="NVY160" s="1385"/>
      <c r="NVZ160" s="1385"/>
      <c r="NWA160" s="1385"/>
      <c r="NWB160" s="1385"/>
      <c r="NWC160" s="1385"/>
      <c r="NWD160" s="1385"/>
      <c r="NWE160" s="1385"/>
      <c r="NWF160" s="1385"/>
      <c r="NWG160" s="1385"/>
      <c r="NWH160" s="1385"/>
      <c r="NWI160" s="1385"/>
      <c r="NWJ160" s="1385"/>
      <c r="NWK160" s="1385"/>
      <c r="NWL160" s="1385"/>
      <c r="NWM160" s="1385"/>
      <c r="NWN160" s="1385"/>
      <c r="NWO160" s="1385"/>
      <c r="NWP160" s="1385"/>
      <c r="NWQ160" s="1385"/>
      <c r="NWR160" s="1385"/>
      <c r="NWS160" s="1385"/>
      <c r="NWT160" s="1385"/>
      <c r="NWU160" s="1385"/>
      <c r="NWV160" s="1385"/>
      <c r="NWW160" s="1385"/>
      <c r="NWX160" s="1385"/>
      <c r="NWY160" s="1385"/>
      <c r="NWZ160" s="1385"/>
      <c r="NXA160" s="1385"/>
      <c r="NXB160" s="1385"/>
      <c r="NXC160" s="1385"/>
      <c r="NXD160" s="1385"/>
      <c r="NXE160" s="1385"/>
      <c r="NXF160" s="1385"/>
      <c r="NXG160" s="1385"/>
      <c r="NXH160" s="1385"/>
      <c r="NXI160" s="1385"/>
      <c r="NXJ160" s="1385"/>
      <c r="NXK160" s="1385"/>
      <c r="NXL160" s="1385"/>
      <c r="NXM160" s="1385"/>
      <c r="NXN160" s="1385"/>
      <c r="NXO160" s="1385"/>
      <c r="NXP160" s="1385"/>
      <c r="NXQ160" s="1385"/>
      <c r="NXR160" s="1385"/>
      <c r="NXS160" s="1385"/>
      <c r="NXT160" s="1385"/>
      <c r="NXU160" s="1385"/>
      <c r="NXV160" s="1385"/>
      <c r="NXW160" s="1385"/>
      <c r="NXX160" s="1385"/>
      <c r="NXY160" s="1385"/>
      <c r="NXZ160" s="1385"/>
      <c r="NYA160" s="1385"/>
      <c r="NYB160" s="1385"/>
      <c r="NYC160" s="1385"/>
      <c r="NYD160" s="1385"/>
      <c r="NYE160" s="1385"/>
      <c r="NYF160" s="1385"/>
      <c r="NYG160" s="1385"/>
      <c r="NYH160" s="1385"/>
      <c r="NYI160" s="1385"/>
      <c r="NYJ160" s="1385"/>
      <c r="NYK160" s="1385"/>
      <c r="NYL160" s="1385"/>
      <c r="NYM160" s="1385"/>
      <c r="NYN160" s="1385"/>
      <c r="NYO160" s="1385"/>
      <c r="NYP160" s="1385"/>
      <c r="NYQ160" s="1385"/>
      <c r="NYR160" s="1385"/>
      <c r="NYS160" s="1385"/>
      <c r="NYT160" s="1385"/>
      <c r="NYU160" s="1385"/>
      <c r="NYV160" s="1385"/>
      <c r="NYW160" s="1385"/>
      <c r="NYX160" s="1385"/>
      <c r="NYY160" s="1385"/>
      <c r="NYZ160" s="1385"/>
      <c r="NZA160" s="1385"/>
      <c r="NZB160" s="1385"/>
      <c r="NZC160" s="1385"/>
      <c r="NZD160" s="1385"/>
      <c r="NZE160" s="1385"/>
      <c r="NZF160" s="1385"/>
      <c r="NZG160" s="1385"/>
      <c r="NZH160" s="1385"/>
      <c r="NZI160" s="1385"/>
      <c r="NZJ160" s="1385"/>
      <c r="NZK160" s="1385"/>
      <c r="NZL160" s="1385"/>
      <c r="NZM160" s="1385"/>
      <c r="NZN160" s="1385"/>
      <c r="NZO160" s="1385"/>
      <c r="NZP160" s="1385"/>
      <c r="NZQ160" s="1385"/>
      <c r="NZR160" s="1385"/>
      <c r="NZS160" s="1385"/>
      <c r="NZT160" s="1385"/>
      <c r="NZU160" s="1385"/>
      <c r="NZV160" s="1385"/>
      <c r="NZW160" s="1385"/>
      <c r="NZX160" s="1385"/>
      <c r="NZY160" s="1385"/>
      <c r="NZZ160" s="1385"/>
      <c r="OAA160" s="1385"/>
      <c r="OAB160" s="1385"/>
      <c r="OAC160" s="1385"/>
      <c r="OAD160" s="1385"/>
      <c r="OAE160" s="1385"/>
      <c r="OAF160" s="1385"/>
      <c r="OAG160" s="1385"/>
      <c r="OAH160" s="1385"/>
      <c r="OAI160" s="1385"/>
      <c r="OAJ160" s="1385"/>
      <c r="OAK160" s="1385"/>
      <c r="OAL160" s="1385"/>
      <c r="OAM160" s="1385"/>
      <c r="OAN160" s="1385"/>
      <c r="OAO160" s="1385"/>
      <c r="OAP160" s="1385"/>
      <c r="OAQ160" s="1385"/>
      <c r="OAR160" s="1385"/>
      <c r="OAS160" s="1385"/>
      <c r="OAT160" s="1385"/>
      <c r="OAU160" s="1385"/>
      <c r="OAV160" s="1385"/>
      <c r="OAW160" s="1385"/>
      <c r="OAX160" s="1385"/>
      <c r="OAY160" s="1385"/>
      <c r="OAZ160" s="1385"/>
      <c r="OBA160" s="1385"/>
      <c r="OBB160" s="1385"/>
      <c r="OBC160" s="1385"/>
      <c r="OBD160" s="1385"/>
      <c r="OBE160" s="1385"/>
      <c r="OBF160" s="1385"/>
      <c r="OBG160" s="1385"/>
      <c r="OBH160" s="1385"/>
      <c r="OBI160" s="1385"/>
      <c r="OBJ160" s="1385"/>
      <c r="OBK160" s="1385"/>
      <c r="OBL160" s="1385"/>
      <c r="OBM160" s="1385"/>
      <c r="OBN160" s="1385"/>
      <c r="OBO160" s="1385"/>
      <c r="OBP160" s="1385"/>
      <c r="OBQ160" s="1385"/>
      <c r="OBR160" s="1385"/>
      <c r="OBS160" s="1385"/>
      <c r="OBT160" s="1385"/>
      <c r="OBU160" s="1385"/>
      <c r="OBV160" s="1385"/>
      <c r="OBW160" s="1385"/>
      <c r="OBX160" s="1385"/>
      <c r="OBY160" s="1385"/>
      <c r="OBZ160" s="1385"/>
      <c r="OCA160" s="1385"/>
      <c r="OCB160" s="1385"/>
      <c r="OCC160" s="1385"/>
      <c r="OCD160" s="1385"/>
      <c r="OCE160" s="1385"/>
      <c r="OCF160" s="1385"/>
      <c r="OCG160" s="1385"/>
      <c r="OCH160" s="1385"/>
      <c r="OCI160" s="1385"/>
      <c r="OCJ160" s="1385"/>
      <c r="OCK160" s="1385"/>
      <c r="OCL160" s="1385"/>
      <c r="OCM160" s="1385"/>
      <c r="OCN160" s="1385"/>
      <c r="OCO160" s="1385"/>
      <c r="OCP160" s="1385"/>
      <c r="OCQ160" s="1385"/>
      <c r="OCR160" s="1385"/>
      <c r="OCS160" s="1385"/>
      <c r="OCT160" s="1385"/>
      <c r="OCU160" s="1385"/>
      <c r="OCV160" s="1385"/>
      <c r="OCW160" s="1385"/>
      <c r="OCX160" s="1385"/>
      <c r="OCY160" s="1385"/>
      <c r="OCZ160" s="1385"/>
      <c r="ODA160" s="1385"/>
      <c r="ODB160" s="1385"/>
      <c r="ODC160" s="1385"/>
      <c r="ODD160" s="1385"/>
      <c r="ODE160" s="1385"/>
      <c r="ODF160" s="1385"/>
      <c r="ODG160" s="1385"/>
      <c r="ODH160" s="1385"/>
      <c r="ODI160" s="1385"/>
      <c r="ODJ160" s="1385"/>
      <c r="ODK160" s="1385"/>
      <c r="ODL160" s="1385"/>
      <c r="ODM160" s="1385"/>
      <c r="ODN160" s="1385"/>
      <c r="ODO160" s="1385"/>
      <c r="ODP160" s="1385"/>
      <c r="ODQ160" s="1385"/>
      <c r="ODR160" s="1385"/>
      <c r="ODS160" s="1385"/>
      <c r="ODT160" s="1385"/>
      <c r="ODU160" s="1385"/>
      <c r="ODV160" s="1385"/>
      <c r="ODW160" s="1385"/>
      <c r="ODX160" s="1385"/>
      <c r="ODY160" s="1385"/>
      <c r="ODZ160" s="1385"/>
      <c r="OEA160" s="1385"/>
      <c r="OEB160" s="1385"/>
      <c r="OEC160" s="1385"/>
      <c r="OED160" s="1385"/>
      <c r="OEE160" s="1385"/>
      <c r="OEF160" s="1385"/>
      <c r="OEG160" s="1385"/>
      <c r="OEH160" s="1385"/>
      <c r="OEI160" s="1385"/>
      <c r="OEJ160" s="1385"/>
      <c r="OEK160" s="1385"/>
      <c r="OEL160" s="1385"/>
      <c r="OEM160" s="1385"/>
      <c r="OEN160" s="1385"/>
      <c r="OEO160" s="1385"/>
      <c r="OEP160" s="1385"/>
      <c r="OEQ160" s="1385"/>
      <c r="OER160" s="1385"/>
      <c r="OES160" s="1385"/>
      <c r="OET160" s="1385"/>
      <c r="OEU160" s="1385"/>
      <c r="OEV160" s="1385"/>
      <c r="OEW160" s="1385"/>
      <c r="OEX160" s="1385"/>
      <c r="OEY160" s="1385"/>
      <c r="OEZ160" s="1385"/>
      <c r="OFA160" s="1385"/>
      <c r="OFB160" s="1385"/>
      <c r="OFC160" s="1385"/>
      <c r="OFD160" s="1385"/>
      <c r="OFE160" s="1385"/>
      <c r="OFF160" s="1385"/>
      <c r="OFG160" s="1385"/>
      <c r="OFH160" s="1385"/>
      <c r="OFI160" s="1385"/>
      <c r="OFJ160" s="1385"/>
      <c r="OFK160" s="1385"/>
      <c r="OFL160" s="1385"/>
      <c r="OFM160" s="1385"/>
      <c r="OFN160" s="1385"/>
      <c r="OFO160" s="1385"/>
      <c r="OFP160" s="1385"/>
      <c r="OFQ160" s="1385"/>
      <c r="OFR160" s="1385"/>
      <c r="OFS160" s="1385"/>
      <c r="OFT160" s="1385"/>
      <c r="OFU160" s="1385"/>
      <c r="OFV160" s="1385"/>
      <c r="OFW160" s="1385"/>
      <c r="OFX160" s="1385"/>
      <c r="OFY160" s="1385"/>
      <c r="OFZ160" s="1385"/>
      <c r="OGA160" s="1385"/>
      <c r="OGB160" s="1385"/>
      <c r="OGC160" s="1385"/>
      <c r="OGD160" s="1385"/>
      <c r="OGE160" s="1385"/>
      <c r="OGF160" s="1385"/>
      <c r="OGG160" s="1385"/>
      <c r="OGH160" s="1385"/>
      <c r="OGI160" s="1385"/>
      <c r="OGJ160" s="1385"/>
      <c r="OGK160" s="1385"/>
      <c r="OGL160" s="1385"/>
      <c r="OGM160" s="1385"/>
      <c r="OGN160" s="1385"/>
      <c r="OGO160" s="1385"/>
      <c r="OGP160" s="1385"/>
      <c r="OGQ160" s="1385"/>
      <c r="OGR160" s="1385"/>
      <c r="OGS160" s="1385"/>
      <c r="OGT160" s="1385"/>
      <c r="OGU160" s="1385"/>
      <c r="OGV160" s="1385"/>
      <c r="OGW160" s="1385"/>
      <c r="OGX160" s="1385"/>
      <c r="OGY160" s="1385"/>
      <c r="OGZ160" s="1385"/>
      <c r="OHA160" s="1385"/>
      <c r="OHB160" s="1385"/>
      <c r="OHC160" s="1385"/>
      <c r="OHD160" s="1385"/>
      <c r="OHE160" s="1385"/>
      <c r="OHF160" s="1385"/>
      <c r="OHG160" s="1385"/>
      <c r="OHH160" s="1385"/>
      <c r="OHI160" s="1385"/>
      <c r="OHJ160" s="1385"/>
      <c r="OHK160" s="1385"/>
      <c r="OHL160" s="1385"/>
      <c r="OHM160" s="1385"/>
      <c r="OHN160" s="1385"/>
      <c r="OHO160" s="1385"/>
      <c r="OHP160" s="1385"/>
      <c r="OHQ160" s="1385"/>
      <c r="OHR160" s="1385"/>
      <c r="OHS160" s="1385"/>
      <c r="OHT160" s="1385"/>
      <c r="OHU160" s="1385"/>
      <c r="OHV160" s="1385"/>
      <c r="OHW160" s="1385"/>
      <c r="OHX160" s="1385"/>
      <c r="OHY160" s="1385"/>
      <c r="OHZ160" s="1385"/>
      <c r="OIA160" s="1385"/>
      <c r="OIB160" s="1385"/>
      <c r="OIC160" s="1385"/>
      <c r="OID160" s="1385"/>
      <c r="OIE160" s="1385"/>
      <c r="OIF160" s="1385"/>
      <c r="OIG160" s="1385"/>
      <c r="OIH160" s="1385"/>
      <c r="OII160" s="1385"/>
      <c r="OIJ160" s="1385"/>
      <c r="OIK160" s="1385"/>
      <c r="OIL160" s="1385"/>
      <c r="OIM160" s="1385"/>
      <c r="OIN160" s="1385"/>
      <c r="OIO160" s="1385"/>
      <c r="OIP160" s="1385"/>
      <c r="OIQ160" s="1385"/>
      <c r="OIR160" s="1385"/>
      <c r="OIS160" s="1385"/>
      <c r="OIT160" s="1385"/>
      <c r="OIU160" s="1385"/>
      <c r="OIV160" s="1385"/>
      <c r="OIW160" s="1385"/>
      <c r="OIX160" s="1385"/>
      <c r="OIY160" s="1385"/>
      <c r="OIZ160" s="1385"/>
      <c r="OJA160" s="1385"/>
      <c r="OJB160" s="1385"/>
      <c r="OJC160" s="1385"/>
      <c r="OJD160" s="1385"/>
      <c r="OJE160" s="1385"/>
      <c r="OJF160" s="1385"/>
      <c r="OJG160" s="1385"/>
      <c r="OJH160" s="1385"/>
      <c r="OJI160" s="1385"/>
      <c r="OJJ160" s="1385"/>
      <c r="OJK160" s="1385"/>
      <c r="OJL160" s="1385"/>
      <c r="OJM160" s="1385"/>
      <c r="OJN160" s="1385"/>
      <c r="OJO160" s="1385"/>
      <c r="OJP160" s="1385"/>
      <c r="OJQ160" s="1385"/>
      <c r="OJR160" s="1385"/>
      <c r="OJS160" s="1385"/>
      <c r="OJT160" s="1385"/>
      <c r="OJU160" s="1385"/>
      <c r="OJV160" s="1385"/>
      <c r="OJW160" s="1385"/>
      <c r="OJX160" s="1385"/>
      <c r="OJY160" s="1385"/>
      <c r="OJZ160" s="1385"/>
      <c r="OKA160" s="1385"/>
      <c r="OKB160" s="1385"/>
      <c r="OKC160" s="1385"/>
      <c r="OKD160" s="1385"/>
      <c r="OKE160" s="1385"/>
      <c r="OKF160" s="1385"/>
      <c r="OKG160" s="1385"/>
      <c r="OKH160" s="1385"/>
      <c r="OKI160" s="1385"/>
      <c r="OKJ160" s="1385"/>
      <c r="OKK160" s="1385"/>
      <c r="OKL160" s="1385"/>
      <c r="OKM160" s="1385"/>
      <c r="OKN160" s="1385"/>
      <c r="OKO160" s="1385"/>
      <c r="OKP160" s="1385"/>
      <c r="OKQ160" s="1385"/>
      <c r="OKR160" s="1385"/>
      <c r="OKS160" s="1385"/>
      <c r="OKT160" s="1385"/>
      <c r="OKU160" s="1385"/>
      <c r="OKV160" s="1385"/>
      <c r="OKW160" s="1385"/>
      <c r="OKX160" s="1385"/>
      <c r="OKY160" s="1385"/>
      <c r="OKZ160" s="1385"/>
      <c r="OLA160" s="1385"/>
      <c r="OLB160" s="1385"/>
      <c r="OLC160" s="1385"/>
      <c r="OLD160" s="1385"/>
      <c r="OLE160" s="1385"/>
      <c r="OLF160" s="1385"/>
      <c r="OLG160" s="1385"/>
      <c r="OLH160" s="1385"/>
      <c r="OLI160" s="1385"/>
      <c r="OLJ160" s="1385"/>
      <c r="OLK160" s="1385"/>
      <c r="OLL160" s="1385"/>
      <c r="OLM160" s="1385"/>
      <c r="OLN160" s="1385"/>
      <c r="OLO160" s="1385"/>
      <c r="OLP160" s="1385"/>
      <c r="OLQ160" s="1385"/>
      <c r="OLR160" s="1385"/>
      <c r="OLS160" s="1385"/>
      <c r="OLT160" s="1385"/>
      <c r="OLU160" s="1385"/>
      <c r="OLV160" s="1385"/>
      <c r="OLW160" s="1385"/>
      <c r="OLX160" s="1385"/>
      <c r="OLY160" s="1385"/>
      <c r="OLZ160" s="1385"/>
      <c r="OMA160" s="1385"/>
      <c r="OMB160" s="1385"/>
      <c r="OMC160" s="1385"/>
      <c r="OMD160" s="1385"/>
      <c r="OME160" s="1385"/>
      <c r="OMF160" s="1385"/>
      <c r="OMG160" s="1385"/>
      <c r="OMH160" s="1385"/>
      <c r="OMI160" s="1385"/>
      <c r="OMJ160" s="1385"/>
      <c r="OMK160" s="1385"/>
      <c r="OML160" s="1385"/>
      <c r="OMM160" s="1385"/>
      <c r="OMN160" s="1385"/>
      <c r="OMO160" s="1385"/>
      <c r="OMP160" s="1385"/>
      <c r="OMQ160" s="1385"/>
      <c r="OMR160" s="1385"/>
      <c r="OMS160" s="1385"/>
      <c r="OMT160" s="1385"/>
      <c r="OMU160" s="1385"/>
      <c r="OMV160" s="1385"/>
      <c r="OMW160" s="1385"/>
      <c r="OMX160" s="1385"/>
      <c r="OMY160" s="1385"/>
      <c r="OMZ160" s="1385"/>
      <c r="ONA160" s="1385"/>
      <c r="ONB160" s="1385"/>
      <c r="ONC160" s="1385"/>
      <c r="OND160" s="1385"/>
      <c r="ONE160" s="1385"/>
      <c r="ONF160" s="1385"/>
      <c r="ONG160" s="1385"/>
      <c r="ONH160" s="1385"/>
      <c r="ONI160" s="1385"/>
      <c r="ONJ160" s="1385"/>
      <c r="ONK160" s="1385"/>
      <c r="ONL160" s="1385"/>
      <c r="ONM160" s="1385"/>
      <c r="ONN160" s="1385"/>
      <c r="ONO160" s="1385"/>
      <c r="ONP160" s="1385"/>
      <c r="ONQ160" s="1385"/>
      <c r="ONR160" s="1385"/>
      <c r="ONS160" s="1385"/>
      <c r="ONT160" s="1385"/>
      <c r="ONU160" s="1385"/>
      <c r="ONV160" s="1385"/>
      <c r="ONW160" s="1385"/>
      <c r="ONX160" s="1385"/>
      <c r="ONY160" s="1385"/>
      <c r="ONZ160" s="1385"/>
      <c r="OOA160" s="1385"/>
      <c r="OOB160" s="1385"/>
      <c r="OOC160" s="1385"/>
      <c r="OOD160" s="1385"/>
      <c r="OOE160" s="1385"/>
      <c r="OOF160" s="1385"/>
      <c r="OOG160" s="1385"/>
      <c r="OOH160" s="1385"/>
      <c r="OOI160" s="1385"/>
      <c r="OOJ160" s="1385"/>
      <c r="OOK160" s="1385"/>
      <c r="OOL160" s="1385"/>
      <c r="OOM160" s="1385"/>
      <c r="OON160" s="1385"/>
      <c r="OOO160" s="1385"/>
      <c r="OOP160" s="1385"/>
      <c r="OOQ160" s="1385"/>
      <c r="OOR160" s="1385"/>
      <c r="OOS160" s="1385"/>
      <c r="OOT160" s="1385"/>
      <c r="OOU160" s="1385"/>
      <c r="OOV160" s="1385"/>
      <c r="OOW160" s="1385"/>
      <c r="OOX160" s="1385"/>
      <c r="OOY160" s="1385"/>
      <c r="OOZ160" s="1385"/>
      <c r="OPA160" s="1385"/>
      <c r="OPB160" s="1385"/>
      <c r="OPC160" s="1385"/>
      <c r="OPD160" s="1385"/>
      <c r="OPE160" s="1385"/>
      <c r="OPF160" s="1385"/>
      <c r="OPG160" s="1385"/>
      <c r="OPH160" s="1385"/>
      <c r="OPI160" s="1385"/>
      <c r="OPJ160" s="1385"/>
      <c r="OPK160" s="1385"/>
      <c r="OPL160" s="1385"/>
      <c r="OPM160" s="1385"/>
      <c r="OPN160" s="1385"/>
      <c r="OPO160" s="1385"/>
      <c r="OPP160" s="1385"/>
      <c r="OPQ160" s="1385"/>
      <c r="OPR160" s="1385"/>
      <c r="OPS160" s="1385"/>
      <c r="OPT160" s="1385"/>
      <c r="OPU160" s="1385"/>
      <c r="OPV160" s="1385"/>
      <c r="OPW160" s="1385"/>
      <c r="OPX160" s="1385"/>
      <c r="OPY160" s="1385"/>
      <c r="OPZ160" s="1385"/>
      <c r="OQA160" s="1385"/>
      <c r="OQB160" s="1385"/>
      <c r="OQC160" s="1385"/>
      <c r="OQD160" s="1385"/>
      <c r="OQE160" s="1385"/>
      <c r="OQF160" s="1385"/>
      <c r="OQG160" s="1385"/>
      <c r="OQH160" s="1385"/>
      <c r="OQI160" s="1385"/>
      <c r="OQJ160" s="1385"/>
      <c r="OQK160" s="1385"/>
      <c r="OQL160" s="1385"/>
      <c r="OQM160" s="1385"/>
      <c r="OQN160" s="1385"/>
      <c r="OQO160" s="1385"/>
      <c r="OQP160" s="1385"/>
      <c r="OQQ160" s="1385"/>
      <c r="OQR160" s="1385"/>
      <c r="OQS160" s="1385"/>
      <c r="OQT160" s="1385"/>
      <c r="OQU160" s="1385"/>
      <c r="OQV160" s="1385"/>
      <c r="OQW160" s="1385"/>
      <c r="OQX160" s="1385"/>
      <c r="OQY160" s="1385"/>
      <c r="OQZ160" s="1385"/>
      <c r="ORA160" s="1385"/>
      <c r="ORB160" s="1385"/>
      <c r="ORC160" s="1385"/>
      <c r="ORD160" s="1385"/>
      <c r="ORE160" s="1385"/>
      <c r="ORF160" s="1385"/>
      <c r="ORG160" s="1385"/>
      <c r="ORH160" s="1385"/>
      <c r="ORI160" s="1385"/>
      <c r="ORJ160" s="1385"/>
      <c r="ORK160" s="1385"/>
      <c r="ORL160" s="1385"/>
      <c r="ORM160" s="1385"/>
      <c r="ORN160" s="1385"/>
      <c r="ORO160" s="1385"/>
      <c r="ORP160" s="1385"/>
      <c r="ORQ160" s="1385"/>
      <c r="ORR160" s="1385"/>
      <c r="ORS160" s="1385"/>
      <c r="ORT160" s="1385"/>
      <c r="ORU160" s="1385"/>
      <c r="ORV160" s="1385"/>
      <c r="ORW160" s="1385"/>
      <c r="ORX160" s="1385"/>
      <c r="ORY160" s="1385"/>
      <c r="ORZ160" s="1385"/>
      <c r="OSA160" s="1385"/>
      <c r="OSB160" s="1385"/>
      <c r="OSC160" s="1385"/>
      <c r="OSD160" s="1385"/>
      <c r="OSE160" s="1385"/>
      <c r="OSF160" s="1385"/>
      <c r="OSG160" s="1385"/>
      <c r="OSH160" s="1385"/>
      <c r="OSI160" s="1385"/>
      <c r="OSJ160" s="1385"/>
      <c r="OSK160" s="1385"/>
      <c r="OSL160" s="1385"/>
      <c r="OSM160" s="1385"/>
      <c r="OSN160" s="1385"/>
      <c r="OSO160" s="1385"/>
      <c r="OSP160" s="1385"/>
      <c r="OSQ160" s="1385"/>
      <c r="OSR160" s="1385"/>
      <c r="OSS160" s="1385"/>
      <c r="OST160" s="1385"/>
      <c r="OSU160" s="1385"/>
      <c r="OSV160" s="1385"/>
      <c r="OSW160" s="1385"/>
      <c r="OSX160" s="1385"/>
      <c r="OSY160" s="1385"/>
      <c r="OSZ160" s="1385"/>
      <c r="OTA160" s="1385"/>
      <c r="OTB160" s="1385"/>
      <c r="OTC160" s="1385"/>
      <c r="OTD160" s="1385"/>
      <c r="OTE160" s="1385"/>
      <c r="OTF160" s="1385"/>
      <c r="OTG160" s="1385"/>
      <c r="OTH160" s="1385"/>
      <c r="OTI160" s="1385"/>
      <c r="OTJ160" s="1385"/>
      <c r="OTK160" s="1385"/>
      <c r="OTL160" s="1385"/>
      <c r="OTM160" s="1385"/>
      <c r="OTN160" s="1385"/>
      <c r="OTO160" s="1385"/>
      <c r="OTP160" s="1385"/>
      <c r="OTQ160" s="1385"/>
      <c r="OTR160" s="1385"/>
      <c r="OTS160" s="1385"/>
      <c r="OTT160" s="1385"/>
      <c r="OTU160" s="1385"/>
      <c r="OTV160" s="1385"/>
      <c r="OTW160" s="1385"/>
      <c r="OTX160" s="1385"/>
      <c r="OTY160" s="1385"/>
      <c r="OTZ160" s="1385"/>
      <c r="OUA160" s="1385"/>
      <c r="OUB160" s="1385"/>
      <c r="OUC160" s="1385"/>
      <c r="OUD160" s="1385"/>
      <c r="OUE160" s="1385"/>
      <c r="OUF160" s="1385"/>
      <c r="OUG160" s="1385"/>
      <c r="OUH160" s="1385"/>
      <c r="OUI160" s="1385"/>
      <c r="OUJ160" s="1385"/>
      <c r="OUK160" s="1385"/>
      <c r="OUL160" s="1385"/>
      <c r="OUM160" s="1385"/>
      <c r="OUN160" s="1385"/>
      <c r="OUO160" s="1385"/>
      <c r="OUP160" s="1385"/>
      <c r="OUQ160" s="1385"/>
      <c r="OUR160" s="1385"/>
      <c r="OUS160" s="1385"/>
      <c r="OUT160" s="1385"/>
      <c r="OUU160" s="1385"/>
      <c r="OUV160" s="1385"/>
      <c r="OUW160" s="1385"/>
      <c r="OUX160" s="1385"/>
      <c r="OUY160" s="1385"/>
      <c r="OUZ160" s="1385"/>
      <c r="OVA160" s="1385"/>
      <c r="OVB160" s="1385"/>
      <c r="OVC160" s="1385"/>
      <c r="OVD160" s="1385"/>
      <c r="OVE160" s="1385"/>
      <c r="OVF160" s="1385"/>
      <c r="OVG160" s="1385"/>
      <c r="OVH160" s="1385"/>
      <c r="OVI160" s="1385"/>
      <c r="OVJ160" s="1385"/>
      <c r="OVK160" s="1385"/>
      <c r="OVL160" s="1385"/>
      <c r="OVM160" s="1385"/>
      <c r="OVN160" s="1385"/>
      <c r="OVO160" s="1385"/>
      <c r="OVP160" s="1385"/>
      <c r="OVQ160" s="1385"/>
      <c r="OVR160" s="1385"/>
      <c r="OVS160" s="1385"/>
      <c r="OVT160" s="1385"/>
      <c r="OVU160" s="1385"/>
      <c r="OVV160" s="1385"/>
      <c r="OVW160" s="1385"/>
      <c r="OVX160" s="1385"/>
      <c r="OVY160" s="1385"/>
      <c r="OVZ160" s="1385"/>
      <c r="OWA160" s="1385"/>
      <c r="OWB160" s="1385"/>
      <c r="OWC160" s="1385"/>
      <c r="OWD160" s="1385"/>
      <c r="OWE160" s="1385"/>
      <c r="OWF160" s="1385"/>
      <c r="OWG160" s="1385"/>
      <c r="OWH160" s="1385"/>
      <c r="OWI160" s="1385"/>
      <c r="OWJ160" s="1385"/>
      <c r="OWK160" s="1385"/>
      <c r="OWL160" s="1385"/>
      <c r="OWM160" s="1385"/>
      <c r="OWN160" s="1385"/>
      <c r="OWO160" s="1385"/>
      <c r="OWP160" s="1385"/>
      <c r="OWQ160" s="1385"/>
      <c r="OWR160" s="1385"/>
      <c r="OWS160" s="1385"/>
      <c r="OWT160" s="1385"/>
      <c r="OWU160" s="1385"/>
      <c r="OWV160" s="1385"/>
      <c r="OWW160" s="1385"/>
      <c r="OWX160" s="1385"/>
      <c r="OWY160" s="1385"/>
      <c r="OWZ160" s="1385"/>
      <c r="OXA160" s="1385"/>
      <c r="OXB160" s="1385"/>
      <c r="OXC160" s="1385"/>
      <c r="OXD160" s="1385"/>
      <c r="OXE160" s="1385"/>
      <c r="OXF160" s="1385"/>
      <c r="OXG160" s="1385"/>
      <c r="OXH160" s="1385"/>
      <c r="OXI160" s="1385"/>
      <c r="OXJ160" s="1385"/>
      <c r="OXK160" s="1385"/>
      <c r="OXL160" s="1385"/>
      <c r="OXM160" s="1385"/>
      <c r="OXN160" s="1385"/>
      <c r="OXO160" s="1385"/>
      <c r="OXP160" s="1385"/>
      <c r="OXQ160" s="1385"/>
      <c r="OXR160" s="1385"/>
      <c r="OXS160" s="1385"/>
      <c r="OXT160" s="1385"/>
      <c r="OXU160" s="1385"/>
      <c r="OXV160" s="1385"/>
      <c r="OXW160" s="1385"/>
      <c r="OXX160" s="1385"/>
      <c r="OXY160" s="1385"/>
      <c r="OXZ160" s="1385"/>
      <c r="OYA160" s="1385"/>
      <c r="OYB160" s="1385"/>
      <c r="OYC160" s="1385"/>
      <c r="OYD160" s="1385"/>
      <c r="OYE160" s="1385"/>
      <c r="OYF160" s="1385"/>
      <c r="OYG160" s="1385"/>
      <c r="OYH160" s="1385"/>
      <c r="OYI160" s="1385"/>
      <c r="OYJ160" s="1385"/>
      <c r="OYK160" s="1385"/>
      <c r="OYL160" s="1385"/>
      <c r="OYM160" s="1385"/>
      <c r="OYN160" s="1385"/>
      <c r="OYO160" s="1385"/>
      <c r="OYP160" s="1385"/>
      <c r="OYQ160" s="1385"/>
      <c r="OYR160" s="1385"/>
      <c r="OYS160" s="1385"/>
      <c r="OYT160" s="1385"/>
      <c r="OYU160" s="1385"/>
      <c r="OYV160" s="1385"/>
      <c r="OYW160" s="1385"/>
      <c r="OYX160" s="1385"/>
      <c r="OYY160" s="1385"/>
      <c r="OYZ160" s="1385"/>
      <c r="OZA160" s="1385"/>
      <c r="OZB160" s="1385"/>
      <c r="OZC160" s="1385"/>
      <c r="OZD160" s="1385"/>
      <c r="OZE160" s="1385"/>
      <c r="OZF160" s="1385"/>
      <c r="OZG160" s="1385"/>
      <c r="OZH160" s="1385"/>
      <c r="OZI160" s="1385"/>
      <c r="OZJ160" s="1385"/>
      <c r="OZK160" s="1385"/>
      <c r="OZL160" s="1385"/>
      <c r="OZM160" s="1385"/>
      <c r="OZN160" s="1385"/>
      <c r="OZO160" s="1385"/>
      <c r="OZP160" s="1385"/>
      <c r="OZQ160" s="1385"/>
      <c r="OZR160" s="1385"/>
      <c r="OZS160" s="1385"/>
      <c r="OZT160" s="1385"/>
      <c r="OZU160" s="1385"/>
      <c r="OZV160" s="1385"/>
      <c r="OZW160" s="1385"/>
      <c r="OZX160" s="1385"/>
      <c r="OZY160" s="1385"/>
      <c r="OZZ160" s="1385"/>
      <c r="PAA160" s="1385"/>
      <c r="PAB160" s="1385"/>
      <c r="PAC160" s="1385"/>
      <c r="PAD160" s="1385"/>
      <c r="PAE160" s="1385"/>
      <c r="PAF160" s="1385"/>
      <c r="PAG160" s="1385"/>
      <c r="PAH160" s="1385"/>
      <c r="PAI160" s="1385"/>
      <c r="PAJ160" s="1385"/>
      <c r="PAK160" s="1385"/>
      <c r="PAL160" s="1385"/>
      <c r="PAM160" s="1385"/>
      <c r="PAN160" s="1385"/>
      <c r="PAO160" s="1385"/>
      <c r="PAP160" s="1385"/>
      <c r="PAQ160" s="1385"/>
      <c r="PAR160" s="1385"/>
      <c r="PAS160" s="1385"/>
      <c r="PAT160" s="1385"/>
      <c r="PAU160" s="1385"/>
      <c r="PAV160" s="1385"/>
      <c r="PAW160" s="1385"/>
      <c r="PAX160" s="1385"/>
      <c r="PAY160" s="1385"/>
      <c r="PAZ160" s="1385"/>
      <c r="PBA160" s="1385"/>
      <c r="PBB160" s="1385"/>
      <c r="PBC160" s="1385"/>
      <c r="PBD160" s="1385"/>
      <c r="PBE160" s="1385"/>
      <c r="PBF160" s="1385"/>
      <c r="PBG160" s="1385"/>
      <c r="PBH160" s="1385"/>
      <c r="PBI160" s="1385"/>
      <c r="PBJ160" s="1385"/>
      <c r="PBK160" s="1385"/>
      <c r="PBL160" s="1385"/>
      <c r="PBM160" s="1385"/>
      <c r="PBN160" s="1385"/>
      <c r="PBO160" s="1385"/>
      <c r="PBP160" s="1385"/>
      <c r="PBQ160" s="1385"/>
      <c r="PBR160" s="1385"/>
      <c r="PBS160" s="1385"/>
      <c r="PBT160" s="1385"/>
      <c r="PBU160" s="1385"/>
      <c r="PBV160" s="1385"/>
      <c r="PBW160" s="1385"/>
      <c r="PBX160" s="1385"/>
      <c r="PBY160" s="1385"/>
      <c r="PBZ160" s="1385"/>
      <c r="PCA160" s="1385"/>
      <c r="PCB160" s="1385"/>
      <c r="PCC160" s="1385"/>
      <c r="PCD160" s="1385"/>
      <c r="PCE160" s="1385"/>
      <c r="PCF160" s="1385"/>
      <c r="PCG160" s="1385"/>
      <c r="PCH160" s="1385"/>
      <c r="PCI160" s="1385"/>
      <c r="PCJ160" s="1385"/>
      <c r="PCK160" s="1385"/>
      <c r="PCL160" s="1385"/>
      <c r="PCM160" s="1385"/>
      <c r="PCN160" s="1385"/>
      <c r="PCO160" s="1385"/>
      <c r="PCP160" s="1385"/>
      <c r="PCQ160" s="1385"/>
      <c r="PCR160" s="1385"/>
      <c r="PCS160" s="1385"/>
      <c r="PCT160" s="1385"/>
      <c r="PCU160" s="1385"/>
      <c r="PCV160" s="1385"/>
      <c r="PCW160" s="1385"/>
      <c r="PCX160" s="1385"/>
      <c r="PCY160" s="1385"/>
      <c r="PCZ160" s="1385"/>
      <c r="PDA160" s="1385"/>
      <c r="PDB160" s="1385"/>
      <c r="PDC160" s="1385"/>
      <c r="PDD160" s="1385"/>
      <c r="PDE160" s="1385"/>
      <c r="PDF160" s="1385"/>
      <c r="PDG160" s="1385"/>
      <c r="PDH160" s="1385"/>
      <c r="PDI160" s="1385"/>
      <c r="PDJ160" s="1385"/>
      <c r="PDK160" s="1385"/>
      <c r="PDL160" s="1385"/>
      <c r="PDM160" s="1385"/>
      <c r="PDN160" s="1385"/>
      <c r="PDO160" s="1385"/>
      <c r="PDP160" s="1385"/>
      <c r="PDQ160" s="1385"/>
      <c r="PDR160" s="1385"/>
      <c r="PDS160" s="1385"/>
      <c r="PDT160" s="1385"/>
      <c r="PDU160" s="1385"/>
      <c r="PDV160" s="1385"/>
      <c r="PDW160" s="1385"/>
      <c r="PDX160" s="1385"/>
      <c r="PDY160" s="1385"/>
      <c r="PDZ160" s="1385"/>
      <c r="PEA160" s="1385"/>
      <c r="PEB160" s="1385"/>
      <c r="PEC160" s="1385"/>
      <c r="PED160" s="1385"/>
      <c r="PEE160" s="1385"/>
      <c r="PEF160" s="1385"/>
      <c r="PEG160" s="1385"/>
      <c r="PEH160" s="1385"/>
      <c r="PEI160" s="1385"/>
      <c r="PEJ160" s="1385"/>
      <c r="PEK160" s="1385"/>
      <c r="PEL160" s="1385"/>
      <c r="PEM160" s="1385"/>
      <c r="PEN160" s="1385"/>
      <c r="PEO160" s="1385"/>
      <c r="PEP160" s="1385"/>
      <c r="PEQ160" s="1385"/>
      <c r="PER160" s="1385"/>
      <c r="PES160" s="1385"/>
      <c r="PET160" s="1385"/>
      <c r="PEU160" s="1385"/>
      <c r="PEV160" s="1385"/>
      <c r="PEW160" s="1385"/>
      <c r="PEX160" s="1385"/>
      <c r="PEY160" s="1385"/>
      <c r="PEZ160" s="1385"/>
      <c r="PFA160" s="1385"/>
      <c r="PFB160" s="1385"/>
      <c r="PFC160" s="1385"/>
      <c r="PFD160" s="1385"/>
      <c r="PFE160" s="1385"/>
      <c r="PFF160" s="1385"/>
      <c r="PFG160" s="1385"/>
      <c r="PFH160" s="1385"/>
      <c r="PFI160" s="1385"/>
      <c r="PFJ160" s="1385"/>
      <c r="PFK160" s="1385"/>
      <c r="PFL160" s="1385"/>
      <c r="PFM160" s="1385"/>
      <c r="PFN160" s="1385"/>
      <c r="PFO160" s="1385"/>
      <c r="PFP160" s="1385"/>
      <c r="PFQ160" s="1385"/>
      <c r="PFR160" s="1385"/>
      <c r="PFS160" s="1385"/>
      <c r="PFT160" s="1385"/>
      <c r="PFU160" s="1385"/>
      <c r="PFV160" s="1385"/>
      <c r="PFW160" s="1385"/>
      <c r="PFX160" s="1385"/>
      <c r="PFY160" s="1385"/>
      <c r="PFZ160" s="1385"/>
      <c r="PGA160" s="1385"/>
      <c r="PGB160" s="1385"/>
      <c r="PGC160" s="1385"/>
      <c r="PGD160" s="1385"/>
      <c r="PGE160" s="1385"/>
      <c r="PGF160" s="1385"/>
      <c r="PGG160" s="1385"/>
      <c r="PGH160" s="1385"/>
      <c r="PGI160" s="1385"/>
      <c r="PGJ160" s="1385"/>
      <c r="PGK160" s="1385"/>
      <c r="PGL160" s="1385"/>
      <c r="PGM160" s="1385"/>
      <c r="PGN160" s="1385"/>
      <c r="PGO160" s="1385"/>
      <c r="PGP160" s="1385"/>
      <c r="PGQ160" s="1385"/>
      <c r="PGR160" s="1385"/>
      <c r="PGS160" s="1385"/>
      <c r="PGT160" s="1385"/>
      <c r="PGU160" s="1385"/>
      <c r="PGV160" s="1385"/>
      <c r="PGW160" s="1385"/>
      <c r="PGX160" s="1385"/>
      <c r="PGY160" s="1385"/>
      <c r="PGZ160" s="1385"/>
      <c r="PHA160" s="1385"/>
      <c r="PHB160" s="1385"/>
      <c r="PHC160" s="1385"/>
      <c r="PHD160" s="1385"/>
      <c r="PHE160" s="1385"/>
      <c r="PHF160" s="1385"/>
      <c r="PHG160" s="1385"/>
      <c r="PHH160" s="1385"/>
      <c r="PHI160" s="1385"/>
      <c r="PHJ160" s="1385"/>
      <c r="PHK160" s="1385"/>
      <c r="PHL160" s="1385"/>
      <c r="PHM160" s="1385"/>
      <c r="PHN160" s="1385"/>
      <c r="PHO160" s="1385"/>
      <c r="PHP160" s="1385"/>
      <c r="PHQ160" s="1385"/>
      <c r="PHR160" s="1385"/>
      <c r="PHS160" s="1385"/>
      <c r="PHT160" s="1385"/>
      <c r="PHU160" s="1385"/>
      <c r="PHV160" s="1385"/>
      <c r="PHW160" s="1385"/>
      <c r="PHX160" s="1385"/>
      <c r="PHY160" s="1385"/>
      <c r="PHZ160" s="1385"/>
      <c r="PIA160" s="1385"/>
      <c r="PIB160" s="1385"/>
      <c r="PIC160" s="1385"/>
      <c r="PID160" s="1385"/>
      <c r="PIE160" s="1385"/>
      <c r="PIF160" s="1385"/>
      <c r="PIG160" s="1385"/>
      <c r="PIH160" s="1385"/>
      <c r="PII160" s="1385"/>
      <c r="PIJ160" s="1385"/>
      <c r="PIK160" s="1385"/>
      <c r="PIL160" s="1385"/>
      <c r="PIM160" s="1385"/>
      <c r="PIN160" s="1385"/>
      <c r="PIO160" s="1385"/>
      <c r="PIP160" s="1385"/>
      <c r="PIQ160" s="1385"/>
      <c r="PIR160" s="1385"/>
      <c r="PIS160" s="1385"/>
      <c r="PIT160" s="1385"/>
      <c r="PIU160" s="1385"/>
      <c r="PIV160" s="1385"/>
      <c r="PIW160" s="1385"/>
      <c r="PIX160" s="1385"/>
      <c r="PIY160" s="1385"/>
      <c r="PIZ160" s="1385"/>
      <c r="PJA160" s="1385"/>
      <c r="PJB160" s="1385"/>
      <c r="PJC160" s="1385"/>
      <c r="PJD160" s="1385"/>
      <c r="PJE160" s="1385"/>
      <c r="PJF160" s="1385"/>
      <c r="PJG160" s="1385"/>
      <c r="PJH160" s="1385"/>
      <c r="PJI160" s="1385"/>
      <c r="PJJ160" s="1385"/>
      <c r="PJK160" s="1385"/>
      <c r="PJL160" s="1385"/>
      <c r="PJM160" s="1385"/>
      <c r="PJN160" s="1385"/>
      <c r="PJO160" s="1385"/>
      <c r="PJP160" s="1385"/>
      <c r="PJQ160" s="1385"/>
      <c r="PJR160" s="1385"/>
      <c r="PJS160" s="1385"/>
      <c r="PJT160" s="1385"/>
      <c r="PJU160" s="1385"/>
      <c r="PJV160" s="1385"/>
      <c r="PJW160" s="1385"/>
      <c r="PJX160" s="1385"/>
      <c r="PJY160" s="1385"/>
      <c r="PJZ160" s="1385"/>
      <c r="PKA160" s="1385"/>
      <c r="PKB160" s="1385"/>
      <c r="PKC160" s="1385"/>
      <c r="PKD160" s="1385"/>
      <c r="PKE160" s="1385"/>
      <c r="PKF160" s="1385"/>
      <c r="PKG160" s="1385"/>
      <c r="PKH160" s="1385"/>
      <c r="PKI160" s="1385"/>
      <c r="PKJ160" s="1385"/>
      <c r="PKK160" s="1385"/>
      <c r="PKL160" s="1385"/>
      <c r="PKM160" s="1385"/>
      <c r="PKN160" s="1385"/>
      <c r="PKO160" s="1385"/>
      <c r="PKP160" s="1385"/>
      <c r="PKQ160" s="1385"/>
      <c r="PKR160" s="1385"/>
      <c r="PKS160" s="1385"/>
      <c r="PKT160" s="1385"/>
      <c r="PKU160" s="1385"/>
      <c r="PKV160" s="1385"/>
      <c r="PKW160" s="1385"/>
      <c r="PKX160" s="1385"/>
      <c r="PKY160" s="1385"/>
      <c r="PKZ160" s="1385"/>
      <c r="PLA160" s="1385"/>
      <c r="PLB160" s="1385"/>
      <c r="PLC160" s="1385"/>
      <c r="PLD160" s="1385"/>
      <c r="PLE160" s="1385"/>
      <c r="PLF160" s="1385"/>
      <c r="PLG160" s="1385"/>
      <c r="PLH160" s="1385"/>
      <c r="PLI160" s="1385"/>
      <c r="PLJ160" s="1385"/>
      <c r="PLK160" s="1385"/>
      <c r="PLL160" s="1385"/>
      <c r="PLM160" s="1385"/>
      <c r="PLN160" s="1385"/>
      <c r="PLO160" s="1385"/>
      <c r="PLP160" s="1385"/>
      <c r="PLQ160" s="1385"/>
      <c r="PLR160" s="1385"/>
      <c r="PLS160" s="1385"/>
      <c r="PLT160" s="1385"/>
      <c r="PLU160" s="1385"/>
      <c r="PLV160" s="1385"/>
      <c r="PLW160" s="1385"/>
      <c r="PLX160" s="1385"/>
      <c r="PLY160" s="1385"/>
      <c r="PLZ160" s="1385"/>
      <c r="PMA160" s="1385"/>
      <c r="PMB160" s="1385"/>
      <c r="PMC160" s="1385"/>
      <c r="PMD160" s="1385"/>
      <c r="PME160" s="1385"/>
      <c r="PMF160" s="1385"/>
      <c r="PMG160" s="1385"/>
      <c r="PMH160" s="1385"/>
      <c r="PMI160" s="1385"/>
      <c r="PMJ160" s="1385"/>
      <c r="PMK160" s="1385"/>
      <c r="PML160" s="1385"/>
      <c r="PMM160" s="1385"/>
      <c r="PMN160" s="1385"/>
      <c r="PMO160" s="1385"/>
      <c r="PMP160" s="1385"/>
      <c r="PMQ160" s="1385"/>
      <c r="PMR160" s="1385"/>
      <c r="PMS160" s="1385"/>
      <c r="PMT160" s="1385"/>
      <c r="PMU160" s="1385"/>
      <c r="PMV160" s="1385"/>
      <c r="PMW160" s="1385"/>
      <c r="PMX160" s="1385"/>
      <c r="PMY160" s="1385"/>
      <c r="PMZ160" s="1385"/>
      <c r="PNA160" s="1385"/>
      <c r="PNB160" s="1385"/>
      <c r="PNC160" s="1385"/>
      <c r="PND160" s="1385"/>
      <c r="PNE160" s="1385"/>
      <c r="PNF160" s="1385"/>
      <c r="PNG160" s="1385"/>
      <c r="PNH160" s="1385"/>
      <c r="PNI160" s="1385"/>
      <c r="PNJ160" s="1385"/>
      <c r="PNK160" s="1385"/>
      <c r="PNL160" s="1385"/>
      <c r="PNM160" s="1385"/>
      <c r="PNN160" s="1385"/>
      <c r="PNO160" s="1385"/>
      <c r="PNP160" s="1385"/>
      <c r="PNQ160" s="1385"/>
      <c r="PNR160" s="1385"/>
      <c r="PNS160" s="1385"/>
      <c r="PNT160" s="1385"/>
      <c r="PNU160" s="1385"/>
      <c r="PNV160" s="1385"/>
      <c r="PNW160" s="1385"/>
      <c r="PNX160" s="1385"/>
      <c r="PNY160" s="1385"/>
      <c r="PNZ160" s="1385"/>
      <c r="POA160" s="1385"/>
      <c r="POB160" s="1385"/>
      <c r="POC160" s="1385"/>
      <c r="POD160" s="1385"/>
      <c r="POE160" s="1385"/>
      <c r="POF160" s="1385"/>
      <c r="POG160" s="1385"/>
      <c r="POH160" s="1385"/>
      <c r="POI160" s="1385"/>
      <c r="POJ160" s="1385"/>
      <c r="POK160" s="1385"/>
      <c r="POL160" s="1385"/>
      <c r="POM160" s="1385"/>
      <c r="PON160" s="1385"/>
      <c r="POO160" s="1385"/>
      <c r="POP160" s="1385"/>
      <c r="POQ160" s="1385"/>
      <c r="POR160" s="1385"/>
      <c r="POS160" s="1385"/>
      <c r="POT160" s="1385"/>
      <c r="POU160" s="1385"/>
      <c r="POV160" s="1385"/>
      <c r="POW160" s="1385"/>
      <c r="POX160" s="1385"/>
      <c r="POY160" s="1385"/>
      <c r="POZ160" s="1385"/>
      <c r="PPA160" s="1385"/>
      <c r="PPB160" s="1385"/>
      <c r="PPC160" s="1385"/>
      <c r="PPD160" s="1385"/>
      <c r="PPE160" s="1385"/>
      <c r="PPF160" s="1385"/>
      <c r="PPG160" s="1385"/>
      <c r="PPH160" s="1385"/>
      <c r="PPI160" s="1385"/>
      <c r="PPJ160" s="1385"/>
      <c r="PPK160" s="1385"/>
      <c r="PPL160" s="1385"/>
      <c r="PPM160" s="1385"/>
      <c r="PPN160" s="1385"/>
      <c r="PPO160" s="1385"/>
      <c r="PPP160" s="1385"/>
      <c r="PPQ160" s="1385"/>
      <c r="PPR160" s="1385"/>
      <c r="PPS160" s="1385"/>
      <c r="PPT160" s="1385"/>
      <c r="PPU160" s="1385"/>
      <c r="PPV160" s="1385"/>
      <c r="PPW160" s="1385"/>
      <c r="PPX160" s="1385"/>
      <c r="PPY160" s="1385"/>
      <c r="PPZ160" s="1385"/>
      <c r="PQA160" s="1385"/>
      <c r="PQB160" s="1385"/>
      <c r="PQC160" s="1385"/>
      <c r="PQD160" s="1385"/>
      <c r="PQE160" s="1385"/>
      <c r="PQF160" s="1385"/>
      <c r="PQG160" s="1385"/>
      <c r="PQH160" s="1385"/>
      <c r="PQI160" s="1385"/>
      <c r="PQJ160" s="1385"/>
      <c r="PQK160" s="1385"/>
      <c r="PQL160" s="1385"/>
      <c r="PQM160" s="1385"/>
      <c r="PQN160" s="1385"/>
      <c r="PQO160" s="1385"/>
      <c r="PQP160" s="1385"/>
      <c r="PQQ160" s="1385"/>
      <c r="PQR160" s="1385"/>
      <c r="PQS160" s="1385"/>
      <c r="PQT160" s="1385"/>
      <c r="PQU160" s="1385"/>
      <c r="PQV160" s="1385"/>
      <c r="PQW160" s="1385"/>
      <c r="PQX160" s="1385"/>
      <c r="PQY160" s="1385"/>
      <c r="PQZ160" s="1385"/>
      <c r="PRA160" s="1385"/>
      <c r="PRB160" s="1385"/>
      <c r="PRC160" s="1385"/>
      <c r="PRD160" s="1385"/>
      <c r="PRE160" s="1385"/>
      <c r="PRF160" s="1385"/>
      <c r="PRG160" s="1385"/>
      <c r="PRH160" s="1385"/>
      <c r="PRI160" s="1385"/>
      <c r="PRJ160" s="1385"/>
      <c r="PRK160" s="1385"/>
      <c r="PRL160" s="1385"/>
      <c r="PRM160" s="1385"/>
      <c r="PRN160" s="1385"/>
      <c r="PRO160" s="1385"/>
      <c r="PRP160" s="1385"/>
      <c r="PRQ160" s="1385"/>
      <c r="PRR160" s="1385"/>
      <c r="PRS160" s="1385"/>
      <c r="PRT160" s="1385"/>
      <c r="PRU160" s="1385"/>
      <c r="PRV160" s="1385"/>
      <c r="PRW160" s="1385"/>
      <c r="PRX160" s="1385"/>
      <c r="PRY160" s="1385"/>
      <c r="PRZ160" s="1385"/>
      <c r="PSA160" s="1385"/>
      <c r="PSB160" s="1385"/>
      <c r="PSC160" s="1385"/>
      <c r="PSD160" s="1385"/>
      <c r="PSE160" s="1385"/>
      <c r="PSF160" s="1385"/>
      <c r="PSG160" s="1385"/>
      <c r="PSH160" s="1385"/>
      <c r="PSI160" s="1385"/>
      <c r="PSJ160" s="1385"/>
      <c r="PSK160" s="1385"/>
      <c r="PSL160" s="1385"/>
      <c r="PSM160" s="1385"/>
      <c r="PSN160" s="1385"/>
      <c r="PSO160" s="1385"/>
      <c r="PSP160" s="1385"/>
      <c r="PSQ160" s="1385"/>
      <c r="PSR160" s="1385"/>
      <c r="PSS160" s="1385"/>
      <c r="PST160" s="1385"/>
      <c r="PSU160" s="1385"/>
      <c r="PSV160" s="1385"/>
      <c r="PSW160" s="1385"/>
      <c r="PSX160" s="1385"/>
      <c r="PSY160" s="1385"/>
      <c r="PSZ160" s="1385"/>
      <c r="PTA160" s="1385"/>
      <c r="PTB160" s="1385"/>
      <c r="PTC160" s="1385"/>
      <c r="PTD160" s="1385"/>
      <c r="PTE160" s="1385"/>
      <c r="PTF160" s="1385"/>
      <c r="PTG160" s="1385"/>
      <c r="PTH160" s="1385"/>
      <c r="PTI160" s="1385"/>
      <c r="PTJ160" s="1385"/>
      <c r="PTK160" s="1385"/>
      <c r="PTL160" s="1385"/>
      <c r="PTM160" s="1385"/>
      <c r="PTN160" s="1385"/>
      <c r="PTO160" s="1385"/>
      <c r="PTP160" s="1385"/>
      <c r="PTQ160" s="1385"/>
      <c r="PTR160" s="1385"/>
      <c r="PTS160" s="1385"/>
      <c r="PTT160" s="1385"/>
      <c r="PTU160" s="1385"/>
      <c r="PTV160" s="1385"/>
      <c r="PTW160" s="1385"/>
      <c r="PTX160" s="1385"/>
      <c r="PTY160" s="1385"/>
      <c r="PTZ160" s="1385"/>
      <c r="PUA160" s="1385"/>
      <c r="PUB160" s="1385"/>
      <c r="PUC160" s="1385"/>
      <c r="PUD160" s="1385"/>
      <c r="PUE160" s="1385"/>
      <c r="PUF160" s="1385"/>
      <c r="PUG160" s="1385"/>
      <c r="PUH160" s="1385"/>
      <c r="PUI160" s="1385"/>
      <c r="PUJ160" s="1385"/>
      <c r="PUK160" s="1385"/>
      <c r="PUL160" s="1385"/>
      <c r="PUM160" s="1385"/>
      <c r="PUN160" s="1385"/>
      <c r="PUO160" s="1385"/>
      <c r="PUP160" s="1385"/>
      <c r="PUQ160" s="1385"/>
      <c r="PUR160" s="1385"/>
      <c r="PUS160" s="1385"/>
      <c r="PUT160" s="1385"/>
      <c r="PUU160" s="1385"/>
      <c r="PUV160" s="1385"/>
      <c r="PUW160" s="1385"/>
      <c r="PUX160" s="1385"/>
      <c r="PUY160" s="1385"/>
      <c r="PUZ160" s="1385"/>
      <c r="PVA160" s="1385"/>
      <c r="PVB160" s="1385"/>
      <c r="PVC160" s="1385"/>
      <c r="PVD160" s="1385"/>
      <c r="PVE160" s="1385"/>
      <c r="PVF160" s="1385"/>
      <c r="PVG160" s="1385"/>
      <c r="PVH160" s="1385"/>
      <c r="PVI160" s="1385"/>
      <c r="PVJ160" s="1385"/>
      <c r="PVK160" s="1385"/>
      <c r="PVL160" s="1385"/>
      <c r="PVM160" s="1385"/>
      <c r="PVN160" s="1385"/>
      <c r="PVO160" s="1385"/>
      <c r="PVP160" s="1385"/>
      <c r="PVQ160" s="1385"/>
      <c r="PVR160" s="1385"/>
      <c r="PVS160" s="1385"/>
      <c r="PVT160" s="1385"/>
      <c r="PVU160" s="1385"/>
      <c r="PVV160" s="1385"/>
      <c r="PVW160" s="1385"/>
      <c r="PVX160" s="1385"/>
      <c r="PVY160" s="1385"/>
      <c r="PVZ160" s="1385"/>
      <c r="PWA160" s="1385"/>
      <c r="PWB160" s="1385"/>
      <c r="PWC160" s="1385"/>
      <c r="PWD160" s="1385"/>
      <c r="PWE160" s="1385"/>
      <c r="PWF160" s="1385"/>
      <c r="PWG160" s="1385"/>
      <c r="PWH160" s="1385"/>
      <c r="PWI160" s="1385"/>
      <c r="PWJ160" s="1385"/>
      <c r="PWK160" s="1385"/>
      <c r="PWL160" s="1385"/>
      <c r="PWM160" s="1385"/>
      <c r="PWN160" s="1385"/>
      <c r="PWO160" s="1385"/>
      <c r="PWP160" s="1385"/>
      <c r="PWQ160" s="1385"/>
      <c r="PWR160" s="1385"/>
      <c r="PWS160" s="1385"/>
      <c r="PWT160" s="1385"/>
      <c r="PWU160" s="1385"/>
      <c r="PWV160" s="1385"/>
      <c r="PWW160" s="1385"/>
      <c r="PWX160" s="1385"/>
      <c r="PWY160" s="1385"/>
      <c r="PWZ160" s="1385"/>
      <c r="PXA160" s="1385"/>
      <c r="PXB160" s="1385"/>
      <c r="PXC160" s="1385"/>
      <c r="PXD160" s="1385"/>
      <c r="PXE160" s="1385"/>
      <c r="PXF160" s="1385"/>
      <c r="PXG160" s="1385"/>
      <c r="PXH160" s="1385"/>
      <c r="PXI160" s="1385"/>
      <c r="PXJ160" s="1385"/>
      <c r="PXK160" s="1385"/>
      <c r="PXL160" s="1385"/>
      <c r="PXM160" s="1385"/>
      <c r="PXN160" s="1385"/>
      <c r="PXO160" s="1385"/>
      <c r="PXP160" s="1385"/>
      <c r="PXQ160" s="1385"/>
      <c r="PXR160" s="1385"/>
      <c r="PXS160" s="1385"/>
      <c r="PXT160" s="1385"/>
      <c r="PXU160" s="1385"/>
      <c r="PXV160" s="1385"/>
      <c r="PXW160" s="1385"/>
      <c r="PXX160" s="1385"/>
      <c r="PXY160" s="1385"/>
      <c r="PXZ160" s="1385"/>
      <c r="PYA160" s="1385"/>
      <c r="PYB160" s="1385"/>
      <c r="PYC160" s="1385"/>
      <c r="PYD160" s="1385"/>
      <c r="PYE160" s="1385"/>
      <c r="PYF160" s="1385"/>
      <c r="PYG160" s="1385"/>
      <c r="PYH160" s="1385"/>
      <c r="PYI160" s="1385"/>
      <c r="PYJ160" s="1385"/>
      <c r="PYK160" s="1385"/>
      <c r="PYL160" s="1385"/>
      <c r="PYM160" s="1385"/>
      <c r="PYN160" s="1385"/>
      <c r="PYO160" s="1385"/>
      <c r="PYP160" s="1385"/>
      <c r="PYQ160" s="1385"/>
      <c r="PYR160" s="1385"/>
      <c r="PYS160" s="1385"/>
      <c r="PYT160" s="1385"/>
      <c r="PYU160" s="1385"/>
      <c r="PYV160" s="1385"/>
      <c r="PYW160" s="1385"/>
      <c r="PYX160" s="1385"/>
      <c r="PYY160" s="1385"/>
      <c r="PYZ160" s="1385"/>
      <c r="PZA160" s="1385"/>
      <c r="PZB160" s="1385"/>
      <c r="PZC160" s="1385"/>
      <c r="PZD160" s="1385"/>
      <c r="PZE160" s="1385"/>
      <c r="PZF160" s="1385"/>
      <c r="PZG160" s="1385"/>
      <c r="PZH160" s="1385"/>
      <c r="PZI160" s="1385"/>
      <c r="PZJ160" s="1385"/>
      <c r="PZK160" s="1385"/>
      <c r="PZL160" s="1385"/>
      <c r="PZM160" s="1385"/>
      <c r="PZN160" s="1385"/>
      <c r="PZO160" s="1385"/>
      <c r="PZP160" s="1385"/>
      <c r="PZQ160" s="1385"/>
      <c r="PZR160" s="1385"/>
      <c r="PZS160" s="1385"/>
      <c r="PZT160" s="1385"/>
      <c r="PZU160" s="1385"/>
      <c r="PZV160" s="1385"/>
      <c r="PZW160" s="1385"/>
      <c r="PZX160" s="1385"/>
      <c r="PZY160" s="1385"/>
      <c r="PZZ160" s="1385"/>
      <c r="QAA160" s="1385"/>
      <c r="QAB160" s="1385"/>
      <c r="QAC160" s="1385"/>
      <c r="QAD160" s="1385"/>
      <c r="QAE160" s="1385"/>
      <c r="QAF160" s="1385"/>
      <c r="QAG160" s="1385"/>
      <c r="QAH160" s="1385"/>
      <c r="QAI160" s="1385"/>
      <c r="QAJ160" s="1385"/>
      <c r="QAK160" s="1385"/>
      <c r="QAL160" s="1385"/>
      <c r="QAM160" s="1385"/>
      <c r="QAN160" s="1385"/>
      <c r="QAO160" s="1385"/>
      <c r="QAP160" s="1385"/>
      <c r="QAQ160" s="1385"/>
      <c r="QAR160" s="1385"/>
      <c r="QAS160" s="1385"/>
      <c r="QAT160" s="1385"/>
      <c r="QAU160" s="1385"/>
      <c r="QAV160" s="1385"/>
      <c r="QAW160" s="1385"/>
      <c r="QAX160" s="1385"/>
      <c r="QAY160" s="1385"/>
      <c r="QAZ160" s="1385"/>
      <c r="QBA160" s="1385"/>
      <c r="QBB160" s="1385"/>
      <c r="QBC160" s="1385"/>
      <c r="QBD160" s="1385"/>
      <c r="QBE160" s="1385"/>
      <c r="QBF160" s="1385"/>
      <c r="QBG160" s="1385"/>
      <c r="QBH160" s="1385"/>
      <c r="QBI160" s="1385"/>
      <c r="QBJ160" s="1385"/>
      <c r="QBK160" s="1385"/>
      <c r="QBL160" s="1385"/>
      <c r="QBM160" s="1385"/>
      <c r="QBN160" s="1385"/>
      <c r="QBO160" s="1385"/>
      <c r="QBP160" s="1385"/>
      <c r="QBQ160" s="1385"/>
      <c r="QBR160" s="1385"/>
      <c r="QBS160" s="1385"/>
      <c r="QBT160" s="1385"/>
      <c r="QBU160" s="1385"/>
      <c r="QBV160" s="1385"/>
      <c r="QBW160" s="1385"/>
      <c r="QBX160" s="1385"/>
      <c r="QBY160" s="1385"/>
      <c r="QBZ160" s="1385"/>
      <c r="QCA160" s="1385"/>
      <c r="QCB160" s="1385"/>
      <c r="QCC160" s="1385"/>
      <c r="QCD160" s="1385"/>
      <c r="QCE160" s="1385"/>
      <c r="QCF160" s="1385"/>
      <c r="QCG160" s="1385"/>
      <c r="QCH160" s="1385"/>
      <c r="QCI160" s="1385"/>
      <c r="QCJ160" s="1385"/>
      <c r="QCK160" s="1385"/>
      <c r="QCL160" s="1385"/>
      <c r="QCM160" s="1385"/>
      <c r="QCN160" s="1385"/>
      <c r="QCO160" s="1385"/>
      <c r="QCP160" s="1385"/>
      <c r="QCQ160" s="1385"/>
      <c r="QCR160" s="1385"/>
      <c r="QCS160" s="1385"/>
      <c r="QCT160" s="1385"/>
      <c r="QCU160" s="1385"/>
      <c r="QCV160" s="1385"/>
      <c r="QCW160" s="1385"/>
      <c r="QCX160" s="1385"/>
      <c r="QCY160" s="1385"/>
      <c r="QCZ160" s="1385"/>
      <c r="QDA160" s="1385"/>
      <c r="QDB160" s="1385"/>
      <c r="QDC160" s="1385"/>
      <c r="QDD160" s="1385"/>
      <c r="QDE160" s="1385"/>
      <c r="QDF160" s="1385"/>
      <c r="QDG160" s="1385"/>
      <c r="QDH160" s="1385"/>
      <c r="QDI160" s="1385"/>
      <c r="QDJ160" s="1385"/>
      <c r="QDK160" s="1385"/>
      <c r="QDL160" s="1385"/>
      <c r="QDM160" s="1385"/>
      <c r="QDN160" s="1385"/>
      <c r="QDO160" s="1385"/>
      <c r="QDP160" s="1385"/>
      <c r="QDQ160" s="1385"/>
      <c r="QDR160" s="1385"/>
      <c r="QDS160" s="1385"/>
      <c r="QDT160" s="1385"/>
      <c r="QDU160" s="1385"/>
      <c r="QDV160" s="1385"/>
      <c r="QDW160" s="1385"/>
      <c r="QDX160" s="1385"/>
      <c r="QDY160" s="1385"/>
      <c r="QDZ160" s="1385"/>
      <c r="QEA160" s="1385"/>
      <c r="QEB160" s="1385"/>
      <c r="QEC160" s="1385"/>
      <c r="QED160" s="1385"/>
      <c r="QEE160" s="1385"/>
      <c r="QEF160" s="1385"/>
      <c r="QEG160" s="1385"/>
      <c r="QEH160" s="1385"/>
      <c r="QEI160" s="1385"/>
      <c r="QEJ160" s="1385"/>
      <c r="QEK160" s="1385"/>
      <c r="QEL160" s="1385"/>
      <c r="QEM160" s="1385"/>
      <c r="QEN160" s="1385"/>
      <c r="QEO160" s="1385"/>
      <c r="QEP160" s="1385"/>
      <c r="QEQ160" s="1385"/>
      <c r="QER160" s="1385"/>
      <c r="QES160" s="1385"/>
      <c r="QET160" s="1385"/>
      <c r="QEU160" s="1385"/>
      <c r="QEV160" s="1385"/>
      <c r="QEW160" s="1385"/>
      <c r="QEX160" s="1385"/>
      <c r="QEY160" s="1385"/>
      <c r="QEZ160" s="1385"/>
      <c r="QFA160" s="1385"/>
      <c r="QFB160" s="1385"/>
      <c r="QFC160" s="1385"/>
      <c r="QFD160" s="1385"/>
      <c r="QFE160" s="1385"/>
      <c r="QFF160" s="1385"/>
      <c r="QFG160" s="1385"/>
      <c r="QFH160" s="1385"/>
      <c r="QFI160" s="1385"/>
      <c r="QFJ160" s="1385"/>
      <c r="QFK160" s="1385"/>
      <c r="QFL160" s="1385"/>
      <c r="QFM160" s="1385"/>
      <c r="QFN160" s="1385"/>
      <c r="QFO160" s="1385"/>
      <c r="QFP160" s="1385"/>
      <c r="QFQ160" s="1385"/>
      <c r="QFR160" s="1385"/>
      <c r="QFS160" s="1385"/>
      <c r="QFT160" s="1385"/>
      <c r="QFU160" s="1385"/>
      <c r="QFV160" s="1385"/>
      <c r="QFW160" s="1385"/>
      <c r="QFX160" s="1385"/>
      <c r="QFY160" s="1385"/>
      <c r="QFZ160" s="1385"/>
      <c r="QGA160" s="1385"/>
      <c r="QGB160" s="1385"/>
      <c r="QGC160" s="1385"/>
      <c r="QGD160" s="1385"/>
      <c r="QGE160" s="1385"/>
      <c r="QGF160" s="1385"/>
      <c r="QGG160" s="1385"/>
      <c r="QGH160" s="1385"/>
      <c r="QGI160" s="1385"/>
      <c r="QGJ160" s="1385"/>
      <c r="QGK160" s="1385"/>
      <c r="QGL160" s="1385"/>
      <c r="QGM160" s="1385"/>
      <c r="QGN160" s="1385"/>
      <c r="QGO160" s="1385"/>
      <c r="QGP160" s="1385"/>
      <c r="QGQ160" s="1385"/>
      <c r="QGR160" s="1385"/>
      <c r="QGS160" s="1385"/>
      <c r="QGT160" s="1385"/>
      <c r="QGU160" s="1385"/>
      <c r="QGV160" s="1385"/>
      <c r="QGW160" s="1385"/>
      <c r="QGX160" s="1385"/>
      <c r="QGY160" s="1385"/>
      <c r="QGZ160" s="1385"/>
      <c r="QHA160" s="1385"/>
      <c r="QHB160" s="1385"/>
      <c r="QHC160" s="1385"/>
      <c r="QHD160" s="1385"/>
      <c r="QHE160" s="1385"/>
      <c r="QHF160" s="1385"/>
      <c r="QHG160" s="1385"/>
      <c r="QHH160" s="1385"/>
      <c r="QHI160" s="1385"/>
      <c r="QHJ160" s="1385"/>
      <c r="QHK160" s="1385"/>
      <c r="QHL160" s="1385"/>
      <c r="QHM160" s="1385"/>
      <c r="QHN160" s="1385"/>
      <c r="QHO160" s="1385"/>
      <c r="QHP160" s="1385"/>
      <c r="QHQ160" s="1385"/>
      <c r="QHR160" s="1385"/>
      <c r="QHS160" s="1385"/>
      <c r="QHT160" s="1385"/>
      <c r="QHU160" s="1385"/>
      <c r="QHV160" s="1385"/>
      <c r="QHW160" s="1385"/>
      <c r="QHX160" s="1385"/>
      <c r="QHY160" s="1385"/>
      <c r="QHZ160" s="1385"/>
      <c r="QIA160" s="1385"/>
      <c r="QIB160" s="1385"/>
      <c r="QIC160" s="1385"/>
      <c r="QID160" s="1385"/>
      <c r="QIE160" s="1385"/>
      <c r="QIF160" s="1385"/>
      <c r="QIG160" s="1385"/>
      <c r="QIH160" s="1385"/>
      <c r="QII160" s="1385"/>
      <c r="QIJ160" s="1385"/>
      <c r="QIK160" s="1385"/>
      <c r="QIL160" s="1385"/>
      <c r="QIM160" s="1385"/>
      <c r="QIN160" s="1385"/>
      <c r="QIO160" s="1385"/>
      <c r="QIP160" s="1385"/>
      <c r="QIQ160" s="1385"/>
      <c r="QIR160" s="1385"/>
      <c r="QIS160" s="1385"/>
      <c r="QIT160" s="1385"/>
      <c r="QIU160" s="1385"/>
      <c r="QIV160" s="1385"/>
      <c r="QIW160" s="1385"/>
      <c r="QIX160" s="1385"/>
      <c r="QIY160" s="1385"/>
      <c r="QIZ160" s="1385"/>
      <c r="QJA160" s="1385"/>
      <c r="QJB160" s="1385"/>
      <c r="QJC160" s="1385"/>
      <c r="QJD160" s="1385"/>
      <c r="QJE160" s="1385"/>
      <c r="QJF160" s="1385"/>
      <c r="QJG160" s="1385"/>
      <c r="QJH160" s="1385"/>
      <c r="QJI160" s="1385"/>
      <c r="QJJ160" s="1385"/>
      <c r="QJK160" s="1385"/>
      <c r="QJL160" s="1385"/>
      <c r="QJM160" s="1385"/>
      <c r="QJN160" s="1385"/>
      <c r="QJO160" s="1385"/>
      <c r="QJP160" s="1385"/>
      <c r="QJQ160" s="1385"/>
      <c r="QJR160" s="1385"/>
      <c r="QJS160" s="1385"/>
      <c r="QJT160" s="1385"/>
      <c r="QJU160" s="1385"/>
      <c r="QJV160" s="1385"/>
      <c r="QJW160" s="1385"/>
      <c r="QJX160" s="1385"/>
      <c r="QJY160" s="1385"/>
      <c r="QJZ160" s="1385"/>
      <c r="QKA160" s="1385"/>
      <c r="QKB160" s="1385"/>
      <c r="QKC160" s="1385"/>
      <c r="QKD160" s="1385"/>
      <c r="QKE160" s="1385"/>
      <c r="QKF160" s="1385"/>
      <c r="QKG160" s="1385"/>
      <c r="QKH160" s="1385"/>
      <c r="QKI160" s="1385"/>
      <c r="QKJ160" s="1385"/>
      <c r="QKK160" s="1385"/>
      <c r="QKL160" s="1385"/>
      <c r="QKM160" s="1385"/>
      <c r="QKN160" s="1385"/>
      <c r="QKO160" s="1385"/>
      <c r="QKP160" s="1385"/>
      <c r="QKQ160" s="1385"/>
      <c r="QKR160" s="1385"/>
      <c r="QKS160" s="1385"/>
      <c r="QKT160" s="1385"/>
      <c r="QKU160" s="1385"/>
      <c r="QKV160" s="1385"/>
      <c r="QKW160" s="1385"/>
      <c r="QKX160" s="1385"/>
      <c r="QKY160" s="1385"/>
      <c r="QKZ160" s="1385"/>
      <c r="QLA160" s="1385"/>
      <c r="QLB160" s="1385"/>
      <c r="QLC160" s="1385"/>
      <c r="QLD160" s="1385"/>
      <c r="QLE160" s="1385"/>
      <c r="QLF160" s="1385"/>
      <c r="QLG160" s="1385"/>
      <c r="QLH160" s="1385"/>
      <c r="QLI160" s="1385"/>
      <c r="QLJ160" s="1385"/>
      <c r="QLK160" s="1385"/>
      <c r="QLL160" s="1385"/>
      <c r="QLM160" s="1385"/>
      <c r="QLN160" s="1385"/>
      <c r="QLO160" s="1385"/>
      <c r="QLP160" s="1385"/>
      <c r="QLQ160" s="1385"/>
      <c r="QLR160" s="1385"/>
      <c r="QLS160" s="1385"/>
      <c r="QLT160" s="1385"/>
      <c r="QLU160" s="1385"/>
      <c r="QLV160" s="1385"/>
      <c r="QLW160" s="1385"/>
      <c r="QLX160" s="1385"/>
      <c r="QLY160" s="1385"/>
      <c r="QLZ160" s="1385"/>
      <c r="QMA160" s="1385"/>
      <c r="QMB160" s="1385"/>
      <c r="QMC160" s="1385"/>
      <c r="QMD160" s="1385"/>
      <c r="QME160" s="1385"/>
      <c r="QMF160" s="1385"/>
      <c r="QMG160" s="1385"/>
      <c r="QMH160" s="1385"/>
      <c r="QMI160" s="1385"/>
      <c r="QMJ160" s="1385"/>
      <c r="QMK160" s="1385"/>
      <c r="QML160" s="1385"/>
      <c r="QMM160" s="1385"/>
      <c r="QMN160" s="1385"/>
      <c r="QMO160" s="1385"/>
      <c r="QMP160" s="1385"/>
      <c r="QMQ160" s="1385"/>
      <c r="QMR160" s="1385"/>
      <c r="QMS160" s="1385"/>
      <c r="QMT160" s="1385"/>
      <c r="QMU160" s="1385"/>
      <c r="QMV160" s="1385"/>
      <c r="QMW160" s="1385"/>
      <c r="QMX160" s="1385"/>
      <c r="QMY160" s="1385"/>
      <c r="QMZ160" s="1385"/>
      <c r="QNA160" s="1385"/>
      <c r="QNB160" s="1385"/>
      <c r="QNC160" s="1385"/>
      <c r="QND160" s="1385"/>
      <c r="QNE160" s="1385"/>
      <c r="QNF160" s="1385"/>
      <c r="QNG160" s="1385"/>
      <c r="QNH160" s="1385"/>
      <c r="QNI160" s="1385"/>
      <c r="QNJ160" s="1385"/>
      <c r="QNK160" s="1385"/>
      <c r="QNL160" s="1385"/>
      <c r="QNM160" s="1385"/>
      <c r="QNN160" s="1385"/>
      <c r="QNO160" s="1385"/>
      <c r="QNP160" s="1385"/>
      <c r="QNQ160" s="1385"/>
      <c r="QNR160" s="1385"/>
      <c r="QNS160" s="1385"/>
      <c r="QNT160" s="1385"/>
      <c r="QNU160" s="1385"/>
      <c r="QNV160" s="1385"/>
      <c r="QNW160" s="1385"/>
      <c r="QNX160" s="1385"/>
      <c r="QNY160" s="1385"/>
      <c r="QNZ160" s="1385"/>
      <c r="QOA160" s="1385"/>
      <c r="QOB160" s="1385"/>
      <c r="QOC160" s="1385"/>
      <c r="QOD160" s="1385"/>
      <c r="QOE160" s="1385"/>
      <c r="QOF160" s="1385"/>
      <c r="QOG160" s="1385"/>
      <c r="QOH160" s="1385"/>
      <c r="QOI160" s="1385"/>
      <c r="QOJ160" s="1385"/>
      <c r="QOK160" s="1385"/>
      <c r="QOL160" s="1385"/>
      <c r="QOM160" s="1385"/>
      <c r="QON160" s="1385"/>
      <c r="QOO160" s="1385"/>
      <c r="QOP160" s="1385"/>
      <c r="QOQ160" s="1385"/>
      <c r="QOR160" s="1385"/>
      <c r="QOS160" s="1385"/>
      <c r="QOT160" s="1385"/>
      <c r="QOU160" s="1385"/>
      <c r="QOV160" s="1385"/>
      <c r="QOW160" s="1385"/>
      <c r="QOX160" s="1385"/>
      <c r="QOY160" s="1385"/>
      <c r="QOZ160" s="1385"/>
      <c r="QPA160" s="1385"/>
      <c r="QPB160" s="1385"/>
      <c r="QPC160" s="1385"/>
      <c r="QPD160" s="1385"/>
      <c r="QPE160" s="1385"/>
      <c r="QPF160" s="1385"/>
      <c r="QPG160" s="1385"/>
      <c r="QPH160" s="1385"/>
      <c r="QPI160" s="1385"/>
      <c r="QPJ160" s="1385"/>
      <c r="QPK160" s="1385"/>
      <c r="QPL160" s="1385"/>
      <c r="QPM160" s="1385"/>
      <c r="QPN160" s="1385"/>
      <c r="QPO160" s="1385"/>
      <c r="QPP160" s="1385"/>
      <c r="QPQ160" s="1385"/>
      <c r="QPR160" s="1385"/>
      <c r="QPS160" s="1385"/>
      <c r="QPT160" s="1385"/>
      <c r="QPU160" s="1385"/>
      <c r="QPV160" s="1385"/>
      <c r="QPW160" s="1385"/>
      <c r="QPX160" s="1385"/>
      <c r="QPY160" s="1385"/>
      <c r="QPZ160" s="1385"/>
      <c r="QQA160" s="1385"/>
      <c r="QQB160" s="1385"/>
      <c r="QQC160" s="1385"/>
      <c r="QQD160" s="1385"/>
      <c r="QQE160" s="1385"/>
      <c r="QQF160" s="1385"/>
      <c r="QQG160" s="1385"/>
      <c r="QQH160" s="1385"/>
      <c r="QQI160" s="1385"/>
      <c r="QQJ160" s="1385"/>
      <c r="QQK160" s="1385"/>
      <c r="QQL160" s="1385"/>
      <c r="QQM160" s="1385"/>
      <c r="QQN160" s="1385"/>
      <c r="QQO160" s="1385"/>
      <c r="QQP160" s="1385"/>
      <c r="QQQ160" s="1385"/>
      <c r="QQR160" s="1385"/>
      <c r="QQS160" s="1385"/>
      <c r="QQT160" s="1385"/>
      <c r="QQU160" s="1385"/>
      <c r="QQV160" s="1385"/>
      <c r="QQW160" s="1385"/>
      <c r="QQX160" s="1385"/>
      <c r="QQY160" s="1385"/>
      <c r="QQZ160" s="1385"/>
      <c r="QRA160" s="1385"/>
      <c r="QRB160" s="1385"/>
      <c r="QRC160" s="1385"/>
      <c r="QRD160" s="1385"/>
      <c r="QRE160" s="1385"/>
      <c r="QRF160" s="1385"/>
      <c r="QRG160" s="1385"/>
      <c r="QRH160" s="1385"/>
      <c r="QRI160" s="1385"/>
      <c r="QRJ160" s="1385"/>
      <c r="QRK160" s="1385"/>
      <c r="QRL160" s="1385"/>
      <c r="QRM160" s="1385"/>
      <c r="QRN160" s="1385"/>
      <c r="QRO160" s="1385"/>
      <c r="QRP160" s="1385"/>
      <c r="QRQ160" s="1385"/>
      <c r="QRR160" s="1385"/>
      <c r="QRS160" s="1385"/>
      <c r="QRT160" s="1385"/>
      <c r="QRU160" s="1385"/>
      <c r="QRV160" s="1385"/>
      <c r="QRW160" s="1385"/>
      <c r="QRX160" s="1385"/>
      <c r="QRY160" s="1385"/>
      <c r="QRZ160" s="1385"/>
      <c r="QSA160" s="1385"/>
      <c r="QSB160" s="1385"/>
      <c r="QSC160" s="1385"/>
      <c r="QSD160" s="1385"/>
      <c r="QSE160" s="1385"/>
      <c r="QSF160" s="1385"/>
      <c r="QSG160" s="1385"/>
      <c r="QSH160" s="1385"/>
      <c r="QSI160" s="1385"/>
      <c r="QSJ160" s="1385"/>
      <c r="QSK160" s="1385"/>
      <c r="QSL160" s="1385"/>
      <c r="QSM160" s="1385"/>
      <c r="QSN160" s="1385"/>
      <c r="QSO160" s="1385"/>
      <c r="QSP160" s="1385"/>
      <c r="QSQ160" s="1385"/>
      <c r="QSR160" s="1385"/>
      <c r="QSS160" s="1385"/>
      <c r="QST160" s="1385"/>
      <c r="QSU160" s="1385"/>
      <c r="QSV160" s="1385"/>
      <c r="QSW160" s="1385"/>
      <c r="QSX160" s="1385"/>
      <c r="QSY160" s="1385"/>
      <c r="QSZ160" s="1385"/>
      <c r="QTA160" s="1385"/>
      <c r="QTB160" s="1385"/>
      <c r="QTC160" s="1385"/>
      <c r="QTD160" s="1385"/>
      <c r="QTE160" s="1385"/>
      <c r="QTF160" s="1385"/>
      <c r="QTG160" s="1385"/>
      <c r="QTH160" s="1385"/>
      <c r="QTI160" s="1385"/>
      <c r="QTJ160" s="1385"/>
      <c r="QTK160" s="1385"/>
      <c r="QTL160" s="1385"/>
      <c r="QTM160" s="1385"/>
      <c r="QTN160" s="1385"/>
      <c r="QTO160" s="1385"/>
      <c r="QTP160" s="1385"/>
      <c r="QTQ160" s="1385"/>
      <c r="QTR160" s="1385"/>
      <c r="QTS160" s="1385"/>
      <c r="QTT160" s="1385"/>
      <c r="QTU160" s="1385"/>
      <c r="QTV160" s="1385"/>
      <c r="QTW160" s="1385"/>
      <c r="QTX160" s="1385"/>
      <c r="QTY160" s="1385"/>
      <c r="QTZ160" s="1385"/>
      <c r="QUA160" s="1385"/>
      <c r="QUB160" s="1385"/>
      <c r="QUC160" s="1385"/>
      <c r="QUD160" s="1385"/>
      <c r="QUE160" s="1385"/>
      <c r="QUF160" s="1385"/>
      <c r="QUG160" s="1385"/>
      <c r="QUH160" s="1385"/>
      <c r="QUI160" s="1385"/>
      <c r="QUJ160" s="1385"/>
      <c r="QUK160" s="1385"/>
      <c r="QUL160" s="1385"/>
      <c r="QUM160" s="1385"/>
      <c r="QUN160" s="1385"/>
      <c r="QUO160" s="1385"/>
      <c r="QUP160" s="1385"/>
      <c r="QUQ160" s="1385"/>
      <c r="QUR160" s="1385"/>
      <c r="QUS160" s="1385"/>
      <c r="QUT160" s="1385"/>
      <c r="QUU160" s="1385"/>
      <c r="QUV160" s="1385"/>
      <c r="QUW160" s="1385"/>
      <c r="QUX160" s="1385"/>
      <c r="QUY160" s="1385"/>
      <c r="QUZ160" s="1385"/>
      <c r="QVA160" s="1385"/>
      <c r="QVB160" s="1385"/>
      <c r="QVC160" s="1385"/>
      <c r="QVD160" s="1385"/>
      <c r="QVE160" s="1385"/>
      <c r="QVF160" s="1385"/>
      <c r="QVG160" s="1385"/>
      <c r="QVH160" s="1385"/>
      <c r="QVI160" s="1385"/>
      <c r="QVJ160" s="1385"/>
      <c r="QVK160" s="1385"/>
      <c r="QVL160" s="1385"/>
      <c r="QVM160" s="1385"/>
      <c r="QVN160" s="1385"/>
      <c r="QVO160" s="1385"/>
      <c r="QVP160" s="1385"/>
      <c r="QVQ160" s="1385"/>
      <c r="QVR160" s="1385"/>
      <c r="QVS160" s="1385"/>
      <c r="QVT160" s="1385"/>
      <c r="QVU160" s="1385"/>
      <c r="QVV160" s="1385"/>
      <c r="QVW160" s="1385"/>
      <c r="QVX160" s="1385"/>
      <c r="QVY160" s="1385"/>
      <c r="QVZ160" s="1385"/>
      <c r="QWA160" s="1385"/>
      <c r="QWB160" s="1385"/>
      <c r="QWC160" s="1385"/>
      <c r="QWD160" s="1385"/>
      <c r="QWE160" s="1385"/>
      <c r="QWF160" s="1385"/>
      <c r="QWG160" s="1385"/>
      <c r="QWH160" s="1385"/>
      <c r="QWI160" s="1385"/>
      <c r="QWJ160" s="1385"/>
      <c r="QWK160" s="1385"/>
      <c r="QWL160" s="1385"/>
      <c r="QWM160" s="1385"/>
      <c r="QWN160" s="1385"/>
      <c r="QWO160" s="1385"/>
      <c r="QWP160" s="1385"/>
      <c r="QWQ160" s="1385"/>
      <c r="QWR160" s="1385"/>
      <c r="QWS160" s="1385"/>
      <c r="QWT160" s="1385"/>
      <c r="QWU160" s="1385"/>
      <c r="QWV160" s="1385"/>
      <c r="QWW160" s="1385"/>
      <c r="QWX160" s="1385"/>
      <c r="QWY160" s="1385"/>
      <c r="QWZ160" s="1385"/>
      <c r="QXA160" s="1385"/>
      <c r="QXB160" s="1385"/>
      <c r="QXC160" s="1385"/>
      <c r="QXD160" s="1385"/>
      <c r="QXE160" s="1385"/>
      <c r="QXF160" s="1385"/>
      <c r="QXG160" s="1385"/>
      <c r="QXH160" s="1385"/>
      <c r="QXI160" s="1385"/>
      <c r="QXJ160" s="1385"/>
      <c r="QXK160" s="1385"/>
      <c r="QXL160" s="1385"/>
      <c r="QXM160" s="1385"/>
      <c r="QXN160" s="1385"/>
      <c r="QXO160" s="1385"/>
      <c r="QXP160" s="1385"/>
      <c r="QXQ160" s="1385"/>
      <c r="QXR160" s="1385"/>
      <c r="QXS160" s="1385"/>
      <c r="QXT160" s="1385"/>
      <c r="QXU160" s="1385"/>
      <c r="QXV160" s="1385"/>
      <c r="QXW160" s="1385"/>
      <c r="QXX160" s="1385"/>
      <c r="QXY160" s="1385"/>
      <c r="QXZ160" s="1385"/>
      <c r="QYA160" s="1385"/>
      <c r="QYB160" s="1385"/>
      <c r="QYC160" s="1385"/>
      <c r="QYD160" s="1385"/>
      <c r="QYE160" s="1385"/>
      <c r="QYF160" s="1385"/>
      <c r="QYG160" s="1385"/>
      <c r="QYH160" s="1385"/>
      <c r="QYI160" s="1385"/>
      <c r="QYJ160" s="1385"/>
      <c r="QYK160" s="1385"/>
      <c r="QYL160" s="1385"/>
      <c r="QYM160" s="1385"/>
      <c r="QYN160" s="1385"/>
      <c r="QYO160" s="1385"/>
      <c r="QYP160" s="1385"/>
      <c r="QYQ160" s="1385"/>
      <c r="QYR160" s="1385"/>
      <c r="QYS160" s="1385"/>
      <c r="QYT160" s="1385"/>
      <c r="QYU160" s="1385"/>
      <c r="QYV160" s="1385"/>
      <c r="QYW160" s="1385"/>
      <c r="QYX160" s="1385"/>
      <c r="QYY160" s="1385"/>
      <c r="QYZ160" s="1385"/>
      <c r="QZA160" s="1385"/>
      <c r="QZB160" s="1385"/>
      <c r="QZC160" s="1385"/>
      <c r="QZD160" s="1385"/>
      <c r="QZE160" s="1385"/>
      <c r="QZF160" s="1385"/>
      <c r="QZG160" s="1385"/>
      <c r="QZH160" s="1385"/>
      <c r="QZI160" s="1385"/>
      <c r="QZJ160" s="1385"/>
      <c r="QZK160" s="1385"/>
      <c r="QZL160" s="1385"/>
      <c r="QZM160" s="1385"/>
      <c r="QZN160" s="1385"/>
      <c r="QZO160" s="1385"/>
      <c r="QZP160" s="1385"/>
      <c r="QZQ160" s="1385"/>
      <c r="QZR160" s="1385"/>
      <c r="QZS160" s="1385"/>
      <c r="QZT160" s="1385"/>
      <c r="QZU160" s="1385"/>
      <c r="QZV160" s="1385"/>
      <c r="QZW160" s="1385"/>
      <c r="QZX160" s="1385"/>
      <c r="QZY160" s="1385"/>
      <c r="QZZ160" s="1385"/>
      <c r="RAA160" s="1385"/>
      <c r="RAB160" s="1385"/>
      <c r="RAC160" s="1385"/>
      <c r="RAD160" s="1385"/>
      <c r="RAE160" s="1385"/>
      <c r="RAF160" s="1385"/>
      <c r="RAG160" s="1385"/>
      <c r="RAH160" s="1385"/>
      <c r="RAI160" s="1385"/>
      <c r="RAJ160" s="1385"/>
      <c r="RAK160" s="1385"/>
      <c r="RAL160" s="1385"/>
      <c r="RAM160" s="1385"/>
      <c r="RAN160" s="1385"/>
      <c r="RAO160" s="1385"/>
      <c r="RAP160" s="1385"/>
      <c r="RAQ160" s="1385"/>
      <c r="RAR160" s="1385"/>
      <c r="RAS160" s="1385"/>
      <c r="RAT160" s="1385"/>
      <c r="RAU160" s="1385"/>
      <c r="RAV160" s="1385"/>
      <c r="RAW160" s="1385"/>
      <c r="RAX160" s="1385"/>
      <c r="RAY160" s="1385"/>
      <c r="RAZ160" s="1385"/>
      <c r="RBA160" s="1385"/>
      <c r="RBB160" s="1385"/>
      <c r="RBC160" s="1385"/>
      <c r="RBD160" s="1385"/>
      <c r="RBE160" s="1385"/>
      <c r="RBF160" s="1385"/>
      <c r="RBG160" s="1385"/>
      <c r="RBH160" s="1385"/>
      <c r="RBI160" s="1385"/>
      <c r="RBJ160" s="1385"/>
      <c r="RBK160" s="1385"/>
      <c r="RBL160" s="1385"/>
      <c r="RBM160" s="1385"/>
      <c r="RBN160" s="1385"/>
      <c r="RBO160" s="1385"/>
      <c r="RBP160" s="1385"/>
      <c r="RBQ160" s="1385"/>
      <c r="RBR160" s="1385"/>
      <c r="RBS160" s="1385"/>
      <c r="RBT160" s="1385"/>
      <c r="RBU160" s="1385"/>
      <c r="RBV160" s="1385"/>
      <c r="RBW160" s="1385"/>
      <c r="RBX160" s="1385"/>
      <c r="RBY160" s="1385"/>
      <c r="RBZ160" s="1385"/>
      <c r="RCA160" s="1385"/>
      <c r="RCB160" s="1385"/>
      <c r="RCC160" s="1385"/>
      <c r="RCD160" s="1385"/>
      <c r="RCE160" s="1385"/>
      <c r="RCF160" s="1385"/>
      <c r="RCG160" s="1385"/>
      <c r="RCH160" s="1385"/>
      <c r="RCI160" s="1385"/>
      <c r="RCJ160" s="1385"/>
      <c r="RCK160" s="1385"/>
      <c r="RCL160" s="1385"/>
      <c r="RCM160" s="1385"/>
      <c r="RCN160" s="1385"/>
      <c r="RCO160" s="1385"/>
      <c r="RCP160" s="1385"/>
      <c r="RCQ160" s="1385"/>
      <c r="RCR160" s="1385"/>
      <c r="RCS160" s="1385"/>
      <c r="RCT160" s="1385"/>
      <c r="RCU160" s="1385"/>
      <c r="RCV160" s="1385"/>
      <c r="RCW160" s="1385"/>
      <c r="RCX160" s="1385"/>
      <c r="RCY160" s="1385"/>
      <c r="RCZ160" s="1385"/>
      <c r="RDA160" s="1385"/>
      <c r="RDB160" s="1385"/>
      <c r="RDC160" s="1385"/>
      <c r="RDD160" s="1385"/>
      <c r="RDE160" s="1385"/>
      <c r="RDF160" s="1385"/>
      <c r="RDG160" s="1385"/>
      <c r="RDH160" s="1385"/>
      <c r="RDI160" s="1385"/>
      <c r="RDJ160" s="1385"/>
      <c r="RDK160" s="1385"/>
      <c r="RDL160" s="1385"/>
      <c r="RDM160" s="1385"/>
      <c r="RDN160" s="1385"/>
      <c r="RDO160" s="1385"/>
      <c r="RDP160" s="1385"/>
      <c r="RDQ160" s="1385"/>
      <c r="RDR160" s="1385"/>
      <c r="RDS160" s="1385"/>
      <c r="RDT160" s="1385"/>
      <c r="RDU160" s="1385"/>
      <c r="RDV160" s="1385"/>
      <c r="RDW160" s="1385"/>
      <c r="RDX160" s="1385"/>
      <c r="RDY160" s="1385"/>
      <c r="RDZ160" s="1385"/>
      <c r="REA160" s="1385"/>
      <c r="REB160" s="1385"/>
      <c r="REC160" s="1385"/>
      <c r="RED160" s="1385"/>
      <c r="REE160" s="1385"/>
      <c r="REF160" s="1385"/>
      <c r="REG160" s="1385"/>
      <c r="REH160" s="1385"/>
      <c r="REI160" s="1385"/>
      <c r="REJ160" s="1385"/>
      <c r="REK160" s="1385"/>
      <c r="REL160" s="1385"/>
      <c r="REM160" s="1385"/>
      <c r="REN160" s="1385"/>
      <c r="REO160" s="1385"/>
      <c r="REP160" s="1385"/>
      <c r="REQ160" s="1385"/>
      <c r="RER160" s="1385"/>
      <c r="RES160" s="1385"/>
      <c r="RET160" s="1385"/>
      <c r="REU160" s="1385"/>
      <c r="REV160" s="1385"/>
      <c r="REW160" s="1385"/>
      <c r="REX160" s="1385"/>
      <c r="REY160" s="1385"/>
      <c r="REZ160" s="1385"/>
      <c r="RFA160" s="1385"/>
      <c r="RFB160" s="1385"/>
      <c r="RFC160" s="1385"/>
      <c r="RFD160" s="1385"/>
      <c r="RFE160" s="1385"/>
      <c r="RFF160" s="1385"/>
      <c r="RFG160" s="1385"/>
      <c r="RFH160" s="1385"/>
      <c r="RFI160" s="1385"/>
      <c r="RFJ160" s="1385"/>
      <c r="RFK160" s="1385"/>
      <c r="RFL160" s="1385"/>
      <c r="RFM160" s="1385"/>
      <c r="RFN160" s="1385"/>
      <c r="RFO160" s="1385"/>
      <c r="RFP160" s="1385"/>
      <c r="RFQ160" s="1385"/>
      <c r="RFR160" s="1385"/>
      <c r="RFS160" s="1385"/>
      <c r="RFT160" s="1385"/>
      <c r="RFU160" s="1385"/>
      <c r="RFV160" s="1385"/>
      <c r="RFW160" s="1385"/>
      <c r="RFX160" s="1385"/>
      <c r="RFY160" s="1385"/>
      <c r="RFZ160" s="1385"/>
      <c r="RGA160" s="1385"/>
      <c r="RGB160" s="1385"/>
      <c r="RGC160" s="1385"/>
      <c r="RGD160" s="1385"/>
      <c r="RGE160" s="1385"/>
      <c r="RGF160" s="1385"/>
      <c r="RGG160" s="1385"/>
      <c r="RGH160" s="1385"/>
      <c r="RGI160" s="1385"/>
      <c r="RGJ160" s="1385"/>
      <c r="RGK160" s="1385"/>
      <c r="RGL160" s="1385"/>
      <c r="RGM160" s="1385"/>
      <c r="RGN160" s="1385"/>
      <c r="RGO160" s="1385"/>
      <c r="RGP160" s="1385"/>
      <c r="RGQ160" s="1385"/>
      <c r="RGR160" s="1385"/>
      <c r="RGS160" s="1385"/>
      <c r="RGT160" s="1385"/>
      <c r="RGU160" s="1385"/>
      <c r="RGV160" s="1385"/>
      <c r="RGW160" s="1385"/>
      <c r="RGX160" s="1385"/>
      <c r="RGY160" s="1385"/>
      <c r="RGZ160" s="1385"/>
      <c r="RHA160" s="1385"/>
      <c r="RHB160" s="1385"/>
      <c r="RHC160" s="1385"/>
      <c r="RHD160" s="1385"/>
      <c r="RHE160" s="1385"/>
      <c r="RHF160" s="1385"/>
      <c r="RHG160" s="1385"/>
      <c r="RHH160" s="1385"/>
      <c r="RHI160" s="1385"/>
      <c r="RHJ160" s="1385"/>
      <c r="RHK160" s="1385"/>
      <c r="RHL160" s="1385"/>
      <c r="RHM160" s="1385"/>
      <c r="RHN160" s="1385"/>
      <c r="RHO160" s="1385"/>
      <c r="RHP160" s="1385"/>
      <c r="RHQ160" s="1385"/>
      <c r="RHR160" s="1385"/>
      <c r="RHS160" s="1385"/>
      <c r="RHT160" s="1385"/>
      <c r="RHU160" s="1385"/>
      <c r="RHV160" s="1385"/>
      <c r="RHW160" s="1385"/>
      <c r="RHX160" s="1385"/>
      <c r="RHY160" s="1385"/>
      <c r="RHZ160" s="1385"/>
      <c r="RIA160" s="1385"/>
      <c r="RIB160" s="1385"/>
      <c r="RIC160" s="1385"/>
      <c r="RID160" s="1385"/>
      <c r="RIE160" s="1385"/>
      <c r="RIF160" s="1385"/>
      <c r="RIG160" s="1385"/>
      <c r="RIH160" s="1385"/>
      <c r="RII160" s="1385"/>
      <c r="RIJ160" s="1385"/>
      <c r="RIK160" s="1385"/>
      <c r="RIL160" s="1385"/>
      <c r="RIM160" s="1385"/>
      <c r="RIN160" s="1385"/>
      <c r="RIO160" s="1385"/>
      <c r="RIP160" s="1385"/>
      <c r="RIQ160" s="1385"/>
      <c r="RIR160" s="1385"/>
      <c r="RIS160" s="1385"/>
      <c r="RIT160" s="1385"/>
      <c r="RIU160" s="1385"/>
      <c r="RIV160" s="1385"/>
      <c r="RIW160" s="1385"/>
      <c r="RIX160" s="1385"/>
      <c r="RIY160" s="1385"/>
      <c r="RIZ160" s="1385"/>
      <c r="RJA160" s="1385"/>
      <c r="RJB160" s="1385"/>
      <c r="RJC160" s="1385"/>
      <c r="RJD160" s="1385"/>
      <c r="RJE160" s="1385"/>
      <c r="RJF160" s="1385"/>
      <c r="RJG160" s="1385"/>
      <c r="RJH160" s="1385"/>
      <c r="RJI160" s="1385"/>
      <c r="RJJ160" s="1385"/>
      <c r="RJK160" s="1385"/>
      <c r="RJL160" s="1385"/>
      <c r="RJM160" s="1385"/>
      <c r="RJN160" s="1385"/>
      <c r="RJO160" s="1385"/>
      <c r="RJP160" s="1385"/>
      <c r="RJQ160" s="1385"/>
      <c r="RJR160" s="1385"/>
      <c r="RJS160" s="1385"/>
      <c r="RJT160" s="1385"/>
      <c r="RJU160" s="1385"/>
      <c r="RJV160" s="1385"/>
      <c r="RJW160" s="1385"/>
      <c r="RJX160" s="1385"/>
      <c r="RJY160" s="1385"/>
      <c r="RJZ160" s="1385"/>
      <c r="RKA160" s="1385"/>
      <c r="RKB160" s="1385"/>
      <c r="RKC160" s="1385"/>
      <c r="RKD160" s="1385"/>
      <c r="RKE160" s="1385"/>
      <c r="RKF160" s="1385"/>
      <c r="RKG160" s="1385"/>
      <c r="RKH160" s="1385"/>
      <c r="RKI160" s="1385"/>
      <c r="RKJ160" s="1385"/>
      <c r="RKK160" s="1385"/>
      <c r="RKL160" s="1385"/>
      <c r="RKM160" s="1385"/>
      <c r="RKN160" s="1385"/>
      <c r="RKO160" s="1385"/>
      <c r="RKP160" s="1385"/>
      <c r="RKQ160" s="1385"/>
      <c r="RKR160" s="1385"/>
      <c r="RKS160" s="1385"/>
      <c r="RKT160" s="1385"/>
      <c r="RKU160" s="1385"/>
      <c r="RKV160" s="1385"/>
      <c r="RKW160" s="1385"/>
      <c r="RKX160" s="1385"/>
      <c r="RKY160" s="1385"/>
      <c r="RKZ160" s="1385"/>
      <c r="RLA160" s="1385"/>
      <c r="RLB160" s="1385"/>
      <c r="RLC160" s="1385"/>
      <c r="RLD160" s="1385"/>
      <c r="RLE160" s="1385"/>
      <c r="RLF160" s="1385"/>
      <c r="RLG160" s="1385"/>
      <c r="RLH160" s="1385"/>
      <c r="RLI160" s="1385"/>
      <c r="RLJ160" s="1385"/>
      <c r="RLK160" s="1385"/>
      <c r="RLL160" s="1385"/>
      <c r="RLM160" s="1385"/>
      <c r="RLN160" s="1385"/>
      <c r="RLO160" s="1385"/>
      <c r="RLP160" s="1385"/>
      <c r="RLQ160" s="1385"/>
      <c r="RLR160" s="1385"/>
      <c r="RLS160" s="1385"/>
      <c r="RLT160" s="1385"/>
      <c r="RLU160" s="1385"/>
      <c r="RLV160" s="1385"/>
      <c r="RLW160" s="1385"/>
      <c r="RLX160" s="1385"/>
      <c r="RLY160" s="1385"/>
      <c r="RLZ160" s="1385"/>
      <c r="RMA160" s="1385"/>
      <c r="RMB160" s="1385"/>
      <c r="RMC160" s="1385"/>
      <c r="RMD160" s="1385"/>
      <c r="RME160" s="1385"/>
      <c r="RMF160" s="1385"/>
      <c r="RMG160" s="1385"/>
      <c r="RMH160" s="1385"/>
      <c r="RMI160" s="1385"/>
      <c r="RMJ160" s="1385"/>
      <c r="RMK160" s="1385"/>
      <c r="RML160" s="1385"/>
      <c r="RMM160" s="1385"/>
      <c r="RMN160" s="1385"/>
      <c r="RMO160" s="1385"/>
      <c r="RMP160" s="1385"/>
      <c r="RMQ160" s="1385"/>
      <c r="RMR160" s="1385"/>
      <c r="RMS160" s="1385"/>
      <c r="RMT160" s="1385"/>
      <c r="RMU160" s="1385"/>
      <c r="RMV160" s="1385"/>
      <c r="RMW160" s="1385"/>
      <c r="RMX160" s="1385"/>
      <c r="RMY160" s="1385"/>
      <c r="RMZ160" s="1385"/>
      <c r="RNA160" s="1385"/>
      <c r="RNB160" s="1385"/>
      <c r="RNC160" s="1385"/>
      <c r="RND160" s="1385"/>
      <c r="RNE160" s="1385"/>
      <c r="RNF160" s="1385"/>
      <c r="RNG160" s="1385"/>
      <c r="RNH160" s="1385"/>
      <c r="RNI160" s="1385"/>
      <c r="RNJ160" s="1385"/>
      <c r="RNK160" s="1385"/>
      <c r="RNL160" s="1385"/>
      <c r="RNM160" s="1385"/>
      <c r="RNN160" s="1385"/>
      <c r="RNO160" s="1385"/>
      <c r="RNP160" s="1385"/>
      <c r="RNQ160" s="1385"/>
      <c r="RNR160" s="1385"/>
      <c r="RNS160" s="1385"/>
      <c r="RNT160" s="1385"/>
      <c r="RNU160" s="1385"/>
      <c r="RNV160" s="1385"/>
      <c r="RNW160" s="1385"/>
      <c r="RNX160" s="1385"/>
      <c r="RNY160" s="1385"/>
      <c r="RNZ160" s="1385"/>
      <c r="ROA160" s="1385"/>
      <c r="ROB160" s="1385"/>
      <c r="ROC160" s="1385"/>
      <c r="ROD160" s="1385"/>
      <c r="ROE160" s="1385"/>
      <c r="ROF160" s="1385"/>
      <c r="ROG160" s="1385"/>
      <c r="ROH160" s="1385"/>
      <c r="ROI160" s="1385"/>
      <c r="ROJ160" s="1385"/>
      <c r="ROK160" s="1385"/>
      <c r="ROL160" s="1385"/>
      <c r="ROM160" s="1385"/>
      <c r="RON160" s="1385"/>
      <c r="ROO160" s="1385"/>
      <c r="ROP160" s="1385"/>
      <c r="ROQ160" s="1385"/>
      <c r="ROR160" s="1385"/>
      <c r="ROS160" s="1385"/>
      <c r="ROT160" s="1385"/>
      <c r="ROU160" s="1385"/>
      <c r="ROV160" s="1385"/>
      <c r="ROW160" s="1385"/>
      <c r="ROX160" s="1385"/>
      <c r="ROY160" s="1385"/>
      <c r="ROZ160" s="1385"/>
      <c r="RPA160" s="1385"/>
      <c r="RPB160" s="1385"/>
      <c r="RPC160" s="1385"/>
      <c r="RPD160" s="1385"/>
      <c r="RPE160" s="1385"/>
      <c r="RPF160" s="1385"/>
      <c r="RPG160" s="1385"/>
      <c r="RPH160" s="1385"/>
      <c r="RPI160" s="1385"/>
      <c r="RPJ160" s="1385"/>
      <c r="RPK160" s="1385"/>
      <c r="RPL160" s="1385"/>
      <c r="RPM160" s="1385"/>
      <c r="RPN160" s="1385"/>
      <c r="RPO160" s="1385"/>
      <c r="RPP160" s="1385"/>
      <c r="RPQ160" s="1385"/>
      <c r="RPR160" s="1385"/>
      <c r="RPS160" s="1385"/>
      <c r="RPT160" s="1385"/>
      <c r="RPU160" s="1385"/>
      <c r="RPV160" s="1385"/>
      <c r="RPW160" s="1385"/>
      <c r="RPX160" s="1385"/>
      <c r="RPY160" s="1385"/>
      <c r="RPZ160" s="1385"/>
      <c r="RQA160" s="1385"/>
      <c r="RQB160" s="1385"/>
      <c r="RQC160" s="1385"/>
      <c r="RQD160" s="1385"/>
      <c r="RQE160" s="1385"/>
      <c r="RQF160" s="1385"/>
      <c r="RQG160" s="1385"/>
      <c r="RQH160" s="1385"/>
      <c r="RQI160" s="1385"/>
      <c r="RQJ160" s="1385"/>
      <c r="RQK160" s="1385"/>
      <c r="RQL160" s="1385"/>
      <c r="RQM160" s="1385"/>
      <c r="RQN160" s="1385"/>
      <c r="RQO160" s="1385"/>
      <c r="RQP160" s="1385"/>
      <c r="RQQ160" s="1385"/>
      <c r="RQR160" s="1385"/>
      <c r="RQS160" s="1385"/>
      <c r="RQT160" s="1385"/>
      <c r="RQU160" s="1385"/>
      <c r="RQV160" s="1385"/>
      <c r="RQW160" s="1385"/>
      <c r="RQX160" s="1385"/>
      <c r="RQY160" s="1385"/>
      <c r="RQZ160" s="1385"/>
      <c r="RRA160" s="1385"/>
      <c r="RRB160" s="1385"/>
      <c r="RRC160" s="1385"/>
      <c r="RRD160" s="1385"/>
      <c r="RRE160" s="1385"/>
      <c r="RRF160" s="1385"/>
      <c r="RRG160" s="1385"/>
      <c r="RRH160" s="1385"/>
      <c r="RRI160" s="1385"/>
      <c r="RRJ160" s="1385"/>
      <c r="RRK160" s="1385"/>
      <c r="RRL160" s="1385"/>
      <c r="RRM160" s="1385"/>
      <c r="RRN160" s="1385"/>
      <c r="RRO160" s="1385"/>
      <c r="RRP160" s="1385"/>
      <c r="RRQ160" s="1385"/>
      <c r="RRR160" s="1385"/>
      <c r="RRS160" s="1385"/>
      <c r="RRT160" s="1385"/>
      <c r="RRU160" s="1385"/>
      <c r="RRV160" s="1385"/>
      <c r="RRW160" s="1385"/>
      <c r="RRX160" s="1385"/>
      <c r="RRY160" s="1385"/>
      <c r="RRZ160" s="1385"/>
      <c r="RSA160" s="1385"/>
      <c r="RSB160" s="1385"/>
      <c r="RSC160" s="1385"/>
      <c r="RSD160" s="1385"/>
      <c r="RSE160" s="1385"/>
      <c r="RSF160" s="1385"/>
      <c r="RSG160" s="1385"/>
      <c r="RSH160" s="1385"/>
      <c r="RSI160" s="1385"/>
      <c r="RSJ160" s="1385"/>
      <c r="RSK160" s="1385"/>
      <c r="RSL160" s="1385"/>
      <c r="RSM160" s="1385"/>
      <c r="RSN160" s="1385"/>
      <c r="RSO160" s="1385"/>
      <c r="RSP160" s="1385"/>
      <c r="RSQ160" s="1385"/>
      <c r="RSR160" s="1385"/>
      <c r="RSS160" s="1385"/>
      <c r="RST160" s="1385"/>
      <c r="RSU160" s="1385"/>
      <c r="RSV160" s="1385"/>
      <c r="RSW160" s="1385"/>
      <c r="RSX160" s="1385"/>
      <c r="RSY160" s="1385"/>
      <c r="RSZ160" s="1385"/>
      <c r="RTA160" s="1385"/>
      <c r="RTB160" s="1385"/>
      <c r="RTC160" s="1385"/>
      <c r="RTD160" s="1385"/>
      <c r="RTE160" s="1385"/>
      <c r="RTF160" s="1385"/>
      <c r="RTG160" s="1385"/>
      <c r="RTH160" s="1385"/>
      <c r="RTI160" s="1385"/>
      <c r="RTJ160" s="1385"/>
      <c r="RTK160" s="1385"/>
      <c r="RTL160" s="1385"/>
      <c r="RTM160" s="1385"/>
      <c r="RTN160" s="1385"/>
      <c r="RTO160" s="1385"/>
      <c r="RTP160" s="1385"/>
      <c r="RTQ160" s="1385"/>
      <c r="RTR160" s="1385"/>
      <c r="RTS160" s="1385"/>
      <c r="RTT160" s="1385"/>
      <c r="RTU160" s="1385"/>
      <c r="RTV160" s="1385"/>
      <c r="RTW160" s="1385"/>
      <c r="RTX160" s="1385"/>
      <c r="RTY160" s="1385"/>
      <c r="RTZ160" s="1385"/>
      <c r="RUA160" s="1385"/>
      <c r="RUB160" s="1385"/>
      <c r="RUC160" s="1385"/>
      <c r="RUD160" s="1385"/>
      <c r="RUE160" s="1385"/>
      <c r="RUF160" s="1385"/>
      <c r="RUG160" s="1385"/>
      <c r="RUH160" s="1385"/>
      <c r="RUI160" s="1385"/>
      <c r="RUJ160" s="1385"/>
      <c r="RUK160" s="1385"/>
      <c r="RUL160" s="1385"/>
      <c r="RUM160" s="1385"/>
      <c r="RUN160" s="1385"/>
      <c r="RUO160" s="1385"/>
      <c r="RUP160" s="1385"/>
      <c r="RUQ160" s="1385"/>
      <c r="RUR160" s="1385"/>
      <c r="RUS160" s="1385"/>
      <c r="RUT160" s="1385"/>
      <c r="RUU160" s="1385"/>
      <c r="RUV160" s="1385"/>
      <c r="RUW160" s="1385"/>
      <c r="RUX160" s="1385"/>
      <c r="RUY160" s="1385"/>
      <c r="RUZ160" s="1385"/>
      <c r="RVA160" s="1385"/>
      <c r="RVB160" s="1385"/>
      <c r="RVC160" s="1385"/>
      <c r="RVD160" s="1385"/>
      <c r="RVE160" s="1385"/>
      <c r="RVF160" s="1385"/>
      <c r="RVG160" s="1385"/>
      <c r="RVH160" s="1385"/>
      <c r="RVI160" s="1385"/>
      <c r="RVJ160" s="1385"/>
      <c r="RVK160" s="1385"/>
      <c r="RVL160" s="1385"/>
      <c r="RVM160" s="1385"/>
      <c r="RVN160" s="1385"/>
      <c r="RVO160" s="1385"/>
      <c r="RVP160" s="1385"/>
      <c r="RVQ160" s="1385"/>
      <c r="RVR160" s="1385"/>
      <c r="RVS160" s="1385"/>
      <c r="RVT160" s="1385"/>
      <c r="RVU160" s="1385"/>
      <c r="RVV160" s="1385"/>
      <c r="RVW160" s="1385"/>
      <c r="RVX160" s="1385"/>
      <c r="RVY160" s="1385"/>
      <c r="RVZ160" s="1385"/>
      <c r="RWA160" s="1385"/>
      <c r="RWB160" s="1385"/>
      <c r="RWC160" s="1385"/>
      <c r="RWD160" s="1385"/>
      <c r="RWE160" s="1385"/>
      <c r="RWF160" s="1385"/>
      <c r="RWG160" s="1385"/>
      <c r="RWH160" s="1385"/>
      <c r="RWI160" s="1385"/>
      <c r="RWJ160" s="1385"/>
      <c r="RWK160" s="1385"/>
      <c r="RWL160" s="1385"/>
      <c r="RWM160" s="1385"/>
      <c r="RWN160" s="1385"/>
      <c r="RWO160" s="1385"/>
      <c r="RWP160" s="1385"/>
      <c r="RWQ160" s="1385"/>
      <c r="RWR160" s="1385"/>
      <c r="RWS160" s="1385"/>
      <c r="RWT160" s="1385"/>
      <c r="RWU160" s="1385"/>
      <c r="RWV160" s="1385"/>
      <c r="RWW160" s="1385"/>
      <c r="RWX160" s="1385"/>
      <c r="RWY160" s="1385"/>
      <c r="RWZ160" s="1385"/>
      <c r="RXA160" s="1385"/>
      <c r="RXB160" s="1385"/>
      <c r="RXC160" s="1385"/>
      <c r="RXD160" s="1385"/>
      <c r="RXE160" s="1385"/>
      <c r="RXF160" s="1385"/>
      <c r="RXG160" s="1385"/>
      <c r="RXH160" s="1385"/>
      <c r="RXI160" s="1385"/>
      <c r="RXJ160" s="1385"/>
      <c r="RXK160" s="1385"/>
      <c r="RXL160" s="1385"/>
      <c r="RXM160" s="1385"/>
      <c r="RXN160" s="1385"/>
      <c r="RXO160" s="1385"/>
      <c r="RXP160" s="1385"/>
      <c r="RXQ160" s="1385"/>
      <c r="RXR160" s="1385"/>
      <c r="RXS160" s="1385"/>
      <c r="RXT160" s="1385"/>
      <c r="RXU160" s="1385"/>
      <c r="RXV160" s="1385"/>
      <c r="RXW160" s="1385"/>
      <c r="RXX160" s="1385"/>
      <c r="RXY160" s="1385"/>
      <c r="RXZ160" s="1385"/>
      <c r="RYA160" s="1385"/>
      <c r="RYB160" s="1385"/>
      <c r="RYC160" s="1385"/>
      <c r="RYD160" s="1385"/>
      <c r="RYE160" s="1385"/>
      <c r="RYF160" s="1385"/>
      <c r="RYG160" s="1385"/>
      <c r="RYH160" s="1385"/>
      <c r="RYI160" s="1385"/>
      <c r="RYJ160" s="1385"/>
      <c r="RYK160" s="1385"/>
      <c r="RYL160" s="1385"/>
      <c r="RYM160" s="1385"/>
      <c r="RYN160" s="1385"/>
      <c r="RYO160" s="1385"/>
      <c r="RYP160" s="1385"/>
      <c r="RYQ160" s="1385"/>
      <c r="RYR160" s="1385"/>
      <c r="RYS160" s="1385"/>
      <c r="RYT160" s="1385"/>
      <c r="RYU160" s="1385"/>
      <c r="RYV160" s="1385"/>
      <c r="RYW160" s="1385"/>
      <c r="RYX160" s="1385"/>
      <c r="RYY160" s="1385"/>
      <c r="RYZ160" s="1385"/>
      <c r="RZA160" s="1385"/>
      <c r="RZB160" s="1385"/>
      <c r="RZC160" s="1385"/>
      <c r="RZD160" s="1385"/>
      <c r="RZE160" s="1385"/>
      <c r="RZF160" s="1385"/>
      <c r="RZG160" s="1385"/>
      <c r="RZH160" s="1385"/>
      <c r="RZI160" s="1385"/>
      <c r="RZJ160" s="1385"/>
      <c r="RZK160" s="1385"/>
      <c r="RZL160" s="1385"/>
      <c r="RZM160" s="1385"/>
      <c r="RZN160" s="1385"/>
      <c r="RZO160" s="1385"/>
      <c r="RZP160" s="1385"/>
      <c r="RZQ160" s="1385"/>
      <c r="RZR160" s="1385"/>
      <c r="RZS160" s="1385"/>
      <c r="RZT160" s="1385"/>
      <c r="RZU160" s="1385"/>
      <c r="RZV160" s="1385"/>
      <c r="RZW160" s="1385"/>
      <c r="RZX160" s="1385"/>
      <c r="RZY160" s="1385"/>
      <c r="RZZ160" s="1385"/>
      <c r="SAA160" s="1385"/>
      <c r="SAB160" s="1385"/>
      <c r="SAC160" s="1385"/>
      <c r="SAD160" s="1385"/>
      <c r="SAE160" s="1385"/>
      <c r="SAF160" s="1385"/>
      <c r="SAG160" s="1385"/>
      <c r="SAH160" s="1385"/>
      <c r="SAI160" s="1385"/>
      <c r="SAJ160" s="1385"/>
      <c r="SAK160" s="1385"/>
      <c r="SAL160" s="1385"/>
      <c r="SAM160" s="1385"/>
      <c r="SAN160" s="1385"/>
      <c r="SAO160" s="1385"/>
      <c r="SAP160" s="1385"/>
      <c r="SAQ160" s="1385"/>
      <c r="SAR160" s="1385"/>
      <c r="SAS160" s="1385"/>
      <c r="SAT160" s="1385"/>
      <c r="SAU160" s="1385"/>
      <c r="SAV160" s="1385"/>
      <c r="SAW160" s="1385"/>
      <c r="SAX160" s="1385"/>
      <c r="SAY160" s="1385"/>
      <c r="SAZ160" s="1385"/>
      <c r="SBA160" s="1385"/>
      <c r="SBB160" s="1385"/>
      <c r="SBC160" s="1385"/>
      <c r="SBD160" s="1385"/>
      <c r="SBE160" s="1385"/>
      <c r="SBF160" s="1385"/>
      <c r="SBG160" s="1385"/>
      <c r="SBH160" s="1385"/>
      <c r="SBI160" s="1385"/>
      <c r="SBJ160" s="1385"/>
      <c r="SBK160" s="1385"/>
      <c r="SBL160" s="1385"/>
      <c r="SBM160" s="1385"/>
      <c r="SBN160" s="1385"/>
      <c r="SBO160" s="1385"/>
      <c r="SBP160" s="1385"/>
      <c r="SBQ160" s="1385"/>
      <c r="SBR160" s="1385"/>
      <c r="SBS160" s="1385"/>
      <c r="SBT160" s="1385"/>
      <c r="SBU160" s="1385"/>
      <c r="SBV160" s="1385"/>
      <c r="SBW160" s="1385"/>
      <c r="SBX160" s="1385"/>
      <c r="SBY160" s="1385"/>
      <c r="SBZ160" s="1385"/>
      <c r="SCA160" s="1385"/>
      <c r="SCB160" s="1385"/>
      <c r="SCC160" s="1385"/>
      <c r="SCD160" s="1385"/>
      <c r="SCE160" s="1385"/>
      <c r="SCF160" s="1385"/>
      <c r="SCG160" s="1385"/>
      <c r="SCH160" s="1385"/>
      <c r="SCI160" s="1385"/>
      <c r="SCJ160" s="1385"/>
      <c r="SCK160" s="1385"/>
      <c r="SCL160" s="1385"/>
      <c r="SCM160" s="1385"/>
      <c r="SCN160" s="1385"/>
      <c r="SCO160" s="1385"/>
      <c r="SCP160" s="1385"/>
      <c r="SCQ160" s="1385"/>
      <c r="SCR160" s="1385"/>
      <c r="SCS160" s="1385"/>
      <c r="SCT160" s="1385"/>
      <c r="SCU160" s="1385"/>
      <c r="SCV160" s="1385"/>
      <c r="SCW160" s="1385"/>
      <c r="SCX160" s="1385"/>
      <c r="SCY160" s="1385"/>
      <c r="SCZ160" s="1385"/>
      <c r="SDA160" s="1385"/>
      <c r="SDB160" s="1385"/>
      <c r="SDC160" s="1385"/>
      <c r="SDD160" s="1385"/>
      <c r="SDE160" s="1385"/>
      <c r="SDF160" s="1385"/>
      <c r="SDG160" s="1385"/>
      <c r="SDH160" s="1385"/>
      <c r="SDI160" s="1385"/>
      <c r="SDJ160" s="1385"/>
      <c r="SDK160" s="1385"/>
      <c r="SDL160" s="1385"/>
      <c r="SDM160" s="1385"/>
      <c r="SDN160" s="1385"/>
      <c r="SDO160" s="1385"/>
      <c r="SDP160" s="1385"/>
      <c r="SDQ160" s="1385"/>
      <c r="SDR160" s="1385"/>
      <c r="SDS160" s="1385"/>
      <c r="SDT160" s="1385"/>
      <c r="SDU160" s="1385"/>
      <c r="SDV160" s="1385"/>
      <c r="SDW160" s="1385"/>
      <c r="SDX160" s="1385"/>
      <c r="SDY160" s="1385"/>
      <c r="SDZ160" s="1385"/>
      <c r="SEA160" s="1385"/>
      <c r="SEB160" s="1385"/>
      <c r="SEC160" s="1385"/>
      <c r="SED160" s="1385"/>
      <c r="SEE160" s="1385"/>
      <c r="SEF160" s="1385"/>
      <c r="SEG160" s="1385"/>
      <c r="SEH160" s="1385"/>
      <c r="SEI160" s="1385"/>
      <c r="SEJ160" s="1385"/>
      <c r="SEK160" s="1385"/>
      <c r="SEL160" s="1385"/>
      <c r="SEM160" s="1385"/>
      <c r="SEN160" s="1385"/>
      <c r="SEO160" s="1385"/>
      <c r="SEP160" s="1385"/>
      <c r="SEQ160" s="1385"/>
      <c r="SER160" s="1385"/>
      <c r="SES160" s="1385"/>
      <c r="SET160" s="1385"/>
      <c r="SEU160" s="1385"/>
      <c r="SEV160" s="1385"/>
      <c r="SEW160" s="1385"/>
      <c r="SEX160" s="1385"/>
      <c r="SEY160" s="1385"/>
      <c r="SEZ160" s="1385"/>
      <c r="SFA160" s="1385"/>
      <c r="SFB160" s="1385"/>
      <c r="SFC160" s="1385"/>
      <c r="SFD160" s="1385"/>
      <c r="SFE160" s="1385"/>
      <c r="SFF160" s="1385"/>
      <c r="SFG160" s="1385"/>
      <c r="SFH160" s="1385"/>
      <c r="SFI160" s="1385"/>
      <c r="SFJ160" s="1385"/>
      <c r="SFK160" s="1385"/>
      <c r="SFL160" s="1385"/>
      <c r="SFM160" s="1385"/>
      <c r="SFN160" s="1385"/>
      <c r="SFO160" s="1385"/>
      <c r="SFP160" s="1385"/>
      <c r="SFQ160" s="1385"/>
      <c r="SFR160" s="1385"/>
      <c r="SFS160" s="1385"/>
      <c r="SFT160" s="1385"/>
      <c r="SFU160" s="1385"/>
      <c r="SFV160" s="1385"/>
      <c r="SFW160" s="1385"/>
      <c r="SFX160" s="1385"/>
      <c r="SFY160" s="1385"/>
      <c r="SFZ160" s="1385"/>
      <c r="SGA160" s="1385"/>
      <c r="SGB160" s="1385"/>
      <c r="SGC160" s="1385"/>
      <c r="SGD160" s="1385"/>
      <c r="SGE160" s="1385"/>
      <c r="SGF160" s="1385"/>
      <c r="SGG160" s="1385"/>
      <c r="SGH160" s="1385"/>
      <c r="SGI160" s="1385"/>
      <c r="SGJ160" s="1385"/>
      <c r="SGK160" s="1385"/>
      <c r="SGL160" s="1385"/>
      <c r="SGM160" s="1385"/>
      <c r="SGN160" s="1385"/>
      <c r="SGO160" s="1385"/>
      <c r="SGP160" s="1385"/>
      <c r="SGQ160" s="1385"/>
      <c r="SGR160" s="1385"/>
      <c r="SGS160" s="1385"/>
      <c r="SGT160" s="1385"/>
      <c r="SGU160" s="1385"/>
      <c r="SGV160" s="1385"/>
      <c r="SGW160" s="1385"/>
      <c r="SGX160" s="1385"/>
      <c r="SGY160" s="1385"/>
      <c r="SGZ160" s="1385"/>
      <c r="SHA160" s="1385"/>
      <c r="SHB160" s="1385"/>
      <c r="SHC160" s="1385"/>
      <c r="SHD160" s="1385"/>
      <c r="SHE160" s="1385"/>
      <c r="SHF160" s="1385"/>
      <c r="SHG160" s="1385"/>
      <c r="SHH160" s="1385"/>
      <c r="SHI160" s="1385"/>
      <c r="SHJ160" s="1385"/>
      <c r="SHK160" s="1385"/>
      <c r="SHL160" s="1385"/>
      <c r="SHM160" s="1385"/>
      <c r="SHN160" s="1385"/>
      <c r="SHO160" s="1385"/>
      <c r="SHP160" s="1385"/>
      <c r="SHQ160" s="1385"/>
      <c r="SHR160" s="1385"/>
      <c r="SHS160" s="1385"/>
      <c r="SHT160" s="1385"/>
      <c r="SHU160" s="1385"/>
      <c r="SHV160" s="1385"/>
      <c r="SHW160" s="1385"/>
      <c r="SHX160" s="1385"/>
      <c r="SHY160" s="1385"/>
      <c r="SHZ160" s="1385"/>
      <c r="SIA160" s="1385"/>
      <c r="SIB160" s="1385"/>
      <c r="SIC160" s="1385"/>
      <c r="SID160" s="1385"/>
      <c r="SIE160" s="1385"/>
      <c r="SIF160" s="1385"/>
      <c r="SIG160" s="1385"/>
      <c r="SIH160" s="1385"/>
      <c r="SII160" s="1385"/>
      <c r="SIJ160" s="1385"/>
      <c r="SIK160" s="1385"/>
      <c r="SIL160" s="1385"/>
      <c r="SIM160" s="1385"/>
      <c r="SIN160" s="1385"/>
      <c r="SIO160" s="1385"/>
      <c r="SIP160" s="1385"/>
      <c r="SIQ160" s="1385"/>
      <c r="SIR160" s="1385"/>
      <c r="SIS160" s="1385"/>
      <c r="SIT160" s="1385"/>
      <c r="SIU160" s="1385"/>
      <c r="SIV160" s="1385"/>
      <c r="SIW160" s="1385"/>
      <c r="SIX160" s="1385"/>
      <c r="SIY160" s="1385"/>
      <c r="SIZ160" s="1385"/>
      <c r="SJA160" s="1385"/>
      <c r="SJB160" s="1385"/>
      <c r="SJC160" s="1385"/>
      <c r="SJD160" s="1385"/>
      <c r="SJE160" s="1385"/>
      <c r="SJF160" s="1385"/>
      <c r="SJG160" s="1385"/>
      <c r="SJH160" s="1385"/>
      <c r="SJI160" s="1385"/>
      <c r="SJJ160" s="1385"/>
      <c r="SJK160" s="1385"/>
      <c r="SJL160" s="1385"/>
      <c r="SJM160" s="1385"/>
      <c r="SJN160" s="1385"/>
      <c r="SJO160" s="1385"/>
      <c r="SJP160" s="1385"/>
      <c r="SJQ160" s="1385"/>
      <c r="SJR160" s="1385"/>
      <c r="SJS160" s="1385"/>
      <c r="SJT160" s="1385"/>
      <c r="SJU160" s="1385"/>
      <c r="SJV160" s="1385"/>
      <c r="SJW160" s="1385"/>
      <c r="SJX160" s="1385"/>
      <c r="SJY160" s="1385"/>
      <c r="SJZ160" s="1385"/>
      <c r="SKA160" s="1385"/>
      <c r="SKB160" s="1385"/>
      <c r="SKC160" s="1385"/>
      <c r="SKD160" s="1385"/>
      <c r="SKE160" s="1385"/>
      <c r="SKF160" s="1385"/>
      <c r="SKG160" s="1385"/>
      <c r="SKH160" s="1385"/>
      <c r="SKI160" s="1385"/>
      <c r="SKJ160" s="1385"/>
      <c r="SKK160" s="1385"/>
      <c r="SKL160" s="1385"/>
      <c r="SKM160" s="1385"/>
      <c r="SKN160" s="1385"/>
      <c r="SKO160" s="1385"/>
      <c r="SKP160" s="1385"/>
      <c r="SKQ160" s="1385"/>
      <c r="SKR160" s="1385"/>
      <c r="SKS160" s="1385"/>
      <c r="SKT160" s="1385"/>
      <c r="SKU160" s="1385"/>
      <c r="SKV160" s="1385"/>
      <c r="SKW160" s="1385"/>
      <c r="SKX160" s="1385"/>
      <c r="SKY160" s="1385"/>
      <c r="SKZ160" s="1385"/>
      <c r="SLA160" s="1385"/>
      <c r="SLB160" s="1385"/>
      <c r="SLC160" s="1385"/>
      <c r="SLD160" s="1385"/>
      <c r="SLE160" s="1385"/>
      <c r="SLF160" s="1385"/>
      <c r="SLG160" s="1385"/>
      <c r="SLH160" s="1385"/>
      <c r="SLI160" s="1385"/>
      <c r="SLJ160" s="1385"/>
      <c r="SLK160" s="1385"/>
      <c r="SLL160" s="1385"/>
      <c r="SLM160" s="1385"/>
      <c r="SLN160" s="1385"/>
      <c r="SLO160" s="1385"/>
      <c r="SLP160" s="1385"/>
      <c r="SLQ160" s="1385"/>
      <c r="SLR160" s="1385"/>
      <c r="SLS160" s="1385"/>
      <c r="SLT160" s="1385"/>
      <c r="SLU160" s="1385"/>
      <c r="SLV160" s="1385"/>
      <c r="SLW160" s="1385"/>
      <c r="SLX160" s="1385"/>
      <c r="SLY160" s="1385"/>
      <c r="SLZ160" s="1385"/>
      <c r="SMA160" s="1385"/>
      <c r="SMB160" s="1385"/>
      <c r="SMC160" s="1385"/>
      <c r="SMD160" s="1385"/>
      <c r="SME160" s="1385"/>
      <c r="SMF160" s="1385"/>
      <c r="SMG160" s="1385"/>
      <c r="SMH160" s="1385"/>
      <c r="SMI160" s="1385"/>
      <c r="SMJ160" s="1385"/>
      <c r="SMK160" s="1385"/>
      <c r="SML160" s="1385"/>
      <c r="SMM160" s="1385"/>
      <c r="SMN160" s="1385"/>
      <c r="SMO160" s="1385"/>
      <c r="SMP160" s="1385"/>
      <c r="SMQ160" s="1385"/>
      <c r="SMR160" s="1385"/>
      <c r="SMS160" s="1385"/>
      <c r="SMT160" s="1385"/>
      <c r="SMU160" s="1385"/>
      <c r="SMV160" s="1385"/>
      <c r="SMW160" s="1385"/>
      <c r="SMX160" s="1385"/>
      <c r="SMY160" s="1385"/>
      <c r="SMZ160" s="1385"/>
      <c r="SNA160" s="1385"/>
      <c r="SNB160" s="1385"/>
      <c r="SNC160" s="1385"/>
      <c r="SND160" s="1385"/>
      <c r="SNE160" s="1385"/>
      <c r="SNF160" s="1385"/>
      <c r="SNG160" s="1385"/>
      <c r="SNH160" s="1385"/>
      <c r="SNI160" s="1385"/>
      <c r="SNJ160" s="1385"/>
      <c r="SNK160" s="1385"/>
      <c r="SNL160" s="1385"/>
      <c r="SNM160" s="1385"/>
      <c r="SNN160" s="1385"/>
      <c r="SNO160" s="1385"/>
      <c r="SNP160" s="1385"/>
      <c r="SNQ160" s="1385"/>
      <c r="SNR160" s="1385"/>
      <c r="SNS160" s="1385"/>
      <c r="SNT160" s="1385"/>
      <c r="SNU160" s="1385"/>
      <c r="SNV160" s="1385"/>
      <c r="SNW160" s="1385"/>
      <c r="SNX160" s="1385"/>
      <c r="SNY160" s="1385"/>
      <c r="SNZ160" s="1385"/>
      <c r="SOA160" s="1385"/>
      <c r="SOB160" s="1385"/>
      <c r="SOC160" s="1385"/>
      <c r="SOD160" s="1385"/>
      <c r="SOE160" s="1385"/>
      <c r="SOF160" s="1385"/>
      <c r="SOG160" s="1385"/>
      <c r="SOH160" s="1385"/>
      <c r="SOI160" s="1385"/>
      <c r="SOJ160" s="1385"/>
      <c r="SOK160" s="1385"/>
      <c r="SOL160" s="1385"/>
      <c r="SOM160" s="1385"/>
      <c r="SON160" s="1385"/>
      <c r="SOO160" s="1385"/>
      <c r="SOP160" s="1385"/>
      <c r="SOQ160" s="1385"/>
      <c r="SOR160" s="1385"/>
      <c r="SOS160" s="1385"/>
      <c r="SOT160" s="1385"/>
      <c r="SOU160" s="1385"/>
      <c r="SOV160" s="1385"/>
      <c r="SOW160" s="1385"/>
      <c r="SOX160" s="1385"/>
      <c r="SOY160" s="1385"/>
      <c r="SOZ160" s="1385"/>
      <c r="SPA160" s="1385"/>
      <c r="SPB160" s="1385"/>
      <c r="SPC160" s="1385"/>
      <c r="SPD160" s="1385"/>
      <c r="SPE160" s="1385"/>
      <c r="SPF160" s="1385"/>
      <c r="SPG160" s="1385"/>
      <c r="SPH160" s="1385"/>
      <c r="SPI160" s="1385"/>
      <c r="SPJ160" s="1385"/>
      <c r="SPK160" s="1385"/>
      <c r="SPL160" s="1385"/>
      <c r="SPM160" s="1385"/>
      <c r="SPN160" s="1385"/>
      <c r="SPO160" s="1385"/>
      <c r="SPP160" s="1385"/>
      <c r="SPQ160" s="1385"/>
      <c r="SPR160" s="1385"/>
      <c r="SPS160" s="1385"/>
      <c r="SPT160" s="1385"/>
      <c r="SPU160" s="1385"/>
      <c r="SPV160" s="1385"/>
      <c r="SPW160" s="1385"/>
      <c r="SPX160" s="1385"/>
      <c r="SPY160" s="1385"/>
      <c r="SPZ160" s="1385"/>
      <c r="SQA160" s="1385"/>
      <c r="SQB160" s="1385"/>
      <c r="SQC160" s="1385"/>
      <c r="SQD160" s="1385"/>
      <c r="SQE160" s="1385"/>
      <c r="SQF160" s="1385"/>
      <c r="SQG160" s="1385"/>
      <c r="SQH160" s="1385"/>
      <c r="SQI160" s="1385"/>
      <c r="SQJ160" s="1385"/>
      <c r="SQK160" s="1385"/>
      <c r="SQL160" s="1385"/>
      <c r="SQM160" s="1385"/>
      <c r="SQN160" s="1385"/>
      <c r="SQO160" s="1385"/>
      <c r="SQP160" s="1385"/>
      <c r="SQQ160" s="1385"/>
      <c r="SQR160" s="1385"/>
      <c r="SQS160" s="1385"/>
      <c r="SQT160" s="1385"/>
      <c r="SQU160" s="1385"/>
      <c r="SQV160" s="1385"/>
      <c r="SQW160" s="1385"/>
      <c r="SQX160" s="1385"/>
      <c r="SQY160" s="1385"/>
      <c r="SQZ160" s="1385"/>
      <c r="SRA160" s="1385"/>
      <c r="SRB160" s="1385"/>
      <c r="SRC160" s="1385"/>
      <c r="SRD160" s="1385"/>
      <c r="SRE160" s="1385"/>
      <c r="SRF160" s="1385"/>
      <c r="SRG160" s="1385"/>
      <c r="SRH160" s="1385"/>
      <c r="SRI160" s="1385"/>
      <c r="SRJ160" s="1385"/>
      <c r="SRK160" s="1385"/>
      <c r="SRL160" s="1385"/>
      <c r="SRM160" s="1385"/>
      <c r="SRN160" s="1385"/>
      <c r="SRO160" s="1385"/>
      <c r="SRP160" s="1385"/>
      <c r="SRQ160" s="1385"/>
      <c r="SRR160" s="1385"/>
      <c r="SRS160" s="1385"/>
      <c r="SRT160" s="1385"/>
      <c r="SRU160" s="1385"/>
      <c r="SRV160" s="1385"/>
      <c r="SRW160" s="1385"/>
      <c r="SRX160" s="1385"/>
      <c r="SRY160" s="1385"/>
      <c r="SRZ160" s="1385"/>
      <c r="SSA160" s="1385"/>
      <c r="SSB160" s="1385"/>
      <c r="SSC160" s="1385"/>
      <c r="SSD160" s="1385"/>
      <c r="SSE160" s="1385"/>
      <c r="SSF160" s="1385"/>
      <c r="SSG160" s="1385"/>
      <c r="SSH160" s="1385"/>
      <c r="SSI160" s="1385"/>
      <c r="SSJ160" s="1385"/>
      <c r="SSK160" s="1385"/>
      <c r="SSL160" s="1385"/>
      <c r="SSM160" s="1385"/>
      <c r="SSN160" s="1385"/>
      <c r="SSO160" s="1385"/>
      <c r="SSP160" s="1385"/>
      <c r="SSQ160" s="1385"/>
      <c r="SSR160" s="1385"/>
      <c r="SSS160" s="1385"/>
      <c r="SST160" s="1385"/>
      <c r="SSU160" s="1385"/>
      <c r="SSV160" s="1385"/>
      <c r="SSW160" s="1385"/>
      <c r="SSX160" s="1385"/>
      <c r="SSY160" s="1385"/>
      <c r="SSZ160" s="1385"/>
      <c r="STA160" s="1385"/>
      <c r="STB160" s="1385"/>
      <c r="STC160" s="1385"/>
      <c r="STD160" s="1385"/>
      <c r="STE160" s="1385"/>
      <c r="STF160" s="1385"/>
      <c r="STG160" s="1385"/>
      <c r="STH160" s="1385"/>
      <c r="STI160" s="1385"/>
      <c r="STJ160" s="1385"/>
      <c r="STK160" s="1385"/>
      <c r="STL160" s="1385"/>
      <c r="STM160" s="1385"/>
      <c r="STN160" s="1385"/>
      <c r="STO160" s="1385"/>
      <c r="STP160" s="1385"/>
      <c r="STQ160" s="1385"/>
      <c r="STR160" s="1385"/>
      <c r="STS160" s="1385"/>
      <c r="STT160" s="1385"/>
      <c r="STU160" s="1385"/>
      <c r="STV160" s="1385"/>
      <c r="STW160" s="1385"/>
      <c r="STX160" s="1385"/>
      <c r="STY160" s="1385"/>
      <c r="STZ160" s="1385"/>
      <c r="SUA160" s="1385"/>
      <c r="SUB160" s="1385"/>
      <c r="SUC160" s="1385"/>
      <c r="SUD160" s="1385"/>
      <c r="SUE160" s="1385"/>
      <c r="SUF160" s="1385"/>
      <c r="SUG160" s="1385"/>
      <c r="SUH160" s="1385"/>
      <c r="SUI160" s="1385"/>
      <c r="SUJ160" s="1385"/>
      <c r="SUK160" s="1385"/>
      <c r="SUL160" s="1385"/>
      <c r="SUM160" s="1385"/>
      <c r="SUN160" s="1385"/>
      <c r="SUO160" s="1385"/>
      <c r="SUP160" s="1385"/>
      <c r="SUQ160" s="1385"/>
      <c r="SUR160" s="1385"/>
      <c r="SUS160" s="1385"/>
      <c r="SUT160" s="1385"/>
      <c r="SUU160" s="1385"/>
      <c r="SUV160" s="1385"/>
      <c r="SUW160" s="1385"/>
      <c r="SUX160" s="1385"/>
      <c r="SUY160" s="1385"/>
      <c r="SUZ160" s="1385"/>
      <c r="SVA160" s="1385"/>
      <c r="SVB160" s="1385"/>
      <c r="SVC160" s="1385"/>
      <c r="SVD160" s="1385"/>
      <c r="SVE160" s="1385"/>
      <c r="SVF160" s="1385"/>
      <c r="SVG160" s="1385"/>
      <c r="SVH160" s="1385"/>
      <c r="SVI160" s="1385"/>
      <c r="SVJ160" s="1385"/>
      <c r="SVK160" s="1385"/>
      <c r="SVL160" s="1385"/>
      <c r="SVM160" s="1385"/>
      <c r="SVN160" s="1385"/>
      <c r="SVO160" s="1385"/>
      <c r="SVP160" s="1385"/>
      <c r="SVQ160" s="1385"/>
      <c r="SVR160" s="1385"/>
      <c r="SVS160" s="1385"/>
      <c r="SVT160" s="1385"/>
      <c r="SVU160" s="1385"/>
      <c r="SVV160" s="1385"/>
      <c r="SVW160" s="1385"/>
      <c r="SVX160" s="1385"/>
      <c r="SVY160" s="1385"/>
      <c r="SVZ160" s="1385"/>
      <c r="SWA160" s="1385"/>
      <c r="SWB160" s="1385"/>
      <c r="SWC160" s="1385"/>
      <c r="SWD160" s="1385"/>
      <c r="SWE160" s="1385"/>
      <c r="SWF160" s="1385"/>
      <c r="SWG160" s="1385"/>
      <c r="SWH160" s="1385"/>
      <c r="SWI160" s="1385"/>
      <c r="SWJ160" s="1385"/>
      <c r="SWK160" s="1385"/>
      <c r="SWL160" s="1385"/>
      <c r="SWM160" s="1385"/>
      <c r="SWN160" s="1385"/>
      <c r="SWO160" s="1385"/>
      <c r="SWP160" s="1385"/>
      <c r="SWQ160" s="1385"/>
      <c r="SWR160" s="1385"/>
      <c r="SWS160" s="1385"/>
      <c r="SWT160" s="1385"/>
      <c r="SWU160" s="1385"/>
      <c r="SWV160" s="1385"/>
      <c r="SWW160" s="1385"/>
      <c r="SWX160" s="1385"/>
      <c r="SWY160" s="1385"/>
      <c r="SWZ160" s="1385"/>
      <c r="SXA160" s="1385"/>
      <c r="SXB160" s="1385"/>
      <c r="SXC160" s="1385"/>
      <c r="SXD160" s="1385"/>
      <c r="SXE160" s="1385"/>
      <c r="SXF160" s="1385"/>
      <c r="SXG160" s="1385"/>
      <c r="SXH160" s="1385"/>
      <c r="SXI160" s="1385"/>
      <c r="SXJ160" s="1385"/>
      <c r="SXK160" s="1385"/>
      <c r="SXL160" s="1385"/>
      <c r="SXM160" s="1385"/>
      <c r="SXN160" s="1385"/>
      <c r="SXO160" s="1385"/>
      <c r="SXP160" s="1385"/>
      <c r="SXQ160" s="1385"/>
      <c r="SXR160" s="1385"/>
      <c r="SXS160" s="1385"/>
      <c r="SXT160" s="1385"/>
      <c r="SXU160" s="1385"/>
      <c r="SXV160" s="1385"/>
      <c r="SXW160" s="1385"/>
      <c r="SXX160" s="1385"/>
      <c r="SXY160" s="1385"/>
      <c r="SXZ160" s="1385"/>
      <c r="SYA160" s="1385"/>
      <c r="SYB160" s="1385"/>
      <c r="SYC160" s="1385"/>
      <c r="SYD160" s="1385"/>
      <c r="SYE160" s="1385"/>
      <c r="SYF160" s="1385"/>
      <c r="SYG160" s="1385"/>
      <c r="SYH160" s="1385"/>
      <c r="SYI160" s="1385"/>
      <c r="SYJ160" s="1385"/>
      <c r="SYK160" s="1385"/>
      <c r="SYL160" s="1385"/>
      <c r="SYM160" s="1385"/>
      <c r="SYN160" s="1385"/>
      <c r="SYO160" s="1385"/>
      <c r="SYP160" s="1385"/>
      <c r="SYQ160" s="1385"/>
      <c r="SYR160" s="1385"/>
      <c r="SYS160" s="1385"/>
      <c r="SYT160" s="1385"/>
      <c r="SYU160" s="1385"/>
      <c r="SYV160" s="1385"/>
      <c r="SYW160" s="1385"/>
      <c r="SYX160" s="1385"/>
      <c r="SYY160" s="1385"/>
      <c r="SYZ160" s="1385"/>
      <c r="SZA160" s="1385"/>
      <c r="SZB160" s="1385"/>
      <c r="SZC160" s="1385"/>
      <c r="SZD160" s="1385"/>
      <c r="SZE160" s="1385"/>
      <c r="SZF160" s="1385"/>
      <c r="SZG160" s="1385"/>
      <c r="SZH160" s="1385"/>
      <c r="SZI160" s="1385"/>
      <c r="SZJ160" s="1385"/>
      <c r="SZK160" s="1385"/>
      <c r="SZL160" s="1385"/>
      <c r="SZM160" s="1385"/>
      <c r="SZN160" s="1385"/>
      <c r="SZO160" s="1385"/>
      <c r="SZP160" s="1385"/>
      <c r="SZQ160" s="1385"/>
      <c r="SZR160" s="1385"/>
      <c r="SZS160" s="1385"/>
      <c r="SZT160" s="1385"/>
      <c r="SZU160" s="1385"/>
      <c r="SZV160" s="1385"/>
      <c r="SZW160" s="1385"/>
      <c r="SZX160" s="1385"/>
      <c r="SZY160" s="1385"/>
      <c r="SZZ160" s="1385"/>
      <c r="TAA160" s="1385"/>
      <c r="TAB160" s="1385"/>
      <c r="TAC160" s="1385"/>
      <c r="TAD160" s="1385"/>
      <c r="TAE160" s="1385"/>
      <c r="TAF160" s="1385"/>
      <c r="TAG160" s="1385"/>
      <c r="TAH160" s="1385"/>
      <c r="TAI160" s="1385"/>
      <c r="TAJ160" s="1385"/>
      <c r="TAK160" s="1385"/>
      <c r="TAL160" s="1385"/>
      <c r="TAM160" s="1385"/>
      <c r="TAN160" s="1385"/>
      <c r="TAO160" s="1385"/>
      <c r="TAP160" s="1385"/>
      <c r="TAQ160" s="1385"/>
      <c r="TAR160" s="1385"/>
      <c r="TAS160" s="1385"/>
      <c r="TAT160" s="1385"/>
      <c r="TAU160" s="1385"/>
      <c r="TAV160" s="1385"/>
      <c r="TAW160" s="1385"/>
      <c r="TAX160" s="1385"/>
      <c r="TAY160" s="1385"/>
      <c r="TAZ160" s="1385"/>
      <c r="TBA160" s="1385"/>
      <c r="TBB160" s="1385"/>
      <c r="TBC160" s="1385"/>
      <c r="TBD160" s="1385"/>
      <c r="TBE160" s="1385"/>
      <c r="TBF160" s="1385"/>
      <c r="TBG160" s="1385"/>
      <c r="TBH160" s="1385"/>
      <c r="TBI160" s="1385"/>
      <c r="TBJ160" s="1385"/>
      <c r="TBK160" s="1385"/>
      <c r="TBL160" s="1385"/>
      <c r="TBM160" s="1385"/>
      <c r="TBN160" s="1385"/>
      <c r="TBO160" s="1385"/>
      <c r="TBP160" s="1385"/>
      <c r="TBQ160" s="1385"/>
      <c r="TBR160" s="1385"/>
      <c r="TBS160" s="1385"/>
      <c r="TBT160" s="1385"/>
      <c r="TBU160" s="1385"/>
      <c r="TBV160" s="1385"/>
      <c r="TBW160" s="1385"/>
      <c r="TBX160" s="1385"/>
      <c r="TBY160" s="1385"/>
      <c r="TBZ160" s="1385"/>
      <c r="TCA160" s="1385"/>
      <c r="TCB160" s="1385"/>
      <c r="TCC160" s="1385"/>
      <c r="TCD160" s="1385"/>
      <c r="TCE160" s="1385"/>
      <c r="TCF160" s="1385"/>
      <c r="TCG160" s="1385"/>
      <c r="TCH160" s="1385"/>
      <c r="TCI160" s="1385"/>
      <c r="TCJ160" s="1385"/>
      <c r="TCK160" s="1385"/>
      <c r="TCL160" s="1385"/>
      <c r="TCM160" s="1385"/>
      <c r="TCN160" s="1385"/>
      <c r="TCO160" s="1385"/>
      <c r="TCP160" s="1385"/>
      <c r="TCQ160" s="1385"/>
      <c r="TCR160" s="1385"/>
      <c r="TCS160" s="1385"/>
      <c r="TCT160" s="1385"/>
      <c r="TCU160" s="1385"/>
      <c r="TCV160" s="1385"/>
      <c r="TCW160" s="1385"/>
      <c r="TCX160" s="1385"/>
      <c r="TCY160" s="1385"/>
      <c r="TCZ160" s="1385"/>
      <c r="TDA160" s="1385"/>
      <c r="TDB160" s="1385"/>
      <c r="TDC160" s="1385"/>
      <c r="TDD160" s="1385"/>
      <c r="TDE160" s="1385"/>
      <c r="TDF160" s="1385"/>
      <c r="TDG160" s="1385"/>
      <c r="TDH160" s="1385"/>
      <c r="TDI160" s="1385"/>
      <c r="TDJ160" s="1385"/>
      <c r="TDK160" s="1385"/>
      <c r="TDL160" s="1385"/>
      <c r="TDM160" s="1385"/>
      <c r="TDN160" s="1385"/>
      <c r="TDO160" s="1385"/>
      <c r="TDP160" s="1385"/>
      <c r="TDQ160" s="1385"/>
      <c r="TDR160" s="1385"/>
      <c r="TDS160" s="1385"/>
      <c r="TDT160" s="1385"/>
      <c r="TDU160" s="1385"/>
      <c r="TDV160" s="1385"/>
      <c r="TDW160" s="1385"/>
      <c r="TDX160" s="1385"/>
      <c r="TDY160" s="1385"/>
      <c r="TDZ160" s="1385"/>
      <c r="TEA160" s="1385"/>
      <c r="TEB160" s="1385"/>
      <c r="TEC160" s="1385"/>
      <c r="TED160" s="1385"/>
      <c r="TEE160" s="1385"/>
      <c r="TEF160" s="1385"/>
      <c r="TEG160" s="1385"/>
      <c r="TEH160" s="1385"/>
      <c r="TEI160" s="1385"/>
      <c r="TEJ160" s="1385"/>
      <c r="TEK160" s="1385"/>
      <c r="TEL160" s="1385"/>
      <c r="TEM160" s="1385"/>
      <c r="TEN160" s="1385"/>
      <c r="TEO160" s="1385"/>
      <c r="TEP160" s="1385"/>
      <c r="TEQ160" s="1385"/>
      <c r="TER160" s="1385"/>
      <c r="TES160" s="1385"/>
      <c r="TET160" s="1385"/>
      <c r="TEU160" s="1385"/>
      <c r="TEV160" s="1385"/>
      <c r="TEW160" s="1385"/>
      <c r="TEX160" s="1385"/>
      <c r="TEY160" s="1385"/>
      <c r="TEZ160" s="1385"/>
      <c r="TFA160" s="1385"/>
      <c r="TFB160" s="1385"/>
      <c r="TFC160" s="1385"/>
      <c r="TFD160" s="1385"/>
      <c r="TFE160" s="1385"/>
      <c r="TFF160" s="1385"/>
      <c r="TFG160" s="1385"/>
      <c r="TFH160" s="1385"/>
      <c r="TFI160" s="1385"/>
      <c r="TFJ160" s="1385"/>
      <c r="TFK160" s="1385"/>
      <c r="TFL160" s="1385"/>
      <c r="TFM160" s="1385"/>
      <c r="TFN160" s="1385"/>
      <c r="TFO160" s="1385"/>
      <c r="TFP160" s="1385"/>
      <c r="TFQ160" s="1385"/>
      <c r="TFR160" s="1385"/>
      <c r="TFS160" s="1385"/>
      <c r="TFT160" s="1385"/>
      <c r="TFU160" s="1385"/>
      <c r="TFV160" s="1385"/>
      <c r="TFW160" s="1385"/>
      <c r="TFX160" s="1385"/>
      <c r="TFY160" s="1385"/>
      <c r="TFZ160" s="1385"/>
      <c r="TGA160" s="1385"/>
      <c r="TGB160" s="1385"/>
      <c r="TGC160" s="1385"/>
      <c r="TGD160" s="1385"/>
      <c r="TGE160" s="1385"/>
      <c r="TGF160" s="1385"/>
      <c r="TGG160" s="1385"/>
      <c r="TGH160" s="1385"/>
      <c r="TGI160" s="1385"/>
      <c r="TGJ160" s="1385"/>
      <c r="TGK160" s="1385"/>
      <c r="TGL160" s="1385"/>
      <c r="TGM160" s="1385"/>
      <c r="TGN160" s="1385"/>
      <c r="TGO160" s="1385"/>
      <c r="TGP160" s="1385"/>
      <c r="TGQ160" s="1385"/>
      <c r="TGR160" s="1385"/>
      <c r="TGS160" s="1385"/>
      <c r="TGT160" s="1385"/>
      <c r="TGU160" s="1385"/>
      <c r="TGV160" s="1385"/>
      <c r="TGW160" s="1385"/>
      <c r="TGX160" s="1385"/>
      <c r="TGY160" s="1385"/>
      <c r="TGZ160" s="1385"/>
      <c r="THA160" s="1385"/>
      <c r="THB160" s="1385"/>
      <c r="THC160" s="1385"/>
      <c r="THD160" s="1385"/>
      <c r="THE160" s="1385"/>
      <c r="THF160" s="1385"/>
      <c r="THG160" s="1385"/>
      <c r="THH160" s="1385"/>
      <c r="THI160" s="1385"/>
      <c r="THJ160" s="1385"/>
      <c r="THK160" s="1385"/>
      <c r="THL160" s="1385"/>
      <c r="THM160" s="1385"/>
      <c r="THN160" s="1385"/>
      <c r="THO160" s="1385"/>
      <c r="THP160" s="1385"/>
      <c r="THQ160" s="1385"/>
      <c r="THR160" s="1385"/>
      <c r="THS160" s="1385"/>
      <c r="THT160" s="1385"/>
      <c r="THU160" s="1385"/>
      <c r="THV160" s="1385"/>
      <c r="THW160" s="1385"/>
      <c r="THX160" s="1385"/>
      <c r="THY160" s="1385"/>
      <c r="THZ160" s="1385"/>
      <c r="TIA160" s="1385"/>
      <c r="TIB160" s="1385"/>
      <c r="TIC160" s="1385"/>
      <c r="TID160" s="1385"/>
      <c r="TIE160" s="1385"/>
      <c r="TIF160" s="1385"/>
      <c r="TIG160" s="1385"/>
      <c r="TIH160" s="1385"/>
      <c r="TII160" s="1385"/>
      <c r="TIJ160" s="1385"/>
      <c r="TIK160" s="1385"/>
      <c r="TIL160" s="1385"/>
      <c r="TIM160" s="1385"/>
      <c r="TIN160" s="1385"/>
      <c r="TIO160" s="1385"/>
      <c r="TIP160" s="1385"/>
      <c r="TIQ160" s="1385"/>
      <c r="TIR160" s="1385"/>
      <c r="TIS160" s="1385"/>
      <c r="TIT160" s="1385"/>
      <c r="TIU160" s="1385"/>
      <c r="TIV160" s="1385"/>
      <c r="TIW160" s="1385"/>
      <c r="TIX160" s="1385"/>
      <c r="TIY160" s="1385"/>
      <c r="TIZ160" s="1385"/>
      <c r="TJA160" s="1385"/>
      <c r="TJB160" s="1385"/>
      <c r="TJC160" s="1385"/>
      <c r="TJD160" s="1385"/>
      <c r="TJE160" s="1385"/>
      <c r="TJF160" s="1385"/>
      <c r="TJG160" s="1385"/>
      <c r="TJH160" s="1385"/>
      <c r="TJI160" s="1385"/>
      <c r="TJJ160" s="1385"/>
      <c r="TJK160" s="1385"/>
      <c r="TJL160" s="1385"/>
      <c r="TJM160" s="1385"/>
      <c r="TJN160" s="1385"/>
      <c r="TJO160" s="1385"/>
      <c r="TJP160" s="1385"/>
      <c r="TJQ160" s="1385"/>
      <c r="TJR160" s="1385"/>
      <c r="TJS160" s="1385"/>
      <c r="TJT160" s="1385"/>
      <c r="TJU160" s="1385"/>
      <c r="TJV160" s="1385"/>
      <c r="TJW160" s="1385"/>
      <c r="TJX160" s="1385"/>
      <c r="TJY160" s="1385"/>
      <c r="TJZ160" s="1385"/>
      <c r="TKA160" s="1385"/>
      <c r="TKB160" s="1385"/>
      <c r="TKC160" s="1385"/>
      <c r="TKD160" s="1385"/>
      <c r="TKE160" s="1385"/>
      <c r="TKF160" s="1385"/>
      <c r="TKG160" s="1385"/>
      <c r="TKH160" s="1385"/>
      <c r="TKI160" s="1385"/>
      <c r="TKJ160" s="1385"/>
      <c r="TKK160" s="1385"/>
      <c r="TKL160" s="1385"/>
      <c r="TKM160" s="1385"/>
      <c r="TKN160" s="1385"/>
      <c r="TKO160" s="1385"/>
      <c r="TKP160" s="1385"/>
      <c r="TKQ160" s="1385"/>
      <c r="TKR160" s="1385"/>
      <c r="TKS160" s="1385"/>
      <c r="TKT160" s="1385"/>
      <c r="TKU160" s="1385"/>
      <c r="TKV160" s="1385"/>
      <c r="TKW160" s="1385"/>
      <c r="TKX160" s="1385"/>
      <c r="TKY160" s="1385"/>
      <c r="TKZ160" s="1385"/>
      <c r="TLA160" s="1385"/>
      <c r="TLB160" s="1385"/>
      <c r="TLC160" s="1385"/>
      <c r="TLD160" s="1385"/>
      <c r="TLE160" s="1385"/>
      <c r="TLF160" s="1385"/>
      <c r="TLG160" s="1385"/>
      <c r="TLH160" s="1385"/>
      <c r="TLI160" s="1385"/>
      <c r="TLJ160" s="1385"/>
      <c r="TLK160" s="1385"/>
      <c r="TLL160" s="1385"/>
      <c r="TLM160" s="1385"/>
      <c r="TLN160" s="1385"/>
      <c r="TLO160" s="1385"/>
      <c r="TLP160" s="1385"/>
      <c r="TLQ160" s="1385"/>
      <c r="TLR160" s="1385"/>
      <c r="TLS160" s="1385"/>
      <c r="TLT160" s="1385"/>
      <c r="TLU160" s="1385"/>
      <c r="TLV160" s="1385"/>
      <c r="TLW160" s="1385"/>
      <c r="TLX160" s="1385"/>
      <c r="TLY160" s="1385"/>
      <c r="TLZ160" s="1385"/>
      <c r="TMA160" s="1385"/>
      <c r="TMB160" s="1385"/>
      <c r="TMC160" s="1385"/>
      <c r="TMD160" s="1385"/>
      <c r="TME160" s="1385"/>
      <c r="TMF160" s="1385"/>
      <c r="TMG160" s="1385"/>
      <c r="TMH160" s="1385"/>
      <c r="TMI160" s="1385"/>
      <c r="TMJ160" s="1385"/>
      <c r="TMK160" s="1385"/>
      <c r="TML160" s="1385"/>
      <c r="TMM160" s="1385"/>
      <c r="TMN160" s="1385"/>
      <c r="TMO160" s="1385"/>
      <c r="TMP160" s="1385"/>
      <c r="TMQ160" s="1385"/>
      <c r="TMR160" s="1385"/>
      <c r="TMS160" s="1385"/>
      <c r="TMT160" s="1385"/>
      <c r="TMU160" s="1385"/>
      <c r="TMV160" s="1385"/>
      <c r="TMW160" s="1385"/>
      <c r="TMX160" s="1385"/>
      <c r="TMY160" s="1385"/>
      <c r="TMZ160" s="1385"/>
      <c r="TNA160" s="1385"/>
      <c r="TNB160" s="1385"/>
      <c r="TNC160" s="1385"/>
      <c r="TND160" s="1385"/>
      <c r="TNE160" s="1385"/>
      <c r="TNF160" s="1385"/>
      <c r="TNG160" s="1385"/>
      <c r="TNH160" s="1385"/>
      <c r="TNI160" s="1385"/>
      <c r="TNJ160" s="1385"/>
      <c r="TNK160" s="1385"/>
      <c r="TNL160" s="1385"/>
      <c r="TNM160" s="1385"/>
      <c r="TNN160" s="1385"/>
      <c r="TNO160" s="1385"/>
      <c r="TNP160" s="1385"/>
      <c r="TNQ160" s="1385"/>
      <c r="TNR160" s="1385"/>
      <c r="TNS160" s="1385"/>
      <c r="TNT160" s="1385"/>
      <c r="TNU160" s="1385"/>
      <c r="TNV160" s="1385"/>
      <c r="TNW160" s="1385"/>
      <c r="TNX160" s="1385"/>
      <c r="TNY160" s="1385"/>
      <c r="TNZ160" s="1385"/>
      <c r="TOA160" s="1385"/>
      <c r="TOB160" s="1385"/>
      <c r="TOC160" s="1385"/>
      <c r="TOD160" s="1385"/>
      <c r="TOE160" s="1385"/>
      <c r="TOF160" s="1385"/>
      <c r="TOG160" s="1385"/>
      <c r="TOH160" s="1385"/>
      <c r="TOI160" s="1385"/>
      <c r="TOJ160" s="1385"/>
      <c r="TOK160" s="1385"/>
      <c r="TOL160" s="1385"/>
      <c r="TOM160" s="1385"/>
      <c r="TON160" s="1385"/>
      <c r="TOO160" s="1385"/>
      <c r="TOP160" s="1385"/>
      <c r="TOQ160" s="1385"/>
      <c r="TOR160" s="1385"/>
      <c r="TOS160" s="1385"/>
      <c r="TOT160" s="1385"/>
      <c r="TOU160" s="1385"/>
      <c r="TOV160" s="1385"/>
      <c r="TOW160" s="1385"/>
      <c r="TOX160" s="1385"/>
      <c r="TOY160" s="1385"/>
      <c r="TOZ160" s="1385"/>
      <c r="TPA160" s="1385"/>
      <c r="TPB160" s="1385"/>
      <c r="TPC160" s="1385"/>
      <c r="TPD160" s="1385"/>
      <c r="TPE160" s="1385"/>
      <c r="TPF160" s="1385"/>
      <c r="TPG160" s="1385"/>
      <c r="TPH160" s="1385"/>
      <c r="TPI160" s="1385"/>
      <c r="TPJ160" s="1385"/>
      <c r="TPK160" s="1385"/>
      <c r="TPL160" s="1385"/>
      <c r="TPM160" s="1385"/>
      <c r="TPN160" s="1385"/>
      <c r="TPO160" s="1385"/>
      <c r="TPP160" s="1385"/>
      <c r="TPQ160" s="1385"/>
      <c r="TPR160" s="1385"/>
      <c r="TPS160" s="1385"/>
      <c r="TPT160" s="1385"/>
      <c r="TPU160" s="1385"/>
      <c r="TPV160" s="1385"/>
      <c r="TPW160" s="1385"/>
      <c r="TPX160" s="1385"/>
      <c r="TPY160" s="1385"/>
      <c r="TPZ160" s="1385"/>
      <c r="TQA160" s="1385"/>
      <c r="TQB160" s="1385"/>
      <c r="TQC160" s="1385"/>
      <c r="TQD160" s="1385"/>
      <c r="TQE160" s="1385"/>
      <c r="TQF160" s="1385"/>
      <c r="TQG160" s="1385"/>
      <c r="TQH160" s="1385"/>
      <c r="TQI160" s="1385"/>
      <c r="TQJ160" s="1385"/>
      <c r="TQK160" s="1385"/>
      <c r="TQL160" s="1385"/>
      <c r="TQM160" s="1385"/>
      <c r="TQN160" s="1385"/>
      <c r="TQO160" s="1385"/>
      <c r="TQP160" s="1385"/>
      <c r="TQQ160" s="1385"/>
      <c r="TQR160" s="1385"/>
      <c r="TQS160" s="1385"/>
      <c r="TQT160" s="1385"/>
      <c r="TQU160" s="1385"/>
      <c r="TQV160" s="1385"/>
      <c r="TQW160" s="1385"/>
      <c r="TQX160" s="1385"/>
      <c r="TQY160" s="1385"/>
      <c r="TQZ160" s="1385"/>
      <c r="TRA160" s="1385"/>
      <c r="TRB160" s="1385"/>
      <c r="TRC160" s="1385"/>
      <c r="TRD160" s="1385"/>
      <c r="TRE160" s="1385"/>
      <c r="TRF160" s="1385"/>
      <c r="TRG160" s="1385"/>
      <c r="TRH160" s="1385"/>
      <c r="TRI160" s="1385"/>
      <c r="TRJ160" s="1385"/>
      <c r="TRK160" s="1385"/>
      <c r="TRL160" s="1385"/>
      <c r="TRM160" s="1385"/>
      <c r="TRN160" s="1385"/>
      <c r="TRO160" s="1385"/>
      <c r="TRP160" s="1385"/>
      <c r="TRQ160" s="1385"/>
      <c r="TRR160" s="1385"/>
      <c r="TRS160" s="1385"/>
      <c r="TRT160" s="1385"/>
      <c r="TRU160" s="1385"/>
      <c r="TRV160" s="1385"/>
      <c r="TRW160" s="1385"/>
      <c r="TRX160" s="1385"/>
      <c r="TRY160" s="1385"/>
      <c r="TRZ160" s="1385"/>
      <c r="TSA160" s="1385"/>
      <c r="TSB160" s="1385"/>
      <c r="TSC160" s="1385"/>
      <c r="TSD160" s="1385"/>
      <c r="TSE160" s="1385"/>
      <c r="TSF160" s="1385"/>
      <c r="TSG160" s="1385"/>
      <c r="TSH160" s="1385"/>
      <c r="TSI160" s="1385"/>
      <c r="TSJ160" s="1385"/>
      <c r="TSK160" s="1385"/>
      <c r="TSL160" s="1385"/>
      <c r="TSM160" s="1385"/>
      <c r="TSN160" s="1385"/>
      <c r="TSO160" s="1385"/>
      <c r="TSP160" s="1385"/>
      <c r="TSQ160" s="1385"/>
      <c r="TSR160" s="1385"/>
      <c r="TSS160" s="1385"/>
      <c r="TST160" s="1385"/>
      <c r="TSU160" s="1385"/>
      <c r="TSV160" s="1385"/>
      <c r="TSW160" s="1385"/>
      <c r="TSX160" s="1385"/>
      <c r="TSY160" s="1385"/>
      <c r="TSZ160" s="1385"/>
      <c r="TTA160" s="1385"/>
      <c r="TTB160" s="1385"/>
      <c r="TTC160" s="1385"/>
      <c r="TTD160" s="1385"/>
      <c r="TTE160" s="1385"/>
      <c r="TTF160" s="1385"/>
      <c r="TTG160" s="1385"/>
      <c r="TTH160" s="1385"/>
      <c r="TTI160" s="1385"/>
      <c r="TTJ160" s="1385"/>
      <c r="TTK160" s="1385"/>
      <c r="TTL160" s="1385"/>
      <c r="TTM160" s="1385"/>
      <c r="TTN160" s="1385"/>
      <c r="TTO160" s="1385"/>
      <c r="TTP160" s="1385"/>
      <c r="TTQ160" s="1385"/>
      <c r="TTR160" s="1385"/>
      <c r="TTS160" s="1385"/>
      <c r="TTT160" s="1385"/>
      <c r="TTU160" s="1385"/>
      <c r="TTV160" s="1385"/>
      <c r="TTW160" s="1385"/>
      <c r="TTX160" s="1385"/>
      <c r="TTY160" s="1385"/>
      <c r="TTZ160" s="1385"/>
      <c r="TUA160" s="1385"/>
      <c r="TUB160" s="1385"/>
      <c r="TUC160" s="1385"/>
      <c r="TUD160" s="1385"/>
      <c r="TUE160" s="1385"/>
      <c r="TUF160" s="1385"/>
      <c r="TUG160" s="1385"/>
      <c r="TUH160" s="1385"/>
      <c r="TUI160" s="1385"/>
      <c r="TUJ160" s="1385"/>
      <c r="TUK160" s="1385"/>
      <c r="TUL160" s="1385"/>
      <c r="TUM160" s="1385"/>
      <c r="TUN160" s="1385"/>
      <c r="TUO160" s="1385"/>
      <c r="TUP160" s="1385"/>
      <c r="TUQ160" s="1385"/>
      <c r="TUR160" s="1385"/>
      <c r="TUS160" s="1385"/>
      <c r="TUT160" s="1385"/>
      <c r="TUU160" s="1385"/>
      <c r="TUV160" s="1385"/>
      <c r="TUW160" s="1385"/>
      <c r="TUX160" s="1385"/>
      <c r="TUY160" s="1385"/>
      <c r="TUZ160" s="1385"/>
      <c r="TVA160" s="1385"/>
      <c r="TVB160" s="1385"/>
      <c r="TVC160" s="1385"/>
      <c r="TVD160" s="1385"/>
      <c r="TVE160" s="1385"/>
      <c r="TVF160" s="1385"/>
      <c r="TVG160" s="1385"/>
      <c r="TVH160" s="1385"/>
      <c r="TVI160" s="1385"/>
      <c r="TVJ160" s="1385"/>
      <c r="TVK160" s="1385"/>
      <c r="TVL160" s="1385"/>
      <c r="TVM160" s="1385"/>
      <c r="TVN160" s="1385"/>
      <c r="TVO160" s="1385"/>
      <c r="TVP160" s="1385"/>
      <c r="TVQ160" s="1385"/>
      <c r="TVR160" s="1385"/>
      <c r="TVS160" s="1385"/>
      <c r="TVT160" s="1385"/>
      <c r="TVU160" s="1385"/>
      <c r="TVV160" s="1385"/>
      <c r="TVW160" s="1385"/>
      <c r="TVX160" s="1385"/>
      <c r="TVY160" s="1385"/>
      <c r="TVZ160" s="1385"/>
      <c r="TWA160" s="1385"/>
      <c r="TWB160" s="1385"/>
      <c r="TWC160" s="1385"/>
      <c r="TWD160" s="1385"/>
      <c r="TWE160" s="1385"/>
      <c r="TWF160" s="1385"/>
      <c r="TWG160" s="1385"/>
      <c r="TWH160" s="1385"/>
      <c r="TWI160" s="1385"/>
      <c r="TWJ160" s="1385"/>
      <c r="TWK160" s="1385"/>
      <c r="TWL160" s="1385"/>
      <c r="TWM160" s="1385"/>
      <c r="TWN160" s="1385"/>
      <c r="TWO160" s="1385"/>
      <c r="TWP160" s="1385"/>
      <c r="TWQ160" s="1385"/>
      <c r="TWR160" s="1385"/>
      <c r="TWS160" s="1385"/>
      <c r="TWT160" s="1385"/>
      <c r="TWU160" s="1385"/>
      <c r="TWV160" s="1385"/>
      <c r="TWW160" s="1385"/>
      <c r="TWX160" s="1385"/>
      <c r="TWY160" s="1385"/>
      <c r="TWZ160" s="1385"/>
      <c r="TXA160" s="1385"/>
      <c r="TXB160" s="1385"/>
      <c r="TXC160" s="1385"/>
      <c r="TXD160" s="1385"/>
      <c r="TXE160" s="1385"/>
      <c r="TXF160" s="1385"/>
      <c r="TXG160" s="1385"/>
      <c r="TXH160" s="1385"/>
      <c r="TXI160" s="1385"/>
      <c r="TXJ160" s="1385"/>
      <c r="TXK160" s="1385"/>
      <c r="TXL160" s="1385"/>
      <c r="TXM160" s="1385"/>
      <c r="TXN160" s="1385"/>
      <c r="TXO160" s="1385"/>
      <c r="TXP160" s="1385"/>
      <c r="TXQ160" s="1385"/>
      <c r="TXR160" s="1385"/>
      <c r="TXS160" s="1385"/>
      <c r="TXT160" s="1385"/>
      <c r="TXU160" s="1385"/>
      <c r="TXV160" s="1385"/>
      <c r="TXW160" s="1385"/>
      <c r="TXX160" s="1385"/>
      <c r="TXY160" s="1385"/>
      <c r="TXZ160" s="1385"/>
      <c r="TYA160" s="1385"/>
      <c r="TYB160" s="1385"/>
      <c r="TYC160" s="1385"/>
      <c r="TYD160" s="1385"/>
      <c r="TYE160" s="1385"/>
      <c r="TYF160" s="1385"/>
      <c r="TYG160" s="1385"/>
      <c r="TYH160" s="1385"/>
      <c r="TYI160" s="1385"/>
      <c r="TYJ160" s="1385"/>
      <c r="TYK160" s="1385"/>
      <c r="TYL160" s="1385"/>
      <c r="TYM160" s="1385"/>
      <c r="TYN160" s="1385"/>
      <c r="TYO160" s="1385"/>
      <c r="TYP160" s="1385"/>
      <c r="TYQ160" s="1385"/>
      <c r="TYR160" s="1385"/>
      <c r="TYS160" s="1385"/>
      <c r="TYT160" s="1385"/>
      <c r="TYU160" s="1385"/>
      <c r="TYV160" s="1385"/>
      <c r="TYW160" s="1385"/>
      <c r="TYX160" s="1385"/>
      <c r="TYY160" s="1385"/>
      <c r="TYZ160" s="1385"/>
      <c r="TZA160" s="1385"/>
      <c r="TZB160" s="1385"/>
      <c r="TZC160" s="1385"/>
      <c r="TZD160" s="1385"/>
      <c r="TZE160" s="1385"/>
      <c r="TZF160" s="1385"/>
      <c r="TZG160" s="1385"/>
      <c r="TZH160" s="1385"/>
      <c r="TZI160" s="1385"/>
      <c r="TZJ160" s="1385"/>
      <c r="TZK160" s="1385"/>
      <c r="TZL160" s="1385"/>
      <c r="TZM160" s="1385"/>
      <c r="TZN160" s="1385"/>
      <c r="TZO160" s="1385"/>
      <c r="TZP160" s="1385"/>
      <c r="TZQ160" s="1385"/>
      <c r="TZR160" s="1385"/>
      <c r="TZS160" s="1385"/>
      <c r="TZT160" s="1385"/>
      <c r="TZU160" s="1385"/>
      <c r="TZV160" s="1385"/>
      <c r="TZW160" s="1385"/>
      <c r="TZX160" s="1385"/>
      <c r="TZY160" s="1385"/>
      <c r="TZZ160" s="1385"/>
      <c r="UAA160" s="1385"/>
      <c r="UAB160" s="1385"/>
      <c r="UAC160" s="1385"/>
      <c r="UAD160" s="1385"/>
      <c r="UAE160" s="1385"/>
      <c r="UAF160" s="1385"/>
      <c r="UAG160" s="1385"/>
      <c r="UAH160" s="1385"/>
      <c r="UAI160" s="1385"/>
      <c r="UAJ160" s="1385"/>
      <c r="UAK160" s="1385"/>
      <c r="UAL160" s="1385"/>
      <c r="UAM160" s="1385"/>
      <c r="UAN160" s="1385"/>
      <c r="UAO160" s="1385"/>
      <c r="UAP160" s="1385"/>
      <c r="UAQ160" s="1385"/>
      <c r="UAR160" s="1385"/>
      <c r="UAS160" s="1385"/>
      <c r="UAT160" s="1385"/>
      <c r="UAU160" s="1385"/>
      <c r="UAV160" s="1385"/>
      <c r="UAW160" s="1385"/>
      <c r="UAX160" s="1385"/>
      <c r="UAY160" s="1385"/>
      <c r="UAZ160" s="1385"/>
      <c r="UBA160" s="1385"/>
      <c r="UBB160" s="1385"/>
      <c r="UBC160" s="1385"/>
      <c r="UBD160" s="1385"/>
      <c r="UBE160" s="1385"/>
      <c r="UBF160" s="1385"/>
      <c r="UBG160" s="1385"/>
      <c r="UBH160" s="1385"/>
      <c r="UBI160" s="1385"/>
      <c r="UBJ160" s="1385"/>
      <c r="UBK160" s="1385"/>
      <c r="UBL160" s="1385"/>
      <c r="UBM160" s="1385"/>
      <c r="UBN160" s="1385"/>
      <c r="UBO160" s="1385"/>
      <c r="UBP160" s="1385"/>
      <c r="UBQ160" s="1385"/>
      <c r="UBR160" s="1385"/>
      <c r="UBS160" s="1385"/>
      <c r="UBT160" s="1385"/>
      <c r="UBU160" s="1385"/>
      <c r="UBV160" s="1385"/>
      <c r="UBW160" s="1385"/>
      <c r="UBX160" s="1385"/>
      <c r="UBY160" s="1385"/>
      <c r="UBZ160" s="1385"/>
      <c r="UCA160" s="1385"/>
      <c r="UCB160" s="1385"/>
      <c r="UCC160" s="1385"/>
      <c r="UCD160" s="1385"/>
      <c r="UCE160" s="1385"/>
      <c r="UCF160" s="1385"/>
      <c r="UCG160" s="1385"/>
      <c r="UCH160" s="1385"/>
      <c r="UCI160" s="1385"/>
      <c r="UCJ160" s="1385"/>
      <c r="UCK160" s="1385"/>
      <c r="UCL160" s="1385"/>
      <c r="UCM160" s="1385"/>
      <c r="UCN160" s="1385"/>
      <c r="UCO160" s="1385"/>
      <c r="UCP160" s="1385"/>
      <c r="UCQ160" s="1385"/>
      <c r="UCR160" s="1385"/>
      <c r="UCS160" s="1385"/>
      <c r="UCT160" s="1385"/>
      <c r="UCU160" s="1385"/>
      <c r="UCV160" s="1385"/>
      <c r="UCW160" s="1385"/>
      <c r="UCX160" s="1385"/>
      <c r="UCY160" s="1385"/>
      <c r="UCZ160" s="1385"/>
      <c r="UDA160" s="1385"/>
      <c r="UDB160" s="1385"/>
      <c r="UDC160" s="1385"/>
      <c r="UDD160" s="1385"/>
      <c r="UDE160" s="1385"/>
      <c r="UDF160" s="1385"/>
      <c r="UDG160" s="1385"/>
      <c r="UDH160" s="1385"/>
      <c r="UDI160" s="1385"/>
      <c r="UDJ160" s="1385"/>
      <c r="UDK160" s="1385"/>
      <c r="UDL160" s="1385"/>
      <c r="UDM160" s="1385"/>
      <c r="UDN160" s="1385"/>
      <c r="UDO160" s="1385"/>
      <c r="UDP160" s="1385"/>
      <c r="UDQ160" s="1385"/>
      <c r="UDR160" s="1385"/>
      <c r="UDS160" s="1385"/>
      <c r="UDT160" s="1385"/>
      <c r="UDU160" s="1385"/>
      <c r="UDV160" s="1385"/>
      <c r="UDW160" s="1385"/>
      <c r="UDX160" s="1385"/>
      <c r="UDY160" s="1385"/>
      <c r="UDZ160" s="1385"/>
      <c r="UEA160" s="1385"/>
      <c r="UEB160" s="1385"/>
      <c r="UEC160" s="1385"/>
      <c r="UED160" s="1385"/>
      <c r="UEE160" s="1385"/>
      <c r="UEF160" s="1385"/>
      <c r="UEG160" s="1385"/>
      <c r="UEH160" s="1385"/>
      <c r="UEI160" s="1385"/>
      <c r="UEJ160" s="1385"/>
      <c r="UEK160" s="1385"/>
      <c r="UEL160" s="1385"/>
      <c r="UEM160" s="1385"/>
      <c r="UEN160" s="1385"/>
      <c r="UEO160" s="1385"/>
      <c r="UEP160" s="1385"/>
      <c r="UEQ160" s="1385"/>
      <c r="UER160" s="1385"/>
      <c r="UES160" s="1385"/>
      <c r="UET160" s="1385"/>
      <c r="UEU160" s="1385"/>
      <c r="UEV160" s="1385"/>
      <c r="UEW160" s="1385"/>
      <c r="UEX160" s="1385"/>
      <c r="UEY160" s="1385"/>
      <c r="UEZ160" s="1385"/>
      <c r="UFA160" s="1385"/>
      <c r="UFB160" s="1385"/>
      <c r="UFC160" s="1385"/>
      <c r="UFD160" s="1385"/>
      <c r="UFE160" s="1385"/>
      <c r="UFF160" s="1385"/>
      <c r="UFG160" s="1385"/>
      <c r="UFH160" s="1385"/>
      <c r="UFI160" s="1385"/>
      <c r="UFJ160" s="1385"/>
      <c r="UFK160" s="1385"/>
      <c r="UFL160" s="1385"/>
      <c r="UFM160" s="1385"/>
      <c r="UFN160" s="1385"/>
      <c r="UFO160" s="1385"/>
      <c r="UFP160" s="1385"/>
      <c r="UFQ160" s="1385"/>
      <c r="UFR160" s="1385"/>
      <c r="UFS160" s="1385"/>
      <c r="UFT160" s="1385"/>
      <c r="UFU160" s="1385"/>
      <c r="UFV160" s="1385"/>
      <c r="UFW160" s="1385"/>
      <c r="UFX160" s="1385"/>
      <c r="UFY160" s="1385"/>
      <c r="UFZ160" s="1385"/>
      <c r="UGA160" s="1385"/>
      <c r="UGB160" s="1385"/>
      <c r="UGC160" s="1385"/>
      <c r="UGD160" s="1385"/>
      <c r="UGE160" s="1385"/>
      <c r="UGF160" s="1385"/>
      <c r="UGG160" s="1385"/>
      <c r="UGH160" s="1385"/>
      <c r="UGI160" s="1385"/>
      <c r="UGJ160" s="1385"/>
      <c r="UGK160" s="1385"/>
      <c r="UGL160" s="1385"/>
      <c r="UGM160" s="1385"/>
      <c r="UGN160" s="1385"/>
      <c r="UGO160" s="1385"/>
      <c r="UGP160" s="1385"/>
      <c r="UGQ160" s="1385"/>
      <c r="UGR160" s="1385"/>
      <c r="UGS160" s="1385"/>
      <c r="UGT160" s="1385"/>
      <c r="UGU160" s="1385"/>
      <c r="UGV160" s="1385"/>
      <c r="UGW160" s="1385"/>
      <c r="UGX160" s="1385"/>
      <c r="UGY160" s="1385"/>
      <c r="UGZ160" s="1385"/>
      <c r="UHA160" s="1385"/>
      <c r="UHB160" s="1385"/>
      <c r="UHC160" s="1385"/>
      <c r="UHD160" s="1385"/>
      <c r="UHE160" s="1385"/>
      <c r="UHF160" s="1385"/>
      <c r="UHG160" s="1385"/>
      <c r="UHH160" s="1385"/>
      <c r="UHI160" s="1385"/>
      <c r="UHJ160" s="1385"/>
      <c r="UHK160" s="1385"/>
      <c r="UHL160" s="1385"/>
      <c r="UHM160" s="1385"/>
      <c r="UHN160" s="1385"/>
      <c r="UHO160" s="1385"/>
      <c r="UHP160" s="1385"/>
      <c r="UHQ160" s="1385"/>
      <c r="UHR160" s="1385"/>
      <c r="UHS160" s="1385"/>
      <c r="UHT160" s="1385"/>
      <c r="UHU160" s="1385"/>
      <c r="UHV160" s="1385"/>
      <c r="UHW160" s="1385"/>
      <c r="UHX160" s="1385"/>
      <c r="UHY160" s="1385"/>
      <c r="UHZ160" s="1385"/>
      <c r="UIA160" s="1385"/>
      <c r="UIB160" s="1385"/>
      <c r="UIC160" s="1385"/>
      <c r="UID160" s="1385"/>
      <c r="UIE160" s="1385"/>
      <c r="UIF160" s="1385"/>
      <c r="UIG160" s="1385"/>
      <c r="UIH160" s="1385"/>
      <c r="UII160" s="1385"/>
      <c r="UIJ160" s="1385"/>
      <c r="UIK160" s="1385"/>
      <c r="UIL160" s="1385"/>
      <c r="UIM160" s="1385"/>
      <c r="UIN160" s="1385"/>
      <c r="UIO160" s="1385"/>
      <c r="UIP160" s="1385"/>
      <c r="UIQ160" s="1385"/>
      <c r="UIR160" s="1385"/>
      <c r="UIS160" s="1385"/>
      <c r="UIT160" s="1385"/>
      <c r="UIU160" s="1385"/>
      <c r="UIV160" s="1385"/>
      <c r="UIW160" s="1385"/>
      <c r="UIX160" s="1385"/>
      <c r="UIY160" s="1385"/>
      <c r="UIZ160" s="1385"/>
      <c r="UJA160" s="1385"/>
      <c r="UJB160" s="1385"/>
      <c r="UJC160" s="1385"/>
      <c r="UJD160" s="1385"/>
      <c r="UJE160" s="1385"/>
      <c r="UJF160" s="1385"/>
      <c r="UJG160" s="1385"/>
      <c r="UJH160" s="1385"/>
      <c r="UJI160" s="1385"/>
      <c r="UJJ160" s="1385"/>
      <c r="UJK160" s="1385"/>
      <c r="UJL160" s="1385"/>
      <c r="UJM160" s="1385"/>
      <c r="UJN160" s="1385"/>
      <c r="UJO160" s="1385"/>
      <c r="UJP160" s="1385"/>
      <c r="UJQ160" s="1385"/>
      <c r="UJR160" s="1385"/>
      <c r="UJS160" s="1385"/>
      <c r="UJT160" s="1385"/>
      <c r="UJU160" s="1385"/>
      <c r="UJV160" s="1385"/>
      <c r="UJW160" s="1385"/>
      <c r="UJX160" s="1385"/>
      <c r="UJY160" s="1385"/>
      <c r="UJZ160" s="1385"/>
      <c r="UKA160" s="1385"/>
      <c r="UKB160" s="1385"/>
      <c r="UKC160" s="1385"/>
      <c r="UKD160" s="1385"/>
      <c r="UKE160" s="1385"/>
      <c r="UKF160" s="1385"/>
      <c r="UKG160" s="1385"/>
      <c r="UKH160" s="1385"/>
      <c r="UKI160" s="1385"/>
      <c r="UKJ160" s="1385"/>
      <c r="UKK160" s="1385"/>
      <c r="UKL160" s="1385"/>
      <c r="UKM160" s="1385"/>
      <c r="UKN160" s="1385"/>
      <c r="UKO160" s="1385"/>
      <c r="UKP160" s="1385"/>
      <c r="UKQ160" s="1385"/>
      <c r="UKR160" s="1385"/>
      <c r="UKS160" s="1385"/>
      <c r="UKT160" s="1385"/>
      <c r="UKU160" s="1385"/>
      <c r="UKV160" s="1385"/>
      <c r="UKW160" s="1385"/>
      <c r="UKX160" s="1385"/>
      <c r="UKY160" s="1385"/>
      <c r="UKZ160" s="1385"/>
      <c r="ULA160" s="1385"/>
      <c r="ULB160" s="1385"/>
      <c r="ULC160" s="1385"/>
      <c r="ULD160" s="1385"/>
      <c r="ULE160" s="1385"/>
      <c r="ULF160" s="1385"/>
      <c r="ULG160" s="1385"/>
      <c r="ULH160" s="1385"/>
      <c r="ULI160" s="1385"/>
      <c r="ULJ160" s="1385"/>
      <c r="ULK160" s="1385"/>
      <c r="ULL160" s="1385"/>
      <c r="ULM160" s="1385"/>
      <c r="ULN160" s="1385"/>
      <c r="ULO160" s="1385"/>
      <c r="ULP160" s="1385"/>
      <c r="ULQ160" s="1385"/>
      <c r="ULR160" s="1385"/>
      <c r="ULS160" s="1385"/>
      <c r="ULT160" s="1385"/>
      <c r="ULU160" s="1385"/>
      <c r="ULV160" s="1385"/>
      <c r="ULW160" s="1385"/>
      <c r="ULX160" s="1385"/>
      <c r="ULY160" s="1385"/>
      <c r="ULZ160" s="1385"/>
      <c r="UMA160" s="1385"/>
      <c r="UMB160" s="1385"/>
      <c r="UMC160" s="1385"/>
      <c r="UMD160" s="1385"/>
      <c r="UME160" s="1385"/>
      <c r="UMF160" s="1385"/>
      <c r="UMG160" s="1385"/>
      <c r="UMH160" s="1385"/>
      <c r="UMI160" s="1385"/>
      <c r="UMJ160" s="1385"/>
      <c r="UMK160" s="1385"/>
      <c r="UML160" s="1385"/>
      <c r="UMM160" s="1385"/>
      <c r="UMN160" s="1385"/>
      <c r="UMO160" s="1385"/>
      <c r="UMP160" s="1385"/>
      <c r="UMQ160" s="1385"/>
      <c r="UMR160" s="1385"/>
      <c r="UMS160" s="1385"/>
      <c r="UMT160" s="1385"/>
      <c r="UMU160" s="1385"/>
      <c r="UMV160" s="1385"/>
      <c r="UMW160" s="1385"/>
      <c r="UMX160" s="1385"/>
      <c r="UMY160" s="1385"/>
      <c r="UMZ160" s="1385"/>
      <c r="UNA160" s="1385"/>
      <c r="UNB160" s="1385"/>
      <c r="UNC160" s="1385"/>
      <c r="UND160" s="1385"/>
      <c r="UNE160" s="1385"/>
      <c r="UNF160" s="1385"/>
      <c r="UNG160" s="1385"/>
      <c r="UNH160" s="1385"/>
      <c r="UNI160" s="1385"/>
      <c r="UNJ160" s="1385"/>
      <c r="UNK160" s="1385"/>
      <c r="UNL160" s="1385"/>
      <c r="UNM160" s="1385"/>
      <c r="UNN160" s="1385"/>
      <c r="UNO160" s="1385"/>
      <c r="UNP160" s="1385"/>
      <c r="UNQ160" s="1385"/>
      <c r="UNR160" s="1385"/>
      <c r="UNS160" s="1385"/>
      <c r="UNT160" s="1385"/>
      <c r="UNU160" s="1385"/>
      <c r="UNV160" s="1385"/>
      <c r="UNW160" s="1385"/>
      <c r="UNX160" s="1385"/>
      <c r="UNY160" s="1385"/>
      <c r="UNZ160" s="1385"/>
      <c r="UOA160" s="1385"/>
      <c r="UOB160" s="1385"/>
      <c r="UOC160" s="1385"/>
      <c r="UOD160" s="1385"/>
      <c r="UOE160" s="1385"/>
      <c r="UOF160" s="1385"/>
      <c r="UOG160" s="1385"/>
      <c r="UOH160" s="1385"/>
      <c r="UOI160" s="1385"/>
      <c r="UOJ160" s="1385"/>
      <c r="UOK160" s="1385"/>
      <c r="UOL160" s="1385"/>
      <c r="UOM160" s="1385"/>
      <c r="UON160" s="1385"/>
      <c r="UOO160" s="1385"/>
      <c r="UOP160" s="1385"/>
      <c r="UOQ160" s="1385"/>
      <c r="UOR160" s="1385"/>
      <c r="UOS160" s="1385"/>
      <c r="UOT160" s="1385"/>
      <c r="UOU160" s="1385"/>
      <c r="UOV160" s="1385"/>
      <c r="UOW160" s="1385"/>
      <c r="UOX160" s="1385"/>
      <c r="UOY160" s="1385"/>
      <c r="UOZ160" s="1385"/>
      <c r="UPA160" s="1385"/>
      <c r="UPB160" s="1385"/>
      <c r="UPC160" s="1385"/>
      <c r="UPD160" s="1385"/>
      <c r="UPE160" s="1385"/>
      <c r="UPF160" s="1385"/>
      <c r="UPG160" s="1385"/>
      <c r="UPH160" s="1385"/>
      <c r="UPI160" s="1385"/>
      <c r="UPJ160" s="1385"/>
      <c r="UPK160" s="1385"/>
      <c r="UPL160" s="1385"/>
      <c r="UPM160" s="1385"/>
      <c r="UPN160" s="1385"/>
      <c r="UPO160" s="1385"/>
      <c r="UPP160" s="1385"/>
      <c r="UPQ160" s="1385"/>
      <c r="UPR160" s="1385"/>
      <c r="UPS160" s="1385"/>
      <c r="UPT160" s="1385"/>
      <c r="UPU160" s="1385"/>
      <c r="UPV160" s="1385"/>
      <c r="UPW160" s="1385"/>
      <c r="UPX160" s="1385"/>
      <c r="UPY160" s="1385"/>
      <c r="UPZ160" s="1385"/>
      <c r="UQA160" s="1385"/>
      <c r="UQB160" s="1385"/>
      <c r="UQC160" s="1385"/>
      <c r="UQD160" s="1385"/>
      <c r="UQE160" s="1385"/>
      <c r="UQF160" s="1385"/>
      <c r="UQG160" s="1385"/>
      <c r="UQH160" s="1385"/>
      <c r="UQI160" s="1385"/>
      <c r="UQJ160" s="1385"/>
      <c r="UQK160" s="1385"/>
      <c r="UQL160" s="1385"/>
      <c r="UQM160" s="1385"/>
      <c r="UQN160" s="1385"/>
      <c r="UQO160" s="1385"/>
      <c r="UQP160" s="1385"/>
      <c r="UQQ160" s="1385"/>
      <c r="UQR160" s="1385"/>
      <c r="UQS160" s="1385"/>
      <c r="UQT160" s="1385"/>
      <c r="UQU160" s="1385"/>
      <c r="UQV160" s="1385"/>
      <c r="UQW160" s="1385"/>
      <c r="UQX160" s="1385"/>
      <c r="UQY160" s="1385"/>
      <c r="UQZ160" s="1385"/>
      <c r="URA160" s="1385"/>
      <c r="URB160" s="1385"/>
      <c r="URC160" s="1385"/>
      <c r="URD160" s="1385"/>
      <c r="URE160" s="1385"/>
      <c r="URF160" s="1385"/>
      <c r="URG160" s="1385"/>
      <c r="URH160" s="1385"/>
      <c r="URI160" s="1385"/>
      <c r="URJ160" s="1385"/>
      <c r="URK160" s="1385"/>
      <c r="URL160" s="1385"/>
      <c r="URM160" s="1385"/>
      <c r="URN160" s="1385"/>
      <c r="URO160" s="1385"/>
      <c r="URP160" s="1385"/>
      <c r="URQ160" s="1385"/>
      <c r="URR160" s="1385"/>
      <c r="URS160" s="1385"/>
      <c r="URT160" s="1385"/>
      <c r="URU160" s="1385"/>
      <c r="URV160" s="1385"/>
      <c r="URW160" s="1385"/>
      <c r="URX160" s="1385"/>
      <c r="URY160" s="1385"/>
      <c r="URZ160" s="1385"/>
      <c r="USA160" s="1385"/>
      <c r="USB160" s="1385"/>
      <c r="USC160" s="1385"/>
      <c r="USD160" s="1385"/>
      <c r="USE160" s="1385"/>
      <c r="USF160" s="1385"/>
      <c r="USG160" s="1385"/>
      <c r="USH160" s="1385"/>
      <c r="USI160" s="1385"/>
      <c r="USJ160" s="1385"/>
      <c r="USK160" s="1385"/>
      <c r="USL160" s="1385"/>
      <c r="USM160" s="1385"/>
      <c r="USN160" s="1385"/>
      <c r="USO160" s="1385"/>
      <c r="USP160" s="1385"/>
      <c r="USQ160" s="1385"/>
      <c r="USR160" s="1385"/>
      <c r="USS160" s="1385"/>
      <c r="UST160" s="1385"/>
      <c r="USU160" s="1385"/>
      <c r="USV160" s="1385"/>
      <c r="USW160" s="1385"/>
      <c r="USX160" s="1385"/>
      <c r="USY160" s="1385"/>
      <c r="USZ160" s="1385"/>
      <c r="UTA160" s="1385"/>
      <c r="UTB160" s="1385"/>
      <c r="UTC160" s="1385"/>
      <c r="UTD160" s="1385"/>
      <c r="UTE160" s="1385"/>
      <c r="UTF160" s="1385"/>
      <c r="UTG160" s="1385"/>
      <c r="UTH160" s="1385"/>
      <c r="UTI160" s="1385"/>
      <c r="UTJ160" s="1385"/>
      <c r="UTK160" s="1385"/>
      <c r="UTL160" s="1385"/>
      <c r="UTM160" s="1385"/>
      <c r="UTN160" s="1385"/>
      <c r="UTO160" s="1385"/>
      <c r="UTP160" s="1385"/>
      <c r="UTQ160" s="1385"/>
      <c r="UTR160" s="1385"/>
      <c r="UTS160" s="1385"/>
      <c r="UTT160" s="1385"/>
      <c r="UTU160" s="1385"/>
      <c r="UTV160" s="1385"/>
      <c r="UTW160" s="1385"/>
      <c r="UTX160" s="1385"/>
      <c r="UTY160" s="1385"/>
      <c r="UTZ160" s="1385"/>
      <c r="UUA160" s="1385"/>
      <c r="UUB160" s="1385"/>
      <c r="UUC160" s="1385"/>
      <c r="UUD160" s="1385"/>
      <c r="UUE160" s="1385"/>
      <c r="UUF160" s="1385"/>
      <c r="UUG160" s="1385"/>
      <c r="UUH160" s="1385"/>
      <c r="UUI160" s="1385"/>
      <c r="UUJ160" s="1385"/>
      <c r="UUK160" s="1385"/>
      <c r="UUL160" s="1385"/>
      <c r="UUM160" s="1385"/>
      <c r="UUN160" s="1385"/>
      <c r="UUO160" s="1385"/>
      <c r="UUP160" s="1385"/>
      <c r="UUQ160" s="1385"/>
      <c r="UUR160" s="1385"/>
      <c r="UUS160" s="1385"/>
      <c r="UUT160" s="1385"/>
      <c r="UUU160" s="1385"/>
      <c r="UUV160" s="1385"/>
      <c r="UUW160" s="1385"/>
      <c r="UUX160" s="1385"/>
      <c r="UUY160" s="1385"/>
      <c r="UUZ160" s="1385"/>
      <c r="UVA160" s="1385"/>
      <c r="UVB160" s="1385"/>
      <c r="UVC160" s="1385"/>
      <c r="UVD160" s="1385"/>
      <c r="UVE160" s="1385"/>
      <c r="UVF160" s="1385"/>
      <c r="UVG160" s="1385"/>
      <c r="UVH160" s="1385"/>
      <c r="UVI160" s="1385"/>
      <c r="UVJ160" s="1385"/>
      <c r="UVK160" s="1385"/>
      <c r="UVL160" s="1385"/>
      <c r="UVM160" s="1385"/>
      <c r="UVN160" s="1385"/>
      <c r="UVO160" s="1385"/>
      <c r="UVP160" s="1385"/>
      <c r="UVQ160" s="1385"/>
      <c r="UVR160" s="1385"/>
      <c r="UVS160" s="1385"/>
      <c r="UVT160" s="1385"/>
      <c r="UVU160" s="1385"/>
      <c r="UVV160" s="1385"/>
      <c r="UVW160" s="1385"/>
      <c r="UVX160" s="1385"/>
      <c r="UVY160" s="1385"/>
      <c r="UVZ160" s="1385"/>
      <c r="UWA160" s="1385"/>
      <c r="UWB160" s="1385"/>
      <c r="UWC160" s="1385"/>
      <c r="UWD160" s="1385"/>
      <c r="UWE160" s="1385"/>
      <c r="UWF160" s="1385"/>
      <c r="UWG160" s="1385"/>
      <c r="UWH160" s="1385"/>
      <c r="UWI160" s="1385"/>
      <c r="UWJ160" s="1385"/>
      <c r="UWK160" s="1385"/>
      <c r="UWL160" s="1385"/>
      <c r="UWM160" s="1385"/>
      <c r="UWN160" s="1385"/>
      <c r="UWO160" s="1385"/>
      <c r="UWP160" s="1385"/>
      <c r="UWQ160" s="1385"/>
      <c r="UWR160" s="1385"/>
      <c r="UWS160" s="1385"/>
      <c r="UWT160" s="1385"/>
      <c r="UWU160" s="1385"/>
      <c r="UWV160" s="1385"/>
      <c r="UWW160" s="1385"/>
      <c r="UWX160" s="1385"/>
      <c r="UWY160" s="1385"/>
      <c r="UWZ160" s="1385"/>
      <c r="UXA160" s="1385"/>
      <c r="UXB160" s="1385"/>
      <c r="UXC160" s="1385"/>
      <c r="UXD160" s="1385"/>
      <c r="UXE160" s="1385"/>
      <c r="UXF160" s="1385"/>
      <c r="UXG160" s="1385"/>
      <c r="UXH160" s="1385"/>
      <c r="UXI160" s="1385"/>
      <c r="UXJ160" s="1385"/>
      <c r="UXK160" s="1385"/>
      <c r="UXL160" s="1385"/>
      <c r="UXM160" s="1385"/>
      <c r="UXN160" s="1385"/>
      <c r="UXO160" s="1385"/>
      <c r="UXP160" s="1385"/>
      <c r="UXQ160" s="1385"/>
      <c r="UXR160" s="1385"/>
      <c r="UXS160" s="1385"/>
      <c r="UXT160" s="1385"/>
      <c r="UXU160" s="1385"/>
      <c r="UXV160" s="1385"/>
      <c r="UXW160" s="1385"/>
      <c r="UXX160" s="1385"/>
      <c r="UXY160" s="1385"/>
      <c r="UXZ160" s="1385"/>
      <c r="UYA160" s="1385"/>
      <c r="UYB160" s="1385"/>
      <c r="UYC160" s="1385"/>
      <c r="UYD160" s="1385"/>
      <c r="UYE160" s="1385"/>
      <c r="UYF160" s="1385"/>
      <c r="UYG160" s="1385"/>
      <c r="UYH160" s="1385"/>
      <c r="UYI160" s="1385"/>
      <c r="UYJ160" s="1385"/>
      <c r="UYK160" s="1385"/>
      <c r="UYL160" s="1385"/>
      <c r="UYM160" s="1385"/>
      <c r="UYN160" s="1385"/>
      <c r="UYO160" s="1385"/>
      <c r="UYP160" s="1385"/>
      <c r="UYQ160" s="1385"/>
      <c r="UYR160" s="1385"/>
      <c r="UYS160" s="1385"/>
      <c r="UYT160" s="1385"/>
      <c r="UYU160" s="1385"/>
      <c r="UYV160" s="1385"/>
      <c r="UYW160" s="1385"/>
      <c r="UYX160" s="1385"/>
      <c r="UYY160" s="1385"/>
      <c r="UYZ160" s="1385"/>
      <c r="UZA160" s="1385"/>
      <c r="UZB160" s="1385"/>
      <c r="UZC160" s="1385"/>
      <c r="UZD160" s="1385"/>
      <c r="UZE160" s="1385"/>
      <c r="UZF160" s="1385"/>
      <c r="UZG160" s="1385"/>
      <c r="UZH160" s="1385"/>
      <c r="UZI160" s="1385"/>
      <c r="UZJ160" s="1385"/>
      <c r="UZK160" s="1385"/>
      <c r="UZL160" s="1385"/>
      <c r="UZM160" s="1385"/>
      <c r="UZN160" s="1385"/>
      <c r="UZO160" s="1385"/>
      <c r="UZP160" s="1385"/>
      <c r="UZQ160" s="1385"/>
      <c r="UZR160" s="1385"/>
      <c r="UZS160" s="1385"/>
      <c r="UZT160" s="1385"/>
      <c r="UZU160" s="1385"/>
      <c r="UZV160" s="1385"/>
      <c r="UZW160" s="1385"/>
      <c r="UZX160" s="1385"/>
      <c r="UZY160" s="1385"/>
      <c r="UZZ160" s="1385"/>
      <c r="VAA160" s="1385"/>
      <c r="VAB160" s="1385"/>
      <c r="VAC160" s="1385"/>
      <c r="VAD160" s="1385"/>
      <c r="VAE160" s="1385"/>
      <c r="VAF160" s="1385"/>
      <c r="VAG160" s="1385"/>
      <c r="VAH160" s="1385"/>
      <c r="VAI160" s="1385"/>
      <c r="VAJ160" s="1385"/>
      <c r="VAK160" s="1385"/>
      <c r="VAL160" s="1385"/>
      <c r="VAM160" s="1385"/>
      <c r="VAN160" s="1385"/>
      <c r="VAO160" s="1385"/>
      <c r="VAP160" s="1385"/>
      <c r="VAQ160" s="1385"/>
      <c r="VAR160" s="1385"/>
      <c r="VAS160" s="1385"/>
      <c r="VAT160" s="1385"/>
      <c r="VAU160" s="1385"/>
      <c r="VAV160" s="1385"/>
      <c r="VAW160" s="1385"/>
      <c r="VAX160" s="1385"/>
      <c r="VAY160" s="1385"/>
      <c r="VAZ160" s="1385"/>
      <c r="VBA160" s="1385"/>
      <c r="VBB160" s="1385"/>
      <c r="VBC160" s="1385"/>
      <c r="VBD160" s="1385"/>
      <c r="VBE160" s="1385"/>
      <c r="VBF160" s="1385"/>
      <c r="VBG160" s="1385"/>
      <c r="VBH160" s="1385"/>
      <c r="VBI160" s="1385"/>
      <c r="VBJ160" s="1385"/>
      <c r="VBK160" s="1385"/>
      <c r="VBL160" s="1385"/>
      <c r="VBM160" s="1385"/>
      <c r="VBN160" s="1385"/>
      <c r="VBO160" s="1385"/>
      <c r="VBP160" s="1385"/>
      <c r="VBQ160" s="1385"/>
      <c r="VBR160" s="1385"/>
      <c r="VBS160" s="1385"/>
      <c r="VBT160" s="1385"/>
      <c r="VBU160" s="1385"/>
      <c r="VBV160" s="1385"/>
      <c r="VBW160" s="1385"/>
      <c r="VBX160" s="1385"/>
      <c r="VBY160" s="1385"/>
      <c r="VBZ160" s="1385"/>
      <c r="VCA160" s="1385"/>
      <c r="VCB160" s="1385"/>
      <c r="VCC160" s="1385"/>
      <c r="VCD160" s="1385"/>
      <c r="VCE160" s="1385"/>
      <c r="VCF160" s="1385"/>
      <c r="VCG160" s="1385"/>
      <c r="VCH160" s="1385"/>
      <c r="VCI160" s="1385"/>
      <c r="VCJ160" s="1385"/>
      <c r="VCK160" s="1385"/>
      <c r="VCL160" s="1385"/>
      <c r="VCM160" s="1385"/>
      <c r="VCN160" s="1385"/>
      <c r="VCO160" s="1385"/>
      <c r="VCP160" s="1385"/>
      <c r="VCQ160" s="1385"/>
      <c r="VCR160" s="1385"/>
      <c r="VCS160" s="1385"/>
      <c r="VCT160" s="1385"/>
      <c r="VCU160" s="1385"/>
      <c r="VCV160" s="1385"/>
      <c r="VCW160" s="1385"/>
      <c r="VCX160" s="1385"/>
      <c r="VCY160" s="1385"/>
      <c r="VCZ160" s="1385"/>
      <c r="VDA160" s="1385"/>
      <c r="VDB160" s="1385"/>
      <c r="VDC160" s="1385"/>
      <c r="VDD160" s="1385"/>
      <c r="VDE160" s="1385"/>
      <c r="VDF160" s="1385"/>
      <c r="VDG160" s="1385"/>
      <c r="VDH160" s="1385"/>
      <c r="VDI160" s="1385"/>
      <c r="VDJ160" s="1385"/>
      <c r="VDK160" s="1385"/>
      <c r="VDL160" s="1385"/>
      <c r="VDM160" s="1385"/>
      <c r="VDN160" s="1385"/>
      <c r="VDO160" s="1385"/>
      <c r="VDP160" s="1385"/>
      <c r="VDQ160" s="1385"/>
      <c r="VDR160" s="1385"/>
      <c r="VDS160" s="1385"/>
      <c r="VDT160" s="1385"/>
      <c r="VDU160" s="1385"/>
      <c r="VDV160" s="1385"/>
      <c r="VDW160" s="1385"/>
      <c r="VDX160" s="1385"/>
      <c r="VDY160" s="1385"/>
      <c r="VDZ160" s="1385"/>
      <c r="VEA160" s="1385"/>
      <c r="VEB160" s="1385"/>
      <c r="VEC160" s="1385"/>
      <c r="VED160" s="1385"/>
      <c r="VEE160" s="1385"/>
      <c r="VEF160" s="1385"/>
      <c r="VEG160" s="1385"/>
      <c r="VEH160" s="1385"/>
      <c r="VEI160" s="1385"/>
      <c r="VEJ160" s="1385"/>
      <c r="VEK160" s="1385"/>
      <c r="VEL160" s="1385"/>
      <c r="VEM160" s="1385"/>
      <c r="VEN160" s="1385"/>
      <c r="VEO160" s="1385"/>
      <c r="VEP160" s="1385"/>
      <c r="VEQ160" s="1385"/>
      <c r="VER160" s="1385"/>
      <c r="VES160" s="1385"/>
      <c r="VET160" s="1385"/>
      <c r="VEU160" s="1385"/>
      <c r="VEV160" s="1385"/>
      <c r="VEW160" s="1385"/>
      <c r="VEX160" s="1385"/>
      <c r="VEY160" s="1385"/>
      <c r="VEZ160" s="1385"/>
      <c r="VFA160" s="1385"/>
      <c r="VFB160" s="1385"/>
      <c r="VFC160" s="1385"/>
      <c r="VFD160" s="1385"/>
      <c r="VFE160" s="1385"/>
      <c r="VFF160" s="1385"/>
      <c r="VFG160" s="1385"/>
      <c r="VFH160" s="1385"/>
      <c r="VFI160" s="1385"/>
      <c r="VFJ160" s="1385"/>
      <c r="VFK160" s="1385"/>
      <c r="VFL160" s="1385"/>
      <c r="VFM160" s="1385"/>
      <c r="VFN160" s="1385"/>
      <c r="VFO160" s="1385"/>
      <c r="VFP160" s="1385"/>
      <c r="VFQ160" s="1385"/>
      <c r="VFR160" s="1385"/>
      <c r="VFS160" s="1385"/>
      <c r="VFT160" s="1385"/>
      <c r="VFU160" s="1385"/>
      <c r="VFV160" s="1385"/>
      <c r="VFW160" s="1385"/>
      <c r="VFX160" s="1385"/>
      <c r="VFY160" s="1385"/>
      <c r="VFZ160" s="1385"/>
      <c r="VGA160" s="1385"/>
      <c r="VGB160" s="1385"/>
      <c r="VGC160" s="1385"/>
      <c r="VGD160" s="1385"/>
      <c r="VGE160" s="1385"/>
      <c r="VGF160" s="1385"/>
      <c r="VGG160" s="1385"/>
      <c r="VGH160" s="1385"/>
      <c r="VGI160" s="1385"/>
      <c r="VGJ160" s="1385"/>
      <c r="VGK160" s="1385"/>
      <c r="VGL160" s="1385"/>
      <c r="VGM160" s="1385"/>
      <c r="VGN160" s="1385"/>
      <c r="VGO160" s="1385"/>
      <c r="VGP160" s="1385"/>
      <c r="VGQ160" s="1385"/>
      <c r="VGR160" s="1385"/>
      <c r="VGS160" s="1385"/>
      <c r="VGT160" s="1385"/>
      <c r="VGU160" s="1385"/>
      <c r="VGV160" s="1385"/>
      <c r="VGW160" s="1385"/>
      <c r="VGX160" s="1385"/>
      <c r="VGY160" s="1385"/>
      <c r="VGZ160" s="1385"/>
      <c r="VHA160" s="1385"/>
      <c r="VHB160" s="1385"/>
      <c r="VHC160" s="1385"/>
      <c r="VHD160" s="1385"/>
      <c r="VHE160" s="1385"/>
      <c r="VHF160" s="1385"/>
      <c r="VHG160" s="1385"/>
      <c r="VHH160" s="1385"/>
      <c r="VHI160" s="1385"/>
      <c r="VHJ160" s="1385"/>
      <c r="VHK160" s="1385"/>
      <c r="VHL160" s="1385"/>
      <c r="VHM160" s="1385"/>
      <c r="VHN160" s="1385"/>
      <c r="VHO160" s="1385"/>
      <c r="VHP160" s="1385"/>
      <c r="VHQ160" s="1385"/>
      <c r="VHR160" s="1385"/>
      <c r="VHS160" s="1385"/>
      <c r="VHT160" s="1385"/>
      <c r="VHU160" s="1385"/>
      <c r="VHV160" s="1385"/>
      <c r="VHW160" s="1385"/>
      <c r="VHX160" s="1385"/>
      <c r="VHY160" s="1385"/>
      <c r="VHZ160" s="1385"/>
      <c r="VIA160" s="1385"/>
      <c r="VIB160" s="1385"/>
      <c r="VIC160" s="1385"/>
      <c r="VID160" s="1385"/>
      <c r="VIE160" s="1385"/>
      <c r="VIF160" s="1385"/>
      <c r="VIG160" s="1385"/>
      <c r="VIH160" s="1385"/>
      <c r="VII160" s="1385"/>
      <c r="VIJ160" s="1385"/>
      <c r="VIK160" s="1385"/>
      <c r="VIL160" s="1385"/>
      <c r="VIM160" s="1385"/>
      <c r="VIN160" s="1385"/>
      <c r="VIO160" s="1385"/>
      <c r="VIP160" s="1385"/>
      <c r="VIQ160" s="1385"/>
      <c r="VIR160" s="1385"/>
      <c r="VIS160" s="1385"/>
      <c r="VIT160" s="1385"/>
      <c r="VIU160" s="1385"/>
      <c r="VIV160" s="1385"/>
      <c r="VIW160" s="1385"/>
      <c r="VIX160" s="1385"/>
      <c r="VIY160" s="1385"/>
      <c r="VIZ160" s="1385"/>
      <c r="VJA160" s="1385"/>
      <c r="VJB160" s="1385"/>
      <c r="VJC160" s="1385"/>
      <c r="VJD160" s="1385"/>
      <c r="VJE160" s="1385"/>
      <c r="VJF160" s="1385"/>
      <c r="VJG160" s="1385"/>
      <c r="VJH160" s="1385"/>
      <c r="VJI160" s="1385"/>
      <c r="VJJ160" s="1385"/>
      <c r="VJK160" s="1385"/>
      <c r="VJL160" s="1385"/>
      <c r="VJM160" s="1385"/>
      <c r="VJN160" s="1385"/>
      <c r="VJO160" s="1385"/>
      <c r="VJP160" s="1385"/>
      <c r="VJQ160" s="1385"/>
      <c r="VJR160" s="1385"/>
      <c r="VJS160" s="1385"/>
      <c r="VJT160" s="1385"/>
      <c r="VJU160" s="1385"/>
      <c r="VJV160" s="1385"/>
      <c r="VJW160" s="1385"/>
      <c r="VJX160" s="1385"/>
      <c r="VJY160" s="1385"/>
      <c r="VJZ160" s="1385"/>
      <c r="VKA160" s="1385"/>
      <c r="VKB160" s="1385"/>
      <c r="VKC160" s="1385"/>
      <c r="VKD160" s="1385"/>
      <c r="VKE160" s="1385"/>
      <c r="VKF160" s="1385"/>
      <c r="VKG160" s="1385"/>
      <c r="VKH160" s="1385"/>
      <c r="VKI160" s="1385"/>
      <c r="VKJ160" s="1385"/>
      <c r="VKK160" s="1385"/>
      <c r="VKL160" s="1385"/>
      <c r="VKM160" s="1385"/>
      <c r="VKN160" s="1385"/>
      <c r="VKO160" s="1385"/>
      <c r="VKP160" s="1385"/>
      <c r="VKQ160" s="1385"/>
      <c r="VKR160" s="1385"/>
      <c r="VKS160" s="1385"/>
      <c r="VKT160" s="1385"/>
      <c r="VKU160" s="1385"/>
      <c r="VKV160" s="1385"/>
      <c r="VKW160" s="1385"/>
      <c r="VKX160" s="1385"/>
      <c r="VKY160" s="1385"/>
      <c r="VKZ160" s="1385"/>
      <c r="VLA160" s="1385"/>
      <c r="VLB160" s="1385"/>
      <c r="VLC160" s="1385"/>
      <c r="VLD160" s="1385"/>
      <c r="VLE160" s="1385"/>
      <c r="VLF160" s="1385"/>
      <c r="VLG160" s="1385"/>
      <c r="VLH160" s="1385"/>
      <c r="VLI160" s="1385"/>
      <c r="VLJ160" s="1385"/>
      <c r="VLK160" s="1385"/>
      <c r="VLL160" s="1385"/>
      <c r="VLM160" s="1385"/>
      <c r="VLN160" s="1385"/>
      <c r="VLO160" s="1385"/>
      <c r="VLP160" s="1385"/>
      <c r="VLQ160" s="1385"/>
      <c r="VLR160" s="1385"/>
      <c r="VLS160" s="1385"/>
      <c r="VLT160" s="1385"/>
      <c r="VLU160" s="1385"/>
      <c r="VLV160" s="1385"/>
      <c r="VLW160" s="1385"/>
      <c r="VLX160" s="1385"/>
      <c r="VLY160" s="1385"/>
      <c r="VLZ160" s="1385"/>
      <c r="VMA160" s="1385"/>
      <c r="VMB160" s="1385"/>
      <c r="VMC160" s="1385"/>
      <c r="VMD160" s="1385"/>
      <c r="VME160" s="1385"/>
      <c r="VMF160" s="1385"/>
      <c r="VMG160" s="1385"/>
      <c r="VMH160" s="1385"/>
      <c r="VMI160" s="1385"/>
      <c r="VMJ160" s="1385"/>
      <c r="VMK160" s="1385"/>
      <c r="VML160" s="1385"/>
      <c r="VMM160" s="1385"/>
      <c r="VMN160" s="1385"/>
      <c r="VMO160" s="1385"/>
      <c r="VMP160" s="1385"/>
      <c r="VMQ160" s="1385"/>
      <c r="VMR160" s="1385"/>
      <c r="VMS160" s="1385"/>
      <c r="VMT160" s="1385"/>
      <c r="VMU160" s="1385"/>
      <c r="VMV160" s="1385"/>
      <c r="VMW160" s="1385"/>
      <c r="VMX160" s="1385"/>
      <c r="VMY160" s="1385"/>
      <c r="VMZ160" s="1385"/>
      <c r="VNA160" s="1385"/>
      <c r="VNB160" s="1385"/>
      <c r="VNC160" s="1385"/>
      <c r="VND160" s="1385"/>
      <c r="VNE160" s="1385"/>
      <c r="VNF160" s="1385"/>
      <c r="VNG160" s="1385"/>
      <c r="VNH160" s="1385"/>
      <c r="VNI160" s="1385"/>
      <c r="VNJ160" s="1385"/>
      <c r="VNK160" s="1385"/>
      <c r="VNL160" s="1385"/>
      <c r="VNM160" s="1385"/>
      <c r="VNN160" s="1385"/>
      <c r="VNO160" s="1385"/>
      <c r="VNP160" s="1385"/>
      <c r="VNQ160" s="1385"/>
      <c r="VNR160" s="1385"/>
      <c r="VNS160" s="1385"/>
      <c r="VNT160" s="1385"/>
      <c r="VNU160" s="1385"/>
      <c r="VNV160" s="1385"/>
      <c r="VNW160" s="1385"/>
      <c r="VNX160" s="1385"/>
      <c r="VNY160" s="1385"/>
      <c r="VNZ160" s="1385"/>
      <c r="VOA160" s="1385"/>
      <c r="VOB160" s="1385"/>
      <c r="VOC160" s="1385"/>
      <c r="VOD160" s="1385"/>
      <c r="VOE160" s="1385"/>
      <c r="VOF160" s="1385"/>
      <c r="VOG160" s="1385"/>
      <c r="VOH160" s="1385"/>
      <c r="VOI160" s="1385"/>
      <c r="VOJ160" s="1385"/>
      <c r="VOK160" s="1385"/>
      <c r="VOL160" s="1385"/>
      <c r="VOM160" s="1385"/>
      <c r="VON160" s="1385"/>
      <c r="VOO160" s="1385"/>
      <c r="VOP160" s="1385"/>
      <c r="VOQ160" s="1385"/>
      <c r="VOR160" s="1385"/>
      <c r="VOS160" s="1385"/>
      <c r="VOT160" s="1385"/>
      <c r="VOU160" s="1385"/>
      <c r="VOV160" s="1385"/>
      <c r="VOW160" s="1385"/>
      <c r="VOX160" s="1385"/>
      <c r="VOY160" s="1385"/>
      <c r="VOZ160" s="1385"/>
      <c r="VPA160" s="1385"/>
      <c r="VPB160" s="1385"/>
      <c r="VPC160" s="1385"/>
      <c r="VPD160" s="1385"/>
      <c r="VPE160" s="1385"/>
      <c r="VPF160" s="1385"/>
      <c r="VPG160" s="1385"/>
      <c r="VPH160" s="1385"/>
      <c r="VPI160" s="1385"/>
      <c r="VPJ160" s="1385"/>
      <c r="VPK160" s="1385"/>
      <c r="VPL160" s="1385"/>
      <c r="VPM160" s="1385"/>
      <c r="VPN160" s="1385"/>
      <c r="VPO160" s="1385"/>
      <c r="VPP160" s="1385"/>
      <c r="VPQ160" s="1385"/>
      <c r="VPR160" s="1385"/>
      <c r="VPS160" s="1385"/>
      <c r="VPT160" s="1385"/>
      <c r="VPU160" s="1385"/>
      <c r="VPV160" s="1385"/>
      <c r="VPW160" s="1385"/>
      <c r="VPX160" s="1385"/>
      <c r="VPY160" s="1385"/>
      <c r="VPZ160" s="1385"/>
      <c r="VQA160" s="1385"/>
      <c r="VQB160" s="1385"/>
      <c r="VQC160" s="1385"/>
      <c r="VQD160" s="1385"/>
      <c r="VQE160" s="1385"/>
      <c r="VQF160" s="1385"/>
      <c r="VQG160" s="1385"/>
      <c r="VQH160" s="1385"/>
      <c r="VQI160" s="1385"/>
      <c r="VQJ160" s="1385"/>
      <c r="VQK160" s="1385"/>
      <c r="VQL160" s="1385"/>
      <c r="VQM160" s="1385"/>
      <c r="VQN160" s="1385"/>
      <c r="VQO160" s="1385"/>
      <c r="VQP160" s="1385"/>
      <c r="VQQ160" s="1385"/>
      <c r="VQR160" s="1385"/>
      <c r="VQS160" s="1385"/>
      <c r="VQT160" s="1385"/>
      <c r="VQU160" s="1385"/>
      <c r="VQV160" s="1385"/>
      <c r="VQW160" s="1385"/>
      <c r="VQX160" s="1385"/>
      <c r="VQY160" s="1385"/>
      <c r="VQZ160" s="1385"/>
      <c r="VRA160" s="1385"/>
      <c r="VRB160" s="1385"/>
      <c r="VRC160" s="1385"/>
      <c r="VRD160" s="1385"/>
      <c r="VRE160" s="1385"/>
      <c r="VRF160" s="1385"/>
      <c r="VRG160" s="1385"/>
      <c r="VRH160" s="1385"/>
      <c r="VRI160" s="1385"/>
      <c r="VRJ160" s="1385"/>
      <c r="VRK160" s="1385"/>
      <c r="VRL160" s="1385"/>
      <c r="VRM160" s="1385"/>
      <c r="VRN160" s="1385"/>
      <c r="VRO160" s="1385"/>
      <c r="VRP160" s="1385"/>
      <c r="VRQ160" s="1385"/>
      <c r="VRR160" s="1385"/>
      <c r="VRS160" s="1385"/>
      <c r="VRT160" s="1385"/>
      <c r="VRU160" s="1385"/>
      <c r="VRV160" s="1385"/>
      <c r="VRW160" s="1385"/>
      <c r="VRX160" s="1385"/>
      <c r="VRY160" s="1385"/>
      <c r="VRZ160" s="1385"/>
      <c r="VSA160" s="1385"/>
      <c r="VSB160" s="1385"/>
      <c r="VSC160" s="1385"/>
      <c r="VSD160" s="1385"/>
      <c r="VSE160" s="1385"/>
      <c r="VSF160" s="1385"/>
      <c r="VSG160" s="1385"/>
      <c r="VSH160" s="1385"/>
      <c r="VSI160" s="1385"/>
      <c r="VSJ160" s="1385"/>
      <c r="VSK160" s="1385"/>
      <c r="VSL160" s="1385"/>
      <c r="VSM160" s="1385"/>
      <c r="VSN160" s="1385"/>
      <c r="VSO160" s="1385"/>
      <c r="VSP160" s="1385"/>
      <c r="VSQ160" s="1385"/>
      <c r="VSR160" s="1385"/>
      <c r="VSS160" s="1385"/>
      <c r="VST160" s="1385"/>
      <c r="VSU160" s="1385"/>
      <c r="VSV160" s="1385"/>
      <c r="VSW160" s="1385"/>
      <c r="VSX160" s="1385"/>
      <c r="VSY160" s="1385"/>
      <c r="VSZ160" s="1385"/>
      <c r="VTA160" s="1385"/>
      <c r="VTB160" s="1385"/>
      <c r="VTC160" s="1385"/>
      <c r="VTD160" s="1385"/>
      <c r="VTE160" s="1385"/>
      <c r="VTF160" s="1385"/>
      <c r="VTG160" s="1385"/>
      <c r="VTH160" s="1385"/>
      <c r="VTI160" s="1385"/>
      <c r="VTJ160" s="1385"/>
      <c r="VTK160" s="1385"/>
      <c r="VTL160" s="1385"/>
      <c r="VTM160" s="1385"/>
      <c r="VTN160" s="1385"/>
      <c r="VTO160" s="1385"/>
      <c r="VTP160" s="1385"/>
      <c r="VTQ160" s="1385"/>
      <c r="VTR160" s="1385"/>
      <c r="VTS160" s="1385"/>
      <c r="VTT160" s="1385"/>
      <c r="VTU160" s="1385"/>
      <c r="VTV160" s="1385"/>
      <c r="VTW160" s="1385"/>
      <c r="VTX160" s="1385"/>
      <c r="VTY160" s="1385"/>
      <c r="VTZ160" s="1385"/>
      <c r="VUA160" s="1385"/>
      <c r="VUB160" s="1385"/>
      <c r="VUC160" s="1385"/>
      <c r="VUD160" s="1385"/>
      <c r="VUE160" s="1385"/>
      <c r="VUF160" s="1385"/>
      <c r="VUG160" s="1385"/>
      <c r="VUH160" s="1385"/>
      <c r="VUI160" s="1385"/>
      <c r="VUJ160" s="1385"/>
      <c r="VUK160" s="1385"/>
      <c r="VUL160" s="1385"/>
      <c r="VUM160" s="1385"/>
      <c r="VUN160" s="1385"/>
      <c r="VUO160" s="1385"/>
      <c r="VUP160" s="1385"/>
      <c r="VUQ160" s="1385"/>
      <c r="VUR160" s="1385"/>
      <c r="VUS160" s="1385"/>
      <c r="VUT160" s="1385"/>
      <c r="VUU160" s="1385"/>
      <c r="VUV160" s="1385"/>
      <c r="VUW160" s="1385"/>
      <c r="VUX160" s="1385"/>
      <c r="VUY160" s="1385"/>
      <c r="VUZ160" s="1385"/>
      <c r="VVA160" s="1385"/>
      <c r="VVB160" s="1385"/>
      <c r="VVC160" s="1385"/>
      <c r="VVD160" s="1385"/>
      <c r="VVE160" s="1385"/>
      <c r="VVF160" s="1385"/>
      <c r="VVG160" s="1385"/>
      <c r="VVH160" s="1385"/>
      <c r="VVI160" s="1385"/>
      <c r="VVJ160" s="1385"/>
      <c r="VVK160" s="1385"/>
      <c r="VVL160" s="1385"/>
      <c r="VVM160" s="1385"/>
      <c r="VVN160" s="1385"/>
      <c r="VVO160" s="1385"/>
      <c r="VVP160" s="1385"/>
      <c r="VVQ160" s="1385"/>
      <c r="VVR160" s="1385"/>
      <c r="VVS160" s="1385"/>
      <c r="VVT160" s="1385"/>
      <c r="VVU160" s="1385"/>
      <c r="VVV160" s="1385"/>
      <c r="VVW160" s="1385"/>
      <c r="VVX160" s="1385"/>
      <c r="VVY160" s="1385"/>
      <c r="VVZ160" s="1385"/>
      <c r="VWA160" s="1385"/>
      <c r="VWB160" s="1385"/>
      <c r="VWC160" s="1385"/>
      <c r="VWD160" s="1385"/>
      <c r="VWE160" s="1385"/>
      <c r="VWF160" s="1385"/>
      <c r="VWG160" s="1385"/>
      <c r="VWH160" s="1385"/>
      <c r="VWI160" s="1385"/>
      <c r="VWJ160" s="1385"/>
      <c r="VWK160" s="1385"/>
      <c r="VWL160" s="1385"/>
      <c r="VWM160" s="1385"/>
      <c r="VWN160" s="1385"/>
      <c r="VWO160" s="1385"/>
      <c r="VWP160" s="1385"/>
      <c r="VWQ160" s="1385"/>
      <c r="VWR160" s="1385"/>
      <c r="VWS160" s="1385"/>
      <c r="VWT160" s="1385"/>
      <c r="VWU160" s="1385"/>
      <c r="VWV160" s="1385"/>
      <c r="VWW160" s="1385"/>
      <c r="VWX160" s="1385"/>
      <c r="VWY160" s="1385"/>
      <c r="VWZ160" s="1385"/>
      <c r="VXA160" s="1385"/>
      <c r="VXB160" s="1385"/>
      <c r="VXC160" s="1385"/>
      <c r="VXD160" s="1385"/>
      <c r="VXE160" s="1385"/>
      <c r="VXF160" s="1385"/>
      <c r="VXG160" s="1385"/>
      <c r="VXH160" s="1385"/>
      <c r="VXI160" s="1385"/>
      <c r="VXJ160" s="1385"/>
      <c r="VXK160" s="1385"/>
      <c r="VXL160" s="1385"/>
      <c r="VXM160" s="1385"/>
      <c r="VXN160" s="1385"/>
      <c r="VXO160" s="1385"/>
      <c r="VXP160" s="1385"/>
      <c r="VXQ160" s="1385"/>
      <c r="VXR160" s="1385"/>
      <c r="VXS160" s="1385"/>
      <c r="VXT160" s="1385"/>
      <c r="VXU160" s="1385"/>
      <c r="VXV160" s="1385"/>
      <c r="VXW160" s="1385"/>
      <c r="VXX160" s="1385"/>
      <c r="VXY160" s="1385"/>
      <c r="VXZ160" s="1385"/>
      <c r="VYA160" s="1385"/>
      <c r="VYB160" s="1385"/>
      <c r="VYC160" s="1385"/>
      <c r="VYD160" s="1385"/>
      <c r="VYE160" s="1385"/>
      <c r="VYF160" s="1385"/>
      <c r="VYG160" s="1385"/>
      <c r="VYH160" s="1385"/>
      <c r="VYI160" s="1385"/>
      <c r="VYJ160" s="1385"/>
      <c r="VYK160" s="1385"/>
      <c r="VYL160" s="1385"/>
      <c r="VYM160" s="1385"/>
      <c r="VYN160" s="1385"/>
      <c r="VYO160" s="1385"/>
      <c r="VYP160" s="1385"/>
      <c r="VYQ160" s="1385"/>
      <c r="VYR160" s="1385"/>
      <c r="VYS160" s="1385"/>
      <c r="VYT160" s="1385"/>
      <c r="VYU160" s="1385"/>
      <c r="VYV160" s="1385"/>
      <c r="VYW160" s="1385"/>
      <c r="VYX160" s="1385"/>
      <c r="VYY160" s="1385"/>
      <c r="VYZ160" s="1385"/>
      <c r="VZA160" s="1385"/>
      <c r="VZB160" s="1385"/>
      <c r="VZC160" s="1385"/>
      <c r="VZD160" s="1385"/>
      <c r="VZE160" s="1385"/>
      <c r="VZF160" s="1385"/>
      <c r="VZG160" s="1385"/>
      <c r="VZH160" s="1385"/>
      <c r="VZI160" s="1385"/>
      <c r="VZJ160" s="1385"/>
      <c r="VZK160" s="1385"/>
      <c r="VZL160" s="1385"/>
      <c r="VZM160" s="1385"/>
      <c r="VZN160" s="1385"/>
      <c r="VZO160" s="1385"/>
      <c r="VZP160" s="1385"/>
      <c r="VZQ160" s="1385"/>
      <c r="VZR160" s="1385"/>
      <c r="VZS160" s="1385"/>
      <c r="VZT160" s="1385"/>
      <c r="VZU160" s="1385"/>
      <c r="VZV160" s="1385"/>
      <c r="VZW160" s="1385"/>
      <c r="VZX160" s="1385"/>
      <c r="VZY160" s="1385"/>
      <c r="VZZ160" s="1385"/>
      <c r="WAA160" s="1385"/>
      <c r="WAB160" s="1385"/>
      <c r="WAC160" s="1385"/>
      <c r="WAD160" s="1385"/>
      <c r="WAE160" s="1385"/>
      <c r="WAF160" s="1385"/>
      <c r="WAG160" s="1385"/>
      <c r="WAH160" s="1385"/>
      <c r="WAI160" s="1385"/>
      <c r="WAJ160" s="1385"/>
      <c r="WAK160" s="1385"/>
      <c r="WAL160" s="1385"/>
      <c r="WAM160" s="1385"/>
      <c r="WAN160" s="1385"/>
      <c r="WAO160" s="1385"/>
      <c r="WAP160" s="1385"/>
      <c r="WAQ160" s="1385"/>
      <c r="WAR160" s="1385"/>
      <c r="WAS160" s="1385"/>
      <c r="WAT160" s="1385"/>
      <c r="WAU160" s="1385"/>
      <c r="WAV160" s="1385"/>
      <c r="WAW160" s="1385"/>
      <c r="WAX160" s="1385"/>
      <c r="WAY160" s="1385"/>
      <c r="WAZ160" s="1385"/>
      <c r="WBA160" s="1385"/>
      <c r="WBB160" s="1385"/>
      <c r="WBC160" s="1385"/>
      <c r="WBD160" s="1385"/>
      <c r="WBE160" s="1385"/>
      <c r="WBF160" s="1385"/>
      <c r="WBG160" s="1385"/>
      <c r="WBH160" s="1385"/>
      <c r="WBI160" s="1385"/>
      <c r="WBJ160" s="1385"/>
      <c r="WBK160" s="1385"/>
      <c r="WBL160" s="1385"/>
      <c r="WBM160" s="1385"/>
      <c r="WBN160" s="1385"/>
      <c r="WBO160" s="1385"/>
      <c r="WBP160" s="1385"/>
      <c r="WBQ160" s="1385"/>
      <c r="WBR160" s="1385"/>
      <c r="WBS160" s="1385"/>
      <c r="WBT160" s="1385"/>
      <c r="WBU160" s="1385"/>
      <c r="WBV160" s="1385"/>
      <c r="WBW160" s="1385"/>
      <c r="WBX160" s="1385"/>
      <c r="WBY160" s="1385"/>
      <c r="WBZ160" s="1385"/>
      <c r="WCA160" s="1385"/>
      <c r="WCB160" s="1385"/>
      <c r="WCC160" s="1385"/>
      <c r="WCD160" s="1385"/>
      <c r="WCE160" s="1385"/>
      <c r="WCF160" s="1385"/>
      <c r="WCG160" s="1385"/>
      <c r="WCH160" s="1385"/>
      <c r="WCI160" s="1385"/>
      <c r="WCJ160" s="1385"/>
      <c r="WCK160" s="1385"/>
      <c r="WCL160" s="1385"/>
      <c r="WCM160" s="1385"/>
      <c r="WCN160" s="1385"/>
      <c r="WCO160" s="1385"/>
      <c r="WCP160" s="1385"/>
      <c r="WCQ160" s="1385"/>
      <c r="WCR160" s="1385"/>
      <c r="WCS160" s="1385"/>
      <c r="WCT160" s="1385"/>
      <c r="WCU160" s="1385"/>
      <c r="WCV160" s="1385"/>
      <c r="WCW160" s="1385"/>
      <c r="WCX160" s="1385"/>
      <c r="WCY160" s="1385"/>
      <c r="WCZ160" s="1385"/>
      <c r="WDA160" s="1385"/>
      <c r="WDB160" s="1385"/>
      <c r="WDC160" s="1385"/>
      <c r="WDD160" s="1385"/>
      <c r="WDE160" s="1385"/>
      <c r="WDF160" s="1385"/>
      <c r="WDG160" s="1385"/>
      <c r="WDH160" s="1385"/>
      <c r="WDI160" s="1385"/>
      <c r="WDJ160" s="1385"/>
      <c r="WDK160" s="1385"/>
      <c r="WDL160" s="1385"/>
      <c r="WDM160" s="1385"/>
      <c r="WDN160" s="1385"/>
      <c r="WDO160" s="1385"/>
      <c r="WDP160" s="1385"/>
      <c r="WDQ160" s="1385"/>
      <c r="WDR160" s="1385"/>
      <c r="WDS160" s="1385"/>
      <c r="WDT160" s="1385"/>
      <c r="WDU160" s="1385"/>
      <c r="WDV160" s="1385"/>
      <c r="WDW160" s="1385"/>
      <c r="WDX160" s="1385"/>
      <c r="WDY160" s="1385"/>
      <c r="WDZ160" s="1385"/>
      <c r="WEA160" s="1385"/>
      <c r="WEB160" s="1385"/>
      <c r="WEC160" s="1385"/>
      <c r="WED160" s="1385"/>
      <c r="WEE160" s="1385"/>
      <c r="WEF160" s="1385"/>
      <c r="WEG160" s="1385"/>
      <c r="WEH160" s="1385"/>
      <c r="WEI160" s="1385"/>
      <c r="WEJ160" s="1385"/>
      <c r="WEK160" s="1385"/>
      <c r="WEL160" s="1385"/>
      <c r="WEM160" s="1385"/>
      <c r="WEN160" s="1385"/>
      <c r="WEO160" s="1385"/>
      <c r="WEP160" s="1385"/>
      <c r="WEQ160" s="1385"/>
      <c r="WER160" s="1385"/>
      <c r="WES160" s="1385"/>
      <c r="WET160" s="1385"/>
      <c r="WEU160" s="1385"/>
      <c r="WEV160" s="1385"/>
      <c r="WEW160" s="1385"/>
      <c r="WEX160" s="1385"/>
      <c r="WEY160" s="1385"/>
      <c r="WEZ160" s="1385"/>
      <c r="WFA160" s="1385"/>
      <c r="WFB160" s="1385"/>
      <c r="WFC160" s="1385"/>
      <c r="WFD160" s="1385"/>
      <c r="WFE160" s="1385"/>
      <c r="WFF160" s="1385"/>
      <c r="WFG160" s="1385"/>
      <c r="WFH160" s="1385"/>
      <c r="WFI160" s="1385"/>
      <c r="WFJ160" s="1385"/>
      <c r="WFK160" s="1385"/>
      <c r="WFL160" s="1385"/>
      <c r="WFM160" s="1385"/>
      <c r="WFN160" s="1385"/>
      <c r="WFO160" s="1385"/>
      <c r="WFP160" s="1385"/>
      <c r="WFQ160" s="1385"/>
      <c r="WFR160" s="1385"/>
      <c r="WFS160" s="1385"/>
      <c r="WFT160" s="1385"/>
      <c r="WFU160" s="1385"/>
      <c r="WFV160" s="1385"/>
      <c r="WFW160" s="1385"/>
      <c r="WFX160" s="1385"/>
      <c r="WFY160" s="1385"/>
      <c r="WFZ160" s="1385"/>
      <c r="WGA160" s="1385"/>
      <c r="WGB160" s="1385"/>
      <c r="WGC160" s="1385"/>
      <c r="WGD160" s="1385"/>
      <c r="WGE160" s="1385"/>
      <c r="WGF160" s="1385"/>
      <c r="WGG160" s="1385"/>
      <c r="WGH160" s="1385"/>
      <c r="WGI160" s="1385"/>
      <c r="WGJ160" s="1385"/>
      <c r="WGK160" s="1385"/>
      <c r="WGL160" s="1385"/>
      <c r="WGM160" s="1385"/>
      <c r="WGN160" s="1385"/>
      <c r="WGO160" s="1385"/>
      <c r="WGP160" s="1385"/>
      <c r="WGQ160" s="1385"/>
      <c r="WGR160" s="1385"/>
      <c r="WGS160" s="1385"/>
      <c r="WGT160" s="1385"/>
      <c r="WGU160" s="1385"/>
      <c r="WGV160" s="1385"/>
      <c r="WGW160" s="1385"/>
      <c r="WGX160" s="1385"/>
      <c r="WGY160" s="1385"/>
      <c r="WGZ160" s="1385"/>
      <c r="WHA160" s="1385"/>
      <c r="WHB160" s="1385"/>
      <c r="WHC160" s="1385"/>
      <c r="WHD160" s="1385"/>
      <c r="WHE160" s="1385"/>
      <c r="WHF160" s="1385"/>
      <c r="WHG160" s="1385"/>
      <c r="WHH160" s="1385"/>
      <c r="WHI160" s="1385"/>
      <c r="WHJ160" s="1385"/>
      <c r="WHK160" s="1385"/>
      <c r="WHL160" s="1385"/>
      <c r="WHM160" s="1385"/>
      <c r="WHN160" s="1385"/>
      <c r="WHO160" s="1385"/>
      <c r="WHP160" s="1385"/>
      <c r="WHQ160" s="1385"/>
      <c r="WHR160" s="1385"/>
      <c r="WHS160" s="1385"/>
      <c r="WHT160" s="1385"/>
      <c r="WHU160" s="1385"/>
      <c r="WHV160" s="1385"/>
      <c r="WHW160" s="1385"/>
      <c r="WHX160" s="1385"/>
      <c r="WHY160" s="1385"/>
      <c r="WHZ160" s="1385"/>
      <c r="WIA160" s="1385"/>
      <c r="WIB160" s="1385"/>
      <c r="WIC160" s="1385"/>
      <c r="WID160" s="1385"/>
      <c r="WIE160" s="1385"/>
      <c r="WIF160" s="1385"/>
      <c r="WIG160" s="1385"/>
      <c r="WIH160" s="1385"/>
      <c r="WII160" s="1385"/>
      <c r="WIJ160" s="1385"/>
      <c r="WIK160" s="1385"/>
      <c r="WIL160" s="1385"/>
      <c r="WIM160" s="1385"/>
      <c r="WIN160" s="1385"/>
      <c r="WIO160" s="1385"/>
      <c r="WIP160" s="1385"/>
      <c r="WIQ160" s="1385"/>
      <c r="WIR160" s="1385"/>
      <c r="WIS160" s="1385"/>
      <c r="WIT160" s="1385"/>
      <c r="WIU160" s="1385"/>
      <c r="WIV160" s="1385"/>
      <c r="WIW160" s="1385"/>
      <c r="WIX160" s="1385"/>
      <c r="WIY160" s="1385"/>
      <c r="WIZ160" s="1385"/>
      <c r="WJA160" s="1385"/>
      <c r="WJB160" s="1385"/>
      <c r="WJC160" s="1385"/>
      <c r="WJD160" s="1385"/>
      <c r="WJE160" s="1385"/>
      <c r="WJF160" s="1385"/>
      <c r="WJG160" s="1385"/>
      <c r="WJH160" s="1385"/>
      <c r="WJI160" s="1385"/>
      <c r="WJJ160" s="1385"/>
      <c r="WJK160" s="1385"/>
      <c r="WJL160" s="1385"/>
      <c r="WJM160" s="1385"/>
      <c r="WJN160" s="1385"/>
      <c r="WJO160" s="1385"/>
      <c r="WJP160" s="1385"/>
      <c r="WJQ160" s="1385"/>
      <c r="WJR160" s="1385"/>
      <c r="WJS160" s="1385"/>
      <c r="WJT160" s="1385"/>
      <c r="WJU160" s="1385"/>
      <c r="WJV160" s="1385"/>
      <c r="WJW160" s="1385"/>
      <c r="WJX160" s="1385"/>
      <c r="WJY160" s="1385"/>
      <c r="WJZ160" s="1385"/>
      <c r="WKA160" s="1385"/>
      <c r="WKB160" s="1385"/>
      <c r="WKC160" s="1385"/>
      <c r="WKD160" s="1385"/>
      <c r="WKE160" s="1385"/>
      <c r="WKF160" s="1385"/>
      <c r="WKG160" s="1385"/>
      <c r="WKH160" s="1385"/>
      <c r="WKI160" s="1385"/>
      <c r="WKJ160" s="1385"/>
      <c r="WKK160" s="1385"/>
      <c r="WKL160" s="1385"/>
      <c r="WKM160" s="1385"/>
      <c r="WKN160" s="1385"/>
      <c r="WKO160" s="1385"/>
      <c r="WKP160" s="1385"/>
      <c r="WKQ160" s="1385"/>
      <c r="WKR160" s="1385"/>
      <c r="WKS160" s="1385"/>
      <c r="WKT160" s="1385"/>
      <c r="WKU160" s="1385"/>
      <c r="WKV160" s="1385"/>
      <c r="WKW160" s="1385"/>
      <c r="WKX160" s="1385"/>
      <c r="WKY160" s="1385"/>
      <c r="WKZ160" s="1385"/>
      <c r="WLA160" s="1385"/>
      <c r="WLB160" s="1385"/>
      <c r="WLC160" s="1385"/>
      <c r="WLD160" s="1385"/>
      <c r="WLE160" s="1385"/>
      <c r="WLF160" s="1385"/>
      <c r="WLG160" s="1385"/>
      <c r="WLH160" s="1385"/>
      <c r="WLI160" s="1385"/>
      <c r="WLJ160" s="1385"/>
      <c r="WLK160" s="1385"/>
      <c r="WLL160" s="1385"/>
      <c r="WLM160" s="1385"/>
      <c r="WLN160" s="1385"/>
      <c r="WLO160" s="1385"/>
      <c r="WLP160" s="1385"/>
      <c r="WLQ160" s="1385"/>
      <c r="WLR160" s="1385"/>
      <c r="WLS160" s="1385"/>
      <c r="WLT160" s="1385"/>
      <c r="WLU160" s="1385"/>
      <c r="WLV160" s="1385"/>
      <c r="WLW160" s="1385"/>
      <c r="WLX160" s="1385"/>
      <c r="WLY160" s="1385"/>
      <c r="WLZ160" s="1385"/>
      <c r="WMA160" s="1385"/>
      <c r="WMB160" s="1385"/>
      <c r="WMC160" s="1385"/>
      <c r="WMD160" s="1385"/>
      <c r="WME160" s="1385"/>
      <c r="WMF160" s="1385"/>
      <c r="WMG160" s="1385"/>
      <c r="WMH160" s="1385"/>
      <c r="WMI160" s="1385"/>
      <c r="WMJ160" s="1385"/>
      <c r="WMK160" s="1385"/>
      <c r="WML160" s="1385"/>
      <c r="WMM160" s="1385"/>
      <c r="WMN160" s="1385"/>
      <c r="WMO160" s="1385"/>
      <c r="WMP160" s="1385"/>
      <c r="WMQ160" s="1385"/>
      <c r="WMR160" s="1385"/>
      <c r="WMS160" s="1385"/>
      <c r="WMT160" s="1385"/>
      <c r="WMU160" s="1385"/>
      <c r="WMV160" s="1385"/>
      <c r="WMW160" s="1385"/>
      <c r="WMX160" s="1385"/>
      <c r="WMY160" s="1385"/>
      <c r="WMZ160" s="1385"/>
      <c r="WNA160" s="1385"/>
      <c r="WNB160" s="1385"/>
      <c r="WNC160" s="1385"/>
      <c r="WND160" s="1385"/>
      <c r="WNE160" s="1385"/>
      <c r="WNF160" s="1385"/>
      <c r="WNG160" s="1385"/>
      <c r="WNH160" s="1385"/>
      <c r="WNI160" s="1385"/>
      <c r="WNJ160" s="1385"/>
      <c r="WNK160" s="1385"/>
      <c r="WNL160" s="1385"/>
      <c r="WNM160" s="1385"/>
      <c r="WNN160" s="1385"/>
      <c r="WNO160" s="1385"/>
      <c r="WNP160" s="1385"/>
      <c r="WNQ160" s="1385"/>
      <c r="WNR160" s="1385"/>
      <c r="WNS160" s="1385"/>
      <c r="WNT160" s="1385"/>
      <c r="WNU160" s="1385"/>
      <c r="WNV160" s="1385"/>
      <c r="WNW160" s="1385"/>
      <c r="WNX160" s="1385"/>
      <c r="WNY160" s="1385"/>
      <c r="WNZ160" s="1385"/>
      <c r="WOA160" s="1385"/>
      <c r="WOB160" s="1385"/>
      <c r="WOC160" s="1385"/>
      <c r="WOD160" s="1385"/>
      <c r="WOE160" s="1385"/>
      <c r="WOF160" s="1385"/>
      <c r="WOG160" s="1385"/>
      <c r="WOH160" s="1385"/>
      <c r="WOI160" s="1385"/>
      <c r="WOJ160" s="1385"/>
      <c r="WOK160" s="1385"/>
      <c r="WOL160" s="1385"/>
      <c r="WOM160" s="1385"/>
      <c r="WON160" s="1385"/>
      <c r="WOO160" s="1385"/>
      <c r="WOP160" s="1385"/>
      <c r="WOQ160" s="1385"/>
      <c r="WOR160" s="1385"/>
      <c r="WOS160" s="1385"/>
      <c r="WOT160" s="1385"/>
      <c r="WOU160" s="1385"/>
      <c r="WOV160" s="1385"/>
      <c r="WOW160" s="1385"/>
      <c r="WOX160" s="1385"/>
      <c r="WOY160" s="1385"/>
      <c r="WOZ160" s="1385"/>
      <c r="WPA160" s="1385"/>
      <c r="WPB160" s="1385"/>
      <c r="WPC160" s="1385"/>
      <c r="WPD160" s="1385"/>
      <c r="WPE160" s="1385"/>
      <c r="WPF160" s="1385"/>
      <c r="WPG160" s="1385"/>
      <c r="WPH160" s="1385"/>
      <c r="WPI160" s="1385"/>
      <c r="WPJ160" s="1385"/>
      <c r="WPK160" s="1385"/>
      <c r="WPL160" s="1385"/>
      <c r="WPM160" s="1385"/>
      <c r="WPN160" s="1385"/>
      <c r="WPO160" s="1385"/>
      <c r="WPP160" s="1385"/>
      <c r="WPQ160" s="1385"/>
      <c r="WPR160" s="1385"/>
      <c r="WPS160" s="1385"/>
      <c r="WPT160" s="1385"/>
      <c r="WPU160" s="1385"/>
      <c r="WPV160" s="1385"/>
      <c r="WPW160" s="1385"/>
      <c r="WPX160" s="1385"/>
      <c r="WPY160" s="1385"/>
      <c r="WPZ160" s="1385"/>
      <c r="WQA160" s="1385"/>
      <c r="WQB160" s="1385"/>
      <c r="WQC160" s="1385"/>
      <c r="WQD160" s="1385"/>
      <c r="WQE160" s="1385"/>
      <c r="WQF160" s="1385"/>
      <c r="WQG160" s="1385"/>
      <c r="WQH160" s="1385"/>
      <c r="WQI160" s="1385"/>
      <c r="WQJ160" s="1385"/>
      <c r="WQK160" s="1385"/>
      <c r="WQL160" s="1385"/>
      <c r="WQM160" s="1385"/>
      <c r="WQN160" s="1385"/>
      <c r="WQO160" s="1385"/>
      <c r="WQP160" s="1385"/>
      <c r="WQQ160" s="1385"/>
      <c r="WQR160" s="1385"/>
      <c r="WQS160" s="1385"/>
      <c r="WQT160" s="1385"/>
      <c r="WQU160" s="1385"/>
      <c r="WQV160" s="1385"/>
      <c r="WQW160" s="1385"/>
      <c r="WQX160" s="1385"/>
      <c r="WQY160" s="1385"/>
      <c r="WQZ160" s="1385"/>
      <c r="WRA160" s="1385"/>
      <c r="WRB160" s="1385"/>
      <c r="WRC160" s="1385"/>
      <c r="WRD160" s="1385"/>
      <c r="WRE160" s="1385"/>
      <c r="WRF160" s="1385"/>
      <c r="WRG160" s="1385"/>
      <c r="WRH160" s="1385"/>
      <c r="WRI160" s="1385"/>
      <c r="WRJ160" s="1385"/>
      <c r="WRK160" s="1385"/>
      <c r="WRL160" s="1385"/>
      <c r="WRM160" s="1385"/>
      <c r="WRN160" s="1385"/>
      <c r="WRO160" s="1385"/>
      <c r="WRP160" s="1385"/>
      <c r="WRQ160" s="1385"/>
      <c r="WRR160" s="1385"/>
      <c r="WRS160" s="1385"/>
      <c r="WRT160" s="1385"/>
      <c r="WRU160" s="1385"/>
      <c r="WRV160" s="1385"/>
      <c r="WRW160" s="1385"/>
      <c r="WRX160" s="1385"/>
      <c r="WRY160" s="1385"/>
      <c r="WRZ160" s="1385"/>
      <c r="WSA160" s="1385"/>
      <c r="WSB160" s="1385"/>
      <c r="WSC160" s="1385"/>
      <c r="WSD160" s="1385"/>
      <c r="WSE160" s="1385"/>
      <c r="WSF160" s="1385"/>
      <c r="WSG160" s="1385"/>
      <c r="WSH160" s="1385"/>
      <c r="WSI160" s="1385"/>
      <c r="WSJ160" s="1385"/>
      <c r="WSK160" s="1385"/>
      <c r="WSL160" s="1385"/>
      <c r="WSM160" s="1385"/>
      <c r="WSN160" s="1385"/>
      <c r="WSO160" s="1385"/>
      <c r="WSP160" s="1385"/>
      <c r="WSQ160" s="1385"/>
      <c r="WSR160" s="1385"/>
      <c r="WSS160" s="1385"/>
      <c r="WST160" s="1385"/>
      <c r="WSU160" s="1385"/>
      <c r="WSV160" s="1385"/>
      <c r="WSW160" s="1385"/>
      <c r="WSX160" s="1385"/>
      <c r="WSY160" s="1385"/>
      <c r="WSZ160" s="1385"/>
      <c r="WTA160" s="1385"/>
      <c r="WTB160" s="1385"/>
      <c r="WTC160" s="1385"/>
      <c r="WTD160" s="1385"/>
      <c r="WTE160" s="1385"/>
      <c r="WTF160" s="1385"/>
      <c r="WTG160" s="1385"/>
      <c r="WTH160" s="1385"/>
      <c r="WTI160" s="1385"/>
      <c r="WTJ160" s="1385"/>
      <c r="WTK160" s="1385"/>
      <c r="WTL160" s="1385"/>
      <c r="WTM160" s="1385"/>
      <c r="WTN160" s="1385"/>
      <c r="WTO160" s="1385"/>
      <c r="WTP160" s="1385"/>
      <c r="WTQ160" s="1385"/>
      <c r="WTR160" s="1385"/>
      <c r="WTS160" s="1385"/>
      <c r="WTT160" s="1385"/>
      <c r="WTU160" s="1385"/>
      <c r="WTV160" s="1385"/>
      <c r="WTW160" s="1385"/>
      <c r="WTX160" s="1385"/>
      <c r="WTY160" s="1385"/>
      <c r="WTZ160" s="1385"/>
      <c r="WUA160" s="1385"/>
      <c r="WUB160" s="1385"/>
      <c r="WUC160" s="1385"/>
      <c r="WUD160" s="1385"/>
      <c r="WUE160" s="1385"/>
      <c r="WUF160" s="1385"/>
      <c r="WUG160" s="1385"/>
      <c r="WUH160" s="1385"/>
      <c r="WUI160" s="1385"/>
      <c r="WUJ160" s="1385"/>
      <c r="WUK160" s="1385"/>
      <c r="WUL160" s="1385"/>
      <c r="WUM160" s="1385"/>
      <c r="WUN160" s="1385"/>
      <c r="WUO160" s="1385"/>
      <c r="WUP160" s="1385"/>
      <c r="WUQ160" s="1385"/>
      <c r="WUR160" s="1385"/>
      <c r="WUS160" s="1385"/>
      <c r="WUT160" s="1385"/>
      <c r="WUU160" s="1385"/>
      <c r="WUV160" s="1385"/>
      <c r="WUW160" s="1385"/>
      <c r="WUX160" s="1385"/>
      <c r="WUY160" s="1385"/>
      <c r="WUZ160" s="1385"/>
      <c r="WVA160" s="1385"/>
      <c r="WVB160" s="1385"/>
      <c r="WVC160" s="1385"/>
      <c r="WVD160" s="1385"/>
      <c r="WVE160" s="1385"/>
      <c r="WVF160" s="1385"/>
      <c r="WVG160" s="1385"/>
      <c r="WVH160" s="1385"/>
      <c r="WVI160" s="1385"/>
      <c r="WVJ160" s="1385"/>
      <c r="WVK160" s="1385"/>
      <c r="WVL160" s="1385"/>
      <c r="WVM160" s="1385"/>
      <c r="WVN160" s="1385"/>
      <c r="WVO160" s="1385"/>
      <c r="WVP160" s="1385"/>
      <c r="WVQ160" s="1385"/>
      <c r="WVR160" s="1385"/>
      <c r="WVS160" s="1385"/>
      <c r="WVT160" s="1385"/>
      <c r="WVU160" s="1385"/>
      <c r="WVV160" s="1385"/>
      <c r="WVW160" s="1385"/>
      <c r="WVX160" s="1385"/>
      <c r="WVY160" s="1385"/>
      <c r="WVZ160" s="1385"/>
      <c r="WWA160" s="1385"/>
      <c r="WWB160" s="1385"/>
      <c r="WWC160" s="1385"/>
      <c r="WWD160" s="1385"/>
      <c r="WWE160" s="1385"/>
      <c r="WWF160" s="1385"/>
      <c r="WWG160" s="1385"/>
      <c r="WWH160" s="1385"/>
      <c r="WWI160" s="1385"/>
      <c r="WWJ160" s="1385"/>
      <c r="WWK160" s="1385"/>
      <c r="WWL160" s="1385"/>
      <c r="WWM160" s="1385"/>
      <c r="WWN160" s="1385"/>
      <c r="WWO160" s="1385"/>
      <c r="WWP160" s="1385"/>
      <c r="WWQ160" s="1385"/>
      <c r="WWR160" s="1385"/>
      <c r="WWS160" s="1385"/>
      <c r="WWT160" s="1385"/>
      <c r="WWU160" s="1385"/>
      <c r="WWV160" s="1385"/>
      <c r="WWW160" s="1385"/>
      <c r="WWX160" s="1385"/>
      <c r="WWY160" s="1385"/>
      <c r="WWZ160" s="1385"/>
      <c r="WXA160" s="1385"/>
      <c r="WXB160" s="1385"/>
      <c r="WXC160" s="1385"/>
      <c r="WXD160" s="1385"/>
      <c r="WXE160" s="1385"/>
      <c r="WXF160" s="1385"/>
      <c r="WXG160" s="1385"/>
      <c r="WXH160" s="1385"/>
      <c r="WXI160" s="1385"/>
      <c r="WXJ160" s="1385"/>
      <c r="WXK160" s="1385"/>
      <c r="WXL160" s="1385"/>
      <c r="WXM160" s="1385"/>
      <c r="WXN160" s="1385"/>
      <c r="WXO160" s="1385"/>
      <c r="WXP160" s="1385"/>
      <c r="WXQ160" s="1385"/>
      <c r="WXR160" s="1385"/>
      <c r="WXS160" s="1385"/>
      <c r="WXT160" s="1385"/>
      <c r="WXU160" s="1385"/>
      <c r="WXV160" s="1385"/>
      <c r="WXW160" s="1385"/>
      <c r="WXX160" s="1385"/>
      <c r="WXY160" s="1385"/>
      <c r="WXZ160" s="1385"/>
      <c r="WYA160" s="1385"/>
      <c r="WYB160" s="1385"/>
      <c r="WYC160" s="1385"/>
      <c r="WYD160" s="1385"/>
      <c r="WYE160" s="1385"/>
      <c r="WYF160" s="1385"/>
      <c r="WYG160" s="1385"/>
      <c r="WYH160" s="1385"/>
      <c r="WYI160" s="1385"/>
      <c r="WYJ160" s="1385"/>
      <c r="WYK160" s="1385"/>
      <c r="WYL160" s="1385"/>
      <c r="WYM160" s="1385"/>
      <c r="WYN160" s="1385"/>
      <c r="WYO160" s="1385"/>
      <c r="WYP160" s="1385"/>
      <c r="WYQ160" s="1385"/>
      <c r="WYR160" s="1385"/>
      <c r="WYS160" s="1385"/>
      <c r="WYT160" s="1385"/>
      <c r="WYU160" s="1385"/>
      <c r="WYV160" s="1385"/>
      <c r="WYW160" s="1385"/>
      <c r="WYX160" s="1385"/>
      <c r="WYY160" s="1385"/>
      <c r="WYZ160" s="1385"/>
      <c r="WZA160" s="1385"/>
      <c r="WZB160" s="1385"/>
      <c r="WZC160" s="1385"/>
      <c r="WZD160" s="1385"/>
      <c r="WZE160" s="1385"/>
      <c r="WZF160" s="1385"/>
      <c r="WZG160" s="1385"/>
      <c r="WZH160" s="1385"/>
      <c r="WZI160" s="1385"/>
      <c r="WZJ160" s="1385"/>
      <c r="WZK160" s="1385"/>
      <c r="WZL160" s="1385"/>
      <c r="WZM160" s="1385"/>
      <c r="WZN160" s="1385"/>
      <c r="WZO160" s="1385"/>
      <c r="WZP160" s="1385"/>
      <c r="WZQ160" s="1385"/>
      <c r="WZR160" s="1385"/>
      <c r="WZS160" s="1385"/>
      <c r="WZT160" s="1385"/>
      <c r="WZU160" s="1385"/>
      <c r="WZV160" s="1385"/>
      <c r="WZW160" s="1385"/>
      <c r="WZX160" s="1385"/>
      <c r="WZY160" s="1385"/>
      <c r="WZZ160" s="1385"/>
      <c r="XAA160" s="1385"/>
      <c r="XAB160" s="1385"/>
      <c r="XAC160" s="1385"/>
      <c r="XAD160" s="1385"/>
      <c r="XAE160" s="1385"/>
      <c r="XAF160" s="1385"/>
      <c r="XAG160" s="1385"/>
      <c r="XAH160" s="1385"/>
      <c r="XAI160" s="1385"/>
      <c r="XAJ160" s="1385"/>
      <c r="XAK160" s="1385"/>
      <c r="XAL160" s="1385"/>
      <c r="XAM160" s="1385"/>
      <c r="XAN160" s="1385"/>
      <c r="XAO160" s="1385"/>
      <c r="XAP160" s="1385"/>
      <c r="XAQ160" s="1385"/>
      <c r="XAR160" s="1385"/>
      <c r="XAS160" s="1385"/>
      <c r="XAT160" s="1385"/>
      <c r="XAU160" s="1385"/>
      <c r="XAV160" s="1385"/>
      <c r="XAW160" s="1385"/>
      <c r="XAX160" s="1385"/>
      <c r="XAY160" s="1385"/>
      <c r="XAZ160" s="1385"/>
      <c r="XBA160" s="1385"/>
      <c r="XBB160" s="1385"/>
      <c r="XBC160" s="1385"/>
      <c r="XBD160" s="1385"/>
      <c r="XBE160" s="1385"/>
      <c r="XBF160" s="1385"/>
      <c r="XBG160" s="1385"/>
      <c r="XBH160" s="1385"/>
      <c r="XBI160" s="1385"/>
      <c r="XBJ160" s="1385"/>
      <c r="XBK160" s="1385"/>
      <c r="XBL160" s="1385"/>
      <c r="XBM160" s="1385"/>
      <c r="XBN160" s="1385"/>
      <c r="XBO160" s="1385"/>
      <c r="XBP160" s="1385"/>
      <c r="XBQ160" s="1385"/>
      <c r="XBR160" s="1385"/>
      <c r="XBS160" s="1385"/>
      <c r="XBT160" s="1385"/>
      <c r="XBU160" s="1385"/>
      <c r="XBV160" s="1385"/>
      <c r="XBW160" s="1385"/>
      <c r="XBX160" s="1385"/>
      <c r="XBY160" s="1385"/>
      <c r="XBZ160" s="1385"/>
      <c r="XCA160" s="1385"/>
      <c r="XCB160" s="1385"/>
      <c r="XCC160" s="1385"/>
      <c r="XCD160" s="1385"/>
      <c r="XCE160" s="1385"/>
      <c r="XCF160" s="1385"/>
      <c r="XCG160" s="1385"/>
      <c r="XCH160" s="1385"/>
      <c r="XCI160" s="1385"/>
      <c r="XCJ160" s="1385"/>
      <c r="XCK160" s="1385"/>
      <c r="XCL160" s="1385"/>
      <c r="XCM160" s="1385"/>
      <c r="XCN160" s="1385"/>
      <c r="XCO160" s="1385"/>
      <c r="XCP160" s="1385"/>
      <c r="XCQ160" s="1385"/>
      <c r="XCR160" s="1385"/>
      <c r="XCS160" s="1385"/>
      <c r="XCT160" s="1385"/>
      <c r="XCU160" s="1385"/>
      <c r="XCV160" s="1385"/>
      <c r="XCW160" s="1385"/>
      <c r="XCX160" s="1385"/>
      <c r="XCY160" s="1385"/>
      <c r="XCZ160" s="1385"/>
      <c r="XDA160" s="1385"/>
      <c r="XDB160" s="1385"/>
      <c r="XDC160" s="1385"/>
      <c r="XDD160" s="1385"/>
      <c r="XDE160" s="1385"/>
      <c r="XDF160" s="1385"/>
      <c r="XDG160" s="1385"/>
      <c r="XDH160" s="1385"/>
      <c r="XDI160" s="1385"/>
      <c r="XDJ160" s="1385"/>
      <c r="XDK160" s="1385"/>
      <c r="XDL160" s="1385"/>
      <c r="XDM160" s="1385"/>
      <c r="XDN160" s="1385"/>
      <c r="XDO160" s="1385"/>
      <c r="XDP160" s="1385"/>
      <c r="XDQ160" s="1385"/>
      <c r="XDR160" s="1385"/>
      <c r="XDS160" s="1385"/>
      <c r="XDT160" s="1385"/>
      <c r="XDU160" s="1385"/>
      <c r="XDV160" s="1385"/>
      <c r="XDW160" s="1385"/>
      <c r="XDX160" s="1385"/>
      <c r="XDY160" s="1385"/>
      <c r="XDZ160" s="1385"/>
      <c r="XEA160" s="1385"/>
      <c r="XEB160" s="1385"/>
      <c r="XEC160" s="1385"/>
      <c r="XED160" s="1385"/>
      <c r="XEE160" s="1385"/>
      <c r="XEF160" s="1385"/>
      <c r="XEG160" s="1385"/>
      <c r="XEH160" s="1385"/>
      <c r="XEI160" s="1385"/>
      <c r="XEJ160" s="1385"/>
      <c r="XEK160" s="1385"/>
      <c r="XEL160" s="1385"/>
      <c r="XEM160" s="1385"/>
      <c r="XEN160" s="1385"/>
      <c r="XEO160" s="1385"/>
      <c r="XEP160" s="1385"/>
      <c r="XEQ160" s="1385"/>
      <c r="XER160" s="1385"/>
      <c r="XES160" s="1385"/>
      <c r="XET160" s="1385"/>
      <c r="XEU160" s="1385"/>
      <c r="XEV160" s="1385"/>
      <c r="XEW160" s="1385"/>
      <c r="XEX160" s="1385"/>
      <c r="XEY160" s="1385"/>
      <c r="XEZ160" s="1385"/>
      <c r="XFA160" s="1385"/>
      <c r="XFB160" s="1385"/>
      <c r="XFC160" s="1385"/>
    </row>
    <row r="161" spans="1:23" s="1011" customFormat="1" hidden="1" x14ac:dyDescent="0.25">
      <c r="A161" s="1199" t="s">
        <v>97</v>
      </c>
      <c r="B161" s="1195">
        <v>40500000</v>
      </c>
      <c r="C161" s="1195" t="s">
        <v>1507</v>
      </c>
      <c r="D161" s="1195" t="s">
        <v>589</v>
      </c>
      <c r="E161" s="1196" t="s">
        <v>589</v>
      </c>
      <c r="F161" s="1196" t="s">
        <v>1152</v>
      </c>
      <c r="G161" s="550">
        <f>IFERROR(VLOOKUP(B161,[5]Sheet1!$C:$M,8,0),0)</f>
        <v>57091696.5</v>
      </c>
      <c r="H161" s="550">
        <f>IFERROR(VLOOKUP(B161,[5]Sheet1!$C:$M,9,0),0)</f>
        <v>0</v>
      </c>
      <c r="I161" s="1201">
        <f t="shared" si="9"/>
        <v>57091696.5</v>
      </c>
      <c r="J161" s="550">
        <v>0</v>
      </c>
      <c r="K161" s="550">
        <v>0</v>
      </c>
      <c r="L161" s="550"/>
      <c r="M161" s="1373" t="e">
        <f>VLOOKUP(B161,[6]Sheet1!$D:$M,10,0)</f>
        <v>#N/A</v>
      </c>
      <c r="N161" s="550" t="e">
        <f t="shared" si="10"/>
        <v>#N/A</v>
      </c>
      <c r="O161" s="1012"/>
      <c r="P161" s="1013"/>
      <c r="Q161" s="1011" t="e">
        <f>VLOOKUP(B161,[7]!Table1[GLAccountNo],1,0)</f>
        <v>#REF!</v>
      </c>
      <c r="U161" s="551"/>
      <c r="V161" s="1013"/>
      <c r="W161" s="1013"/>
    </row>
    <row r="162" spans="1:23" s="1011" customFormat="1" hidden="1" x14ac:dyDescent="0.25">
      <c r="A162" s="1199" t="s">
        <v>97</v>
      </c>
      <c r="B162" s="1195">
        <v>40500001</v>
      </c>
      <c r="C162" s="1195" t="s">
        <v>1507</v>
      </c>
      <c r="D162" s="1195" t="s">
        <v>589</v>
      </c>
      <c r="E162" s="1196" t="s">
        <v>589</v>
      </c>
      <c r="F162" s="1196" t="s">
        <v>1252</v>
      </c>
      <c r="G162" s="550">
        <f>IFERROR(VLOOKUP(B162,[5]Sheet1!$C:$M,8,0),0)</f>
        <v>234090662.99000001</v>
      </c>
      <c r="H162" s="550">
        <f>IFERROR(VLOOKUP(B162,[5]Sheet1!$C:$M,9,0),0)</f>
        <v>0</v>
      </c>
      <c r="I162" s="1201">
        <f t="shared" si="9"/>
        <v>234090662.99000001</v>
      </c>
      <c r="J162" s="550">
        <v>0</v>
      </c>
      <c r="K162" s="550">
        <v>0</v>
      </c>
      <c r="L162" s="550"/>
      <c r="M162" s="1373" t="e">
        <f>VLOOKUP(B162,[6]Sheet1!$D:$M,10,0)</f>
        <v>#N/A</v>
      </c>
      <c r="N162" s="550" t="e">
        <f t="shared" si="10"/>
        <v>#N/A</v>
      </c>
      <c r="O162" s="1012"/>
      <c r="P162" s="1013"/>
      <c r="Q162" s="1011" t="e">
        <f>VLOOKUP(B162,[7]!Table1[GLAccountNo],1,0)</f>
        <v>#REF!</v>
      </c>
      <c r="U162" s="551"/>
      <c r="V162" s="1013"/>
      <c r="W162" s="1013"/>
    </row>
    <row r="163" spans="1:23" s="1011" customFormat="1" hidden="1" x14ac:dyDescent="0.25">
      <c r="A163" s="1199" t="s">
        <v>97</v>
      </c>
      <c r="B163" s="1195">
        <v>40500003</v>
      </c>
      <c r="C163" s="1195" t="s">
        <v>1507</v>
      </c>
      <c r="D163" s="1195" t="s">
        <v>589</v>
      </c>
      <c r="E163" s="1196" t="s">
        <v>589</v>
      </c>
      <c r="F163" s="1196" t="s">
        <v>893</v>
      </c>
      <c r="G163" s="550">
        <f>IFERROR(VLOOKUP(B163,[5]Sheet1!$C:$M,8,0),0)</f>
        <v>3613247.66</v>
      </c>
      <c r="H163" s="550">
        <f>IFERROR(VLOOKUP(B163,[5]Sheet1!$C:$M,9,0),0)</f>
        <v>0</v>
      </c>
      <c r="I163" s="1201">
        <f t="shared" si="9"/>
        <v>3613247.66</v>
      </c>
      <c r="J163" s="550">
        <v>0</v>
      </c>
      <c r="K163" s="550">
        <v>0</v>
      </c>
      <c r="L163" s="550"/>
      <c r="M163" s="1373" t="e">
        <f>VLOOKUP(B163,[6]Sheet1!$D:$M,10,0)</f>
        <v>#N/A</v>
      </c>
      <c r="N163" s="550" t="e">
        <f t="shared" si="10"/>
        <v>#N/A</v>
      </c>
      <c r="O163" s="1012"/>
      <c r="P163" s="1013"/>
      <c r="Q163" s="1011" t="e">
        <f>VLOOKUP(B163,[7]!Table1[GLAccountNo],1,0)</f>
        <v>#REF!</v>
      </c>
      <c r="U163" s="551"/>
      <c r="V163" s="1013"/>
      <c r="W163" s="1013"/>
    </row>
    <row r="164" spans="1:23" s="1011" customFormat="1" hidden="1" x14ac:dyDescent="0.25">
      <c r="A164" s="1199" t="s">
        <v>97</v>
      </c>
      <c r="B164" s="1195">
        <v>40500008</v>
      </c>
      <c r="C164" s="1195" t="s">
        <v>1507</v>
      </c>
      <c r="D164" s="1195" t="s">
        <v>589</v>
      </c>
      <c r="E164" s="1196" t="s">
        <v>589</v>
      </c>
      <c r="F164" s="1196" t="s">
        <v>1290</v>
      </c>
      <c r="G164" s="550">
        <f>IFERROR(VLOOKUP(B164,[5]Sheet1!$C:$M,8,0),0)</f>
        <v>3467334.25</v>
      </c>
      <c r="H164" s="550">
        <f>IFERROR(VLOOKUP(B164,[5]Sheet1!$C:$M,9,0),0)</f>
        <v>0</v>
      </c>
      <c r="I164" s="1201">
        <f t="shared" si="9"/>
        <v>3467334.25</v>
      </c>
      <c r="J164" s="550">
        <v>0</v>
      </c>
      <c r="K164" s="550">
        <v>0</v>
      </c>
      <c r="L164" s="550"/>
      <c r="M164" s="1373" t="e">
        <f>VLOOKUP(B164,[6]Sheet1!$D:$M,10,0)</f>
        <v>#N/A</v>
      </c>
      <c r="N164" s="550" t="e">
        <f t="shared" si="10"/>
        <v>#N/A</v>
      </c>
      <c r="O164" s="1012"/>
      <c r="P164" s="1013"/>
      <c r="Q164" s="1011" t="e">
        <f>VLOOKUP(B164,[7]!Table1[GLAccountNo],1,0)</f>
        <v>#REF!</v>
      </c>
      <c r="U164" s="551"/>
      <c r="V164" s="1013"/>
      <c r="W164" s="1013"/>
    </row>
    <row r="165" spans="1:23" s="1011" customFormat="1" hidden="1" x14ac:dyDescent="0.25">
      <c r="A165" s="1199" t="s">
        <v>97</v>
      </c>
      <c r="B165" s="1195">
        <v>40500002</v>
      </c>
      <c r="C165" s="1195" t="s">
        <v>1507</v>
      </c>
      <c r="D165" s="1195" t="s">
        <v>589</v>
      </c>
      <c r="E165" s="1196" t="s">
        <v>589</v>
      </c>
      <c r="F165" s="1196" t="s">
        <v>1329</v>
      </c>
      <c r="G165" s="550">
        <f>IFERROR(VLOOKUP(B165,[5]Sheet1!$C:$M,8,0),0)</f>
        <v>3723188.1099999901</v>
      </c>
      <c r="H165" s="550">
        <f>IFERROR(VLOOKUP(B165,[5]Sheet1!$C:$M,9,0),0)</f>
        <v>0</v>
      </c>
      <c r="I165" s="1201">
        <f t="shared" si="9"/>
        <v>3723188.1099999901</v>
      </c>
      <c r="J165" s="550">
        <v>0</v>
      </c>
      <c r="K165" s="550">
        <v>0</v>
      </c>
      <c r="L165" s="550"/>
      <c r="M165" s="1373" t="e">
        <f>VLOOKUP(B165,[6]Sheet1!$D:$M,10,0)</f>
        <v>#N/A</v>
      </c>
      <c r="N165" s="550" t="e">
        <f t="shared" si="10"/>
        <v>#N/A</v>
      </c>
      <c r="O165" s="1012"/>
      <c r="P165" s="1013"/>
      <c r="Q165" s="1011" t="e">
        <f>VLOOKUP(B165,[7]!Table1[GLAccountNo],1,0)</f>
        <v>#REF!</v>
      </c>
      <c r="U165" s="551"/>
      <c r="V165" s="1013"/>
      <c r="W165" s="1013"/>
    </row>
    <row r="166" spans="1:23" s="1011" customFormat="1" hidden="1" x14ac:dyDescent="0.25">
      <c r="A166" s="1199" t="s">
        <v>97</v>
      </c>
      <c r="B166" s="1195">
        <v>40500004</v>
      </c>
      <c r="C166" s="1195" t="s">
        <v>1507</v>
      </c>
      <c r="D166" s="1195" t="s">
        <v>589</v>
      </c>
      <c r="E166" s="1196" t="s">
        <v>589</v>
      </c>
      <c r="F166" s="1196" t="s">
        <v>1330</v>
      </c>
      <c r="G166" s="550">
        <f>IFERROR(VLOOKUP(B166,[5]Sheet1!$C:$M,8,0),0)</f>
        <v>1955819.27</v>
      </c>
      <c r="H166" s="550">
        <f>IFERROR(VLOOKUP(B166,[5]Sheet1!$C:$M,9,0),0)</f>
        <v>0</v>
      </c>
      <c r="I166" s="1201">
        <f t="shared" si="9"/>
        <v>1955819.27</v>
      </c>
      <c r="J166" s="550">
        <v>0</v>
      </c>
      <c r="K166" s="550">
        <v>0</v>
      </c>
      <c r="L166" s="550"/>
      <c r="M166" s="1373" t="e">
        <f>VLOOKUP(B166,[6]Sheet1!$D:$M,10,0)</f>
        <v>#N/A</v>
      </c>
      <c r="N166" s="550" t="e">
        <f t="shared" si="10"/>
        <v>#N/A</v>
      </c>
      <c r="O166" s="1012"/>
      <c r="P166" s="1013"/>
      <c r="Q166" s="1011" t="e">
        <f>VLOOKUP(B166,[7]!Table1[GLAccountNo],1,0)</f>
        <v>#REF!</v>
      </c>
      <c r="U166" s="551"/>
      <c r="V166" s="1013"/>
      <c r="W166" s="1013"/>
    </row>
    <row r="167" spans="1:23" s="1011" customFormat="1" hidden="1" x14ac:dyDescent="0.25">
      <c r="A167" s="1199" t="s">
        <v>97</v>
      </c>
      <c r="B167" s="1195">
        <v>40500005</v>
      </c>
      <c r="C167" s="1195" t="s">
        <v>1507</v>
      </c>
      <c r="D167" s="1195" t="s">
        <v>589</v>
      </c>
      <c r="E167" s="1196" t="s">
        <v>589</v>
      </c>
      <c r="F167" s="1196" t="s">
        <v>1331</v>
      </c>
      <c r="G167" s="550">
        <f>IFERROR(VLOOKUP(B167,[5]Sheet1!$C:$M,8,0),0)</f>
        <v>12694553.24</v>
      </c>
      <c r="H167" s="550">
        <f>IFERROR(VLOOKUP(B167,[5]Sheet1!$C:$M,9,0),0)</f>
        <v>0</v>
      </c>
      <c r="I167" s="1201">
        <f t="shared" si="9"/>
        <v>12694553.24</v>
      </c>
      <c r="J167" s="550">
        <v>0</v>
      </c>
      <c r="K167" s="550">
        <v>0</v>
      </c>
      <c r="L167" s="550"/>
      <c r="M167" s="1373" t="e">
        <f>VLOOKUP(B167,[6]Sheet1!$D:$M,10,0)</f>
        <v>#N/A</v>
      </c>
      <c r="N167" s="550" t="e">
        <f t="shared" si="10"/>
        <v>#N/A</v>
      </c>
      <c r="O167" s="1012"/>
      <c r="P167" s="1013"/>
      <c r="Q167" s="1011" t="e">
        <f>VLOOKUP(B167,[7]!Table1[GLAccountNo],1,0)</f>
        <v>#REF!</v>
      </c>
      <c r="U167" s="551"/>
      <c r="V167" s="1013"/>
      <c r="W167" s="1013"/>
    </row>
    <row r="168" spans="1:23" hidden="1" x14ac:dyDescent="0.25">
      <c r="A168" s="1199" t="s">
        <v>97</v>
      </c>
      <c r="B168" s="1195">
        <v>40500007</v>
      </c>
      <c r="C168" s="1195" t="s">
        <v>1507</v>
      </c>
      <c r="D168" s="1195" t="s">
        <v>589</v>
      </c>
      <c r="E168" s="1196" t="s">
        <v>589</v>
      </c>
      <c r="F168" s="1196" t="s">
        <v>1332</v>
      </c>
      <c r="G168" s="550">
        <f>IFERROR(VLOOKUP(B168,[5]Sheet1!$C:$M,8,0),0)</f>
        <v>1481800.26</v>
      </c>
      <c r="H168" s="550">
        <f>IFERROR(VLOOKUP(B168,[5]Sheet1!$C:$M,9,0),0)</f>
        <v>0</v>
      </c>
      <c r="I168" s="1201">
        <f t="shared" si="9"/>
        <v>1481800.26</v>
      </c>
      <c r="J168" s="550">
        <v>0</v>
      </c>
      <c r="K168" s="550">
        <v>0</v>
      </c>
      <c r="L168" s="550"/>
      <c r="M168" s="1373" t="e">
        <f>VLOOKUP(B168,[6]Sheet1!$D:$M,10,0)</f>
        <v>#N/A</v>
      </c>
      <c r="N168" s="550" t="e">
        <f t="shared" si="10"/>
        <v>#N/A</v>
      </c>
      <c r="Q168" s="1011" t="e">
        <f>VLOOKUP(B168,[7]!Table1[GLAccountNo],1,0)</f>
        <v>#REF!</v>
      </c>
      <c r="U168" s="551"/>
      <c r="V168" s="1013"/>
    </row>
    <row r="169" spans="1:23" hidden="1" x14ac:dyDescent="0.25">
      <c r="A169" s="1199" t="s">
        <v>97</v>
      </c>
      <c r="B169" s="1199">
        <v>40700041</v>
      </c>
      <c r="C169" s="1199" t="s">
        <v>928</v>
      </c>
      <c r="D169" s="1199" t="s">
        <v>1123</v>
      </c>
      <c r="E169" s="1199" t="s">
        <v>59</v>
      </c>
      <c r="F169" s="1196" t="s">
        <v>1188</v>
      </c>
      <c r="G169" s="550">
        <f>IFERROR(VLOOKUP(B169,[5]Sheet1!$C:$M,8,0),0)</f>
        <v>0</v>
      </c>
      <c r="H169" s="550">
        <f>IFERROR(VLOOKUP(B169,[5]Sheet1!$C:$M,9,0),0)</f>
        <v>0</v>
      </c>
      <c r="I169" s="1201">
        <f t="shared" si="9"/>
        <v>0</v>
      </c>
      <c r="J169" s="550">
        <v>0</v>
      </c>
      <c r="K169" s="550">
        <v>0</v>
      </c>
      <c r="L169" s="550"/>
      <c r="M169" s="1373" t="e">
        <f>VLOOKUP(B169,[6]Sheet1!$D:$M,10,0)</f>
        <v>#N/A</v>
      </c>
      <c r="N169" s="550" t="e">
        <f t="shared" si="10"/>
        <v>#N/A</v>
      </c>
      <c r="Q169" s="1011" t="e">
        <f>VLOOKUP(B169,[7]!Table1[GLAccountNo],1,0)</f>
        <v>#REF!</v>
      </c>
      <c r="U169" s="551"/>
      <c r="V169" s="1013"/>
    </row>
    <row r="170" spans="1:23" hidden="1" x14ac:dyDescent="0.25">
      <c r="A170" s="1199" t="s">
        <v>97</v>
      </c>
      <c r="B170" s="1199">
        <v>40300000</v>
      </c>
      <c r="C170" s="1195">
        <v>24</v>
      </c>
      <c r="D170" s="1199" t="s">
        <v>198</v>
      </c>
      <c r="E170" s="1199" t="s">
        <v>199</v>
      </c>
      <c r="F170" s="1196" t="s">
        <v>836</v>
      </c>
      <c r="G170" s="550">
        <f>IFERROR(VLOOKUP(B170,[5]Sheet1!$C:$M,8,0),0)</f>
        <v>9974369.0999999903</v>
      </c>
      <c r="H170" s="550">
        <f>IFERROR(VLOOKUP(B170,[5]Sheet1!$C:$M,9,0),0)</f>
        <v>0</v>
      </c>
      <c r="I170" s="1201">
        <f t="shared" si="9"/>
        <v>9974369.0999999903</v>
      </c>
      <c r="J170" s="550">
        <v>0</v>
      </c>
      <c r="K170" s="550">
        <v>0</v>
      </c>
      <c r="L170" s="550"/>
      <c r="M170" s="1373">
        <f>VLOOKUP(B170,[6]Sheet1!$D:$M,10,0)</f>
        <v>1609247.12</v>
      </c>
      <c r="N170" s="550">
        <f t="shared" si="10"/>
        <v>8365121.9799999902</v>
      </c>
      <c r="O170" s="1396">
        <f>VLOOKUP(B170,'[10]TB BVS 30.6.25'!$B:$I,8,0)</f>
        <v>1609247.12</v>
      </c>
      <c r="P170" s="1397" t="e">
        <v>#N/A</v>
      </c>
      <c r="Q170" s="1011" t="e">
        <f>VLOOKUP(B170,[7]!Table1[GLAccountNo],1,0)</f>
        <v>#REF!</v>
      </c>
      <c r="U170" s="551"/>
      <c r="V170" s="1013"/>
    </row>
    <row r="171" spans="1:23" hidden="1" x14ac:dyDescent="0.25">
      <c r="A171" s="1199" t="s">
        <v>97</v>
      </c>
      <c r="B171" s="1199">
        <v>40300002</v>
      </c>
      <c r="C171" s="1195">
        <v>24</v>
      </c>
      <c r="D171" s="1199" t="s">
        <v>198</v>
      </c>
      <c r="E171" s="1199" t="s">
        <v>199</v>
      </c>
      <c r="F171" s="1196" t="s">
        <v>1196</v>
      </c>
      <c r="G171" s="550">
        <f>IFERROR(VLOOKUP(B171,[5]Sheet1!$C:$M,8,0),0)</f>
        <v>21555386.510000002</v>
      </c>
      <c r="H171" s="550">
        <f>IFERROR(VLOOKUP(B171,[5]Sheet1!$C:$M,9,0),0)</f>
        <v>0</v>
      </c>
      <c r="I171" s="1201">
        <f t="shared" si="9"/>
        <v>21555386.510000002</v>
      </c>
      <c r="J171" s="550">
        <v>0</v>
      </c>
      <c r="K171" s="550">
        <v>0</v>
      </c>
      <c r="L171" s="550"/>
      <c r="M171" s="1373">
        <f>VLOOKUP(B171,[6]Sheet1!$D:$M,10,0)</f>
        <v>5578543.5499999896</v>
      </c>
      <c r="N171" s="550">
        <f t="shared" si="10"/>
        <v>15976842.960000012</v>
      </c>
      <c r="O171" s="1396">
        <f>VLOOKUP(B171,'[10]TB BVS 30.6.25'!$B:$I,8,0)</f>
        <v>5578543.5499999896</v>
      </c>
      <c r="P171" s="1397" t="e">
        <v>#N/A</v>
      </c>
      <c r="Q171" s="1011" t="e">
        <f>VLOOKUP(B171,[7]!Table1[GLAccountNo],1,0)</f>
        <v>#REF!</v>
      </c>
      <c r="U171" s="551"/>
      <c r="V171" s="1013"/>
    </row>
    <row r="172" spans="1:23" hidden="1" x14ac:dyDescent="0.25">
      <c r="A172" s="1199" t="s">
        <v>97</v>
      </c>
      <c r="B172" s="1199">
        <v>40300012</v>
      </c>
      <c r="C172" s="1195">
        <v>24</v>
      </c>
      <c r="D172" s="1199" t="s">
        <v>198</v>
      </c>
      <c r="E172" s="1199" t="s">
        <v>1669</v>
      </c>
      <c r="F172" s="1196" t="s">
        <v>1189</v>
      </c>
      <c r="G172" s="1416">
        <f>IFERROR(VLOOKUP(B172,[5]Sheet1!$C:$M,8,0),0)</f>
        <v>3513846.89</v>
      </c>
      <c r="H172" s="550">
        <f>IFERROR(VLOOKUP(B172,[5]Sheet1!$C:$M,9,0),0)</f>
        <v>0</v>
      </c>
      <c r="I172" s="1201">
        <f t="shared" si="9"/>
        <v>3513846.89</v>
      </c>
      <c r="J172" s="550">
        <v>0</v>
      </c>
      <c r="K172" s="550">
        <v>0</v>
      </c>
      <c r="L172" s="550"/>
      <c r="M172" s="1373">
        <f>VLOOKUP(B172,[6]Sheet1!$D:$M,10,0)</f>
        <v>389990</v>
      </c>
      <c r="N172" s="550">
        <f t="shared" si="10"/>
        <v>3123856.89</v>
      </c>
      <c r="O172" s="1396">
        <f>VLOOKUP(B172,'[10]TB BVS 30.6.25'!$B:$I,8,0)</f>
        <v>389990</v>
      </c>
      <c r="P172" s="1397" t="e">
        <v>#N/A</v>
      </c>
      <c r="Q172" s="1011" t="e">
        <f>VLOOKUP(B172,[7]!Table1[GLAccountNo],1,0)</f>
        <v>#REF!</v>
      </c>
      <c r="U172" s="551"/>
      <c r="V172" s="1417"/>
    </row>
    <row r="173" spans="1:23" hidden="1" x14ac:dyDescent="0.25">
      <c r="A173" s="1199" t="s">
        <v>97</v>
      </c>
      <c r="B173" s="1199">
        <v>40300010</v>
      </c>
      <c r="C173" s="1195">
        <v>24</v>
      </c>
      <c r="D173" s="1199" t="s">
        <v>198</v>
      </c>
      <c r="E173" s="1199" t="s">
        <v>1669</v>
      </c>
      <c r="F173" s="1196" t="s">
        <v>1126</v>
      </c>
      <c r="G173" s="1416">
        <f>IFERROR(VLOOKUP(B173,[5]Sheet1!$C:$M,8,0),0)</f>
        <v>2559522</v>
      </c>
      <c r="H173" s="550">
        <f>IFERROR(VLOOKUP(B173,[5]Sheet1!$C:$M,9,0),0)</f>
        <v>0</v>
      </c>
      <c r="I173" s="1201">
        <f t="shared" si="9"/>
        <v>2559522</v>
      </c>
      <c r="J173" s="550">
        <v>0</v>
      </c>
      <c r="K173" s="550">
        <v>0</v>
      </c>
      <c r="L173" s="550"/>
      <c r="M173" s="1373">
        <f>VLOOKUP(B173,[6]Sheet1!$D:$M,10,0)</f>
        <v>180000</v>
      </c>
      <c r="N173" s="550">
        <f t="shared" si="10"/>
        <v>2379522</v>
      </c>
      <c r="O173" s="1396">
        <f>VLOOKUP(B173,'[10]TB BVS 30.6.25'!$B:$I,8,0)</f>
        <v>180000</v>
      </c>
      <c r="P173" s="1397" t="e">
        <v>#N/A</v>
      </c>
      <c r="Q173" s="1011" t="e">
        <f>VLOOKUP(B173,[7]!Table1[GLAccountNo],1,0)</f>
        <v>#REF!</v>
      </c>
      <c r="U173" s="551"/>
      <c r="V173" s="1417"/>
    </row>
    <row r="174" spans="1:23" hidden="1" x14ac:dyDescent="0.25">
      <c r="A174" s="1199" t="s">
        <v>26</v>
      </c>
      <c r="B174" s="1199">
        <v>10900017</v>
      </c>
      <c r="C174" s="1195">
        <v>18</v>
      </c>
      <c r="D174" s="1199" t="s">
        <v>169</v>
      </c>
      <c r="E174" s="1199" t="s">
        <v>168</v>
      </c>
      <c r="F174" s="1196" t="s">
        <v>1295</v>
      </c>
      <c r="G174" s="550">
        <f>IFERROR(VLOOKUP(B174,[5]Sheet1!$C:$M,8,0),0)</f>
        <v>0</v>
      </c>
      <c r="H174" s="550">
        <f>IFERROR(VLOOKUP(B174,[5]Sheet1!$C:$M,9,0),0)</f>
        <v>-1684697.5</v>
      </c>
      <c r="I174" s="1201">
        <f t="shared" si="9"/>
        <v>-1684697.5</v>
      </c>
      <c r="J174" s="550">
        <v>0</v>
      </c>
      <c r="K174" s="550">
        <v>0</v>
      </c>
      <c r="L174" s="550"/>
      <c r="M174" s="1373">
        <f>VLOOKUP(B174,[6]Sheet1!$D:$M,10,0)</f>
        <v>-2015206.5</v>
      </c>
      <c r="N174" s="550">
        <f t="shared" si="10"/>
        <v>330509</v>
      </c>
      <c r="U174" s="551"/>
      <c r="V174" s="1417"/>
    </row>
    <row r="175" spans="1:23" hidden="1" x14ac:dyDescent="0.25">
      <c r="A175" s="1199" t="s">
        <v>26</v>
      </c>
      <c r="B175" s="1199">
        <v>11100000</v>
      </c>
      <c r="C175" s="1195">
        <v>14</v>
      </c>
      <c r="D175" s="1199" t="s">
        <v>83</v>
      </c>
      <c r="E175" s="1199" t="s">
        <v>1318</v>
      </c>
      <c r="F175" s="1196" t="s">
        <v>1296</v>
      </c>
      <c r="G175" s="550">
        <f>IFERROR(VLOOKUP(B175,[5]Sheet1!$C:$M,8,0),0)</f>
        <v>0</v>
      </c>
      <c r="H175" s="550">
        <f>IFERROR(VLOOKUP(B175,[5]Sheet1!$C:$M,9,0),0)</f>
        <v>-4318047</v>
      </c>
      <c r="I175" s="1201">
        <f t="shared" si="9"/>
        <v>-4318047</v>
      </c>
      <c r="J175" s="550">
        <v>0</v>
      </c>
      <c r="K175" s="550">
        <v>0</v>
      </c>
      <c r="L175" s="550"/>
      <c r="M175" s="1373">
        <f>VLOOKUP(B175,[6]Sheet1!$D:$M,10,0)</f>
        <v>-2792845.75999999</v>
      </c>
      <c r="N175" s="550">
        <f t="shared" si="10"/>
        <v>-1525201.24000001</v>
      </c>
      <c r="U175" s="551"/>
      <c r="V175" s="1013"/>
    </row>
    <row r="176" spans="1:23" hidden="1" x14ac:dyDescent="0.25">
      <c r="A176" s="1199" t="s">
        <v>154</v>
      </c>
      <c r="B176" s="1199">
        <v>21100003</v>
      </c>
      <c r="C176" s="1195">
        <v>5</v>
      </c>
      <c r="D176" s="1199" t="s">
        <v>152</v>
      </c>
      <c r="E176" s="1196" t="s">
        <v>1297</v>
      </c>
      <c r="F176" s="1196" t="s">
        <v>1297</v>
      </c>
      <c r="G176" s="550">
        <f>IFERROR(VLOOKUP(B176,[5]Sheet1!$C:$M,8,0),0)</f>
        <v>1566032.27</v>
      </c>
      <c r="H176" s="550">
        <f>IFERROR(VLOOKUP(B176,[5]Sheet1!$C:$M,9,0),0)</f>
        <v>0</v>
      </c>
      <c r="I176" s="1201">
        <f t="shared" si="9"/>
        <v>1566032.27</v>
      </c>
      <c r="J176" s="550">
        <v>0</v>
      </c>
      <c r="K176" s="550">
        <v>0</v>
      </c>
      <c r="L176" s="550"/>
      <c r="M176" s="1373">
        <f>VLOOKUP(B176,[6]Sheet1!$D:$M,10,0)</f>
        <v>1538643.27</v>
      </c>
      <c r="N176" s="550">
        <f t="shared" si="10"/>
        <v>27389</v>
      </c>
      <c r="U176" s="551"/>
      <c r="V176" s="1013"/>
    </row>
    <row r="177" spans="1:22" x14ac:dyDescent="0.25">
      <c r="A177" s="1199" t="s">
        <v>717</v>
      </c>
      <c r="B177" s="1199">
        <v>30000009</v>
      </c>
      <c r="C177" s="1195">
        <v>20</v>
      </c>
      <c r="D177" s="1199" t="s">
        <v>754</v>
      </c>
      <c r="E177" s="1199" t="s">
        <v>755</v>
      </c>
      <c r="F177" s="1196" t="s">
        <v>1298</v>
      </c>
      <c r="G177" s="550">
        <f>IFERROR(VLOOKUP(B177,[5]Sheet1!$C:$M,8,0),0)</f>
        <v>0</v>
      </c>
      <c r="H177" s="550">
        <f>IFERROR(VLOOKUP(B177,[5]Sheet1!$C:$M,9,0),0)</f>
        <v>0</v>
      </c>
      <c r="I177" s="1201">
        <f t="shared" si="9"/>
        <v>0</v>
      </c>
      <c r="J177" s="550">
        <v>0</v>
      </c>
      <c r="K177" s="550">
        <v>0</v>
      </c>
      <c r="L177" s="550"/>
      <c r="M177" s="1373" t="e">
        <f>VLOOKUP(B177,[6]Sheet1!$D:$M,10,0)</f>
        <v>#N/A</v>
      </c>
      <c r="N177" s="550" t="e">
        <f t="shared" si="10"/>
        <v>#N/A</v>
      </c>
      <c r="Q177" s="1011" t="e">
        <f>VLOOKUP(B177,[7]!Table1[GLAccountNo],1,0)</f>
        <v>#REF!</v>
      </c>
      <c r="U177" s="551"/>
      <c r="V177" s="1013"/>
    </row>
    <row r="178" spans="1:22" hidden="1" x14ac:dyDescent="0.25">
      <c r="A178" s="1199" t="s">
        <v>717</v>
      </c>
      <c r="B178" s="1199">
        <v>30100003</v>
      </c>
      <c r="C178" s="1195">
        <v>21</v>
      </c>
      <c r="D178" s="1199" t="s">
        <v>45</v>
      </c>
      <c r="E178" s="1199" t="s">
        <v>759</v>
      </c>
      <c r="F178" s="1196" t="s">
        <v>1299</v>
      </c>
      <c r="G178" s="550">
        <f>IFERROR(VLOOKUP(B178,[5]Sheet1!$C:$M,8,0),0)</f>
        <v>0</v>
      </c>
      <c r="H178" s="550">
        <f>IFERROR(VLOOKUP(B178,[5]Sheet1!$C:$M,9,0),0)</f>
        <v>0</v>
      </c>
      <c r="I178" s="1201">
        <f t="shared" si="9"/>
        <v>0</v>
      </c>
      <c r="J178" s="550">
        <v>0</v>
      </c>
      <c r="K178" s="550">
        <v>0</v>
      </c>
      <c r="L178" s="550"/>
      <c r="M178" s="1373" t="e">
        <f>VLOOKUP(B178,[6]Sheet1!$D:$M,10,0)</f>
        <v>#N/A</v>
      </c>
      <c r="N178" s="550" t="e">
        <f t="shared" si="10"/>
        <v>#N/A</v>
      </c>
      <c r="Q178" s="1011" t="e">
        <f>VLOOKUP(B178,[7]!Table1[GLAccountNo],1,0)</f>
        <v>#REF!</v>
      </c>
      <c r="U178" s="551"/>
      <c r="V178" s="1013"/>
    </row>
    <row r="179" spans="1:22" hidden="1" x14ac:dyDescent="0.25">
      <c r="A179" s="1199" t="s">
        <v>717</v>
      </c>
      <c r="B179" s="1199">
        <v>30100008</v>
      </c>
      <c r="C179" s="1195">
        <v>21</v>
      </c>
      <c r="D179" s="1199" t="s">
        <v>45</v>
      </c>
      <c r="E179" s="1199" t="s">
        <v>760</v>
      </c>
      <c r="F179" s="1196" t="s">
        <v>1300</v>
      </c>
      <c r="G179" s="550">
        <f>IFERROR(VLOOKUP(B179,[5]Sheet1!$C:$M,8,0),0)</f>
        <v>0</v>
      </c>
      <c r="H179" s="550">
        <f>IFERROR(VLOOKUP(B179,[5]Sheet1!$C:$M,9,0),0)</f>
        <v>0</v>
      </c>
      <c r="I179" s="1201">
        <f t="shared" si="9"/>
        <v>0</v>
      </c>
      <c r="J179" s="550">
        <v>0</v>
      </c>
      <c r="K179" s="550">
        <v>0</v>
      </c>
      <c r="L179" s="550"/>
      <c r="M179" s="1373" t="e">
        <f>VLOOKUP(B179,[6]Sheet1!$D:$M,10,0)</f>
        <v>#N/A</v>
      </c>
      <c r="N179" s="550" t="e">
        <f t="shared" si="10"/>
        <v>#N/A</v>
      </c>
      <c r="Q179" s="1011" t="e">
        <f>VLOOKUP(B179,[7]!Table1[GLAccountNo],1,0)</f>
        <v>#REF!</v>
      </c>
      <c r="U179" s="551"/>
      <c r="V179" s="1013"/>
    </row>
    <row r="180" spans="1:22" hidden="1" x14ac:dyDescent="0.25">
      <c r="A180" s="1199" t="s">
        <v>97</v>
      </c>
      <c r="B180" s="1199">
        <v>40100012</v>
      </c>
      <c r="C180" s="1195">
        <v>22</v>
      </c>
      <c r="D180" s="1199" t="s">
        <v>160</v>
      </c>
      <c r="E180" s="1199" t="s">
        <v>761</v>
      </c>
      <c r="F180" s="1196" t="s">
        <v>1301</v>
      </c>
      <c r="G180" s="550">
        <f>IFERROR(VLOOKUP(B180,[5]Sheet1!$C:$M,8,0),0)</f>
        <v>5443609.1600000001</v>
      </c>
      <c r="H180" s="550">
        <f>IFERROR(VLOOKUP(B180,[5]Sheet1!$C:$M,9,0),0)</f>
        <v>0</v>
      </c>
      <c r="I180" s="1201">
        <f t="shared" si="9"/>
        <v>5443609.1600000001</v>
      </c>
      <c r="J180" s="550">
        <v>0</v>
      </c>
      <c r="K180" s="550">
        <v>0</v>
      </c>
      <c r="L180" s="550"/>
      <c r="M180" s="1373">
        <f>VLOOKUP(B180,[6]Sheet1!$D:$M,10,0)</f>
        <v>565430</v>
      </c>
      <c r="N180" s="550">
        <f t="shared" si="10"/>
        <v>4878179.16</v>
      </c>
      <c r="O180" s="1012">
        <f>VLOOKUP(B180,'[9]TB BVS 30.11.25'!$B:$I,8,0)</f>
        <v>3526119.16</v>
      </c>
      <c r="Q180" s="1013">
        <f t="shared" ref="Q180:Q181" si="12">I180-O180</f>
        <v>1917490</v>
      </c>
      <c r="U180" s="551"/>
      <c r="V180" s="1013"/>
    </row>
    <row r="181" spans="1:22" hidden="1" x14ac:dyDescent="0.25">
      <c r="A181" s="1199" t="s">
        <v>97</v>
      </c>
      <c r="B181" s="1199">
        <v>40100014</v>
      </c>
      <c r="C181" s="1195">
        <v>22</v>
      </c>
      <c r="D181" s="1199" t="s">
        <v>160</v>
      </c>
      <c r="E181" s="1199" t="s">
        <v>761</v>
      </c>
      <c r="F181" s="1196" t="s">
        <v>1302</v>
      </c>
      <c r="G181" s="550">
        <f>IFERROR(VLOOKUP(B181,[5]Sheet1!$C:$M,8,0),0)</f>
        <v>0</v>
      </c>
      <c r="H181" s="550">
        <f>IFERROR(VLOOKUP(B181,[5]Sheet1!$C:$M,9,0),0)</f>
        <v>-220201937.25999901</v>
      </c>
      <c r="I181" s="1201">
        <f t="shared" si="9"/>
        <v>-220201937.25999901</v>
      </c>
      <c r="J181" s="550">
        <v>0</v>
      </c>
      <c r="K181" s="550">
        <v>0</v>
      </c>
      <c r="L181" s="1398"/>
      <c r="M181" s="1373" t="e">
        <f>VLOOKUP(B181,[6]Sheet1!$D:$M,10,0)</f>
        <v>#N/A</v>
      </c>
      <c r="N181" s="550" t="e">
        <f t="shared" si="10"/>
        <v>#N/A</v>
      </c>
      <c r="O181" s="1012">
        <f>VLOOKUP(B181,'[9]TB BVS 30.11.25'!$B:$I,8,0)</f>
        <v>-14527437</v>
      </c>
      <c r="Q181" s="1013">
        <f t="shared" si="12"/>
        <v>-205674500.25999901</v>
      </c>
      <c r="R181" s="1411">
        <v>18995242</v>
      </c>
      <c r="U181" s="551"/>
      <c r="V181" s="1013"/>
    </row>
    <row r="182" spans="1:22" hidden="1" x14ac:dyDescent="0.25">
      <c r="A182" s="1199" t="s">
        <v>97</v>
      </c>
      <c r="B182" s="1199">
        <v>40300003</v>
      </c>
      <c r="C182" s="1195">
        <v>24</v>
      </c>
      <c r="D182" s="1199" t="s">
        <v>198</v>
      </c>
      <c r="E182" s="1199" t="s">
        <v>833</v>
      </c>
      <c r="F182" s="1196" t="s">
        <v>1303</v>
      </c>
      <c r="G182" s="550">
        <f>IFERROR(VLOOKUP(B182,[5]Sheet1!$C:$M,8,0),0)</f>
        <v>197503</v>
      </c>
      <c r="H182" s="550">
        <f>IFERROR(VLOOKUP(B182,[5]Sheet1!$C:$M,9,0),0)</f>
        <v>0</v>
      </c>
      <c r="I182" s="1201">
        <f t="shared" si="9"/>
        <v>197503</v>
      </c>
      <c r="J182" s="550">
        <v>0</v>
      </c>
      <c r="K182" s="550">
        <v>0</v>
      </c>
      <c r="L182" s="550"/>
      <c r="M182" s="1373">
        <f>VLOOKUP(B182,[6]Sheet1!$D:$M,10,0)</f>
        <v>40111</v>
      </c>
      <c r="N182" s="550">
        <f t="shared" si="10"/>
        <v>157392</v>
      </c>
      <c r="O182" s="1396">
        <f>VLOOKUP(B182,'[10]TB BVS 30.6.25'!$B:$I,8,0)</f>
        <v>40111</v>
      </c>
      <c r="P182" s="1397" t="e">
        <v>#N/A</v>
      </c>
      <c r="Q182" s="1011" t="e">
        <f>VLOOKUP(B182,[7]!Table1[GLAccountNo],1,0)</f>
        <v>#REF!</v>
      </c>
      <c r="U182" s="551"/>
      <c r="V182" s="1013"/>
    </row>
    <row r="183" spans="1:22" hidden="1" x14ac:dyDescent="0.25">
      <c r="A183" s="1199" t="s">
        <v>97</v>
      </c>
      <c r="B183" s="1199">
        <v>40300005</v>
      </c>
      <c r="C183" s="1195">
        <v>24</v>
      </c>
      <c r="D183" s="1199" t="s">
        <v>198</v>
      </c>
      <c r="E183" s="1199" t="s">
        <v>1669</v>
      </c>
      <c r="F183" s="1196" t="s">
        <v>1304</v>
      </c>
      <c r="G183" s="550">
        <f>IFERROR(VLOOKUP(B183,[5]Sheet1!$C:$M,8,0),0)</f>
        <v>3889137</v>
      </c>
      <c r="H183" s="550">
        <f>IFERROR(VLOOKUP(B183,[5]Sheet1!$C:$M,9,0),0)</f>
        <v>0</v>
      </c>
      <c r="I183" s="1201">
        <f t="shared" si="9"/>
        <v>3889137</v>
      </c>
      <c r="J183" s="550">
        <v>0</v>
      </c>
      <c r="K183" s="550">
        <v>0</v>
      </c>
      <c r="L183" s="550"/>
      <c r="M183" s="1373">
        <f>VLOOKUP(B183,[6]Sheet1!$D:$M,10,0)</f>
        <v>750000</v>
      </c>
      <c r="N183" s="550">
        <f t="shared" si="10"/>
        <v>3139137</v>
      </c>
      <c r="O183" s="1396">
        <f>VLOOKUP(B183,'[10]TB BVS 30.6.25'!$B:$I,8,0)</f>
        <v>750000</v>
      </c>
      <c r="P183" s="1397" t="e">
        <v>#N/A</v>
      </c>
      <c r="Q183" s="1011" t="e">
        <f>VLOOKUP(B183,[7]!Table1[GLAccountNo],1,0)</f>
        <v>#REF!</v>
      </c>
      <c r="U183" s="551"/>
      <c r="V183" s="1417"/>
    </row>
    <row r="184" spans="1:22" hidden="1" x14ac:dyDescent="0.25">
      <c r="A184" s="1199" t="s">
        <v>97</v>
      </c>
      <c r="B184" s="1199">
        <v>40300006</v>
      </c>
      <c r="C184" s="1195">
        <v>24</v>
      </c>
      <c r="D184" s="1199" t="s">
        <v>198</v>
      </c>
      <c r="E184" s="1199" t="s">
        <v>833</v>
      </c>
      <c r="F184" s="1196" t="s">
        <v>1305</v>
      </c>
      <c r="G184" s="550">
        <f>IFERROR(VLOOKUP(B184,[5]Sheet1!$C:$M,8,0),0)</f>
        <v>4893955</v>
      </c>
      <c r="H184" s="550">
        <f>IFERROR(VLOOKUP(B184,[5]Sheet1!$C:$M,9,0),0)</f>
        <v>0</v>
      </c>
      <c r="I184" s="1201">
        <f t="shared" si="9"/>
        <v>4893955</v>
      </c>
      <c r="J184" s="550">
        <v>0</v>
      </c>
      <c r="K184" s="550">
        <v>0</v>
      </c>
      <c r="L184" s="550"/>
      <c r="M184" s="1373">
        <f>VLOOKUP(B184,[6]Sheet1!$D:$M,10,0)</f>
        <v>996912</v>
      </c>
      <c r="N184" s="550">
        <f t="shared" si="10"/>
        <v>3897043</v>
      </c>
      <c r="O184" s="1396">
        <f>VLOOKUP(B184,'[10]TB BVS 30.6.25'!$B:$I,8,0)</f>
        <v>996912</v>
      </c>
      <c r="P184" s="1397" t="e">
        <v>#N/A</v>
      </c>
      <c r="Q184" s="1011" t="e">
        <f>VLOOKUP(B184,[7]!Table1[GLAccountNo],1,0)</f>
        <v>#REF!</v>
      </c>
      <c r="U184" s="551"/>
      <c r="V184" s="1013"/>
    </row>
    <row r="185" spans="1:22" hidden="1" x14ac:dyDescent="0.25">
      <c r="A185" s="1199" t="s">
        <v>97</v>
      </c>
      <c r="B185" s="1199">
        <v>40300008</v>
      </c>
      <c r="C185" s="1195">
        <v>24</v>
      </c>
      <c r="D185" s="1199" t="s">
        <v>198</v>
      </c>
      <c r="E185" s="1199" t="s">
        <v>1669</v>
      </c>
      <c r="F185" s="1196" t="s">
        <v>1306</v>
      </c>
      <c r="G185" s="550">
        <f>IFERROR(VLOOKUP(B185,[5]Sheet1!$C:$M,8,0),0)</f>
        <v>50566.51</v>
      </c>
      <c r="H185" s="550">
        <f>IFERROR(VLOOKUP(B185,[5]Sheet1!$C:$M,9,0),0)</f>
        <v>0</v>
      </c>
      <c r="I185" s="1201">
        <f t="shared" si="9"/>
        <v>50566.51</v>
      </c>
      <c r="J185" s="550">
        <v>0</v>
      </c>
      <c r="K185" s="550">
        <v>0</v>
      </c>
      <c r="L185" s="550"/>
      <c r="M185" s="1373">
        <f>VLOOKUP(B185,[6]Sheet1!$D:$M,10,0)</f>
        <v>10173.77</v>
      </c>
      <c r="N185" s="550">
        <f t="shared" si="10"/>
        <v>40392.740000000005</v>
      </c>
      <c r="O185" s="1396">
        <f>VLOOKUP(B185,'[10]TB BVS 30.6.25'!$B:$I,8,0)</f>
        <v>10173.77</v>
      </c>
      <c r="P185" s="1397" t="e">
        <v>#N/A</v>
      </c>
      <c r="Q185" s="1011" t="e">
        <f>VLOOKUP(B185,[7]!Table1[GLAccountNo],1,0)</f>
        <v>#REF!</v>
      </c>
      <c r="U185" s="551"/>
      <c r="V185" s="1013"/>
    </row>
    <row r="186" spans="1:22" hidden="1" x14ac:dyDescent="0.25">
      <c r="A186" s="1199" t="s">
        <v>97</v>
      </c>
      <c r="B186" s="1199">
        <v>40300011</v>
      </c>
      <c r="C186" s="1195">
        <v>24</v>
      </c>
      <c r="D186" s="1199" t="s">
        <v>198</v>
      </c>
      <c r="E186" s="1199" t="s">
        <v>1669</v>
      </c>
      <c r="F186" s="1196" t="s">
        <v>1307</v>
      </c>
      <c r="G186" s="550">
        <f>IFERROR(VLOOKUP(B186,[5]Sheet1!$C:$M,8,0),0)</f>
        <v>19119475.48</v>
      </c>
      <c r="H186" s="550">
        <f>IFERROR(VLOOKUP(B186,[5]Sheet1!$C:$M,9,0),0)</f>
        <v>0</v>
      </c>
      <c r="I186" s="1201">
        <f t="shared" si="9"/>
        <v>19119475.48</v>
      </c>
      <c r="J186" s="550">
        <v>0</v>
      </c>
      <c r="K186" s="550">
        <v>0</v>
      </c>
      <c r="L186" s="550"/>
      <c r="M186" s="1373">
        <f>VLOOKUP(B186,[6]Sheet1!$D:$M,10,0)</f>
        <v>4202924.3899999904</v>
      </c>
      <c r="N186" s="550">
        <f t="shared" si="10"/>
        <v>14916551.090000011</v>
      </c>
      <c r="O186" s="1396">
        <f>VLOOKUP(B186,'[10]TB BVS 30.6.25'!$B:$I,8,0)</f>
        <v>4202924.3899999904</v>
      </c>
      <c r="P186" s="1397" t="e">
        <v>#N/A</v>
      </c>
      <c r="Q186" s="1011" t="e">
        <f>VLOOKUP(B186,[7]!Table1[GLAccountNo],1,0)</f>
        <v>#REF!</v>
      </c>
      <c r="U186" s="551"/>
      <c r="V186" s="1013"/>
    </row>
    <row r="187" spans="1:22" hidden="1" x14ac:dyDescent="0.25">
      <c r="A187" s="1199" t="s">
        <v>97</v>
      </c>
      <c r="B187" s="1199">
        <v>40300015</v>
      </c>
      <c r="C187" s="1195">
        <v>24</v>
      </c>
      <c r="D187" s="1199" t="s">
        <v>198</v>
      </c>
      <c r="E187" s="1199" t="s">
        <v>199</v>
      </c>
      <c r="F187" s="1196" t="s">
        <v>1308</v>
      </c>
      <c r="G187" s="550">
        <f>IFERROR(VLOOKUP(B187,[5]Sheet1!$C:$M,8,0),0)</f>
        <v>1439753.55</v>
      </c>
      <c r="H187" s="550">
        <f>IFERROR(VLOOKUP(B187,[5]Sheet1!$C:$M,9,0),0)</f>
        <v>0</v>
      </c>
      <c r="I187" s="1201">
        <f t="shared" si="9"/>
        <v>1439753.55</v>
      </c>
      <c r="J187" s="550">
        <v>0</v>
      </c>
      <c r="K187" s="550">
        <v>0</v>
      </c>
      <c r="L187" s="550"/>
      <c r="M187" s="1373">
        <f>VLOOKUP(B187,[6]Sheet1!$D:$M,10,0)</f>
        <v>160975.299999999</v>
      </c>
      <c r="N187" s="550">
        <f t="shared" si="10"/>
        <v>1278778.2500000009</v>
      </c>
      <c r="O187" s="1396">
        <f>VLOOKUP(B187,'[10]TB BVS 30.6.25'!$B:$I,8,0)</f>
        <v>160975.299999999</v>
      </c>
      <c r="P187" s="1397" t="e">
        <v>#N/A</v>
      </c>
      <c r="Q187" s="1011" t="e">
        <f>VLOOKUP(B187,[7]!Table1[GLAccountNo],1,0)</f>
        <v>#REF!</v>
      </c>
      <c r="U187" s="551"/>
      <c r="V187" s="1013"/>
    </row>
    <row r="188" spans="1:22" hidden="1" x14ac:dyDescent="0.25">
      <c r="A188" s="1199" t="s">
        <v>97</v>
      </c>
      <c r="B188" s="1199">
        <v>40300016</v>
      </c>
      <c r="C188" s="1195">
        <v>24</v>
      </c>
      <c r="D188" s="1199" t="s">
        <v>198</v>
      </c>
      <c r="E188" s="1199" t="s">
        <v>1669</v>
      </c>
      <c r="F188" s="1196" t="s">
        <v>1309</v>
      </c>
      <c r="G188" s="550">
        <f>IFERROR(VLOOKUP(B188,[5]Sheet1!$C:$M,8,0),0)</f>
        <v>24334274.73</v>
      </c>
      <c r="H188" s="550">
        <f>IFERROR(VLOOKUP(B188,[5]Sheet1!$C:$M,9,0),0)</f>
        <v>0</v>
      </c>
      <c r="I188" s="1201">
        <f t="shared" si="9"/>
        <v>24334274.73</v>
      </c>
      <c r="J188" s="550">
        <v>0</v>
      </c>
      <c r="K188" s="550">
        <v>0</v>
      </c>
      <c r="L188" s="550"/>
      <c r="M188" s="1373">
        <f>VLOOKUP(B188,[6]Sheet1!$D:$M,10,0)</f>
        <v>5284715.3600000003</v>
      </c>
      <c r="N188" s="550">
        <f t="shared" si="10"/>
        <v>19049559.370000001</v>
      </c>
      <c r="O188" s="1396">
        <f>VLOOKUP(B188,'[10]TB BVS 30.6.25'!$B:$I,8,0)</f>
        <v>5284715.3600000003</v>
      </c>
      <c r="P188" s="1397" t="e">
        <v>#N/A</v>
      </c>
      <c r="Q188" s="1011" t="e">
        <f>VLOOKUP(B188,[7]!Table1[GLAccountNo],1,0)</f>
        <v>#REF!</v>
      </c>
      <c r="U188" s="551"/>
      <c r="V188" s="1013"/>
    </row>
    <row r="189" spans="1:22" hidden="1" x14ac:dyDescent="0.25">
      <c r="A189" s="1199" t="s">
        <v>97</v>
      </c>
      <c r="B189" s="1199">
        <v>40300019</v>
      </c>
      <c r="C189" s="1195">
        <v>24</v>
      </c>
      <c r="D189" s="1199" t="s">
        <v>198</v>
      </c>
      <c r="E189" s="1199" t="s">
        <v>1669</v>
      </c>
      <c r="F189" s="1196" t="s">
        <v>1310</v>
      </c>
      <c r="G189" s="550">
        <f>IFERROR(VLOOKUP(B189,[5]Sheet1!$C:$M,8,0),0)</f>
        <v>933677.42</v>
      </c>
      <c r="H189" s="550">
        <f>IFERROR(VLOOKUP(B189,[5]Sheet1!$C:$M,9,0),0)</f>
        <v>0</v>
      </c>
      <c r="I189" s="1201">
        <f t="shared" si="9"/>
        <v>933677.42</v>
      </c>
      <c r="J189" s="550">
        <v>0</v>
      </c>
      <c r="K189" s="550">
        <v>0</v>
      </c>
      <c r="L189" s="550"/>
      <c r="M189" s="1373">
        <f>VLOOKUP(B189,[6]Sheet1!$D:$M,10,0)</f>
        <v>144000</v>
      </c>
      <c r="N189" s="550">
        <f t="shared" si="10"/>
        <v>789677.42</v>
      </c>
      <c r="O189" s="1396">
        <f>VLOOKUP(B189,'[10]TB BVS 30.6.25'!$B:$I,8,0)</f>
        <v>144000</v>
      </c>
      <c r="P189" s="1397" t="e">
        <v>#N/A</v>
      </c>
      <c r="Q189" s="1011" t="e">
        <f>VLOOKUP(B189,[7]!Table1[GLAccountNo],1,0)</f>
        <v>#REF!</v>
      </c>
      <c r="U189" s="551"/>
      <c r="V189" s="1013"/>
    </row>
    <row r="190" spans="1:22" hidden="1" x14ac:dyDescent="0.25">
      <c r="A190" s="1199" t="s">
        <v>97</v>
      </c>
      <c r="B190" s="1199">
        <v>40300024</v>
      </c>
      <c r="C190" s="1195">
        <v>24</v>
      </c>
      <c r="D190" s="1199" t="s">
        <v>198</v>
      </c>
      <c r="E190" s="1199" t="s">
        <v>1669</v>
      </c>
      <c r="F190" s="1196" t="s">
        <v>1311</v>
      </c>
      <c r="G190" s="550">
        <f>IFERROR(VLOOKUP(B190,[5]Sheet1!$C:$M,8,0),0)</f>
        <v>3672463</v>
      </c>
      <c r="H190" s="550">
        <f>IFERROR(VLOOKUP(B190,[5]Sheet1!$C:$M,9,0),0)</f>
        <v>0</v>
      </c>
      <c r="I190" s="1201">
        <f t="shared" si="9"/>
        <v>3672463</v>
      </c>
      <c r="J190" s="550">
        <v>0</v>
      </c>
      <c r="K190" s="550">
        <v>0</v>
      </c>
      <c r="L190" s="550"/>
      <c r="M190" s="1373">
        <f>VLOOKUP(B190,[6]Sheet1!$D:$M,10,0)</f>
        <v>603695</v>
      </c>
      <c r="N190" s="550">
        <f t="shared" si="10"/>
        <v>3068768</v>
      </c>
      <c r="O190" s="1396">
        <f>VLOOKUP(B190,'[10]TB BVS 30.6.25'!$B:$I,8,0)</f>
        <v>603695</v>
      </c>
      <c r="P190" s="1397" t="e">
        <v>#N/A</v>
      </c>
      <c r="Q190" s="1011" t="e">
        <f>VLOOKUP(B190,[7]!Table1[GLAccountNo],1,0)</f>
        <v>#REF!</v>
      </c>
      <c r="U190" s="551"/>
      <c r="V190" s="1013"/>
    </row>
    <row r="191" spans="1:22" hidden="1" x14ac:dyDescent="0.25">
      <c r="A191" s="1199" t="s">
        <v>97</v>
      </c>
      <c r="B191" s="1199">
        <v>40400001</v>
      </c>
      <c r="C191" s="1195">
        <v>26</v>
      </c>
      <c r="D191" s="1199" t="s">
        <v>194</v>
      </c>
      <c r="E191" s="1199" t="s">
        <v>203</v>
      </c>
      <c r="F191" s="1196" t="s">
        <v>512</v>
      </c>
      <c r="G191" s="550">
        <f>IFERROR(VLOOKUP(B191,[5]Sheet1!$C:$M,8,0),0)</f>
        <v>1476697.85</v>
      </c>
      <c r="H191" s="550">
        <f>IFERROR(VLOOKUP(B191,[5]Sheet1!$C:$M,9,0),0)</f>
        <v>0</v>
      </c>
      <c r="I191" s="1201">
        <f t="shared" si="9"/>
        <v>1476697.85</v>
      </c>
      <c r="J191" s="550">
        <v>0</v>
      </c>
      <c r="K191" s="550">
        <v>0</v>
      </c>
      <c r="L191" s="550"/>
      <c r="M191" s="1373">
        <f>VLOOKUP(B191,[6]Sheet1!$D:$M,10,0)</f>
        <v>476438.5</v>
      </c>
      <c r="N191" s="550">
        <f t="shared" si="10"/>
        <v>1000259.3500000001</v>
      </c>
      <c r="Q191" s="1011" t="e">
        <f>VLOOKUP(B191,[7]!Table1[GLAccountNo],1,0)</f>
        <v>#REF!</v>
      </c>
      <c r="U191" s="551"/>
      <c r="V191" s="1013"/>
    </row>
    <row r="192" spans="1:22" hidden="1" x14ac:dyDescent="0.25">
      <c r="A192" s="1199" t="s">
        <v>97</v>
      </c>
      <c r="B192" s="1199">
        <v>40400008</v>
      </c>
      <c r="C192" s="1195">
        <v>25</v>
      </c>
      <c r="D192" s="1199" t="s">
        <v>202</v>
      </c>
      <c r="E192" s="1199" t="s">
        <v>151</v>
      </c>
      <c r="F192" s="1196" t="s">
        <v>1312</v>
      </c>
      <c r="G192" s="550">
        <f>IFERROR(VLOOKUP(B192,[5]Sheet1!$C:$M,8,0),0)</f>
        <v>10196544</v>
      </c>
      <c r="H192" s="550">
        <f>IFERROR(VLOOKUP(B192,[5]Sheet1!$C:$M,9,0),0)</f>
        <v>0</v>
      </c>
      <c r="I192" s="1201">
        <f t="shared" si="9"/>
        <v>10196544</v>
      </c>
      <c r="J192" s="550">
        <v>0</v>
      </c>
      <c r="K192" s="550">
        <v>0</v>
      </c>
      <c r="L192" s="550"/>
      <c r="M192" s="1373">
        <f>VLOOKUP(B192,[6]Sheet1!$D:$M,10,0)</f>
        <v>397443.76</v>
      </c>
      <c r="N192" s="550">
        <f t="shared" si="10"/>
        <v>9799100.2400000002</v>
      </c>
      <c r="Q192" s="1011" t="e">
        <f>VLOOKUP(B192,[7]!Table1[GLAccountNo],1,0)</f>
        <v>#REF!</v>
      </c>
      <c r="U192" s="551"/>
      <c r="V192" s="1013"/>
    </row>
    <row r="193" spans="1:29" hidden="1" x14ac:dyDescent="0.25">
      <c r="A193" s="1199" t="s">
        <v>97</v>
      </c>
      <c r="B193" s="1199">
        <v>40700000</v>
      </c>
      <c r="C193" s="1195">
        <v>26</v>
      </c>
      <c r="D193" s="1199" t="s">
        <v>194</v>
      </c>
      <c r="E193" s="1199" t="s">
        <v>1320</v>
      </c>
      <c r="F193" s="1196" t="s">
        <v>516</v>
      </c>
      <c r="G193" s="550">
        <f>IFERROR(VLOOKUP(B193,[5]Sheet1!$C:$M,8,0),0)</f>
        <v>30939036.170000002</v>
      </c>
      <c r="H193" s="550">
        <f>IFERROR(VLOOKUP(B193,[5]Sheet1!$C:$M,9,0),0)</f>
        <v>0</v>
      </c>
      <c r="I193" s="1201">
        <f t="shared" si="9"/>
        <v>30939036.170000002</v>
      </c>
      <c r="J193" s="550">
        <v>0</v>
      </c>
      <c r="K193" s="550">
        <v>0</v>
      </c>
      <c r="L193" s="550"/>
      <c r="M193" s="1373">
        <f>VLOOKUP(B193,[6]Sheet1!$D:$M,10,0)</f>
        <v>4359565.57</v>
      </c>
      <c r="N193" s="550">
        <f t="shared" si="10"/>
        <v>26579470.600000001</v>
      </c>
      <c r="Q193" s="1011" t="e">
        <f>VLOOKUP(B193,[7]!Table1[GLAccountNo],1,0)</f>
        <v>#REF!</v>
      </c>
      <c r="U193" s="551"/>
      <c r="V193" s="1013"/>
    </row>
    <row r="194" spans="1:29" hidden="1" x14ac:dyDescent="0.25">
      <c r="A194" s="1199" t="s">
        <v>97</v>
      </c>
      <c r="B194" s="1199">
        <v>40700009</v>
      </c>
      <c r="C194" s="1195">
        <v>26</v>
      </c>
      <c r="D194" s="1199" t="s">
        <v>194</v>
      </c>
      <c r="E194" s="1199" t="s">
        <v>1206</v>
      </c>
      <c r="F194" s="1196" t="s">
        <v>1313</v>
      </c>
      <c r="G194" s="550">
        <f>IFERROR(VLOOKUP(B194,[5]Sheet1!$C:$M,8,0),0)</f>
        <v>576000</v>
      </c>
      <c r="H194" s="550">
        <f>IFERROR(VLOOKUP(B194,[5]Sheet1!$C:$M,9,0),0)</f>
        <v>0</v>
      </c>
      <c r="I194" s="1201">
        <f t="shared" si="9"/>
        <v>576000</v>
      </c>
      <c r="J194" s="550">
        <v>0</v>
      </c>
      <c r="K194" s="550">
        <v>0</v>
      </c>
      <c r="L194" s="550"/>
      <c r="M194" s="1373" t="e">
        <f>VLOOKUP(B194,[6]Sheet1!$D:$M,10,0)</f>
        <v>#N/A</v>
      </c>
      <c r="N194" s="550" t="e">
        <f t="shared" si="10"/>
        <v>#N/A</v>
      </c>
      <c r="Q194" s="1011" t="e">
        <f>VLOOKUP(B194,[7]!Table1[GLAccountNo],1,0)</f>
        <v>#REF!</v>
      </c>
      <c r="U194" s="551"/>
      <c r="V194" s="1013"/>
    </row>
    <row r="195" spans="1:29" hidden="1" x14ac:dyDescent="0.25">
      <c r="A195" s="1199" t="s">
        <v>97</v>
      </c>
      <c r="B195" s="1199">
        <v>40700018</v>
      </c>
      <c r="C195" s="1195">
        <v>26</v>
      </c>
      <c r="D195" s="1199" t="s">
        <v>194</v>
      </c>
      <c r="E195" s="1199" t="s">
        <v>1711</v>
      </c>
      <c r="F195" s="1196" t="s">
        <v>1314</v>
      </c>
      <c r="G195" s="550">
        <f>IFERROR(VLOOKUP(B195,[5]Sheet1!$C:$M,8,0),0)</f>
        <v>18610295.100000001</v>
      </c>
      <c r="H195" s="550">
        <f>IFERROR(VLOOKUP(B195,[5]Sheet1!$C:$M,9,0),0)</f>
        <v>0</v>
      </c>
      <c r="I195" s="1201">
        <f t="shared" si="9"/>
        <v>18610295.100000001</v>
      </c>
      <c r="J195" s="550">
        <v>0</v>
      </c>
      <c r="K195" s="550">
        <v>0</v>
      </c>
      <c r="L195" s="550"/>
      <c r="M195" s="1373">
        <f>VLOOKUP(B195,[6]Sheet1!$D:$M,10,0)</f>
        <v>3454217</v>
      </c>
      <c r="N195" s="550">
        <f t="shared" si="10"/>
        <v>15156078.100000001</v>
      </c>
      <c r="Q195" s="1011" t="e">
        <f>VLOOKUP(B195,[7]!Table1[GLAccountNo],1,0)</f>
        <v>#REF!</v>
      </c>
      <c r="U195" s="551"/>
      <c r="V195" s="1013"/>
    </row>
    <row r="196" spans="1:29" hidden="1" x14ac:dyDescent="0.25">
      <c r="A196" s="1199" t="s">
        <v>97</v>
      </c>
      <c r="B196" s="1199">
        <v>40700020</v>
      </c>
      <c r="C196" s="1195">
        <v>26</v>
      </c>
      <c r="D196" s="1199" t="s">
        <v>194</v>
      </c>
      <c r="E196" s="1199" t="s">
        <v>196</v>
      </c>
      <c r="F196" s="1196" t="s">
        <v>1315</v>
      </c>
      <c r="G196" s="550">
        <f>IFERROR(VLOOKUP(B196,[5]Sheet1!$C:$M,8,0),0)</f>
        <v>16342675.43</v>
      </c>
      <c r="H196" s="550">
        <f>IFERROR(VLOOKUP(B196,[5]Sheet1!$C:$M,9,0),0)</f>
        <v>0</v>
      </c>
      <c r="I196" s="1201">
        <f t="shared" si="9"/>
        <v>16342675.43</v>
      </c>
      <c r="J196" s="550">
        <v>0</v>
      </c>
      <c r="K196" s="550">
        <v>0</v>
      </c>
      <c r="L196" s="1393"/>
      <c r="M196" s="1394">
        <f>VLOOKUP(B196,[6]Sheet1!$D:$M,10,0)</f>
        <v>2630634</v>
      </c>
      <c r="N196" s="1393">
        <f t="shared" si="10"/>
        <v>13712041.43</v>
      </c>
      <c r="Q196" s="1011" t="e">
        <f>VLOOKUP(B196,[7]!Table1[GLAccountNo],1,0)</f>
        <v>#REF!</v>
      </c>
      <c r="U196" s="551"/>
      <c r="V196" s="1013"/>
    </row>
    <row r="197" spans="1:29" hidden="1" x14ac:dyDescent="0.25">
      <c r="A197" s="1199" t="s">
        <v>97</v>
      </c>
      <c r="B197" s="1199">
        <v>40700027</v>
      </c>
      <c r="C197" s="1195">
        <v>26</v>
      </c>
      <c r="D197" s="1199" t="s">
        <v>194</v>
      </c>
      <c r="E197" s="1199" t="s">
        <v>200</v>
      </c>
      <c r="F197" s="1196" t="s">
        <v>1316</v>
      </c>
      <c r="G197" s="550">
        <f>IFERROR(VLOOKUP(B197,[5]Sheet1!$C:$M,8,0),0)</f>
        <v>287277.02</v>
      </c>
      <c r="H197" s="550">
        <f>IFERROR(VLOOKUP(B197,[5]Sheet1!$C:$M,9,0),0)</f>
        <v>0</v>
      </c>
      <c r="I197" s="1201">
        <f t="shared" si="9"/>
        <v>287277.02</v>
      </c>
      <c r="J197" s="550">
        <v>0</v>
      </c>
      <c r="K197" s="550">
        <v>0</v>
      </c>
      <c r="L197" s="550"/>
      <c r="M197" s="1373">
        <f>VLOOKUP(B197,[6]Sheet1!$D:$M,10,0)</f>
        <v>60000</v>
      </c>
      <c r="N197" s="550">
        <f t="shared" si="10"/>
        <v>227277.02000000002</v>
      </c>
      <c r="Q197" s="1011" t="e">
        <f>VLOOKUP(B197,[7]!Table1[GLAccountNo],1,0)</f>
        <v>#REF!</v>
      </c>
      <c r="U197" s="551"/>
      <c r="V197" s="1013"/>
    </row>
    <row r="198" spans="1:29" hidden="1" x14ac:dyDescent="0.25">
      <c r="A198" s="1199" t="s">
        <v>97</v>
      </c>
      <c r="B198" s="1199">
        <v>40700032</v>
      </c>
      <c r="C198" s="1195">
        <v>26</v>
      </c>
      <c r="D198" s="1199" t="s">
        <v>194</v>
      </c>
      <c r="E198" s="1199" t="s">
        <v>197</v>
      </c>
      <c r="F198" s="1196" t="s">
        <v>194</v>
      </c>
      <c r="G198" s="550">
        <f>IFERROR(VLOOKUP(B198,[5]Sheet1!$C:$M,8,0),0)</f>
        <v>40487278.25</v>
      </c>
      <c r="H198" s="550">
        <f>IFERROR(VLOOKUP(B198,[5]Sheet1!$C:$M,9,0),0)</f>
        <v>0</v>
      </c>
      <c r="I198" s="1201">
        <f t="shared" si="9"/>
        <v>40487278.25</v>
      </c>
      <c r="J198" s="550">
        <v>0</v>
      </c>
      <c r="K198" s="550">
        <v>0</v>
      </c>
      <c r="L198" s="550"/>
      <c r="M198" s="1373">
        <f>VLOOKUP(B198,[6]Sheet1!$D:$M,10,0)</f>
        <v>175974.92</v>
      </c>
      <c r="N198" s="550">
        <f t="shared" si="10"/>
        <v>40311303.329999998</v>
      </c>
      <c r="Q198" s="1011" t="e">
        <f>VLOOKUP(B198,[7]!Table1[GLAccountNo],1,0)</f>
        <v>#REF!</v>
      </c>
      <c r="U198" s="551"/>
      <c r="V198" s="1013"/>
      <c r="AC198" s="1399"/>
    </row>
    <row r="199" spans="1:29" s="1011" customFormat="1" hidden="1" x14ac:dyDescent="0.25">
      <c r="A199" s="1199" t="s">
        <v>97</v>
      </c>
      <c r="B199" s="1199">
        <v>40700035</v>
      </c>
      <c r="C199" s="1195">
        <v>22</v>
      </c>
      <c r="D199" s="1199" t="s">
        <v>160</v>
      </c>
      <c r="E199" s="1199" t="s">
        <v>761</v>
      </c>
      <c r="F199" s="1196" t="s">
        <v>1317</v>
      </c>
      <c r="G199" s="550">
        <f>IFERROR(VLOOKUP(B199,[5]Sheet1!$C:$M,8,0),0)</f>
        <v>5490938.2300000004</v>
      </c>
      <c r="H199" s="550">
        <f>IFERROR(VLOOKUP(B199,[5]Sheet1!$C:$M,9,0),0)</f>
        <v>0</v>
      </c>
      <c r="I199" s="1201">
        <f t="shared" ref="I199:I231" si="13">G199+H199</f>
        <v>5490938.2300000004</v>
      </c>
      <c r="J199" s="550">
        <v>0</v>
      </c>
      <c r="K199" s="550">
        <v>0</v>
      </c>
      <c r="L199" s="550"/>
      <c r="M199" s="1373">
        <f>VLOOKUP(B199,[6]Sheet1!$D:$M,10,0)</f>
        <v>342683.32</v>
      </c>
      <c r="N199" s="550">
        <f t="shared" ref="N199:N223" si="14">I199-M199</f>
        <v>5148254.91</v>
      </c>
      <c r="O199" s="1012">
        <f>VLOOKUP(B199,'[9]TB BVS 30.11.25'!$B:$I,8,0)</f>
        <v>1808951.59</v>
      </c>
      <c r="P199" s="1013"/>
      <c r="Q199" s="1013">
        <f>I199-O199</f>
        <v>3681986.6400000006</v>
      </c>
      <c r="U199" s="551"/>
      <c r="V199" s="1013"/>
      <c r="W199" s="1013"/>
    </row>
    <row r="200" spans="1:29" s="1382" customFormat="1" hidden="1" x14ac:dyDescent="0.25">
      <c r="A200" s="1421" t="s">
        <v>26</v>
      </c>
      <c r="B200" s="1375">
        <v>10400001</v>
      </c>
      <c r="C200" s="1375">
        <v>16</v>
      </c>
      <c r="D200" s="1375" t="s">
        <v>31</v>
      </c>
      <c r="E200" s="1375" t="s">
        <v>76</v>
      </c>
      <c r="F200" s="1376" t="s">
        <v>1138</v>
      </c>
      <c r="G200" s="1377">
        <v>238523.489999999</v>
      </c>
      <c r="H200" s="1377">
        <v>0</v>
      </c>
      <c r="I200" s="1378">
        <f t="shared" si="13"/>
        <v>238523.489999999</v>
      </c>
      <c r="J200" s="1379"/>
      <c r="K200" s="1377">
        <f t="shared" ref="K200:K244" si="15">I200-J200</f>
        <v>238523.489999999</v>
      </c>
      <c r="L200" s="1377">
        <f>I200-J200-K200</f>
        <v>0</v>
      </c>
      <c r="M200" s="1380">
        <f>VLOOKUP(B200,[6]Sheet1!$D:$M,10,0)</f>
        <v>-238523.489999999</v>
      </c>
      <c r="N200" s="1377">
        <f t="shared" si="14"/>
        <v>477046.979999998</v>
      </c>
      <c r="O200" s="1381"/>
      <c r="U200" s="551"/>
      <c r="V200" s="1013"/>
    </row>
    <row r="201" spans="1:29" s="1382" customFormat="1" hidden="1" x14ac:dyDescent="0.25">
      <c r="A201" s="1421" t="s">
        <v>26</v>
      </c>
      <c r="B201" s="1375">
        <v>20400001</v>
      </c>
      <c r="C201" s="1375">
        <v>16</v>
      </c>
      <c r="D201" s="1375" t="s">
        <v>31</v>
      </c>
      <c r="E201" s="1375" t="s">
        <v>31</v>
      </c>
      <c r="F201" s="1376" t="s">
        <v>1255</v>
      </c>
      <c r="G201" s="1377">
        <v>0</v>
      </c>
      <c r="H201" s="1377">
        <v>-95917.279999999897</v>
      </c>
      <c r="I201" s="1378">
        <f t="shared" si="13"/>
        <v>-95917.279999999897</v>
      </c>
      <c r="J201" s="1379"/>
      <c r="K201" s="1377">
        <f t="shared" si="15"/>
        <v>-95917.279999999897</v>
      </c>
      <c r="L201" s="1377">
        <f>I201-J201-K201</f>
        <v>0</v>
      </c>
      <c r="M201" s="1380">
        <f>VLOOKUP(B201,[6]Sheet1!$D:$M,10,0)</f>
        <v>95917.279999999897</v>
      </c>
      <c r="N201" s="1377">
        <f t="shared" si="14"/>
        <v>-191834.55999999979</v>
      </c>
      <c r="O201" s="1381"/>
      <c r="U201" s="551"/>
      <c r="V201" s="1013"/>
    </row>
    <row r="202" spans="1:29" s="1382" customFormat="1" hidden="1" x14ac:dyDescent="0.25">
      <c r="A202" s="1421" t="s">
        <v>97</v>
      </c>
      <c r="B202" s="1375">
        <v>40700040</v>
      </c>
      <c r="C202" s="1375">
        <v>16</v>
      </c>
      <c r="D202" s="1375" t="s">
        <v>588</v>
      </c>
      <c r="E202" s="1375" t="s">
        <v>588</v>
      </c>
      <c r="F202" s="1376" t="s">
        <v>1186</v>
      </c>
      <c r="G202" s="1377"/>
      <c r="H202" s="1377"/>
      <c r="I202" s="1378">
        <f t="shared" si="13"/>
        <v>0</v>
      </c>
      <c r="J202" s="1387"/>
      <c r="K202" s="1377">
        <f t="shared" si="15"/>
        <v>0</v>
      </c>
      <c r="L202" s="1377">
        <v>0</v>
      </c>
      <c r="M202" s="1380" t="e">
        <f>VLOOKUP(B202,[6]Sheet1!$D:$M,10,0)</f>
        <v>#N/A</v>
      </c>
      <c r="N202" s="1377" t="e">
        <f t="shared" si="14"/>
        <v>#N/A</v>
      </c>
      <c r="O202" s="1381"/>
      <c r="Q202" s="1011" t="e">
        <f>VLOOKUP(B202,[7]!Table1[GLAccountNo],1,0)</f>
        <v>#REF!</v>
      </c>
      <c r="U202" s="551"/>
      <c r="V202" s="1013"/>
    </row>
    <row r="203" spans="1:29" hidden="1" x14ac:dyDescent="0.25">
      <c r="A203" s="539" t="s">
        <v>26</v>
      </c>
      <c r="B203" s="544">
        <v>10600014</v>
      </c>
      <c r="C203" s="1195">
        <v>14</v>
      </c>
      <c r="D203" s="539" t="str">
        <f>VLOOKUP(B203,'Master Grouping'!A:B,2,0)</f>
        <v>Borrowings</v>
      </c>
      <c r="E203" s="539" t="s">
        <v>1318</v>
      </c>
      <c r="F203" s="539" t="s">
        <v>1491</v>
      </c>
      <c r="G203" s="550">
        <f>IFERROR(VLOOKUP(B203,[5]Sheet1!$C:$M,8,0),0)</f>
        <v>0</v>
      </c>
      <c r="H203" s="550">
        <f>IFERROR(VLOOKUP(B203,[5]Sheet1!$C:$M,9,0),0)</f>
        <v>-25573757.5</v>
      </c>
      <c r="I203" s="1201">
        <f t="shared" si="13"/>
        <v>-25573757.5</v>
      </c>
      <c r="J203" s="550">
        <v>0</v>
      </c>
      <c r="K203" s="550">
        <v>0</v>
      </c>
      <c r="M203" s="1373">
        <f>VLOOKUP(B203,[6]Sheet1!$D:$M,10,0)</f>
        <v>-15551029.66</v>
      </c>
      <c r="N203" s="550">
        <f t="shared" si="14"/>
        <v>-10022727.84</v>
      </c>
      <c r="U203" s="551"/>
      <c r="V203" s="1013"/>
    </row>
    <row r="204" spans="1:29" hidden="1" x14ac:dyDescent="0.25">
      <c r="A204" s="539" t="s">
        <v>26</v>
      </c>
      <c r="B204" s="1199">
        <v>10900012</v>
      </c>
      <c r="C204" s="1195">
        <v>17</v>
      </c>
      <c r="D204" s="539" t="str">
        <f>VLOOKUP(B204,'Master Grouping'!A:B,2,0)</f>
        <v>Trade Payables</v>
      </c>
      <c r="E204" s="539" t="str">
        <f>VLOOKUP(D204,'[11]TB - SNS - 31.3.25'!$D:$E,2,0)</f>
        <v>Total outstanding dues of creditors other than micro enterprises and small enterprises</v>
      </c>
      <c r="F204" s="539" t="str">
        <f>VLOOKUP(B204,[6]Sheet1!$D:$E,2,0)</f>
        <v>Provision_C&amp;F Export</v>
      </c>
      <c r="G204" s="550">
        <f>IFERROR(VLOOKUP(B204,[5]Sheet1!$C:$M,8,0),0)</f>
        <v>0</v>
      </c>
      <c r="H204" s="550">
        <f>IFERROR(VLOOKUP(B204,[5]Sheet1!$C:$M,9,0),0)</f>
        <v>-108764.12</v>
      </c>
      <c r="I204" s="1201">
        <f t="shared" si="13"/>
        <v>-108764.12</v>
      </c>
      <c r="J204" s="550">
        <v>0</v>
      </c>
      <c r="K204" s="550">
        <v>0</v>
      </c>
      <c r="L204" s="1395"/>
      <c r="M204" s="1394">
        <f>VLOOKUP(B204,[6]Sheet1!$D:$M,10,0)</f>
        <v>-2500000</v>
      </c>
      <c r="N204" s="1393">
        <f t="shared" si="14"/>
        <v>2391235.88</v>
      </c>
      <c r="U204" s="551"/>
      <c r="V204" s="1013"/>
    </row>
    <row r="205" spans="1:29" hidden="1" x14ac:dyDescent="0.25">
      <c r="A205" s="1199" t="s">
        <v>683</v>
      </c>
      <c r="B205" s="544">
        <v>20500004</v>
      </c>
      <c r="C205" s="1195">
        <v>8</v>
      </c>
      <c r="D205" s="539" t="str">
        <f>VLOOKUP(B205,'Master Grouping'!A:B,2,0)</f>
        <v>Inventories</v>
      </c>
      <c r="E205" s="539" t="s">
        <v>891</v>
      </c>
      <c r="F205" s="539" t="str">
        <f>VLOOKUP(B205,[6]Sheet1!$D:$E,2,0)</f>
        <v>Finish Goods Stock</v>
      </c>
      <c r="G205" s="550">
        <f>IFERROR(VLOOKUP(B205,[5]Sheet1!$C:$M,8,0),0)</f>
        <v>74707643.950000003</v>
      </c>
      <c r="H205" s="550">
        <f>IFERROR(VLOOKUP(B205,[5]Sheet1!$C:$M,9,0),0)</f>
        <v>0</v>
      </c>
      <c r="I205" s="1201">
        <f t="shared" si="13"/>
        <v>74707643.950000003</v>
      </c>
      <c r="J205" s="550">
        <v>0</v>
      </c>
      <c r="K205" s="550">
        <v>0</v>
      </c>
      <c r="M205" s="1373">
        <f>VLOOKUP(B205,[6]Sheet1!$D:$M,10,0)</f>
        <v>29310285.850000001</v>
      </c>
      <c r="N205" s="550">
        <f t="shared" si="14"/>
        <v>45397358.100000001</v>
      </c>
      <c r="U205" s="551"/>
      <c r="V205" s="1013"/>
    </row>
    <row r="206" spans="1:29" hidden="1" x14ac:dyDescent="0.25">
      <c r="A206" s="1199" t="s">
        <v>683</v>
      </c>
      <c r="B206" s="544">
        <v>20600000</v>
      </c>
      <c r="C206" s="1195">
        <v>9</v>
      </c>
      <c r="D206" s="539" t="str">
        <f>VLOOKUP(B206,'Master Grouping'!A:B,2,0)</f>
        <v>Trade receivables</v>
      </c>
      <c r="E206" s="1195" t="s">
        <v>738</v>
      </c>
      <c r="F206" s="539" t="str">
        <f>VLOOKUP(B206,[6]Sheet1!$D:$E,2,0)</f>
        <v>Receivables- Export</v>
      </c>
      <c r="G206" s="550">
        <f>IFERROR(VLOOKUP(B206,[5]Sheet1!$C:$M,8,0),0)</f>
        <v>448850388.33999902</v>
      </c>
      <c r="H206" s="550">
        <f>IFERROR(VLOOKUP(B206,[5]Sheet1!$C:$M,9,0),0)</f>
        <v>0</v>
      </c>
      <c r="I206" s="1201">
        <f t="shared" si="13"/>
        <v>448850388.33999902</v>
      </c>
      <c r="J206" s="550">
        <v>0</v>
      </c>
      <c r="K206" s="550">
        <v>0</v>
      </c>
      <c r="M206" s="1373">
        <f>VLOOKUP(B206,[6]Sheet1!$D:$M,10,0)</f>
        <v>54337636.780000001</v>
      </c>
      <c r="N206" s="550">
        <f t="shared" si="14"/>
        <v>394512751.55999899</v>
      </c>
      <c r="U206" s="551"/>
      <c r="V206" s="1013"/>
    </row>
    <row r="207" spans="1:29" hidden="1" x14ac:dyDescent="0.25">
      <c r="A207" s="1199" t="s">
        <v>683</v>
      </c>
      <c r="B207" s="544">
        <v>20600002</v>
      </c>
      <c r="C207" s="1195">
        <v>9</v>
      </c>
      <c r="D207" s="539" t="str">
        <f>VLOOKUP(B207,'Master Grouping'!A:B,2,0)</f>
        <v>Trade receivables</v>
      </c>
      <c r="E207" s="1195" t="s">
        <v>738</v>
      </c>
      <c r="F207" s="539" t="str">
        <f>VLOOKUP(B207,[6]Sheet1!$D:$E,2,0)</f>
        <v>Receivables- SEZ</v>
      </c>
      <c r="G207" s="550">
        <f>IFERROR(VLOOKUP(B207,[5]Sheet1!$C:$M,8,0),0)</f>
        <v>146250</v>
      </c>
      <c r="H207" s="550">
        <f>IFERROR(VLOOKUP(B207,[5]Sheet1!$C:$M,9,0),0)</f>
        <v>0</v>
      </c>
      <c r="I207" s="1201">
        <f t="shared" si="13"/>
        <v>146250</v>
      </c>
      <c r="J207" s="550">
        <v>0</v>
      </c>
      <c r="K207" s="550">
        <v>0</v>
      </c>
      <c r="M207" s="1373">
        <f>VLOOKUP(B207,[6]Sheet1!$D:$M,10,0)</f>
        <v>161700</v>
      </c>
      <c r="N207" s="550">
        <f t="shared" si="14"/>
        <v>-15450</v>
      </c>
      <c r="U207" s="551"/>
      <c r="V207" s="1013"/>
    </row>
    <row r="208" spans="1:29" hidden="1" x14ac:dyDescent="0.25">
      <c r="A208" s="1199" t="s">
        <v>683</v>
      </c>
      <c r="B208" s="544">
        <v>20600007</v>
      </c>
      <c r="C208" s="1195">
        <v>9</v>
      </c>
      <c r="D208" s="539" t="str">
        <f>VLOOKUP(B208,'Master Grouping'!A:B,2,0)</f>
        <v>Trade receivables</v>
      </c>
      <c r="E208" s="1195" t="s">
        <v>738</v>
      </c>
      <c r="F208" s="539" t="str">
        <f>VLOOKUP(B208,[6]Sheet1!$D:$E,2,0)</f>
        <v>Receivables- Forex</v>
      </c>
      <c r="G208" s="550">
        <f>IFERROR(VLOOKUP(B208,[5]Sheet1!$C:$M,8,0),0)</f>
        <v>11074363.01</v>
      </c>
      <c r="H208" s="550">
        <f>IFERROR(VLOOKUP(B208,[5]Sheet1!$C:$M,9,0),0)</f>
        <v>0</v>
      </c>
      <c r="I208" s="1201">
        <f t="shared" si="13"/>
        <v>11074363.01</v>
      </c>
      <c r="J208" s="550">
        <v>0</v>
      </c>
      <c r="K208" s="550">
        <v>0</v>
      </c>
      <c r="M208" s="1373">
        <f>VLOOKUP(B208,[6]Sheet1!$D:$M,10,0)</f>
        <v>522703.65</v>
      </c>
      <c r="N208" s="550">
        <f t="shared" si="14"/>
        <v>10551659.359999999</v>
      </c>
      <c r="U208" s="551"/>
      <c r="V208" s="1013"/>
    </row>
    <row r="209" spans="1:31" hidden="1" x14ac:dyDescent="0.25">
      <c r="A209" s="539" t="s">
        <v>26</v>
      </c>
      <c r="B209" s="544">
        <v>20800152</v>
      </c>
      <c r="C209" s="1195">
        <v>14</v>
      </c>
      <c r="D209" s="539" t="str">
        <f>VLOOKUP(B209,'Master Grouping'!A:B,2,0)</f>
        <v>Borrowings</v>
      </c>
      <c r="E209" s="539" t="s">
        <v>1318</v>
      </c>
      <c r="F209" s="539" t="s">
        <v>1492</v>
      </c>
      <c r="G209" s="550">
        <f>IFERROR(VLOOKUP(B209,[5]Sheet1!$C:$M,8,0),0)</f>
        <v>0</v>
      </c>
      <c r="H209" s="550">
        <f>IFERROR(VLOOKUP(B209,[5]Sheet1!$C:$M,9,0),0)</f>
        <v>-209356044.53999901</v>
      </c>
      <c r="I209" s="1201">
        <f t="shared" si="13"/>
        <v>-209356044.53999901</v>
      </c>
      <c r="J209" s="550">
        <v>0</v>
      </c>
      <c r="K209" s="550">
        <v>0</v>
      </c>
      <c r="M209" s="1373">
        <f>VLOOKUP(B209,[6]Sheet1!$D:$M,10,0)</f>
        <v>-30000000</v>
      </c>
      <c r="N209" s="550">
        <f t="shared" si="14"/>
        <v>-179356044.53999901</v>
      </c>
      <c r="U209" s="551"/>
      <c r="V209" s="1013"/>
    </row>
    <row r="210" spans="1:31" hidden="1" x14ac:dyDescent="0.25">
      <c r="A210" s="539" t="s">
        <v>683</v>
      </c>
      <c r="B210" s="544">
        <v>21000007</v>
      </c>
      <c r="C210" s="1195">
        <v>11</v>
      </c>
      <c r="D210" s="539" t="str">
        <f>VLOOKUP(B210,'Master Grouping'!A:B,2,0)</f>
        <v>Other Current Assets</v>
      </c>
      <c r="E210" s="539" t="str">
        <f>VLOOKUP(D210,'[11]TB - SNS - 31.3.25'!$D:$E,2,0)</f>
        <v>Balances with Government Authorities</v>
      </c>
      <c r="F210" s="539" t="str">
        <f>VLOOKUP(B210,[6]Sheet1!$D:$E,2,0)</f>
        <v>GST Refund_Custom De</v>
      </c>
      <c r="G210" s="550">
        <f>IFERROR(VLOOKUP(B210,[5]Sheet1!$C:$M,8,0),0)</f>
        <v>69919201.909999907</v>
      </c>
      <c r="H210" s="550">
        <f>IFERROR(VLOOKUP(B210,[5]Sheet1!$C:$M,9,0),0)</f>
        <v>0</v>
      </c>
      <c r="I210" s="1201">
        <f t="shared" si="13"/>
        <v>69919201.909999907</v>
      </c>
      <c r="J210" s="550">
        <v>0</v>
      </c>
      <c r="K210" s="550">
        <v>0</v>
      </c>
      <c r="M210" s="1373">
        <f>VLOOKUP(B210,[6]Sheet1!$D:$M,10,0)</f>
        <v>8902203.6400000006</v>
      </c>
      <c r="N210" s="550">
        <f t="shared" si="14"/>
        <v>61016998.269999906</v>
      </c>
      <c r="U210" s="551"/>
      <c r="V210" s="1013"/>
    </row>
    <row r="211" spans="1:31" hidden="1" x14ac:dyDescent="0.25">
      <c r="A211" s="539" t="s">
        <v>97</v>
      </c>
      <c r="B211" s="544">
        <v>40100006</v>
      </c>
      <c r="C211" s="1195">
        <v>22</v>
      </c>
      <c r="D211" s="539" t="s">
        <v>160</v>
      </c>
      <c r="E211" s="539" t="s">
        <v>1090</v>
      </c>
      <c r="F211" s="539" t="str">
        <f>VLOOKUP(B211,[6]Sheet1!$D:$E,2,0)</f>
        <v>COGS Packing Mat</v>
      </c>
      <c r="G211" s="550">
        <f>IFERROR(VLOOKUP(B211,[5]Sheet1!$C:$M,8,0),0)</f>
        <v>15400085.16</v>
      </c>
      <c r="H211" s="550">
        <f>IFERROR(VLOOKUP(B211,[5]Sheet1!$C:$M,9,0),0)</f>
        <v>0</v>
      </c>
      <c r="I211" s="1201">
        <f t="shared" si="13"/>
        <v>15400085.16</v>
      </c>
      <c r="J211" s="550">
        <v>0</v>
      </c>
      <c r="K211" s="550">
        <v>0</v>
      </c>
      <c r="M211" s="1373">
        <f>VLOOKUP(B211,[6]Sheet1!$D:$M,10,0)</f>
        <v>825481.51</v>
      </c>
      <c r="N211" s="550">
        <f t="shared" si="14"/>
        <v>14574603.65</v>
      </c>
      <c r="O211" s="1012">
        <f>VLOOKUP(B211,'[9]TB BVS 30.11.25'!$B:$I,8,0)</f>
        <v>6996287.5499999896</v>
      </c>
      <c r="Q211" s="1013">
        <f t="shared" ref="Q211:Q212" si="16">I211-O211</f>
        <v>8403797.6100000106</v>
      </c>
      <c r="U211" s="551"/>
      <c r="V211" s="1013"/>
      <c r="AD211" s="539">
        <f>AD23</f>
        <v>6106184</v>
      </c>
      <c r="AE211" s="1011" t="s">
        <v>1520</v>
      </c>
    </row>
    <row r="212" spans="1:31" hidden="1" x14ac:dyDescent="0.25">
      <c r="A212" s="539" t="s">
        <v>97</v>
      </c>
      <c r="B212" s="544">
        <v>40200010</v>
      </c>
      <c r="C212" s="1195">
        <v>23</v>
      </c>
      <c r="D212" s="539" t="str">
        <f>VLOOKUP(B212,'Master Grouping'!A:B,2,0)</f>
        <v xml:space="preserve">Changes in inventories of finished goods and work-in-progress </v>
      </c>
      <c r="E212" s="539" t="str">
        <f>VLOOKUP(D212,'[11]TB - SNS - 31.3.25'!$D:$E,2,0)</f>
        <v>Changes in inventories of finished goods and work in progress</v>
      </c>
      <c r="F212" s="539" t="str">
        <f>VLOOKUP(B212,[6]Sheet1!$D:$E,2,0)</f>
        <v>Change in Stock</v>
      </c>
      <c r="G212" s="550">
        <f>IFERROR(VLOOKUP(B212,[5]Sheet1!$C:$M,8,0),0)</f>
        <v>0</v>
      </c>
      <c r="H212" s="550">
        <f>IFERROR(VLOOKUP(B212,[5]Sheet1!$C:$M,9,0),0)</f>
        <v>-635366994.40999901</v>
      </c>
      <c r="I212" s="1201">
        <f t="shared" si="13"/>
        <v>-635366994.40999901</v>
      </c>
      <c r="J212" s="550">
        <v>0</v>
      </c>
      <c r="K212" s="550">
        <v>0</v>
      </c>
      <c r="M212" s="1373">
        <f>VLOOKUP(B212,[6]Sheet1!$D:$M,10,0)</f>
        <v>-49136088.740000002</v>
      </c>
      <c r="N212" s="550">
        <f t="shared" si="14"/>
        <v>-586230905.669999</v>
      </c>
      <c r="O212" s="1012">
        <f>VLOOKUP(B212,'[9]TB BVS 30.11.25'!$B:$I,8,0)</f>
        <v>-359171423.36000001</v>
      </c>
      <c r="Q212" s="1013">
        <f t="shared" si="16"/>
        <v>-276195571.049999</v>
      </c>
      <c r="U212" s="551"/>
      <c r="V212" s="1013"/>
    </row>
    <row r="213" spans="1:31" hidden="1" x14ac:dyDescent="0.25">
      <c r="A213" s="539" t="s">
        <v>97</v>
      </c>
      <c r="B213" s="544">
        <v>40300001</v>
      </c>
      <c r="C213" s="1195">
        <v>24</v>
      </c>
      <c r="D213" s="539" t="str">
        <f>VLOOKUP(B213,'Master Grouping'!A:B,2,0)</f>
        <v>Employee benefits expense</v>
      </c>
      <c r="E213" s="539" t="str">
        <f>VLOOKUP(D213,'[11]TB - SNS - 31.3.25'!$D:$E,2,0)</f>
        <v>Staff welfare expenses</v>
      </c>
      <c r="F213" s="539" t="str">
        <f>VLOOKUP(B213,[6]Sheet1!$D:$E,2,0)</f>
        <v>Staff Recruitment an</v>
      </c>
      <c r="G213" s="550">
        <f>IFERROR(VLOOKUP(B213,[5]Sheet1!$C:$M,8,0),0)</f>
        <v>1010484.64</v>
      </c>
      <c r="H213" s="550">
        <f>IFERROR(VLOOKUP(B213,[5]Sheet1!$C:$M,9,0),0)</f>
        <v>0</v>
      </c>
      <c r="I213" s="1201">
        <f t="shared" si="13"/>
        <v>1010484.64</v>
      </c>
      <c r="J213" s="550">
        <v>0</v>
      </c>
      <c r="K213" s="550">
        <v>0</v>
      </c>
      <c r="M213" s="1373">
        <f>VLOOKUP(B213,[6]Sheet1!$D:$M,10,0)</f>
        <v>279840.81</v>
      </c>
      <c r="N213" s="550">
        <f t="shared" si="14"/>
        <v>730643.83000000007</v>
      </c>
      <c r="O213" s="1396">
        <f>VLOOKUP(B213,'[10]TB BVS 30.6.25'!$B:$I,8,0)</f>
        <v>279840.81</v>
      </c>
      <c r="P213" s="1397" t="e">
        <v>#N/A</v>
      </c>
      <c r="Q213" s="1011" t="e">
        <f>VLOOKUP(B213,[7]!Table1[GLAccountNo],1,0)</f>
        <v>#REF!</v>
      </c>
      <c r="U213" s="551"/>
      <c r="V213" s="1013"/>
    </row>
    <row r="214" spans="1:31" hidden="1" x14ac:dyDescent="0.25">
      <c r="A214" s="539" t="s">
        <v>97</v>
      </c>
      <c r="B214" s="544">
        <v>40300013</v>
      </c>
      <c r="C214" s="1195">
        <v>24</v>
      </c>
      <c r="D214" s="539" t="str">
        <f>VLOOKUP(B214,'Master Grouping'!A:B,2,0)</f>
        <v>Employee benefits expense</v>
      </c>
      <c r="E214" s="539" t="str">
        <f>VLOOKUP(D214,'[11]TB - SNS - 31.3.25'!$D:$E,2,0)</f>
        <v>Staff welfare expenses</v>
      </c>
      <c r="F214" s="539" t="str">
        <f>VLOOKUP(B214,[6]Sheet1!$D:$E,2,0)</f>
        <v>Staff Training Expen</v>
      </c>
      <c r="G214" s="550">
        <f>IFERROR(VLOOKUP(B214,[5]Sheet1!$C:$M,8,0),0)</f>
        <v>275700</v>
      </c>
      <c r="H214" s="550">
        <f>IFERROR(VLOOKUP(B214,[5]Sheet1!$C:$M,9,0),0)</f>
        <v>0</v>
      </c>
      <c r="I214" s="1201">
        <f t="shared" si="13"/>
        <v>275700</v>
      </c>
      <c r="J214" s="550">
        <v>0</v>
      </c>
      <c r="K214" s="550">
        <v>0</v>
      </c>
      <c r="M214" s="1373">
        <f>VLOOKUP(B214,[6]Sheet1!$D:$M,10,0)</f>
        <v>5000</v>
      </c>
      <c r="N214" s="550">
        <f t="shared" si="14"/>
        <v>270700</v>
      </c>
      <c r="O214" s="1396">
        <f>VLOOKUP(B214,'[10]TB BVS 30.6.25'!$B:$I,8,0)</f>
        <v>5000</v>
      </c>
      <c r="P214" s="1397" t="e">
        <v>#N/A</v>
      </c>
      <c r="Q214" s="1011" t="e">
        <f>VLOOKUP(B214,[7]!Table1[GLAccountNo],1,0)</f>
        <v>#REF!</v>
      </c>
      <c r="U214" s="551"/>
      <c r="V214" s="1013"/>
    </row>
    <row r="215" spans="1:31" hidden="1" x14ac:dyDescent="0.25">
      <c r="A215" s="539" t="s">
        <v>97</v>
      </c>
      <c r="B215" s="544">
        <v>40300017</v>
      </c>
      <c r="C215" s="1195">
        <v>24</v>
      </c>
      <c r="D215" s="539" t="str">
        <f>VLOOKUP(B215,'Master Grouping'!A:B,2,0)</f>
        <v>Employee benefits expense</v>
      </c>
      <c r="E215" s="539" t="s">
        <v>1669</v>
      </c>
      <c r="F215" s="539" t="str">
        <f>VLOOKUP(B215,[6]Sheet1!$D:$E,2,0)</f>
        <v>Productivity Incenti</v>
      </c>
      <c r="G215" s="550">
        <f>IFERROR(VLOOKUP(B215,[5]Sheet1!$C:$M,8,0),0)</f>
        <v>4487647</v>
      </c>
      <c r="H215" s="550">
        <f>IFERROR(VLOOKUP(B215,[5]Sheet1!$C:$M,9,0),0)</f>
        <v>0</v>
      </c>
      <c r="I215" s="1201">
        <f t="shared" si="13"/>
        <v>4487647</v>
      </c>
      <c r="J215" s="550">
        <v>0</v>
      </c>
      <c r="K215" s="550">
        <v>0</v>
      </c>
      <c r="M215" s="1373">
        <f>VLOOKUP(B215,[6]Sheet1!$D:$M,10,0)</f>
        <v>105000</v>
      </c>
      <c r="N215" s="550">
        <f t="shared" si="14"/>
        <v>4382647</v>
      </c>
      <c r="O215" s="1396">
        <f>VLOOKUP(B215,'[10]TB BVS 30.6.25'!$B:$I,8,0)</f>
        <v>105000</v>
      </c>
      <c r="P215" s="1397" t="e">
        <v>#N/A</v>
      </c>
      <c r="Q215" s="1011" t="e">
        <f>VLOOKUP(B215,[7]!Table1[GLAccountNo],1,0)</f>
        <v>#REF!</v>
      </c>
      <c r="U215" s="551"/>
      <c r="V215" s="1013"/>
    </row>
    <row r="216" spans="1:31" hidden="1" x14ac:dyDescent="0.25">
      <c r="A216" s="539" t="s">
        <v>97</v>
      </c>
      <c r="B216" s="544">
        <v>40300018</v>
      </c>
      <c r="C216" s="1195">
        <v>24</v>
      </c>
      <c r="D216" s="539" t="str">
        <f>VLOOKUP(B216,'Master Grouping'!A:B,2,0)</f>
        <v>Employee benefits expense</v>
      </c>
      <c r="E216" s="539" t="s">
        <v>1669</v>
      </c>
      <c r="F216" s="539" t="str">
        <f>VLOOKUP(B216,[6]Sheet1!$D:$E,2,0)</f>
        <v>Trainee Stipend</v>
      </c>
      <c r="G216" s="550">
        <f>IFERROR(VLOOKUP(B216,[5]Sheet1!$C:$M,8,0),0)</f>
        <v>601523.17000000004</v>
      </c>
      <c r="H216" s="550">
        <f>IFERROR(VLOOKUP(B216,[5]Sheet1!$C:$M,9,0),0)</f>
        <v>0</v>
      </c>
      <c r="I216" s="1201">
        <f t="shared" si="13"/>
        <v>601523.17000000004</v>
      </c>
      <c r="J216" s="550">
        <v>0</v>
      </c>
      <c r="K216" s="550">
        <v>0</v>
      </c>
      <c r="M216" s="1373">
        <f>VLOOKUP(B216,[6]Sheet1!$D:$M,10,0)</f>
        <v>16140.959999999901</v>
      </c>
      <c r="N216" s="550">
        <f t="shared" si="14"/>
        <v>585382.2100000002</v>
      </c>
      <c r="O216" s="1396">
        <f>VLOOKUP(B216,'[10]TB BVS 30.6.25'!$B:$I,8,0)</f>
        <v>16140.959999999901</v>
      </c>
      <c r="P216" s="1397" t="e">
        <v>#N/A</v>
      </c>
      <c r="Q216" s="1011" t="e">
        <f>VLOOKUP(B216,[7]!Table1[GLAccountNo],1,0)</f>
        <v>#REF!</v>
      </c>
      <c r="U216" s="551"/>
      <c r="V216" s="1013"/>
    </row>
    <row r="217" spans="1:31" hidden="1" x14ac:dyDescent="0.25">
      <c r="A217" s="539" t="s">
        <v>97</v>
      </c>
      <c r="B217" s="544">
        <v>40300020</v>
      </c>
      <c r="C217" s="1195">
        <v>24</v>
      </c>
      <c r="D217" s="539" t="str">
        <f>VLOOKUP(B217,'Master Grouping'!A:B,2,0)</f>
        <v>Employee benefits expense</v>
      </c>
      <c r="E217" s="539" t="s">
        <v>1669</v>
      </c>
      <c r="F217" s="539" t="str">
        <f>VLOOKUP(B217,[6]Sheet1!$D:$E,2,0)</f>
        <v>Uniform Allowance</v>
      </c>
      <c r="G217" s="550">
        <f>IFERROR(VLOOKUP(B217,[5]Sheet1!$C:$M,8,0),0)</f>
        <v>158680.799999999</v>
      </c>
      <c r="H217" s="550">
        <f>IFERROR(VLOOKUP(B217,[5]Sheet1!$C:$M,9,0),0)</f>
        <v>0</v>
      </c>
      <c r="I217" s="1201">
        <f t="shared" si="13"/>
        <v>158680.799999999</v>
      </c>
      <c r="J217" s="550">
        <v>0</v>
      </c>
      <c r="K217" s="550">
        <v>0</v>
      </c>
      <c r="M217" s="1373">
        <f>VLOOKUP(B217,[6]Sheet1!$D:$M,10,0)</f>
        <v>47250</v>
      </c>
      <c r="N217" s="550">
        <f t="shared" si="14"/>
        <v>111430.799999999</v>
      </c>
      <c r="O217" s="1396">
        <f>VLOOKUP(B217,'[10]TB BVS 30.6.25'!$B:$I,8,0)</f>
        <v>47250</v>
      </c>
      <c r="P217" s="1397" t="e">
        <v>#N/A</v>
      </c>
      <c r="Q217" s="1011" t="e">
        <f>VLOOKUP(B217,[7]!Table1[GLAccountNo],1,0)</f>
        <v>#REF!</v>
      </c>
      <c r="U217" s="551"/>
      <c r="V217" s="1013"/>
    </row>
    <row r="218" spans="1:31" hidden="1" x14ac:dyDescent="0.25">
      <c r="A218" s="539" t="s">
        <v>97</v>
      </c>
      <c r="B218" s="544">
        <v>40400005</v>
      </c>
      <c r="C218" s="539">
        <v>26</v>
      </c>
      <c r="D218" s="539" t="str">
        <f>VLOOKUP(B218,'Master Grouping'!A:B,2,0)</f>
        <v>Other expenses</v>
      </c>
      <c r="E218" s="539" t="s">
        <v>75</v>
      </c>
      <c r="F218" s="539" t="str">
        <f>VLOOKUP(B218,[6]Sheet1!$D:$E,2,0)</f>
        <v>International Bank C</v>
      </c>
      <c r="G218" s="550">
        <f>IFERROR(VLOOKUP(B218,[5]Sheet1!$C:$M,8,0),0)</f>
        <v>372402</v>
      </c>
      <c r="H218" s="550">
        <f>IFERROR(VLOOKUP(B218,[5]Sheet1!$C:$M,9,0),0)</f>
        <v>0</v>
      </c>
      <c r="I218" s="1201">
        <f t="shared" si="13"/>
        <v>372402</v>
      </c>
      <c r="J218" s="550">
        <v>0</v>
      </c>
      <c r="K218" s="550">
        <v>0</v>
      </c>
      <c r="M218" s="1373">
        <f>VLOOKUP(B218,[6]Sheet1!$D:$M,10,0)</f>
        <v>27943.23</v>
      </c>
      <c r="N218" s="550">
        <f t="shared" si="14"/>
        <v>344458.77</v>
      </c>
      <c r="Q218" s="1011" t="e">
        <f>VLOOKUP(B218,[7]!Table1[GLAccountNo],1,0)</f>
        <v>#REF!</v>
      </c>
      <c r="U218" s="551"/>
      <c r="V218" s="1013"/>
      <c r="AC218" s="1399"/>
    </row>
    <row r="219" spans="1:31" hidden="1" x14ac:dyDescent="0.25">
      <c r="A219" s="539" t="s">
        <v>97</v>
      </c>
      <c r="B219" s="544">
        <v>40400024</v>
      </c>
      <c r="C219" s="1195">
        <v>25</v>
      </c>
      <c r="D219" s="539" t="str">
        <f>VLOOKUP(B219,'Master Grouping'!A:B,2,0)</f>
        <v>Finance costs</v>
      </c>
      <c r="E219" s="539" t="s">
        <v>151</v>
      </c>
      <c r="F219" s="539" t="str">
        <f>VLOOKUP(B219,[6]Sheet1!$D:$E,2,0)</f>
        <v>Interest on Buyer’s</v>
      </c>
      <c r="G219" s="550">
        <f>IFERROR(VLOOKUP(B219,[5]Sheet1!$C:$M,8,0),0)</f>
        <v>1213222.49</v>
      </c>
      <c r="H219" s="550">
        <f>IFERROR(VLOOKUP(B219,[5]Sheet1!$C:$M,9,0),0)</f>
        <v>0</v>
      </c>
      <c r="I219" s="1201">
        <f t="shared" si="13"/>
        <v>1213222.49</v>
      </c>
      <c r="J219" s="550">
        <v>0</v>
      </c>
      <c r="K219" s="550">
        <v>0</v>
      </c>
      <c r="M219" s="1373">
        <f>VLOOKUP(B219,[6]Sheet1!$D:$M,10,0)</f>
        <v>210509.459999999</v>
      </c>
      <c r="N219" s="550">
        <f t="shared" si="14"/>
        <v>1002713.030000001</v>
      </c>
      <c r="Q219" s="1011" t="e">
        <f>VLOOKUP(B219,[7]!Table1[GLAccountNo],1,0)</f>
        <v>#REF!</v>
      </c>
      <c r="U219" s="551"/>
      <c r="V219" s="1013"/>
    </row>
    <row r="220" spans="1:31" hidden="1" x14ac:dyDescent="0.25">
      <c r="A220" s="539" t="s">
        <v>97</v>
      </c>
      <c r="B220" s="544">
        <v>40600006</v>
      </c>
      <c r="C220" s="539">
        <v>26</v>
      </c>
      <c r="D220" s="539" t="str">
        <f>VLOOKUP(B220,'Master Grouping'!A:B,2,0)</f>
        <v>Other expenses</v>
      </c>
      <c r="E220" s="539" t="s">
        <v>1496</v>
      </c>
      <c r="F220" s="539" t="str">
        <f>VLOOKUP(B220,[6]Sheet1!$D:$E,2,0)</f>
        <v>Jobwork Charges</v>
      </c>
      <c r="G220" s="550">
        <f>IFERROR(VLOOKUP(B220,[5]Sheet1!$C:$M,8,0),0)</f>
        <v>119707347.38</v>
      </c>
      <c r="H220" s="550">
        <f>IFERROR(VLOOKUP(B220,[5]Sheet1!$C:$M,9,0),0)</f>
        <v>0</v>
      </c>
      <c r="I220" s="1201">
        <f t="shared" si="13"/>
        <v>119707347.38</v>
      </c>
      <c r="J220" s="550">
        <v>0</v>
      </c>
      <c r="K220" s="550">
        <v>0</v>
      </c>
      <c r="M220" s="1373">
        <f>VLOOKUP(B220,[6]Sheet1!$D:$M,10,0)</f>
        <v>14171839.779999901</v>
      </c>
      <c r="N220" s="550">
        <f t="shared" si="14"/>
        <v>105535507.6000001</v>
      </c>
      <c r="Q220" s="1011" t="e">
        <f>VLOOKUP(B220,[7]!Table1[GLAccountNo],1,0)</f>
        <v>#REF!</v>
      </c>
      <c r="U220" s="551"/>
      <c r="V220" s="1013"/>
    </row>
    <row r="221" spans="1:31" hidden="1" x14ac:dyDescent="0.25">
      <c r="A221" s="539" t="s">
        <v>97</v>
      </c>
      <c r="B221" s="544">
        <v>40700016</v>
      </c>
      <c r="C221" s="1195">
        <v>25</v>
      </c>
      <c r="D221" s="539" t="s">
        <v>202</v>
      </c>
      <c r="E221" s="539" t="s">
        <v>146</v>
      </c>
      <c r="F221" s="539" t="str">
        <f>VLOOKUP(B221,[6]Sheet1!$D:$E,2,0)</f>
        <v>Interest On TDS</v>
      </c>
      <c r="G221" s="550">
        <f>IFERROR(VLOOKUP(B221,[5]Sheet1!$C:$M,8,0),0)</f>
        <v>10247</v>
      </c>
      <c r="H221" s="550">
        <f>IFERROR(VLOOKUP(B221,[5]Sheet1!$C:$M,9,0),0)</f>
        <v>0</v>
      </c>
      <c r="I221" s="1201">
        <f t="shared" si="13"/>
        <v>10247</v>
      </c>
      <c r="J221" s="550">
        <v>0</v>
      </c>
      <c r="K221" s="550">
        <v>0</v>
      </c>
      <c r="M221" s="1373">
        <f>VLOOKUP(B221,[6]Sheet1!$D:$M,10,0)</f>
        <v>10247</v>
      </c>
      <c r="N221" s="550">
        <f t="shared" si="14"/>
        <v>0</v>
      </c>
      <c r="Q221" s="1011" t="e">
        <f>VLOOKUP(B221,[7]!Table1[GLAccountNo],1,0)</f>
        <v>#REF!</v>
      </c>
      <c r="U221" s="551"/>
      <c r="V221" s="1013"/>
    </row>
    <row r="222" spans="1:31" hidden="1" x14ac:dyDescent="0.25">
      <c r="A222" s="539" t="s">
        <v>97</v>
      </c>
      <c r="B222" s="544">
        <v>40700036</v>
      </c>
      <c r="C222" s="1195">
        <v>22</v>
      </c>
      <c r="D222" s="539" t="str">
        <f>VLOOKUP(B222,'Master Grouping'!A:B,2,0)</f>
        <v>Cost of material consumed</v>
      </c>
      <c r="E222" s="539" t="str">
        <f>VLOOKUP(D222,'[11]TB - SNS - 31.3.25'!$D:$E,2,0)</f>
        <v>Add : Purchases -RM</v>
      </c>
      <c r="F222" s="539" t="str">
        <f>VLOOKUP(B222,[6]Sheet1!$D:$E,2,0)</f>
        <v>Ground Rent and Sto</v>
      </c>
      <c r="G222" s="550">
        <f>IFERROR(VLOOKUP(B222,[5]Sheet1!$C:$M,8,0),0)</f>
        <v>395700</v>
      </c>
      <c r="H222" s="550">
        <f>IFERROR(VLOOKUP(B222,[5]Sheet1!$C:$M,9,0),0)</f>
        <v>0</v>
      </c>
      <c r="I222" s="1201">
        <f t="shared" si="13"/>
        <v>395700</v>
      </c>
      <c r="J222" s="550">
        <v>0</v>
      </c>
      <c r="K222" s="550">
        <v>0</v>
      </c>
      <c r="M222" s="1373">
        <f>VLOOKUP(B222,[6]Sheet1!$D:$M,10,0)</f>
        <v>400</v>
      </c>
      <c r="N222" s="550">
        <f t="shared" si="14"/>
        <v>395300</v>
      </c>
      <c r="O222" s="1012">
        <f>VLOOKUP(B222,'[9]TB BVS 30.11.25'!$B:$I,8,0)</f>
        <v>160100</v>
      </c>
      <c r="Q222" s="1013">
        <f>I222-O222</f>
        <v>235600</v>
      </c>
      <c r="U222" s="551"/>
      <c r="V222" s="1013"/>
    </row>
    <row r="223" spans="1:31" hidden="1" x14ac:dyDescent="0.25">
      <c r="A223" s="539" t="s">
        <v>26</v>
      </c>
      <c r="B223" s="544">
        <v>80000001</v>
      </c>
      <c r="C223" s="1195">
        <v>17</v>
      </c>
      <c r="D223" s="539" t="str">
        <f>VLOOKUP(B223,'Master Grouping'!A:B,2,0)</f>
        <v>Trade Payables</v>
      </c>
      <c r="E223" s="539" t="str">
        <f>VLOOKUP(D223,'[11]TB - SNS - 31.3.25'!$D:$E,2,0)</f>
        <v>Total outstanding dues of creditors other than micro enterprises and small enterprises</v>
      </c>
      <c r="F223" s="539" t="str">
        <f>VLOOKUP(B223,[6]Sheet1!$D:$E,2,0)</f>
        <v>Clearing  SFG and FG</v>
      </c>
      <c r="G223" s="550">
        <f>IFERROR(VLOOKUP(B223,[5]Sheet1!$C:$M,8,0),0)</f>
        <v>0</v>
      </c>
      <c r="H223" s="550">
        <f>IFERROR(VLOOKUP(B223,[5]Sheet1!$C:$M,9,0),0)</f>
        <v>-569695</v>
      </c>
      <c r="I223" s="1201">
        <f t="shared" si="13"/>
        <v>-569695</v>
      </c>
      <c r="J223" s="550">
        <v>0</v>
      </c>
      <c r="K223" s="550">
        <v>0</v>
      </c>
      <c r="M223" s="1373">
        <f>VLOOKUP(B223,[6]Sheet1!$D:$M,10,0)</f>
        <v>-2936458</v>
      </c>
      <c r="N223" s="550">
        <f t="shared" si="14"/>
        <v>2366763</v>
      </c>
      <c r="U223" s="551"/>
      <c r="V223" s="1013"/>
    </row>
    <row r="224" spans="1:31" hidden="1" x14ac:dyDescent="0.25">
      <c r="A224" s="539" t="s">
        <v>683</v>
      </c>
      <c r="B224" s="544">
        <v>20200009</v>
      </c>
      <c r="C224" s="539">
        <v>4</v>
      </c>
      <c r="D224" s="539" t="s">
        <v>1502</v>
      </c>
      <c r="E224" s="539" t="s">
        <v>1692</v>
      </c>
      <c r="F224" s="539" t="s">
        <v>1497</v>
      </c>
      <c r="G224" s="550">
        <f>IFERROR(VLOOKUP(B224,[5]Sheet1!$C:$M,8,0),0)</f>
        <v>1671110</v>
      </c>
      <c r="H224" s="550">
        <f>IFERROR(VLOOKUP(B224,[5]Sheet1!$C:$M,9,0),0)</f>
        <v>0</v>
      </c>
      <c r="I224" s="1201">
        <f t="shared" si="13"/>
        <v>1671110</v>
      </c>
      <c r="J224" s="550">
        <v>0</v>
      </c>
      <c r="K224" s="550">
        <v>0</v>
      </c>
      <c r="U224" s="551"/>
      <c r="V224" s="1013"/>
    </row>
    <row r="225" spans="1:29" hidden="1" x14ac:dyDescent="0.25">
      <c r="A225" s="539" t="s">
        <v>26</v>
      </c>
      <c r="B225" s="544">
        <v>20800151</v>
      </c>
      <c r="C225" s="539">
        <v>14</v>
      </c>
      <c r="D225" s="539" t="s">
        <v>83</v>
      </c>
      <c r="E225" s="539" t="s">
        <v>1318</v>
      </c>
      <c r="F225" s="539" t="s">
        <v>1492</v>
      </c>
      <c r="G225" s="550">
        <f>IFERROR(VLOOKUP(B225,[5]Sheet1!$C:$M,8,0),0)</f>
        <v>178392005</v>
      </c>
      <c r="H225" s="550">
        <f>IFERROR(VLOOKUP(B225,[5]Sheet1!$C:$M,9,0),0)</f>
        <v>0</v>
      </c>
      <c r="I225" s="1201">
        <f t="shared" si="13"/>
        <v>178392005</v>
      </c>
      <c r="J225" s="550">
        <v>0</v>
      </c>
      <c r="K225" s="550">
        <v>0</v>
      </c>
      <c r="U225" s="551"/>
      <c r="V225" s="1013"/>
    </row>
    <row r="226" spans="1:29" x14ac:dyDescent="0.25">
      <c r="A226" s="539" t="s">
        <v>717</v>
      </c>
      <c r="B226" s="544">
        <v>30000005</v>
      </c>
      <c r="C226" s="539">
        <v>20</v>
      </c>
      <c r="D226" s="539" t="s">
        <v>754</v>
      </c>
      <c r="E226" s="1199" t="s">
        <v>802</v>
      </c>
      <c r="F226" s="539" t="s">
        <v>1498</v>
      </c>
      <c r="G226" s="550">
        <f>IFERROR(VLOOKUP(B226,[5]Sheet1!$C:$M,8,0),0)</f>
        <v>0</v>
      </c>
      <c r="H226" s="550">
        <f>IFERROR(VLOOKUP(B226,[5]Sheet1!$C:$M,9,0),0)</f>
        <v>-1400927</v>
      </c>
      <c r="I226" s="1201">
        <f t="shared" si="13"/>
        <v>-1400927</v>
      </c>
      <c r="J226" s="550">
        <v>0</v>
      </c>
      <c r="K226" s="550">
        <v>0</v>
      </c>
      <c r="Q226" s="1011" t="e">
        <f>VLOOKUP(B226,[7]!Table1[GLAccountNo],1,0)</f>
        <v>#REF!</v>
      </c>
      <c r="U226" s="551"/>
      <c r="V226" s="1013"/>
    </row>
    <row r="227" spans="1:29" hidden="1" x14ac:dyDescent="0.25">
      <c r="A227" s="539" t="s">
        <v>97</v>
      </c>
      <c r="B227" s="544">
        <v>40100010</v>
      </c>
      <c r="C227" s="1195">
        <v>23</v>
      </c>
      <c r="D227" s="1195" t="s">
        <v>161</v>
      </c>
      <c r="E227" s="539" t="s">
        <v>763</v>
      </c>
      <c r="F227" s="539" t="s">
        <v>1499</v>
      </c>
      <c r="G227" s="550">
        <f>IFERROR(VLOOKUP(B227,[5]Sheet1!$C:$M,8,0),0)</f>
        <v>17427435.02</v>
      </c>
      <c r="H227" s="550">
        <f>IFERROR(VLOOKUP(B227,[5]Sheet1!$C:$M,9,0),0)</f>
        <v>0</v>
      </c>
      <c r="I227" s="1201">
        <f t="shared" si="13"/>
        <v>17427435.02</v>
      </c>
      <c r="J227" s="550">
        <v>0</v>
      </c>
      <c r="K227" s="550">
        <v>0</v>
      </c>
      <c r="O227" s="1012">
        <f>VLOOKUP(B227,'[9]TB BVS 30.11.25'!$B:$I,8,0)</f>
        <v>15305370.02</v>
      </c>
      <c r="Q227" s="1013">
        <f>I227-O227</f>
        <v>2122065</v>
      </c>
      <c r="U227" s="551"/>
      <c r="V227" s="1013"/>
    </row>
    <row r="228" spans="1:29" hidden="1" x14ac:dyDescent="0.25">
      <c r="A228" s="539" t="s">
        <v>97</v>
      </c>
      <c r="B228" s="544">
        <v>40400003</v>
      </c>
      <c r="C228" s="539">
        <v>26</v>
      </c>
      <c r="D228" s="539" t="s">
        <v>194</v>
      </c>
      <c r="E228" s="539" t="s">
        <v>75</v>
      </c>
      <c r="F228" s="539" t="s">
        <v>1500</v>
      </c>
      <c r="G228" s="550">
        <f>IFERROR(VLOOKUP(B228,[5]Sheet1!$C:$M,8,0),0)</f>
        <v>141162.78</v>
      </c>
      <c r="H228" s="550">
        <f>IFERROR(VLOOKUP(B228,[5]Sheet1!$C:$M,9,0),0)</f>
        <v>0</v>
      </c>
      <c r="I228" s="1201">
        <f t="shared" si="13"/>
        <v>141162.78</v>
      </c>
      <c r="J228" s="550">
        <v>0</v>
      </c>
      <c r="K228" s="550">
        <v>0</v>
      </c>
      <c r="Q228" s="1011" t="e">
        <f>VLOOKUP(B228,[7]!Table1[GLAccountNo],1,0)</f>
        <v>#REF!</v>
      </c>
      <c r="U228" s="551"/>
      <c r="V228" s="1013"/>
      <c r="AC228" s="1399"/>
    </row>
    <row r="229" spans="1:29" hidden="1" x14ac:dyDescent="0.25">
      <c r="A229" s="539" t="s">
        <v>97</v>
      </c>
      <c r="B229" s="544">
        <v>40700017</v>
      </c>
      <c r="C229" s="539">
        <v>26</v>
      </c>
      <c r="D229" s="539" t="s">
        <v>194</v>
      </c>
      <c r="E229" s="539" t="s">
        <v>197</v>
      </c>
      <c r="F229" s="539" t="s">
        <v>1501</v>
      </c>
      <c r="G229" s="550">
        <f>IFERROR(VLOOKUP(B229,[5]Sheet1!$C:$M,8,0),0)</f>
        <v>32418.07</v>
      </c>
      <c r="H229" s="550">
        <f>IFERROR(VLOOKUP(B229,[5]Sheet1!$C:$M,9,0),0)</f>
        <v>0</v>
      </c>
      <c r="I229" s="1201">
        <f t="shared" si="13"/>
        <v>32418.07</v>
      </c>
      <c r="J229" s="550">
        <v>0</v>
      </c>
      <c r="K229" s="550">
        <v>0</v>
      </c>
      <c r="Q229" s="1011" t="e">
        <f>VLOOKUP(B229,[7]!Table1[GLAccountNo],1,0)</f>
        <v>#REF!</v>
      </c>
      <c r="U229" s="551"/>
      <c r="V229" s="1013"/>
      <c r="AC229" s="1399"/>
    </row>
    <row r="230" spans="1:29" hidden="1" x14ac:dyDescent="0.25">
      <c r="A230" s="539" t="s">
        <v>97</v>
      </c>
      <c r="B230" s="544">
        <v>40300007</v>
      </c>
      <c r="C230" s="539">
        <v>26</v>
      </c>
      <c r="D230" s="539" t="s">
        <v>194</v>
      </c>
      <c r="E230" s="539" t="s">
        <v>1207</v>
      </c>
      <c r="F230" s="539" t="s">
        <v>1505</v>
      </c>
      <c r="G230" s="550">
        <f>IFERROR(VLOOKUP(B230,[5]Sheet1!$C:$M,8,0),0)</f>
        <v>429677.41999999899</v>
      </c>
      <c r="H230" s="550">
        <f>IFERROR(VLOOKUP(B230,[5]Sheet1!$C:$M,9,0),0)</f>
        <v>0</v>
      </c>
      <c r="I230" s="1201">
        <f t="shared" si="13"/>
        <v>429677.41999999899</v>
      </c>
      <c r="J230" s="550">
        <v>0</v>
      </c>
      <c r="K230" s="550">
        <v>0</v>
      </c>
      <c r="Q230" s="1011" t="e">
        <f>VLOOKUP(B230,[7]!Table1[GLAccountNo],1,0)</f>
        <v>#REF!</v>
      </c>
      <c r="U230" s="551"/>
      <c r="V230" s="1013"/>
    </row>
    <row r="231" spans="1:29" hidden="1" x14ac:dyDescent="0.25">
      <c r="A231" s="539" t="s">
        <v>97</v>
      </c>
      <c r="B231" s="544">
        <v>40700047</v>
      </c>
      <c r="C231" s="1195">
        <v>22</v>
      </c>
      <c r="D231" s="539" t="s">
        <v>160</v>
      </c>
      <c r="E231" s="539" t="s">
        <v>761</v>
      </c>
      <c r="F231" s="539" t="s">
        <v>1506</v>
      </c>
      <c r="G231" s="550">
        <f>IFERROR(VLOOKUP(B231,[5]Sheet1!$C:$M,8,0),0)</f>
        <v>2320350</v>
      </c>
      <c r="H231" s="550">
        <f>IFERROR(VLOOKUP(B231,[5]Sheet1!$C:$M,9,0),0)</f>
        <v>0</v>
      </c>
      <c r="I231" s="1201">
        <f t="shared" si="13"/>
        <v>2320350</v>
      </c>
      <c r="J231" s="550">
        <v>0</v>
      </c>
      <c r="K231" s="550">
        <v>0</v>
      </c>
      <c r="O231" s="1012">
        <f>VLOOKUP(B231,'[9]TB BVS 30.11.25'!$B:$I,8,0)</f>
        <v>1218350</v>
      </c>
      <c r="Q231" s="1013">
        <f>I231-O231</f>
        <v>1102000</v>
      </c>
      <c r="U231" s="551"/>
      <c r="V231" s="1013"/>
    </row>
    <row r="232" spans="1:29" s="1382" customFormat="1" hidden="1" x14ac:dyDescent="0.25">
      <c r="A232" s="1382" t="s">
        <v>97</v>
      </c>
      <c r="B232" s="1381">
        <v>40700040</v>
      </c>
      <c r="C232" s="1375">
        <v>16</v>
      </c>
      <c r="D232" s="1375" t="s">
        <v>588</v>
      </c>
      <c r="E232" s="1382" t="s">
        <v>588</v>
      </c>
      <c r="F232" s="1382" t="s">
        <v>1186</v>
      </c>
      <c r="G232" s="1377">
        <v>0</v>
      </c>
      <c r="H232" s="1377">
        <v>-142606.20999999909</v>
      </c>
      <c r="I232" s="1378">
        <v>-142606.20999999909</v>
      </c>
      <c r="J232" s="1382">
        <v>0</v>
      </c>
      <c r="K232" s="1415">
        <f t="shared" si="15"/>
        <v>-142606.20999999909</v>
      </c>
      <c r="L232" s="1382">
        <v>0</v>
      </c>
      <c r="N232" s="1388"/>
      <c r="O232" s="1381"/>
      <c r="Q232" s="1011" t="e">
        <f>VLOOKUP(B232,[7]!Table1[GLAccountNo],1,0)</f>
        <v>#REF!</v>
      </c>
      <c r="U232" s="551"/>
      <c r="V232" s="1013"/>
    </row>
    <row r="233" spans="1:29" hidden="1" x14ac:dyDescent="0.25">
      <c r="A233" s="539" t="s">
        <v>26</v>
      </c>
      <c r="B233" s="544">
        <v>10600005</v>
      </c>
      <c r="C233" s="539">
        <v>14</v>
      </c>
      <c r="D233" s="539" t="s">
        <v>83</v>
      </c>
      <c r="E233" s="539" t="s">
        <v>1318</v>
      </c>
      <c r="F233" s="539" t="s">
        <v>1511</v>
      </c>
      <c r="G233" s="550">
        <f>IFERROR(VLOOKUP(B233,[5]Sheet1!$C:$M,8,0),0)</f>
        <v>0</v>
      </c>
      <c r="H233" s="550">
        <f>IFERROR(VLOOKUP(B233,[5]Sheet1!$C:$M,9,0),0)</f>
        <v>-350000000</v>
      </c>
      <c r="I233" s="1201">
        <f>G233+H233</f>
        <v>-350000000</v>
      </c>
      <c r="J233" s="550">
        <v>0</v>
      </c>
      <c r="K233" s="550">
        <v>0</v>
      </c>
      <c r="N233" s="1014"/>
      <c r="U233" s="551"/>
      <c r="V233" s="1013"/>
    </row>
    <row r="234" spans="1:29" x14ac:dyDescent="0.25">
      <c r="A234" s="539" t="s">
        <v>717</v>
      </c>
      <c r="B234" s="544">
        <v>30000002</v>
      </c>
      <c r="C234" s="539">
        <v>20</v>
      </c>
      <c r="D234" s="539" t="s">
        <v>754</v>
      </c>
      <c r="E234" s="539" t="s">
        <v>755</v>
      </c>
      <c r="F234" s="539" t="s">
        <v>1512</v>
      </c>
      <c r="G234" s="550">
        <f>IFERROR(VLOOKUP(B234,[5]Sheet1!$C:$M,8,0),0)</f>
        <v>902532.25</v>
      </c>
      <c r="H234" s="550">
        <f>IFERROR(VLOOKUP(B234,[5]Sheet1!$C:$M,9,0),0)</f>
        <v>0</v>
      </c>
      <c r="I234" s="1201">
        <f>G234+H234</f>
        <v>902532.25</v>
      </c>
      <c r="J234" s="550">
        <v>0</v>
      </c>
      <c r="K234" s="550">
        <v>0</v>
      </c>
      <c r="N234" s="1014"/>
      <c r="Q234" s="1011" t="e">
        <f>VLOOKUP(B234,[7]!Table1[GLAccountNo],1,0)</f>
        <v>#REF!</v>
      </c>
      <c r="U234" s="551"/>
      <c r="V234" s="1013"/>
    </row>
    <row r="235" spans="1:29" hidden="1" x14ac:dyDescent="0.25">
      <c r="A235" s="539" t="s">
        <v>97</v>
      </c>
      <c r="B235" s="544">
        <v>40700005</v>
      </c>
      <c r="C235" s="539">
        <v>26</v>
      </c>
      <c r="D235" s="539" t="s">
        <v>194</v>
      </c>
      <c r="E235" s="1199" t="s">
        <v>1320</v>
      </c>
      <c r="F235" s="539" t="s">
        <v>1513</v>
      </c>
      <c r="G235" s="550">
        <f>IFERROR(VLOOKUP(B235,[5]Sheet1!$C:$M,8,0),0)</f>
        <v>3362570.79999999</v>
      </c>
      <c r="H235" s="550">
        <f>IFERROR(VLOOKUP(B235,[5]Sheet1!$C:$M,9,0),0)</f>
        <v>0</v>
      </c>
      <c r="I235" s="1201">
        <f>G235+H235</f>
        <v>3362570.79999999</v>
      </c>
      <c r="J235" s="550">
        <v>0</v>
      </c>
      <c r="K235" s="550">
        <v>0</v>
      </c>
      <c r="N235" s="1014"/>
      <c r="Q235" s="1011" t="e">
        <f>VLOOKUP(B235,[7]!Table1[GLAccountNo],1,0)</f>
        <v>#REF!</v>
      </c>
      <c r="U235" s="551"/>
      <c r="V235" s="1013"/>
    </row>
    <row r="236" spans="1:29" hidden="1" x14ac:dyDescent="0.25">
      <c r="A236" s="539" t="s">
        <v>97</v>
      </c>
      <c r="B236" s="544">
        <v>40400011</v>
      </c>
      <c r="C236" s="1195">
        <v>25</v>
      </c>
      <c r="D236" s="539" t="s">
        <v>202</v>
      </c>
      <c r="E236" s="539" t="s">
        <v>151</v>
      </c>
      <c r="F236" s="539" t="s">
        <v>1514</v>
      </c>
      <c r="G236" s="550">
        <f>IFERROR(VLOOKUP(B236,[5]Sheet1!$C:$M,8,0),0)</f>
        <v>14132535</v>
      </c>
      <c r="H236" s="550">
        <f>IFERROR(VLOOKUP(B236,[5]Sheet1!$C:$M,9,0),0)</f>
        <v>0</v>
      </c>
      <c r="I236" s="1201">
        <f>G236+H236</f>
        <v>14132535</v>
      </c>
      <c r="J236" s="550">
        <v>0</v>
      </c>
      <c r="K236" s="550">
        <v>0</v>
      </c>
      <c r="Q236" s="1011" t="e">
        <f>VLOOKUP(B236,[7]!Table1[GLAccountNo],1,0)</f>
        <v>#REF!</v>
      </c>
      <c r="U236" s="551"/>
      <c r="V236" s="1013"/>
    </row>
    <row r="237" spans="1:29" hidden="1" x14ac:dyDescent="0.25">
      <c r="A237" s="539" t="s">
        <v>683</v>
      </c>
      <c r="B237" s="544">
        <v>20600003</v>
      </c>
      <c r="C237" s="1195">
        <v>9</v>
      </c>
      <c r="D237" s="539" t="s">
        <v>737</v>
      </c>
      <c r="E237" s="539" t="s">
        <v>738</v>
      </c>
      <c r="F237" s="539" t="s">
        <v>1516</v>
      </c>
      <c r="G237" s="550">
        <f>IFERROR(VLOOKUP(B237,[5]Sheet1!$C:$M,8,0),0)</f>
        <v>592191.59999999905</v>
      </c>
      <c r="H237" s="550">
        <f>IFERROR(VLOOKUP(B237,[5]Sheet1!$C:$M,9,0),0)</f>
        <v>0</v>
      </c>
      <c r="I237" s="1201">
        <f>G237+H237</f>
        <v>592191.59999999905</v>
      </c>
      <c r="J237" s="550">
        <v>0</v>
      </c>
      <c r="K237" s="550">
        <v>0</v>
      </c>
      <c r="U237" s="551"/>
      <c r="V237" s="1013"/>
    </row>
    <row r="238" spans="1:29" hidden="1" x14ac:dyDescent="0.25">
      <c r="A238" s="539" t="s">
        <v>683</v>
      </c>
      <c r="B238" s="544">
        <v>21000021</v>
      </c>
      <c r="C238" s="1195">
        <v>11</v>
      </c>
      <c r="D238" s="539" t="s">
        <v>17</v>
      </c>
      <c r="E238" s="539" t="s">
        <v>591</v>
      </c>
      <c r="F238" s="539" t="s">
        <v>1517</v>
      </c>
      <c r="G238" s="550">
        <f>IFERROR(VLOOKUP(B238,[5]Sheet1!$C:$M,8,0),0)</f>
        <v>0</v>
      </c>
      <c r="H238" s="550">
        <f>IFERROR(VLOOKUP(B238,[5]Sheet1!$C:$M,9,0),0)</f>
        <v>0</v>
      </c>
      <c r="I238" s="1201">
        <f t="shared" ref="I238:I240" si="17">G238+H238</f>
        <v>0</v>
      </c>
      <c r="J238" s="550">
        <v>0</v>
      </c>
      <c r="K238" s="550">
        <v>0</v>
      </c>
      <c r="U238" s="551"/>
      <c r="V238" s="1013"/>
    </row>
    <row r="239" spans="1:29" hidden="1" x14ac:dyDescent="0.25">
      <c r="A239" s="539" t="s">
        <v>683</v>
      </c>
      <c r="B239" s="544">
        <v>21100009</v>
      </c>
      <c r="C239" s="1195">
        <v>11</v>
      </c>
      <c r="D239" s="539" t="s">
        <v>17</v>
      </c>
      <c r="E239" s="539" t="s">
        <v>1535</v>
      </c>
      <c r="F239" s="539" t="s">
        <v>1518</v>
      </c>
      <c r="G239" s="550">
        <f>IFERROR(VLOOKUP(B239,[5]Sheet1!$C:$M,8,0),0)</f>
        <v>1776675.2</v>
      </c>
      <c r="H239" s="550">
        <f>IFERROR(VLOOKUP(B239,[5]Sheet1!$C:$M,9,0),0)</f>
        <v>0</v>
      </c>
      <c r="I239" s="1201">
        <f t="shared" si="17"/>
        <v>1776675.2</v>
      </c>
      <c r="J239" s="550">
        <v>0</v>
      </c>
      <c r="K239" s="550">
        <v>0</v>
      </c>
      <c r="U239" s="551"/>
      <c r="V239" s="1013"/>
    </row>
    <row r="240" spans="1:29" x14ac:dyDescent="0.25">
      <c r="A240" s="539" t="s">
        <v>717</v>
      </c>
      <c r="B240" s="544">
        <v>30100016</v>
      </c>
      <c r="C240" s="539">
        <v>20</v>
      </c>
      <c r="D240" s="539" t="s">
        <v>754</v>
      </c>
      <c r="E240" s="539" t="s">
        <v>803</v>
      </c>
      <c r="F240" s="539" t="s">
        <v>1518</v>
      </c>
      <c r="G240" s="550">
        <f>IFERROR(VLOOKUP(B240,[5]Sheet1!$C:$M,8,0),0)</f>
        <v>0</v>
      </c>
      <c r="H240" s="550">
        <f>IFERROR(VLOOKUP(B240,[5]Sheet1!$C:$M,9,0),0)</f>
        <v>-3945733</v>
      </c>
      <c r="I240" s="1201">
        <f t="shared" si="17"/>
        <v>-3945733</v>
      </c>
      <c r="J240" s="550">
        <v>0</v>
      </c>
      <c r="K240" s="550">
        <v>0</v>
      </c>
      <c r="U240" s="551"/>
      <c r="V240" s="1013"/>
    </row>
    <row r="241" spans="1:29" hidden="1" x14ac:dyDescent="0.25">
      <c r="A241" s="539" t="s">
        <v>97</v>
      </c>
      <c r="B241" s="544">
        <v>40700037</v>
      </c>
      <c r="C241" s="539">
        <v>26</v>
      </c>
      <c r="D241" s="539" t="s">
        <v>194</v>
      </c>
      <c r="E241" s="539" t="s">
        <v>197</v>
      </c>
      <c r="F241" s="549" t="s">
        <v>1519</v>
      </c>
      <c r="G241" s="550">
        <f>IFERROR(VLOOKUP(B241,[5]Sheet1!$C:$M,8,0),0)</f>
        <v>1080800</v>
      </c>
      <c r="H241" s="550">
        <f>IFERROR(VLOOKUP(B241,[5]Sheet1!$C:$M,9,0),0)</f>
        <v>0</v>
      </c>
      <c r="I241" s="1201">
        <f>G241+H241</f>
        <v>1080800</v>
      </c>
      <c r="J241" s="550">
        <v>0</v>
      </c>
      <c r="K241" s="550">
        <v>0</v>
      </c>
      <c r="U241" s="551"/>
      <c r="V241" s="1013"/>
      <c r="AC241" s="1399"/>
    </row>
    <row r="242" spans="1:29" hidden="1" x14ac:dyDescent="0.25">
      <c r="A242" s="539" t="s">
        <v>683</v>
      </c>
      <c r="B242" s="544">
        <v>21000000</v>
      </c>
      <c r="C242" s="1199">
        <v>6</v>
      </c>
      <c r="D242" s="1195" t="s">
        <v>927</v>
      </c>
      <c r="E242" s="1195" t="s">
        <v>1153</v>
      </c>
      <c r="F242" s="539" t="s">
        <v>1521</v>
      </c>
      <c r="G242" s="550">
        <f>IFERROR(VLOOKUP(B242,[5]Sheet1!$C:$M,8,0),0)</f>
        <v>0</v>
      </c>
      <c r="H242" s="550">
        <f>IFERROR(VLOOKUP(B242,[5]Sheet1!$C:$M,9,0),0)</f>
        <v>0</v>
      </c>
      <c r="I242" s="1201">
        <f t="shared" ref="I242:I244" si="18">G242+H242</f>
        <v>0</v>
      </c>
      <c r="J242" s="550">
        <v>0</v>
      </c>
      <c r="K242" s="550">
        <v>0</v>
      </c>
      <c r="U242" s="551"/>
      <c r="V242" s="1013"/>
    </row>
    <row r="243" spans="1:29" hidden="1" x14ac:dyDescent="0.25">
      <c r="A243" s="539" t="s">
        <v>97</v>
      </c>
      <c r="B243" s="544">
        <v>40400027</v>
      </c>
      <c r="C243" s="1195">
        <v>25</v>
      </c>
      <c r="D243" s="539" t="s">
        <v>202</v>
      </c>
      <c r="E243" s="539" t="s">
        <v>213</v>
      </c>
      <c r="F243" s="539" t="s">
        <v>1522</v>
      </c>
      <c r="G243" s="550">
        <f>IFERROR(VLOOKUP(B243,[5]Sheet1!$C:$M,8,0),0)</f>
        <v>24961796</v>
      </c>
      <c r="H243" s="550">
        <f>IFERROR(VLOOKUP(B243,[5]Sheet1!$C:$M,9,0),0)</f>
        <v>0</v>
      </c>
      <c r="I243" s="1201">
        <f t="shared" si="18"/>
        <v>24961796</v>
      </c>
      <c r="J243" s="550">
        <v>0</v>
      </c>
      <c r="K243" s="550">
        <v>0</v>
      </c>
      <c r="U243" s="551"/>
      <c r="V243" s="1013"/>
    </row>
    <row r="244" spans="1:29" hidden="1" x14ac:dyDescent="0.25">
      <c r="A244" s="539" t="s">
        <v>26</v>
      </c>
      <c r="B244" s="544">
        <v>10200019</v>
      </c>
      <c r="C244" s="539">
        <v>14</v>
      </c>
      <c r="D244" s="539" t="s">
        <v>83</v>
      </c>
      <c r="E244" s="539" t="s">
        <v>1769</v>
      </c>
      <c r="F244" s="539" t="s">
        <v>1524</v>
      </c>
      <c r="G244" s="550">
        <f>IFERROR(VLOOKUP(B244,[5]Sheet1!$C:$M,8,0),0)</f>
        <v>0</v>
      </c>
      <c r="H244" s="550">
        <f>IFERROR(VLOOKUP(B244,[5]Sheet1!$C:$M,9,0),0)</f>
        <v>-105646541</v>
      </c>
      <c r="I244" s="1201">
        <f t="shared" si="18"/>
        <v>-105646541</v>
      </c>
      <c r="J244" s="1477">
        <v>-33333333</v>
      </c>
      <c r="K244" s="1477">
        <f t="shared" si="15"/>
        <v>-72313208</v>
      </c>
      <c r="U244" s="551"/>
      <c r="V244" s="1013"/>
    </row>
    <row r="245" spans="1:29" hidden="1" x14ac:dyDescent="0.25">
      <c r="A245" s="539" t="s">
        <v>26</v>
      </c>
      <c r="B245" s="544">
        <v>10600012</v>
      </c>
      <c r="C245" s="539">
        <v>14</v>
      </c>
      <c r="D245" s="539" t="s">
        <v>83</v>
      </c>
      <c r="E245" s="539" t="s">
        <v>1318</v>
      </c>
      <c r="F245" s="539" t="s">
        <v>1525</v>
      </c>
      <c r="G245" s="550">
        <f>IFERROR(VLOOKUP(B245,[5]Sheet1!$C:$M,8,0),0)</f>
        <v>0</v>
      </c>
      <c r="H245" s="550">
        <f>IFERROR(VLOOKUP(B245,[5]Sheet1!$C:$M,9,0),0)</f>
        <v>-150000000</v>
      </c>
      <c r="I245" s="1201">
        <f>G245+H245</f>
        <v>-150000000</v>
      </c>
      <c r="J245" s="550">
        <v>0</v>
      </c>
      <c r="K245" s="550">
        <v>0</v>
      </c>
      <c r="U245" s="551"/>
      <c r="V245" s="1013"/>
    </row>
    <row r="246" spans="1:29" hidden="1" x14ac:dyDescent="0.25">
      <c r="A246" s="539" t="s">
        <v>97</v>
      </c>
      <c r="B246" s="544">
        <v>40600012</v>
      </c>
      <c r="C246" s="539">
        <v>26</v>
      </c>
      <c r="D246" s="539" t="s">
        <v>194</v>
      </c>
      <c r="E246" s="539" t="s">
        <v>770</v>
      </c>
      <c r="F246" s="539" t="s">
        <v>1526</v>
      </c>
      <c r="G246" s="550">
        <f>IFERROR(VLOOKUP(B246,[5]Sheet1!$C:$M,8,0),0)</f>
        <v>237764</v>
      </c>
      <c r="H246" s="550">
        <f>IFERROR(VLOOKUP(B246,[5]Sheet1!$C:$M,9,0),0)</f>
        <v>0</v>
      </c>
      <c r="I246" s="1412">
        <f t="shared" ref="I246" si="19">G246+H246</f>
        <v>237764</v>
      </c>
      <c r="J246" s="550">
        <v>0</v>
      </c>
      <c r="K246" s="550">
        <v>0</v>
      </c>
      <c r="U246" s="551"/>
      <c r="V246" s="1013"/>
    </row>
    <row r="247" spans="1:29" hidden="1" x14ac:dyDescent="0.25">
      <c r="A247" s="539" t="s">
        <v>26</v>
      </c>
      <c r="B247" s="544">
        <v>10900007</v>
      </c>
      <c r="C247" s="1195">
        <v>17</v>
      </c>
      <c r="D247" s="539" t="s">
        <v>153</v>
      </c>
      <c r="E247" s="539" t="s">
        <v>134</v>
      </c>
      <c r="F247" s="539" t="s">
        <v>1531</v>
      </c>
      <c r="G247" s="1416">
        <f>IFERROR(VLOOKUP(B247,[5]Sheet1!$C:$M,8,0),0)</f>
        <v>0</v>
      </c>
      <c r="H247" s="1416">
        <f>-1991501.67</f>
        <v>-1991501.67</v>
      </c>
      <c r="I247" s="1412">
        <f t="shared" ref="I247:I249" si="20">G247+H247</f>
        <v>-1991501.67</v>
      </c>
      <c r="J247" s="550">
        <v>0</v>
      </c>
      <c r="K247" s="550">
        <v>0</v>
      </c>
      <c r="U247" s="551"/>
      <c r="V247" s="1013"/>
    </row>
    <row r="248" spans="1:29" hidden="1" x14ac:dyDescent="0.25">
      <c r="A248" s="539" t="s">
        <v>97</v>
      </c>
      <c r="B248" s="544">
        <v>40700033</v>
      </c>
      <c r="C248" s="539">
        <v>26</v>
      </c>
      <c r="D248" s="539" t="s">
        <v>194</v>
      </c>
      <c r="E248" s="539" t="s">
        <v>1534</v>
      </c>
      <c r="F248" s="539" t="s">
        <v>1532</v>
      </c>
      <c r="G248" s="1416">
        <v>3984742.67</v>
      </c>
      <c r="H248" s="1416">
        <f>IFERROR(VLOOKUP(B248,[5]Sheet1!$C:$M,9,0),0)</f>
        <v>0</v>
      </c>
      <c r="I248" s="1412">
        <f t="shared" si="20"/>
        <v>3984742.67</v>
      </c>
      <c r="J248" s="550">
        <v>0</v>
      </c>
      <c r="K248" s="550">
        <v>0</v>
      </c>
      <c r="U248" s="551"/>
      <c r="V248" s="1013"/>
    </row>
    <row r="249" spans="1:29" hidden="1" x14ac:dyDescent="0.25">
      <c r="A249" s="539" t="s">
        <v>683</v>
      </c>
      <c r="B249" s="544">
        <v>21000017</v>
      </c>
      <c r="C249" s="1195">
        <v>11</v>
      </c>
      <c r="D249" s="539" t="s">
        <v>17</v>
      </c>
      <c r="E249" s="539" t="s">
        <v>1535</v>
      </c>
      <c r="F249" s="539" t="s">
        <v>1533</v>
      </c>
      <c r="G249" s="550">
        <f>IFERROR(VLOOKUP(B249,[5]Sheet1!$C:$M,8,0),0)</f>
        <v>481043</v>
      </c>
      <c r="H249" s="550">
        <f>IFERROR(VLOOKUP(B249,[5]Sheet1!$C:$M,9,0),0)</f>
        <v>0</v>
      </c>
      <c r="I249" s="1412">
        <f t="shared" si="20"/>
        <v>481043</v>
      </c>
      <c r="J249" s="550">
        <v>0</v>
      </c>
      <c r="K249" s="550">
        <v>0</v>
      </c>
      <c r="U249" s="551"/>
      <c r="V249" s="1013"/>
    </row>
    <row r="250" spans="1:29" hidden="1" x14ac:dyDescent="0.25">
      <c r="A250" s="539" t="s">
        <v>97</v>
      </c>
      <c r="B250" s="544">
        <v>40700013</v>
      </c>
      <c r="C250" s="539">
        <v>26</v>
      </c>
      <c r="D250" s="539" t="s">
        <v>194</v>
      </c>
      <c r="E250" s="539" t="s">
        <v>197</v>
      </c>
      <c r="F250" s="539" t="s">
        <v>1536</v>
      </c>
      <c r="G250" s="550">
        <f>IFERROR(VLOOKUP(B250,[5]Sheet1!$C:$M,8,0),0)</f>
        <v>54760.459999999897</v>
      </c>
      <c r="H250" s="550">
        <f>IFERROR(VLOOKUP(B250,[5]Sheet1!$C:$M,9,0),0)</f>
        <v>0</v>
      </c>
      <c r="I250" s="1412">
        <f t="shared" ref="I250" si="21">G250+H250</f>
        <v>54760.459999999897</v>
      </c>
      <c r="J250" s="550">
        <v>0</v>
      </c>
      <c r="K250" s="550">
        <v>0</v>
      </c>
      <c r="U250" s="551"/>
      <c r="V250" s="1013"/>
    </row>
    <row r="251" spans="1:29" hidden="1" x14ac:dyDescent="0.25">
      <c r="A251" s="539" t="s">
        <v>97</v>
      </c>
      <c r="B251" s="544">
        <v>40700002</v>
      </c>
      <c r="C251" s="539">
        <v>26</v>
      </c>
      <c r="D251" s="539" t="s">
        <v>194</v>
      </c>
      <c r="E251" s="539" t="s">
        <v>1207</v>
      </c>
      <c r="F251" s="539" t="s">
        <v>1537</v>
      </c>
      <c r="G251" s="550">
        <f>IFERROR(VLOOKUP(B251,[5]Sheet1!$C:$M,8,0),0)</f>
        <v>2982177.99</v>
      </c>
      <c r="H251" s="550">
        <f>IFERROR(VLOOKUP(B251,[5]Sheet1!$C:$M,9,0),0)</f>
        <v>0</v>
      </c>
      <c r="I251" s="1412">
        <f t="shared" ref="I251" si="22">G251+H251</f>
        <v>2982177.99</v>
      </c>
      <c r="J251" s="550">
        <v>0</v>
      </c>
      <c r="K251" s="550">
        <v>0</v>
      </c>
      <c r="U251" s="551"/>
      <c r="V251" s="1013"/>
    </row>
    <row r="252" spans="1:29" hidden="1" x14ac:dyDescent="0.25">
      <c r="B252" s="544">
        <v>11000009</v>
      </c>
      <c r="C252" s="1195">
        <v>19</v>
      </c>
      <c r="D252" s="539" t="s">
        <v>36</v>
      </c>
      <c r="E252" s="539" t="s">
        <v>131</v>
      </c>
      <c r="F252" s="539" t="s">
        <v>508</v>
      </c>
      <c r="G252" s="550">
        <f>IFERROR(VLOOKUP(B252,[5]Sheet1!$C:$M,8,0),0)</f>
        <v>0</v>
      </c>
      <c r="H252" s="550">
        <f>IFERROR(VLOOKUP(B252,[5]Sheet1!$C:$M,9,0),0)</f>
        <v>-109350</v>
      </c>
      <c r="I252" s="1412">
        <f t="shared" ref="I252" si="23">G252+H252</f>
        <v>-109350</v>
      </c>
      <c r="J252" s="550">
        <v>0</v>
      </c>
      <c r="K252" s="550">
        <v>0</v>
      </c>
    </row>
    <row r="253" spans="1:29" hidden="1" x14ac:dyDescent="0.25">
      <c r="B253" s="544">
        <v>40700046</v>
      </c>
      <c r="C253" s="539">
        <v>26</v>
      </c>
      <c r="D253" s="539" t="s">
        <v>194</v>
      </c>
      <c r="E253" s="539" t="s">
        <v>1542</v>
      </c>
      <c r="G253" s="550">
        <f>IFERROR(VLOOKUP(B253,[5]Sheet1!$C:$M,8,0),0)</f>
        <v>1495028</v>
      </c>
      <c r="H253" s="550">
        <f>IFERROR(VLOOKUP(B253,[5]Sheet1!$C:$M,9,0),0)</f>
        <v>0</v>
      </c>
      <c r="I253" s="1412">
        <f t="shared" ref="I253:I254" si="24">G253+H253</f>
        <v>1495028</v>
      </c>
      <c r="J253" s="550"/>
      <c r="K253" s="550"/>
    </row>
    <row r="254" spans="1:29" hidden="1" x14ac:dyDescent="0.25">
      <c r="B254" s="544">
        <v>20600010</v>
      </c>
      <c r="C254" s="1195">
        <v>9</v>
      </c>
      <c r="D254" s="539" t="s">
        <v>737</v>
      </c>
      <c r="E254" s="539" t="s">
        <v>1540</v>
      </c>
      <c r="F254" s="539" t="s">
        <v>1550</v>
      </c>
      <c r="G254" s="550">
        <f>IFERROR(VLOOKUP(B254,[5]Sheet1!$C:$M,8,0),0)</f>
        <v>0</v>
      </c>
      <c r="H254" s="550">
        <f>IFERROR(VLOOKUP(B254,[5]Sheet1!$C:$M,9,0),0)</f>
        <v>-1495028</v>
      </c>
      <c r="I254" s="1412">
        <f t="shared" si="24"/>
        <v>-1495028</v>
      </c>
      <c r="J254" s="550"/>
      <c r="K254" s="550"/>
    </row>
    <row r="255" spans="1:29" hidden="1" x14ac:dyDescent="0.25">
      <c r="B255" s="544">
        <v>10200014</v>
      </c>
      <c r="C255" s="539">
        <v>14</v>
      </c>
      <c r="D255" s="539" t="s">
        <v>83</v>
      </c>
      <c r="E255" s="539" t="s">
        <v>1318</v>
      </c>
      <c r="F255" s="539" t="s">
        <v>1608</v>
      </c>
      <c r="G255" s="550">
        <f>IFERROR(VLOOKUP(B255,[5]Sheet1!$C:$M,8,0),0)</f>
        <v>0</v>
      </c>
      <c r="H255" s="550">
        <f>IFERROR(VLOOKUP(B255,[5]Sheet1!$C:$M,9,0),0)</f>
        <v>-944485</v>
      </c>
      <c r="I255" s="1412">
        <f t="shared" ref="I255:I256" si="25">G255+H255</f>
        <v>-944485</v>
      </c>
      <c r="J255" s="550"/>
      <c r="K255" s="550"/>
    </row>
    <row r="256" spans="1:29" hidden="1" x14ac:dyDescent="0.25">
      <c r="B256" s="544">
        <v>40700048</v>
      </c>
      <c r="C256" s="1195">
        <v>26</v>
      </c>
      <c r="D256" s="539" t="s">
        <v>194</v>
      </c>
      <c r="E256" s="539" t="s">
        <v>1605</v>
      </c>
      <c r="F256" s="539" t="s">
        <v>1609</v>
      </c>
      <c r="G256" s="550">
        <f>IFERROR(VLOOKUP(B256,[5]Sheet1!$C:$M,8,0),0)</f>
        <v>1301535</v>
      </c>
      <c r="H256" s="550">
        <f>IFERROR(VLOOKUP(B256,[5]Sheet1!$C:$M,9,0),0)</f>
        <v>0</v>
      </c>
      <c r="I256" s="1412">
        <f t="shared" si="25"/>
        <v>1301535</v>
      </c>
      <c r="J256" s="550"/>
      <c r="K256" s="550"/>
    </row>
    <row r="257" spans="1:20" hidden="1" x14ac:dyDescent="0.25">
      <c r="A257" s="1795" t="s">
        <v>1548</v>
      </c>
      <c r="B257" s="1479">
        <v>40300010</v>
      </c>
      <c r="C257" s="1480">
        <v>24</v>
      </c>
      <c r="D257" s="1481" t="s">
        <v>198</v>
      </c>
      <c r="E257" s="1481" t="s">
        <v>1669</v>
      </c>
      <c r="F257" s="1481" t="s">
        <v>1126</v>
      </c>
      <c r="G257" s="1482">
        <f>920690</f>
        <v>920690</v>
      </c>
      <c r="H257" s="1482"/>
      <c r="I257" s="1483">
        <f t="shared" ref="I257:I260" si="26">G257+H257</f>
        <v>920690</v>
      </c>
      <c r="J257" s="550">
        <v>0</v>
      </c>
      <c r="K257" s="550">
        <v>0</v>
      </c>
    </row>
    <row r="258" spans="1:20" s="1429" customFormat="1" hidden="1" x14ac:dyDescent="0.25">
      <c r="A258" s="1796"/>
      <c r="B258" s="1485"/>
      <c r="C258" s="1486"/>
      <c r="D258" s="1486" t="s">
        <v>64</v>
      </c>
      <c r="E258" s="1486" t="s">
        <v>1371</v>
      </c>
      <c r="F258" s="1486" t="s">
        <v>1371</v>
      </c>
      <c r="G258" s="1487"/>
      <c r="H258" s="1487">
        <f>-G257</f>
        <v>-920690</v>
      </c>
      <c r="I258" s="1488">
        <f t="shared" si="26"/>
        <v>-920690</v>
      </c>
      <c r="J258" s="1430">
        <v>0</v>
      </c>
      <c r="K258" s="1430">
        <v>0</v>
      </c>
      <c r="N258" s="1431"/>
      <c r="O258" s="1432"/>
    </row>
    <row r="259" spans="1:20" s="1425" customFormat="1" x14ac:dyDescent="0.25">
      <c r="A259" s="1795" t="s">
        <v>1548</v>
      </c>
      <c r="B259" s="1489">
        <v>30000001</v>
      </c>
      <c r="C259" s="1490">
        <v>20</v>
      </c>
      <c r="D259" s="1490" t="s">
        <v>754</v>
      </c>
      <c r="E259" s="1490" t="s">
        <v>755</v>
      </c>
      <c r="F259" s="1490" t="s">
        <v>757</v>
      </c>
      <c r="G259" s="1491">
        <v>1083000</v>
      </c>
      <c r="H259" s="1491"/>
      <c r="I259" s="1492">
        <f t="shared" si="26"/>
        <v>1083000</v>
      </c>
      <c r="J259" s="1424">
        <v>0</v>
      </c>
      <c r="K259" s="1424">
        <v>0</v>
      </c>
      <c r="N259" s="1426"/>
      <c r="O259" s="1427"/>
    </row>
    <row r="260" spans="1:20" s="1429" customFormat="1" x14ac:dyDescent="0.25">
      <c r="A260" s="1796"/>
      <c r="B260" s="1485">
        <v>30000004</v>
      </c>
      <c r="C260" s="1486">
        <v>20</v>
      </c>
      <c r="D260" s="1486" t="s">
        <v>754</v>
      </c>
      <c r="E260" s="1486" t="s">
        <v>1194</v>
      </c>
      <c r="F260" s="1486" t="s">
        <v>1194</v>
      </c>
      <c r="G260" s="1487"/>
      <c r="H260" s="1487">
        <f>-G259</f>
        <v>-1083000</v>
      </c>
      <c r="I260" s="1488">
        <f t="shared" si="26"/>
        <v>-1083000</v>
      </c>
      <c r="J260" s="1430">
        <v>0</v>
      </c>
      <c r="K260" s="1430">
        <v>0</v>
      </c>
      <c r="N260" s="1431"/>
      <c r="O260" s="1432"/>
    </row>
    <row r="261" spans="1:20" s="1425" customFormat="1" hidden="1" x14ac:dyDescent="0.25">
      <c r="A261" s="1797" t="s">
        <v>1549</v>
      </c>
      <c r="B261" s="1489">
        <v>10800001</v>
      </c>
      <c r="C261" s="1480">
        <v>17</v>
      </c>
      <c r="D261" s="1490" t="s">
        <v>153</v>
      </c>
      <c r="E261" s="1490" t="s">
        <v>134</v>
      </c>
      <c r="F261" s="1490"/>
      <c r="G261" s="1491">
        <f>36045498-176543</f>
        <v>35868955</v>
      </c>
      <c r="H261" s="1491"/>
      <c r="I261" s="1500">
        <f t="shared" ref="I261:I268" si="27">G261+H261</f>
        <v>35868955</v>
      </c>
      <c r="J261" s="1424">
        <v>0</v>
      </c>
      <c r="K261" s="1424">
        <v>0</v>
      </c>
      <c r="N261" s="1426"/>
      <c r="O261" s="1427"/>
    </row>
    <row r="262" spans="1:20" hidden="1" x14ac:dyDescent="0.25">
      <c r="A262" s="1798"/>
      <c r="B262" s="1479">
        <v>11100002</v>
      </c>
      <c r="C262" s="1481">
        <v>18</v>
      </c>
      <c r="D262" s="1481" t="s">
        <v>169</v>
      </c>
      <c r="E262" s="1481" t="s">
        <v>1604</v>
      </c>
      <c r="F262" s="1481" t="s">
        <v>726</v>
      </c>
      <c r="G262" s="1482"/>
      <c r="H262" s="1482">
        <f>-G261</f>
        <v>-35868955</v>
      </c>
      <c r="I262" s="1483">
        <f t="shared" si="27"/>
        <v>-35868955</v>
      </c>
      <c r="J262" s="550">
        <v>0</v>
      </c>
      <c r="K262" s="550">
        <v>0</v>
      </c>
    </row>
    <row r="263" spans="1:20" hidden="1" x14ac:dyDescent="0.25">
      <c r="A263" s="1798"/>
      <c r="B263" s="1479">
        <v>10800001</v>
      </c>
      <c r="C263" s="1480">
        <v>17</v>
      </c>
      <c r="D263" s="1481" t="s">
        <v>153</v>
      </c>
      <c r="E263" s="1481" t="s">
        <v>134</v>
      </c>
      <c r="F263" s="1481"/>
      <c r="G263" s="1482"/>
      <c r="H263" s="1482">
        <f>-G264</f>
        <v>-201662</v>
      </c>
      <c r="I263" s="1500">
        <f t="shared" si="27"/>
        <v>-201662</v>
      </c>
      <c r="J263" s="550">
        <v>0</v>
      </c>
      <c r="K263" s="550">
        <v>0</v>
      </c>
    </row>
    <row r="264" spans="1:20" hidden="1" x14ac:dyDescent="0.25">
      <c r="A264" s="1798"/>
      <c r="B264" s="1479">
        <v>20100001</v>
      </c>
      <c r="C264" s="1481">
        <v>7</v>
      </c>
      <c r="D264" s="1481" t="s">
        <v>4</v>
      </c>
      <c r="E264" s="1481" t="s">
        <v>921</v>
      </c>
      <c r="F264" s="1481" t="s">
        <v>730</v>
      </c>
      <c r="G264" s="1482">
        <v>201662</v>
      </c>
      <c r="H264" s="1482"/>
      <c r="I264" s="1483">
        <f t="shared" si="27"/>
        <v>201662</v>
      </c>
      <c r="J264" s="550">
        <v>0</v>
      </c>
      <c r="K264" s="550">
        <v>0</v>
      </c>
    </row>
    <row r="265" spans="1:20" hidden="1" x14ac:dyDescent="0.25">
      <c r="A265" s="1798"/>
      <c r="B265" s="1479">
        <v>10800001</v>
      </c>
      <c r="C265" s="1480">
        <v>17</v>
      </c>
      <c r="D265" s="1481" t="s">
        <v>153</v>
      </c>
      <c r="E265" s="1481" t="s">
        <v>134</v>
      </c>
      <c r="F265" s="1481"/>
      <c r="G265" s="1481">
        <f>13065+42051</f>
        <v>55116</v>
      </c>
      <c r="H265" s="1481"/>
      <c r="I265" s="1500">
        <f t="shared" si="27"/>
        <v>55116</v>
      </c>
      <c r="J265" s="550">
        <v>0</v>
      </c>
      <c r="K265" s="550">
        <v>0</v>
      </c>
    </row>
    <row r="266" spans="1:20" hidden="1" x14ac:dyDescent="0.25">
      <c r="A266" s="1798"/>
      <c r="B266" s="1479">
        <v>10800005</v>
      </c>
      <c r="C266" s="1481">
        <v>18</v>
      </c>
      <c r="D266" s="1481" t="s">
        <v>169</v>
      </c>
      <c r="E266" s="1481" t="s">
        <v>168</v>
      </c>
      <c r="F266" s="1481" t="s">
        <v>1191</v>
      </c>
      <c r="G266" s="1481"/>
      <c r="H266" s="1481">
        <f>-G265</f>
        <v>-55116</v>
      </c>
      <c r="I266" s="1483">
        <f t="shared" si="27"/>
        <v>-55116</v>
      </c>
      <c r="J266" s="550">
        <v>0</v>
      </c>
      <c r="K266" s="550">
        <v>0</v>
      </c>
    </row>
    <row r="267" spans="1:20" hidden="1" x14ac:dyDescent="0.25">
      <c r="A267" s="1798"/>
      <c r="B267" s="1479">
        <v>10800001</v>
      </c>
      <c r="C267" s="1480">
        <v>17</v>
      </c>
      <c r="D267" s="1481" t="s">
        <v>153</v>
      </c>
      <c r="E267" s="1481" t="s">
        <v>134</v>
      </c>
      <c r="F267" s="1481"/>
      <c r="G267" s="1481"/>
      <c r="H267" s="1481">
        <f>-G268</f>
        <v>-2793108</v>
      </c>
      <c r="I267" s="1500">
        <f t="shared" si="27"/>
        <v>-2793108</v>
      </c>
      <c r="J267" s="550">
        <v>0</v>
      </c>
      <c r="K267" s="550">
        <v>0</v>
      </c>
    </row>
    <row r="268" spans="1:20" hidden="1" x14ac:dyDescent="0.25">
      <c r="A268" s="1798"/>
      <c r="B268" s="1479">
        <v>21100011</v>
      </c>
      <c r="C268" s="1480">
        <v>11</v>
      </c>
      <c r="D268" s="1481" t="s">
        <v>17</v>
      </c>
      <c r="E268" s="1481" t="s">
        <v>1343</v>
      </c>
      <c r="F268" s="1481" t="s">
        <v>1343</v>
      </c>
      <c r="G268" s="1481">
        <v>2793108</v>
      </c>
      <c r="H268" s="1481"/>
      <c r="I268" s="1483">
        <f t="shared" si="27"/>
        <v>2793108</v>
      </c>
      <c r="J268" s="550">
        <v>0</v>
      </c>
      <c r="K268" s="550">
        <v>0</v>
      </c>
    </row>
    <row r="269" spans="1:20" s="1428" customFormat="1" hidden="1" x14ac:dyDescent="0.25">
      <c r="A269" s="1798"/>
      <c r="B269" s="1479">
        <v>20600009</v>
      </c>
      <c r="C269" s="1480">
        <v>9</v>
      </c>
      <c r="D269" s="1481" t="s">
        <v>737</v>
      </c>
      <c r="E269" s="1481" t="s">
        <v>738</v>
      </c>
      <c r="F269" s="1481" t="s">
        <v>741</v>
      </c>
      <c r="G269" s="1493">
        <v>901805.07999999903</v>
      </c>
      <c r="H269" s="1481"/>
      <c r="I269" s="1483">
        <f t="shared" ref="I269:I270" si="28">G269+H269</f>
        <v>901805.07999999903</v>
      </c>
      <c r="J269" s="550">
        <v>0</v>
      </c>
      <c r="K269" s="550">
        <v>0</v>
      </c>
      <c r="M269" s="539"/>
      <c r="N269" s="543"/>
      <c r="O269" s="544"/>
      <c r="P269" s="539"/>
      <c r="Q269" s="539"/>
      <c r="R269" s="539"/>
      <c r="S269" s="539"/>
      <c r="T269" s="539"/>
    </row>
    <row r="270" spans="1:20" s="1428" customFormat="1" hidden="1" x14ac:dyDescent="0.25">
      <c r="A270" s="1798"/>
      <c r="B270" s="1479"/>
      <c r="C270" s="1480">
        <v>19</v>
      </c>
      <c r="D270" s="1481" t="s">
        <v>36</v>
      </c>
      <c r="E270" s="1481" t="s">
        <v>1538</v>
      </c>
      <c r="F270" s="1481" t="s">
        <v>1538</v>
      </c>
      <c r="G270" s="1481"/>
      <c r="H270" s="1493">
        <f>-G269</f>
        <v>-901805.07999999903</v>
      </c>
      <c r="I270" s="1483">
        <f t="shared" si="28"/>
        <v>-901805.07999999903</v>
      </c>
      <c r="J270" s="550">
        <v>0</v>
      </c>
      <c r="K270" s="550">
        <v>0</v>
      </c>
      <c r="M270" s="539"/>
      <c r="N270" s="543"/>
      <c r="O270" s="544"/>
      <c r="P270" s="539"/>
      <c r="Q270" s="539"/>
      <c r="R270" s="539"/>
      <c r="S270" s="539"/>
      <c r="T270" s="539"/>
    </row>
    <row r="271" spans="1:20" s="1428" customFormat="1" hidden="1" x14ac:dyDescent="0.25">
      <c r="A271" s="1798"/>
      <c r="B271" s="1479">
        <v>20300000</v>
      </c>
      <c r="C271" s="1480">
        <v>5</v>
      </c>
      <c r="D271" s="1481" t="s">
        <v>152</v>
      </c>
      <c r="E271" s="1481" t="s">
        <v>175</v>
      </c>
      <c r="F271" s="1481" t="s">
        <v>731</v>
      </c>
      <c r="G271" s="1482"/>
      <c r="H271" s="1482">
        <v>-3888000</v>
      </c>
      <c r="I271" s="1483">
        <f t="shared" ref="I271:I278" si="29">G271+H271</f>
        <v>-3888000</v>
      </c>
      <c r="J271" s="550">
        <v>0</v>
      </c>
      <c r="K271" s="550">
        <v>0</v>
      </c>
      <c r="M271" s="539"/>
      <c r="N271" s="543"/>
      <c r="O271" s="544"/>
      <c r="P271" s="539"/>
      <c r="Q271" s="539"/>
      <c r="R271" s="539"/>
      <c r="S271" s="539"/>
      <c r="T271" s="539"/>
    </row>
    <row r="272" spans="1:20" s="1428" customFormat="1" hidden="1" x14ac:dyDescent="0.25">
      <c r="A272" s="1798"/>
      <c r="B272" s="1479">
        <v>21100011</v>
      </c>
      <c r="C272" s="1480">
        <v>11</v>
      </c>
      <c r="D272" s="1481" t="s">
        <v>17</v>
      </c>
      <c r="E272" s="1481" t="s">
        <v>1343</v>
      </c>
      <c r="F272" s="1481" t="s">
        <v>1343</v>
      </c>
      <c r="G272" s="1482">
        <f>-H271</f>
        <v>3888000</v>
      </c>
      <c r="H272" s="1482"/>
      <c r="I272" s="1483">
        <f t="shared" si="29"/>
        <v>3888000</v>
      </c>
      <c r="J272" s="550">
        <v>0</v>
      </c>
      <c r="K272" s="550">
        <v>0</v>
      </c>
      <c r="M272" s="539"/>
      <c r="N272" s="543"/>
      <c r="O272" s="544"/>
      <c r="P272" s="539"/>
      <c r="Q272" s="539"/>
      <c r="R272" s="539"/>
      <c r="S272" s="539"/>
      <c r="T272" s="539"/>
    </row>
    <row r="273" spans="1:15" x14ac:dyDescent="0.25">
      <c r="A273" s="1798"/>
      <c r="B273" s="1479">
        <v>30000001</v>
      </c>
      <c r="C273" s="1481">
        <v>20</v>
      </c>
      <c r="D273" s="1481" t="s">
        <v>754</v>
      </c>
      <c r="E273" s="1481" t="s">
        <v>755</v>
      </c>
      <c r="F273" s="1481" t="s">
        <v>757</v>
      </c>
      <c r="G273" s="1482">
        <v>62146874</v>
      </c>
      <c r="H273" s="1482"/>
      <c r="I273" s="1483">
        <f t="shared" si="29"/>
        <v>62146874</v>
      </c>
      <c r="J273" s="550">
        <v>0</v>
      </c>
      <c r="K273" s="550">
        <v>0</v>
      </c>
    </row>
    <row r="274" spans="1:15" s="1429" customFormat="1" x14ac:dyDescent="0.25">
      <c r="A274" s="1799"/>
      <c r="B274" s="1485">
        <v>30000001</v>
      </c>
      <c r="C274" s="1486">
        <v>20</v>
      </c>
      <c r="D274" s="1486" t="s">
        <v>754</v>
      </c>
      <c r="E274" s="1486" t="s">
        <v>1344</v>
      </c>
      <c r="F274" s="1486" t="s">
        <v>1344</v>
      </c>
      <c r="G274" s="1487"/>
      <c r="H274" s="1487">
        <f>-G273</f>
        <v>-62146874</v>
      </c>
      <c r="I274" s="1488">
        <f t="shared" si="29"/>
        <v>-62146874</v>
      </c>
      <c r="J274" s="1430">
        <v>0</v>
      </c>
      <c r="K274" s="1430">
        <v>0</v>
      </c>
      <c r="N274" s="1431"/>
      <c r="O274" s="1432"/>
    </row>
    <row r="275" spans="1:15" s="1425" customFormat="1" hidden="1" x14ac:dyDescent="0.25">
      <c r="A275" s="1795" t="s">
        <v>1548</v>
      </c>
      <c r="B275" s="1494"/>
      <c r="C275" s="1480">
        <v>25</v>
      </c>
      <c r="D275" s="1490" t="s">
        <v>202</v>
      </c>
      <c r="E275" s="1490" t="s">
        <v>1543</v>
      </c>
      <c r="F275" s="1490" t="s">
        <v>1544</v>
      </c>
      <c r="G275" s="1491">
        <v>47142.398261333248</v>
      </c>
      <c r="H275" s="1491"/>
      <c r="I275" s="1492">
        <f t="shared" si="29"/>
        <v>47142.398261333248</v>
      </c>
      <c r="J275" s="1424">
        <v>0</v>
      </c>
      <c r="K275" s="1424">
        <v>0</v>
      </c>
      <c r="N275" s="1426"/>
      <c r="O275" s="1427"/>
    </row>
    <row r="276" spans="1:15" s="1429" customFormat="1" hidden="1" x14ac:dyDescent="0.25">
      <c r="A276" s="1796"/>
      <c r="B276" s="1485"/>
      <c r="C276" s="1486">
        <v>21</v>
      </c>
      <c r="D276" s="1486" t="s">
        <v>45</v>
      </c>
      <c r="E276" s="1486" t="s">
        <v>758</v>
      </c>
      <c r="F276" s="1486" t="s">
        <v>1545</v>
      </c>
      <c r="G276" s="1487"/>
      <c r="H276" s="1487">
        <f>-G275</f>
        <v>-47142.398261333248</v>
      </c>
      <c r="I276" s="1488">
        <f t="shared" si="29"/>
        <v>-47142.398261333248</v>
      </c>
      <c r="J276" s="1430">
        <v>0</v>
      </c>
      <c r="K276" s="1430">
        <v>0</v>
      </c>
      <c r="N276" s="1431"/>
      <c r="O276" s="1432"/>
    </row>
    <row r="277" spans="1:15" s="1425" customFormat="1" hidden="1" x14ac:dyDescent="0.25">
      <c r="A277" s="1795" t="s">
        <v>1548</v>
      </c>
      <c r="B277" s="1489"/>
      <c r="C277" s="1490">
        <v>26</v>
      </c>
      <c r="D277" s="1490" t="s">
        <v>194</v>
      </c>
      <c r="E277" s="1490" t="s">
        <v>72</v>
      </c>
      <c r="F277" s="1490" t="s">
        <v>72</v>
      </c>
      <c r="G277" s="1491">
        <v>1200000</v>
      </c>
      <c r="H277" s="1491"/>
      <c r="I277" s="1492">
        <f t="shared" si="29"/>
        <v>1200000</v>
      </c>
      <c r="J277" s="1424">
        <v>0</v>
      </c>
      <c r="K277" s="1424">
        <v>0</v>
      </c>
      <c r="N277" s="1426"/>
      <c r="O277" s="1427"/>
    </row>
    <row r="278" spans="1:15" s="1429" customFormat="1" hidden="1" x14ac:dyDescent="0.25">
      <c r="A278" s="1796"/>
      <c r="B278" s="1485"/>
      <c r="C278" s="1486">
        <v>26</v>
      </c>
      <c r="D278" s="1486" t="s">
        <v>194</v>
      </c>
      <c r="E278" s="1486" t="s">
        <v>155</v>
      </c>
      <c r="F278" s="1486" t="s">
        <v>155</v>
      </c>
      <c r="G278" s="1487"/>
      <c r="H278" s="1487">
        <f>-G277</f>
        <v>-1200000</v>
      </c>
      <c r="I278" s="1488">
        <f t="shared" si="29"/>
        <v>-1200000</v>
      </c>
      <c r="J278" s="1430">
        <v>0</v>
      </c>
      <c r="K278" s="1430">
        <v>0</v>
      </c>
      <c r="N278" s="1431"/>
      <c r="O278" s="1432"/>
    </row>
    <row r="279" spans="1:15" s="1425" customFormat="1" hidden="1" x14ac:dyDescent="0.25">
      <c r="A279" s="1795" t="s">
        <v>1548</v>
      </c>
      <c r="B279" s="1489">
        <v>40700032</v>
      </c>
      <c r="C279" s="1490">
        <v>26</v>
      </c>
      <c r="D279" s="1490" t="s">
        <v>194</v>
      </c>
      <c r="E279" s="1490" t="s">
        <v>197</v>
      </c>
      <c r="F279" s="1481" t="s">
        <v>194</v>
      </c>
      <c r="G279" s="1490"/>
      <c r="H279" s="1495">
        <f>-G280</f>
        <v>-38399082.07</v>
      </c>
      <c r="I279" s="1492">
        <f t="shared" ref="I279:I300" si="30">G279+H279</f>
        <v>-38399082.07</v>
      </c>
      <c r="J279" s="1424">
        <v>0</v>
      </c>
      <c r="K279" s="1424">
        <v>0</v>
      </c>
      <c r="N279" s="1426"/>
      <c r="O279" s="1427"/>
    </row>
    <row r="280" spans="1:15" hidden="1" x14ac:dyDescent="0.25">
      <c r="A280" s="1796"/>
      <c r="B280" s="1479">
        <v>40300004</v>
      </c>
      <c r="C280" s="1480">
        <v>24</v>
      </c>
      <c r="D280" s="1481" t="s">
        <v>198</v>
      </c>
      <c r="E280" s="1481" t="s">
        <v>1669</v>
      </c>
      <c r="F280" s="1481" t="s">
        <v>1547</v>
      </c>
      <c r="G280" s="1546">
        <v>38399082.07</v>
      </c>
      <c r="H280" s="1481"/>
      <c r="I280" s="1483">
        <f t="shared" si="30"/>
        <v>38399082.07</v>
      </c>
      <c r="J280" s="550">
        <v>0</v>
      </c>
      <c r="K280" s="550">
        <v>0</v>
      </c>
    </row>
    <row r="281" spans="1:15" s="1425" customFormat="1" hidden="1" x14ac:dyDescent="0.25">
      <c r="A281" s="1478" t="s">
        <v>1548</v>
      </c>
      <c r="B281" s="1489">
        <v>21100003</v>
      </c>
      <c r="C281" s="1494">
        <v>5</v>
      </c>
      <c r="D281" s="1490" t="s">
        <v>152</v>
      </c>
      <c r="E281" s="1490" t="s">
        <v>1297</v>
      </c>
      <c r="F281" s="1490" t="s">
        <v>1297</v>
      </c>
      <c r="G281" s="1495"/>
      <c r="H281" s="1490">
        <v>-1566032.27</v>
      </c>
      <c r="I281" s="1492">
        <f t="shared" si="30"/>
        <v>-1566032.27</v>
      </c>
      <c r="J281" s="1424"/>
      <c r="K281" s="1424"/>
      <c r="N281" s="1426"/>
      <c r="O281" s="1427"/>
    </row>
    <row r="282" spans="1:15" s="1429" customFormat="1" hidden="1" x14ac:dyDescent="0.25">
      <c r="A282" s="1484"/>
      <c r="B282" s="1485">
        <v>21100009</v>
      </c>
      <c r="C282" s="1547">
        <v>11</v>
      </c>
      <c r="D282" s="1486" t="s">
        <v>17</v>
      </c>
      <c r="E282" s="1486" t="s">
        <v>1535</v>
      </c>
      <c r="F282" s="1486" t="s">
        <v>1518</v>
      </c>
      <c r="G282" s="1496">
        <f>-H281</f>
        <v>1566032.27</v>
      </c>
      <c r="H282" s="1486"/>
      <c r="I282" s="1483">
        <f t="shared" si="30"/>
        <v>1566032.27</v>
      </c>
      <c r="J282" s="1430"/>
      <c r="K282" s="1430"/>
      <c r="N282" s="1431"/>
      <c r="O282" s="1432"/>
    </row>
    <row r="283" spans="1:15" s="1562" customFormat="1" hidden="1" x14ac:dyDescent="0.25">
      <c r="A283" s="1562" t="s">
        <v>1607</v>
      </c>
      <c r="B283" s="1563">
        <v>40400014</v>
      </c>
      <c r="C283" s="1581">
        <v>25</v>
      </c>
      <c r="D283" s="1562" t="s">
        <v>202</v>
      </c>
      <c r="E283" s="1562" t="s">
        <v>917</v>
      </c>
      <c r="F283" s="1562" t="s">
        <v>513</v>
      </c>
      <c r="G283" s="1582"/>
      <c r="H283" s="1582">
        <v>-3260713</v>
      </c>
      <c r="I283" s="1583">
        <f t="shared" si="30"/>
        <v>-3260713</v>
      </c>
      <c r="N283" s="1565"/>
      <c r="O283" s="1563"/>
    </row>
    <row r="284" spans="1:15" s="1584" customFormat="1" hidden="1" x14ac:dyDescent="0.25">
      <c r="B284" s="1585">
        <v>10800004</v>
      </c>
      <c r="C284" s="1581">
        <v>17</v>
      </c>
      <c r="D284" s="1584" t="s">
        <v>153</v>
      </c>
      <c r="E284" s="1584" t="s">
        <v>134</v>
      </c>
      <c r="F284" s="1584" t="s">
        <v>227</v>
      </c>
      <c r="G284" s="1586">
        <f>-H283</f>
        <v>3260713</v>
      </c>
      <c r="H284" s="1586"/>
      <c r="I284" s="1583">
        <f t="shared" si="30"/>
        <v>3260713</v>
      </c>
      <c r="N284" s="1587"/>
      <c r="O284" s="1585"/>
    </row>
    <row r="285" spans="1:15" s="1425" customFormat="1" hidden="1" x14ac:dyDescent="0.25">
      <c r="A285" s="1478" t="s">
        <v>1548</v>
      </c>
      <c r="B285" s="1489">
        <v>20300000</v>
      </c>
      <c r="C285" s="1490">
        <v>5</v>
      </c>
      <c r="D285" s="1490" t="s">
        <v>152</v>
      </c>
      <c r="E285" s="1490" t="s">
        <v>175</v>
      </c>
      <c r="F285" s="1490" t="s">
        <v>731</v>
      </c>
      <c r="G285" s="1491"/>
      <c r="H285" s="1491">
        <f>-G286</f>
        <v>-350000</v>
      </c>
      <c r="I285" s="1497">
        <f t="shared" si="30"/>
        <v>-350000</v>
      </c>
      <c r="N285" s="1426"/>
      <c r="O285" s="1427"/>
    </row>
    <row r="286" spans="1:15" hidden="1" x14ac:dyDescent="0.25">
      <c r="A286" s="1498"/>
      <c r="B286" s="1479">
        <v>21100011</v>
      </c>
      <c r="C286" s="1481">
        <v>11</v>
      </c>
      <c r="D286" s="1481" t="s">
        <v>17</v>
      </c>
      <c r="E286" s="1481" t="s">
        <v>1343</v>
      </c>
      <c r="F286" s="1481" t="s">
        <v>1343</v>
      </c>
      <c r="G286" s="1482">
        <f>100000+150000+100000</f>
        <v>350000</v>
      </c>
      <c r="H286" s="1482"/>
      <c r="I286" s="1499">
        <f t="shared" si="30"/>
        <v>350000</v>
      </c>
    </row>
    <row r="287" spans="1:15" s="1425" customFormat="1" hidden="1" x14ac:dyDescent="0.25">
      <c r="A287" s="1478" t="s">
        <v>1606</v>
      </c>
      <c r="B287" s="1489">
        <v>11100002</v>
      </c>
      <c r="C287" s="1490">
        <v>18</v>
      </c>
      <c r="D287" s="1490" t="s">
        <v>169</v>
      </c>
      <c r="E287" s="1490" t="s">
        <v>1604</v>
      </c>
      <c r="F287" s="1490" t="s">
        <v>727</v>
      </c>
      <c r="G287" s="1491"/>
      <c r="H287" s="1491">
        <f>-G288</f>
        <v>-2643895</v>
      </c>
      <c r="I287" s="1497">
        <f t="shared" si="30"/>
        <v>-2643895</v>
      </c>
      <c r="N287" s="1426"/>
      <c r="O287" s="1427"/>
    </row>
    <row r="288" spans="1:15" s="1429" customFormat="1" hidden="1" x14ac:dyDescent="0.25">
      <c r="A288" s="1484"/>
      <c r="B288" s="1485">
        <v>10800004</v>
      </c>
      <c r="C288" s="1486">
        <v>17</v>
      </c>
      <c r="D288" s="1486" t="s">
        <v>153</v>
      </c>
      <c r="E288" s="1486" t="s">
        <v>134</v>
      </c>
      <c r="F288" s="1486" t="s">
        <v>227</v>
      </c>
      <c r="G288" s="1487">
        <v>2643895</v>
      </c>
      <c r="H288" s="1487"/>
      <c r="I288" s="1488">
        <f t="shared" si="30"/>
        <v>2643895</v>
      </c>
      <c r="N288" s="1431"/>
      <c r="O288" s="1432"/>
    </row>
    <row r="289" spans="1:15" s="1562" customFormat="1" hidden="1" x14ac:dyDescent="0.25">
      <c r="A289" s="1589" t="s">
        <v>1678</v>
      </c>
      <c r="B289" s="1590">
        <v>20500008</v>
      </c>
      <c r="C289" s="1591">
        <v>8</v>
      </c>
      <c r="D289" s="1591" t="s">
        <v>159</v>
      </c>
      <c r="E289" s="1591" t="s">
        <v>1709</v>
      </c>
      <c r="F289" s="1591" t="s">
        <v>1258</v>
      </c>
      <c r="G289" s="1592">
        <f>10978920+1695823</f>
        <v>12674743</v>
      </c>
      <c r="H289" s="1592"/>
      <c r="I289" s="1564">
        <f t="shared" si="30"/>
        <v>12674743</v>
      </c>
      <c r="N289" s="1565"/>
      <c r="O289" s="1563"/>
    </row>
    <row r="290" spans="1:15" s="1562" customFormat="1" hidden="1" x14ac:dyDescent="0.25">
      <c r="A290" s="1593"/>
      <c r="B290" s="1585">
        <v>10800004</v>
      </c>
      <c r="C290" s="1584">
        <v>17</v>
      </c>
      <c r="D290" s="1584" t="s">
        <v>153</v>
      </c>
      <c r="E290" s="1584" t="s">
        <v>134</v>
      </c>
      <c r="F290" s="1584" t="s">
        <v>227</v>
      </c>
      <c r="G290" s="1586"/>
      <c r="H290" s="1586">
        <f>-G289</f>
        <v>-12674743</v>
      </c>
      <c r="I290" s="1594">
        <f t="shared" si="30"/>
        <v>-12674743</v>
      </c>
      <c r="N290" s="1565"/>
      <c r="O290" s="1563"/>
    </row>
    <row r="291" spans="1:15" s="1562" customFormat="1" hidden="1" x14ac:dyDescent="0.25">
      <c r="A291" s="1562" t="s">
        <v>1674</v>
      </c>
      <c r="B291" s="1563">
        <v>20500008</v>
      </c>
      <c r="C291" s="1562">
        <v>8</v>
      </c>
      <c r="D291" s="1562" t="s">
        <v>159</v>
      </c>
      <c r="E291" s="1562" t="s">
        <v>891</v>
      </c>
      <c r="F291" s="1562" t="s">
        <v>1258</v>
      </c>
      <c r="G291" s="1582"/>
      <c r="H291" s="1582">
        <f>-G292</f>
        <v>-10292438.615951322</v>
      </c>
      <c r="I291" s="1564">
        <f t="shared" si="30"/>
        <v>-10292438.615951322</v>
      </c>
      <c r="N291" s="1565"/>
      <c r="O291" s="1563"/>
    </row>
    <row r="292" spans="1:15" s="1562" customFormat="1" hidden="1" x14ac:dyDescent="0.25">
      <c r="B292" s="1563">
        <v>40100014</v>
      </c>
      <c r="C292" s="1562">
        <v>22</v>
      </c>
      <c r="D292" s="1562" t="s">
        <v>160</v>
      </c>
      <c r="E292" s="1562" t="s">
        <v>761</v>
      </c>
      <c r="F292" s="1562" t="s">
        <v>1302</v>
      </c>
      <c r="G292" s="1582">
        <v>10292438.615951322</v>
      </c>
      <c r="H292" s="1582"/>
      <c r="I292" s="1564">
        <f t="shared" si="30"/>
        <v>10292438.615951322</v>
      </c>
      <c r="N292" s="1565"/>
      <c r="O292" s="1563"/>
    </row>
    <row r="293" spans="1:15" s="1562" customFormat="1" hidden="1" x14ac:dyDescent="0.25">
      <c r="A293" s="1562" t="s">
        <v>1679</v>
      </c>
      <c r="B293" s="1563">
        <v>20500008</v>
      </c>
      <c r="C293" s="1562">
        <v>8</v>
      </c>
      <c r="D293" s="1562" t="s">
        <v>159</v>
      </c>
      <c r="E293" s="1562" t="s">
        <v>891</v>
      </c>
      <c r="F293" s="1562" t="s">
        <v>1258</v>
      </c>
      <c r="G293" s="1582"/>
      <c r="H293" s="1582">
        <v>-10170808</v>
      </c>
      <c r="I293" s="1564">
        <f t="shared" si="30"/>
        <v>-10170808</v>
      </c>
      <c r="N293" s="1565"/>
      <c r="O293" s="1563"/>
    </row>
    <row r="294" spans="1:15" s="1562" customFormat="1" hidden="1" x14ac:dyDescent="0.25">
      <c r="B294" s="1563">
        <v>40100014</v>
      </c>
      <c r="C294" s="1562">
        <v>22</v>
      </c>
      <c r="D294" s="1588" t="s">
        <v>160</v>
      </c>
      <c r="E294" s="1562" t="s">
        <v>761</v>
      </c>
      <c r="F294" s="1562" t="s">
        <v>1302</v>
      </c>
      <c r="G294" s="1582">
        <f>-H293</f>
        <v>10170808</v>
      </c>
      <c r="H294" s="1582"/>
      <c r="I294" s="1564">
        <f t="shared" si="30"/>
        <v>10170808</v>
      </c>
      <c r="N294" s="1565"/>
      <c r="O294" s="1563"/>
    </row>
    <row r="295" spans="1:15" s="1562" customFormat="1" hidden="1" x14ac:dyDescent="0.25">
      <c r="A295" s="1562" t="s">
        <v>1680</v>
      </c>
      <c r="B295" s="1563">
        <v>20500008</v>
      </c>
      <c r="C295" s="1562">
        <v>8</v>
      </c>
      <c r="D295" s="1562" t="s">
        <v>159</v>
      </c>
      <c r="E295" s="1562" t="s">
        <v>891</v>
      </c>
      <c r="F295" s="1562" t="s">
        <v>1258</v>
      </c>
      <c r="G295" s="1582"/>
      <c r="H295" s="1582">
        <v>-3268125</v>
      </c>
      <c r="I295" s="1564">
        <f t="shared" si="30"/>
        <v>-3268125</v>
      </c>
      <c r="N295" s="1565"/>
      <c r="O295" s="1563"/>
    </row>
    <row r="296" spans="1:15" s="1562" customFormat="1" hidden="1" x14ac:dyDescent="0.25">
      <c r="B296" s="1563">
        <v>40100014</v>
      </c>
      <c r="C296" s="1562">
        <v>22</v>
      </c>
      <c r="D296" s="1588" t="s">
        <v>160</v>
      </c>
      <c r="E296" s="1562" t="s">
        <v>761</v>
      </c>
      <c r="F296" s="1562" t="s">
        <v>1302</v>
      </c>
      <c r="G296" s="1582">
        <f>-H295</f>
        <v>3268125</v>
      </c>
      <c r="H296" s="1582"/>
      <c r="I296" s="1564">
        <f t="shared" si="30"/>
        <v>3268125</v>
      </c>
      <c r="N296" s="1565"/>
      <c r="O296" s="1563"/>
    </row>
    <row r="297" spans="1:15" hidden="1" x14ac:dyDescent="0.25">
      <c r="B297" s="544">
        <v>10400001</v>
      </c>
      <c r="C297" s="539">
        <v>16</v>
      </c>
      <c r="D297" s="1068" t="s">
        <v>31</v>
      </c>
      <c r="E297" s="539" t="s">
        <v>76</v>
      </c>
      <c r="F297" s="539" t="s">
        <v>1138</v>
      </c>
      <c r="G297" s="1595">
        <f>'BS  Notes  3-18'!F345*100000</f>
        <v>158838466.10767823</v>
      </c>
      <c r="H297" s="1595"/>
      <c r="I297" s="1564">
        <f t="shared" si="30"/>
        <v>158838466.10767823</v>
      </c>
    </row>
    <row r="298" spans="1:15" hidden="1" x14ac:dyDescent="0.25">
      <c r="B298" s="544">
        <v>40700040</v>
      </c>
      <c r="C298" s="539">
        <v>16</v>
      </c>
      <c r="D298" s="539" t="s">
        <v>588</v>
      </c>
      <c r="E298" s="539" t="s">
        <v>588</v>
      </c>
      <c r="F298" s="539" t="s">
        <v>1186</v>
      </c>
      <c r="H298" s="542">
        <f>-G297</f>
        <v>-158838466.10767823</v>
      </c>
      <c r="I298" s="1564">
        <f t="shared" si="30"/>
        <v>-158838466.10767823</v>
      </c>
    </row>
    <row r="299" spans="1:15" hidden="1" x14ac:dyDescent="0.25">
      <c r="B299" s="544" t="s">
        <v>1147</v>
      </c>
      <c r="D299" s="539" t="s">
        <v>64</v>
      </c>
      <c r="E299" s="539" t="s">
        <v>1372</v>
      </c>
      <c r="F299" s="539" t="s">
        <v>1372</v>
      </c>
      <c r="G299" s="1595"/>
      <c r="H299" s="539">
        <f>-G300</f>
        <v>-154440</v>
      </c>
      <c r="I299" s="1564">
        <f t="shared" si="30"/>
        <v>-154440</v>
      </c>
    </row>
    <row r="300" spans="1:15" hidden="1" x14ac:dyDescent="0.25">
      <c r="B300" s="544">
        <v>40700040</v>
      </c>
      <c r="C300" s="539">
        <v>16</v>
      </c>
      <c r="D300" s="539" t="s">
        <v>588</v>
      </c>
      <c r="E300" s="539" t="s">
        <v>588</v>
      </c>
      <c r="F300" s="539" t="s">
        <v>1186</v>
      </c>
      <c r="G300" s="539">
        <f>154440</f>
        <v>154440</v>
      </c>
      <c r="I300" s="1564">
        <f t="shared" si="30"/>
        <v>154440</v>
      </c>
    </row>
  </sheetData>
  <autoFilter ref="A6:XFC300" xr:uid="{FE462A55-32D0-42BB-804F-64416AE80CAF}">
    <filterColumn colId="3">
      <filters>
        <filter val="Revenue from operations"/>
      </filters>
    </filterColumn>
  </autoFilter>
  <mergeCells count="6">
    <mergeCell ref="A279:A280"/>
    <mergeCell ref="A277:A278"/>
    <mergeCell ref="A275:A276"/>
    <mergeCell ref="A257:A258"/>
    <mergeCell ref="A259:A260"/>
    <mergeCell ref="A261:A274"/>
  </mergeCells>
  <conditionalFormatting sqref="B7:B199">
    <cfRule type="duplicateValues" dxfId="21" priority="48"/>
  </conditionalFormatting>
  <conditionalFormatting sqref="B53 B17">
    <cfRule type="duplicateValues" dxfId="20" priority="46"/>
  </conditionalFormatting>
  <conditionalFormatting sqref="B54">
    <cfRule type="duplicateValues" dxfId="19" priority="45"/>
  </conditionalFormatting>
  <conditionalFormatting sqref="B161">
    <cfRule type="duplicateValues" dxfId="18" priority="44"/>
  </conditionalFormatting>
  <conditionalFormatting sqref="B162:B168 B55:B160 B7:B16 B20:B50 B52">
    <cfRule type="duplicateValues" dxfId="17" priority="47"/>
  </conditionalFormatting>
  <conditionalFormatting sqref="B200">
    <cfRule type="duplicateValues" dxfId="16" priority="18"/>
    <cfRule type="duplicateValues" dxfId="15" priority="19"/>
    <cfRule type="duplicateValues" dxfId="14" priority="20"/>
  </conditionalFormatting>
  <conditionalFormatting sqref="B201">
    <cfRule type="duplicateValues" dxfId="13" priority="15"/>
    <cfRule type="duplicateValues" dxfId="12" priority="16"/>
    <cfRule type="duplicateValues" dxfId="11" priority="17"/>
  </conditionalFormatting>
  <conditionalFormatting sqref="B202">
    <cfRule type="duplicateValues" dxfId="10" priority="12"/>
    <cfRule type="duplicateValues" dxfId="9" priority="13"/>
    <cfRule type="duplicateValues" dxfId="8" priority="14"/>
  </conditionalFormatting>
  <conditionalFormatting sqref="B275">
    <cfRule type="duplicateValues" dxfId="7" priority="3"/>
    <cfRule type="duplicateValues" dxfId="6" priority="4"/>
  </conditionalFormatting>
  <conditionalFormatting sqref="N3:N5 N7:N1048576">
    <cfRule type="duplicateValues" dxfId="5" priority="244"/>
  </conditionalFormatting>
  <conditionalFormatting sqref="N6">
    <cfRule type="duplicateValues" dxfId="4" priority="101"/>
  </conditionalFormatting>
  <pageMargins left="0.7" right="0.7" top="0.75" bottom="0.75" header="0.3" footer="0.3"/>
  <pageSetup orientation="portrait" r:id="rId1"/>
  <headerFooter>
    <oddHeader>&amp;C&amp;G</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T83"/>
  <sheetViews>
    <sheetView showGridLines="0" view="pageBreakPreview" zoomScaleNormal="100" zoomScaleSheetLayoutView="100" workbookViewId="0">
      <pane ySplit="5" topLeftCell="A12" activePane="bottomLeft" state="frozen"/>
      <selection activeCell="B37" sqref="B37:E37"/>
      <selection pane="bottomLeft" activeCell="D22" sqref="D22"/>
    </sheetView>
  </sheetViews>
  <sheetFormatPr defaultColWidth="9.5703125" defaultRowHeight="15" x14ac:dyDescent="0.25"/>
  <cols>
    <col min="1" max="1" width="3.5703125" style="6" bestFit="1" customWidth="1"/>
    <col min="2" max="2" width="49.42578125" style="6" customWidth="1"/>
    <col min="3" max="3" width="20" style="10" customWidth="1"/>
    <col min="4" max="4" width="23.5703125" style="10" customWidth="1"/>
    <col min="5" max="5" width="21.140625" style="10" bestFit="1" customWidth="1"/>
    <col min="6" max="6" width="19.85546875" style="6" hidden="1" customWidth="1"/>
    <col min="7" max="7" width="2" style="504" hidden="1" customWidth="1"/>
    <col min="8" max="8" width="13.85546875" style="487" bestFit="1" customWidth="1"/>
    <col min="9" max="10" width="13.85546875" style="653" hidden="1" customWidth="1"/>
    <col min="11" max="13" width="18.5703125" style="6" customWidth="1"/>
    <col min="14" max="15" width="16.5703125" style="6" customWidth="1"/>
    <col min="16" max="16" width="10" style="6" customWidth="1"/>
    <col min="17" max="17" width="9.5703125" style="6" customWidth="1"/>
    <col min="18" max="18" width="16.42578125" style="6" bestFit="1" customWidth="1"/>
    <col min="19" max="19" width="14.7109375" style="6" bestFit="1" customWidth="1"/>
    <col min="20" max="20" width="11.140625" style="6" bestFit="1" customWidth="1"/>
    <col min="21" max="16384" width="9.5703125" style="6"/>
  </cols>
  <sheetData>
    <row r="1" spans="1:19" x14ac:dyDescent="0.25">
      <c r="A1" s="19" t="str">
        <f>Input!$B$1</f>
        <v>BVC Specialities Private Limited</v>
      </c>
      <c r="B1" s="557"/>
      <c r="C1" s="558"/>
      <c r="D1" s="558"/>
      <c r="E1" s="559"/>
      <c r="F1" s="20"/>
    </row>
    <row r="2" spans="1:19" x14ac:dyDescent="0.25">
      <c r="A2" s="21" t="s">
        <v>1663</v>
      </c>
      <c r="E2" s="192"/>
      <c r="F2" s="25"/>
    </row>
    <row r="3" spans="1:19" x14ac:dyDescent="0.25">
      <c r="A3" s="21"/>
      <c r="B3" s="3"/>
      <c r="C3" s="3"/>
      <c r="D3" s="3"/>
      <c r="E3" s="49" t="str">
        <f>Input!$D$2</f>
        <v>(₹ in Lakh)</v>
      </c>
      <c r="F3" s="49" t="str">
        <f>Input!$D$2</f>
        <v>(₹ in Lakh)</v>
      </c>
    </row>
    <row r="4" spans="1:19" s="10" customFormat="1" x14ac:dyDescent="0.25">
      <c r="A4" s="1800" t="s">
        <v>0</v>
      </c>
      <c r="B4" s="1801"/>
      <c r="C4" s="1801" t="s">
        <v>1</v>
      </c>
      <c r="D4" s="229" t="s">
        <v>2</v>
      </c>
      <c r="E4" s="230" t="s">
        <v>2</v>
      </c>
      <c r="F4" s="230" t="s">
        <v>2</v>
      </c>
      <c r="G4" s="1102"/>
      <c r="H4" s="1103"/>
      <c r="I4" s="1641" t="s">
        <v>2</v>
      </c>
      <c r="J4" s="1641"/>
    </row>
    <row r="5" spans="1:19" s="10" customFormat="1" ht="15.75" customHeight="1" x14ac:dyDescent="0.25">
      <c r="A5" s="1802"/>
      <c r="B5" s="1803"/>
      <c r="C5" s="1803"/>
      <c r="D5" s="1183" t="s">
        <v>1556</v>
      </c>
      <c r="E5" s="231" t="s">
        <v>1172</v>
      </c>
      <c r="F5" s="231" t="str">
        <f>Input!C6</f>
        <v>31 March 2022</v>
      </c>
      <c r="G5" s="1102"/>
      <c r="H5" s="1103">
        <f>D8*1000</f>
        <v>47317815.132600002</v>
      </c>
      <c r="I5" s="1641" t="s">
        <v>1556</v>
      </c>
      <c r="J5" s="1641"/>
      <c r="R5" s="1389">
        <f>H5/100000</f>
        <v>473.17815132600003</v>
      </c>
    </row>
    <row r="6" spans="1:19" x14ac:dyDescent="0.25">
      <c r="A6" s="560"/>
      <c r="B6" s="286" t="s">
        <v>3</v>
      </c>
      <c r="E6" s="192"/>
      <c r="F6" s="23"/>
      <c r="H6" s="487">
        <f>5344-5331</f>
        <v>13</v>
      </c>
    </row>
    <row r="7" spans="1:19" x14ac:dyDescent="0.25">
      <c r="A7" s="561"/>
      <c r="B7" s="3" t="s">
        <v>4</v>
      </c>
      <c r="E7" s="562"/>
      <c r="F7" s="23"/>
      <c r="Q7"/>
    </row>
    <row r="8" spans="1:19" x14ac:dyDescent="0.25">
      <c r="A8" s="563" t="s">
        <v>5</v>
      </c>
      <c r="B8" s="6" t="s">
        <v>87</v>
      </c>
      <c r="C8" s="10">
        <f>Input!$D$13</f>
        <v>3</v>
      </c>
      <c r="D8" s="527">
        <f>'PPE- note 3'!J17</f>
        <v>47317.815132600001</v>
      </c>
      <c r="E8" s="290">
        <f>5019438.923/100</f>
        <v>50194.389230000001</v>
      </c>
      <c r="F8" s="290">
        <v>0</v>
      </c>
      <c r="H8" s="1713">
        <f>E8-D8</f>
        <v>2876.5740974</v>
      </c>
      <c r="I8" s="1642">
        <v>47317.315132600001</v>
      </c>
      <c r="J8" s="1642">
        <f>D8-I8</f>
        <v>0.5</v>
      </c>
      <c r="K8" s="553">
        <f>D8-I8</f>
        <v>0.5</v>
      </c>
      <c r="L8" s="553"/>
      <c r="M8" s="553"/>
      <c r="N8" s="45">
        <f>ROUND(SUMIF('TB BVS 31.3.22'!E:E,BS!B8,'TB BVS 31.3.22'!N:N)/Input!$C$2,Input!$E$2)-F8</f>
        <v>0</v>
      </c>
      <c r="O8" s="219" t="s">
        <v>92</v>
      </c>
      <c r="P8" s="9"/>
      <c r="Q8" s="131"/>
      <c r="R8" s="3" t="s">
        <v>1335</v>
      </c>
    </row>
    <row r="9" spans="1:19" x14ac:dyDescent="0.25">
      <c r="A9" s="563" t="s">
        <v>7</v>
      </c>
      <c r="B9" s="6" t="s">
        <v>289</v>
      </c>
      <c r="C9" s="10">
        <f>Input!$D$13</f>
        <v>3</v>
      </c>
      <c r="D9" s="527">
        <f>'PPE- note 3'!J23</f>
        <v>3116.3266574999998</v>
      </c>
      <c r="E9" s="290">
        <f>315093/100</f>
        <v>3150.93</v>
      </c>
      <c r="F9" s="290">
        <f>'PPE- note 3'!K127</f>
        <v>1646</v>
      </c>
      <c r="H9" s="1713">
        <f t="shared" ref="H9:H18" si="0">E9-D9</f>
        <v>34.603342500000053</v>
      </c>
      <c r="I9" s="1642">
        <v>3116.3266574999998</v>
      </c>
      <c r="J9" s="1642">
        <f t="shared" ref="J9:J60" si="1">D9-I9</f>
        <v>0</v>
      </c>
      <c r="K9" s="553"/>
      <c r="L9" s="553"/>
      <c r="M9" s="553"/>
      <c r="N9" s="45"/>
      <c r="O9" s="219"/>
      <c r="P9" s="9"/>
      <c r="Q9" s="131"/>
      <c r="R9" s="3"/>
    </row>
    <row r="10" spans="1:19" x14ac:dyDescent="0.25">
      <c r="A10" s="563" t="s">
        <v>8</v>
      </c>
      <c r="B10" s="6" t="s">
        <v>158</v>
      </c>
      <c r="C10" s="10">
        <f>Input!$D$13</f>
        <v>3</v>
      </c>
      <c r="D10" s="527">
        <f>'PPE- note 3'!J18</f>
        <v>1149.4270125999997</v>
      </c>
      <c r="E10" s="290">
        <v>0</v>
      </c>
      <c r="F10" s="290">
        <f>'PPE- note 3'!K123</f>
        <v>0</v>
      </c>
      <c r="G10" s="504">
        <f>D10-[4]BS!$D$10</f>
        <v>-3160244.3900373997</v>
      </c>
      <c r="H10" s="1713">
        <f t="shared" si="0"/>
        <v>-1149.4270125999997</v>
      </c>
      <c r="I10" s="1642">
        <v>1149.4270125999997</v>
      </c>
      <c r="J10" s="1642">
        <f t="shared" si="1"/>
        <v>0</v>
      </c>
      <c r="K10" s="553"/>
      <c r="L10" s="553"/>
      <c r="M10" s="553"/>
      <c r="N10" s="45"/>
      <c r="O10" s="219"/>
      <c r="P10" s="9"/>
      <c r="Q10" s="131"/>
      <c r="R10" s="1234">
        <f>D10/1000</f>
        <v>1.1494270125999997</v>
      </c>
    </row>
    <row r="11" spans="1:19" x14ac:dyDescent="0.25">
      <c r="A11" s="563" t="s">
        <v>9</v>
      </c>
      <c r="B11" s="6" t="s">
        <v>1349</v>
      </c>
      <c r="C11" s="10">
        <f>Input!$D$13</f>
        <v>3</v>
      </c>
      <c r="D11" s="527">
        <f>'PPE- note 3'!J27</f>
        <v>29.1819974</v>
      </c>
      <c r="E11" s="290">
        <f>4365/100</f>
        <v>43.65</v>
      </c>
      <c r="F11" s="290">
        <v>0</v>
      </c>
      <c r="H11" s="1713">
        <f t="shared" si="0"/>
        <v>14.468002599999998</v>
      </c>
      <c r="I11" s="1642">
        <v>29.1819974</v>
      </c>
      <c r="J11" s="1642">
        <f t="shared" si="1"/>
        <v>0</v>
      </c>
    </row>
    <row r="12" spans="1:19" x14ac:dyDescent="0.25">
      <c r="A12" s="563" t="s">
        <v>11</v>
      </c>
      <c r="B12" s="6" t="s">
        <v>13</v>
      </c>
      <c r="D12" s="527"/>
      <c r="E12" s="290"/>
      <c r="F12" s="290"/>
      <c r="H12" s="1642">
        <f t="shared" si="0"/>
        <v>0</v>
      </c>
      <c r="I12" s="1642"/>
      <c r="J12" s="1642">
        <f t="shared" si="1"/>
        <v>0</v>
      </c>
    </row>
    <row r="13" spans="1:19" x14ac:dyDescent="0.25">
      <c r="A13" s="563"/>
      <c r="B13" s="227" t="s">
        <v>1503</v>
      </c>
      <c r="C13" s="10">
        <v>4</v>
      </c>
      <c r="D13" s="527">
        <f>'BS  Notes  3-18'!G11</f>
        <v>17</v>
      </c>
      <c r="E13" s="290">
        <v>0</v>
      </c>
      <c r="F13" s="290"/>
      <c r="H13" s="1713">
        <f t="shared" si="0"/>
        <v>-17</v>
      </c>
      <c r="I13" s="1642">
        <v>17</v>
      </c>
      <c r="J13" s="1642">
        <f t="shared" si="1"/>
        <v>0</v>
      </c>
      <c r="S13" s="24"/>
    </row>
    <row r="14" spans="1:19" hidden="1" x14ac:dyDescent="0.25">
      <c r="A14" s="563"/>
      <c r="B14" s="227" t="s">
        <v>1504</v>
      </c>
      <c r="C14" s="10">
        <v>5</v>
      </c>
      <c r="D14" s="527">
        <f>'BS  Notes  3-18'!G21</f>
        <v>0</v>
      </c>
      <c r="E14" s="564">
        <f>'BS  Notes  3-18'!H21</f>
        <v>0</v>
      </c>
      <c r="F14" s="290"/>
      <c r="H14" s="1642">
        <f t="shared" si="0"/>
        <v>0</v>
      </c>
      <c r="I14" s="1642">
        <v>0</v>
      </c>
      <c r="J14" s="1642">
        <f t="shared" si="1"/>
        <v>0</v>
      </c>
    </row>
    <row r="15" spans="1:19" x14ac:dyDescent="0.25">
      <c r="A15" s="563"/>
      <c r="B15" s="227" t="s">
        <v>1555</v>
      </c>
      <c r="C15" s="10">
        <v>5</v>
      </c>
      <c r="D15" s="527">
        <f>'BS  Notes  3-18'!G33</f>
        <v>307</v>
      </c>
      <c r="E15" s="564">
        <f>'BS  Notes  3-18'!H33</f>
        <v>352</v>
      </c>
      <c r="F15" s="290"/>
      <c r="H15" s="1713">
        <f>E15-D15</f>
        <v>45</v>
      </c>
      <c r="I15" s="1642">
        <v>307</v>
      </c>
      <c r="J15" s="1642">
        <f t="shared" si="1"/>
        <v>0</v>
      </c>
      <c r="R15" s="6" t="s">
        <v>673</v>
      </c>
    </row>
    <row r="16" spans="1:19" x14ac:dyDescent="0.25">
      <c r="A16" s="563" t="s">
        <v>12</v>
      </c>
      <c r="B16" s="6" t="s">
        <v>78</v>
      </c>
      <c r="C16" s="10">
        <v>16</v>
      </c>
      <c r="D16" s="525">
        <f>'BS  Notes  3-18'!G328</f>
        <v>1586.3846610767823</v>
      </c>
      <c r="E16" s="290">
        <f>'BS  Notes  3-18'!H329</f>
        <v>0</v>
      </c>
      <c r="F16" s="290">
        <f>-'BS  Notes  3-18'!I328</f>
        <v>0</v>
      </c>
      <c r="H16" s="1714">
        <f>E16-D16</f>
        <v>-1586.3846610767823</v>
      </c>
      <c r="I16" s="653">
        <v>0</v>
      </c>
      <c r="J16" s="1642">
        <f t="shared" si="1"/>
        <v>1586.3846610767823</v>
      </c>
    </row>
    <row r="17" spans="1:20" x14ac:dyDescent="0.25">
      <c r="A17" s="563" t="s">
        <v>290</v>
      </c>
      <c r="B17" s="1092" t="s">
        <v>927</v>
      </c>
      <c r="C17" s="10">
        <v>6</v>
      </c>
      <c r="D17" s="525">
        <f>'BS  Notes  3-18'!G44</f>
        <v>5.5</v>
      </c>
      <c r="E17" s="564">
        <f>'BS  Notes  3-18'!H44</f>
        <v>13</v>
      </c>
      <c r="F17" s="290"/>
      <c r="H17" s="1713">
        <f t="shared" si="0"/>
        <v>7.5</v>
      </c>
      <c r="I17" s="1642">
        <v>5.5</v>
      </c>
      <c r="J17" s="1642">
        <f t="shared" si="1"/>
        <v>0</v>
      </c>
      <c r="R17" s="6" t="s">
        <v>1336</v>
      </c>
    </row>
    <row r="18" spans="1:20" x14ac:dyDescent="0.25">
      <c r="A18" s="563" t="s">
        <v>1690</v>
      </c>
      <c r="B18" s="6" t="s">
        <v>14</v>
      </c>
      <c r="C18" s="10">
        <v>7</v>
      </c>
      <c r="D18" s="527">
        <f>'BS  Notes  3-18'!G54</f>
        <v>75.5</v>
      </c>
      <c r="E18" s="564">
        <f>'BS  Notes  3-18'!H54</f>
        <v>84</v>
      </c>
      <c r="F18" s="290"/>
      <c r="H18" s="1713">
        <f t="shared" si="0"/>
        <v>8.5</v>
      </c>
      <c r="I18" s="1642">
        <v>76.5</v>
      </c>
      <c r="J18" s="1642">
        <f t="shared" si="1"/>
        <v>-1</v>
      </c>
    </row>
    <row r="19" spans="1:20" x14ac:dyDescent="0.25">
      <c r="A19" s="565"/>
      <c r="B19" s="232" t="s">
        <v>15</v>
      </c>
      <c r="C19" s="233"/>
      <c r="D19" s="503">
        <f>SUM(D8:D18)</f>
        <v>53604.135461176782</v>
      </c>
      <c r="E19" s="566">
        <f>SUM(E8:E18)</f>
        <v>53837.969230000002</v>
      </c>
      <c r="F19" s="292">
        <f>SUM(F8:F11)</f>
        <v>1646</v>
      </c>
      <c r="I19" s="653">
        <v>52018.250800100002</v>
      </c>
      <c r="J19" s="1642">
        <f t="shared" si="1"/>
        <v>1585.8846610767796</v>
      </c>
    </row>
    <row r="20" spans="1:20" x14ac:dyDescent="0.25">
      <c r="A20" s="567"/>
      <c r="B20" s="3"/>
      <c r="E20" s="293"/>
      <c r="F20" s="293"/>
      <c r="J20" s="1642">
        <f t="shared" si="1"/>
        <v>0</v>
      </c>
    </row>
    <row r="21" spans="1:20" x14ac:dyDescent="0.25">
      <c r="A21" s="561"/>
      <c r="B21" s="3" t="s">
        <v>16</v>
      </c>
      <c r="E21" s="568"/>
      <c r="F21" s="290"/>
      <c r="J21" s="1642">
        <f t="shared" si="1"/>
        <v>0</v>
      </c>
    </row>
    <row r="22" spans="1:20" x14ac:dyDescent="0.25">
      <c r="A22" s="563" t="s">
        <v>5</v>
      </c>
      <c r="B22" s="6" t="s">
        <v>159</v>
      </c>
      <c r="C22" s="10">
        <v>8</v>
      </c>
      <c r="D22" s="527">
        <f>'BS  Notes  3-18'!G76</f>
        <v>6638</v>
      </c>
      <c r="E22" s="569">
        <f>'BS  Notes  3-18'!H76</f>
        <v>811</v>
      </c>
      <c r="F22" s="290"/>
      <c r="H22" s="1712">
        <f t="shared" ref="H22:H29" si="2">E22-D22</f>
        <v>-5827</v>
      </c>
      <c r="I22" s="1643">
        <v>6638</v>
      </c>
      <c r="J22" s="1642">
        <f t="shared" si="1"/>
        <v>0</v>
      </c>
      <c r="R22" s="6" t="s">
        <v>1337</v>
      </c>
    </row>
    <row r="23" spans="1:20" x14ac:dyDescent="0.25">
      <c r="A23" s="563" t="s">
        <v>7</v>
      </c>
      <c r="B23" s="6" t="s">
        <v>13</v>
      </c>
      <c r="D23" s="527"/>
      <c r="E23" s="570"/>
      <c r="F23" s="290"/>
      <c r="H23" s="1643">
        <f t="shared" si="2"/>
        <v>0</v>
      </c>
      <c r="I23" s="1643"/>
      <c r="J23" s="1642">
        <f t="shared" si="1"/>
        <v>0</v>
      </c>
    </row>
    <row r="24" spans="1:20" x14ac:dyDescent="0.25">
      <c r="A24" s="563"/>
      <c r="B24" s="227" t="s">
        <v>786</v>
      </c>
      <c r="C24" s="10">
        <v>9</v>
      </c>
      <c r="D24" s="527">
        <f>'BS  Notes  3-18'!G90</f>
        <v>3026</v>
      </c>
      <c r="E24" s="569">
        <f>'BS  Notes  3-18'!H90</f>
        <v>454</v>
      </c>
      <c r="F24" s="290"/>
      <c r="H24" s="1711">
        <f t="shared" si="2"/>
        <v>-2572</v>
      </c>
      <c r="I24" s="1644">
        <v>3026</v>
      </c>
      <c r="J24" s="1642">
        <f t="shared" si="1"/>
        <v>0</v>
      </c>
      <c r="R24" s="6" t="s">
        <v>1338</v>
      </c>
    </row>
    <row r="25" spans="1:20" x14ac:dyDescent="0.25">
      <c r="A25" s="563"/>
      <c r="B25" s="227" t="s">
        <v>785</v>
      </c>
      <c r="C25" s="10">
        <v>10</v>
      </c>
      <c r="D25" s="523">
        <f>'BS  Notes  3-18'!G118</f>
        <v>31</v>
      </c>
      <c r="E25" s="290">
        <f>'BS  Notes  3-18'!H118</f>
        <v>22</v>
      </c>
      <c r="F25" s="290">
        <f>'BS  Notes  3-18'!I118</f>
        <v>24</v>
      </c>
      <c r="H25" s="1642">
        <f t="shared" si="2"/>
        <v>-9</v>
      </c>
      <c r="I25" s="1642">
        <v>31</v>
      </c>
      <c r="J25" s="1642">
        <f t="shared" si="1"/>
        <v>0</v>
      </c>
      <c r="R25" s="6" t="s">
        <v>1338</v>
      </c>
      <c r="S25" s="6" t="s">
        <v>1339</v>
      </c>
    </row>
    <row r="26" spans="1:20" hidden="1" x14ac:dyDescent="0.25">
      <c r="A26" s="563" t="s">
        <v>8</v>
      </c>
      <c r="B26" t="s">
        <v>914</v>
      </c>
      <c r="C26" s="10">
        <v>7</v>
      </c>
      <c r="D26" s="523">
        <f>'BS  Notes  3-18'!G48</f>
        <v>0</v>
      </c>
      <c r="E26" s="571">
        <v>0</v>
      </c>
      <c r="F26" s="290"/>
      <c r="H26" s="1642">
        <f t="shared" si="2"/>
        <v>0</v>
      </c>
      <c r="I26" s="1642">
        <v>0</v>
      </c>
      <c r="J26" s="1642">
        <f t="shared" si="1"/>
        <v>0</v>
      </c>
    </row>
    <row r="27" spans="1:20" hidden="1" x14ac:dyDescent="0.25">
      <c r="A27" s="563"/>
      <c r="B27" s="227" t="s">
        <v>1321</v>
      </c>
      <c r="D27" s="523">
        <f>'BS  Notes  3-18'!G36</f>
        <v>0</v>
      </c>
      <c r="E27" s="571"/>
      <c r="F27" s="290"/>
      <c r="H27" s="1642"/>
      <c r="I27" s="1642">
        <v>0</v>
      </c>
      <c r="J27" s="1642">
        <f t="shared" si="1"/>
        <v>0</v>
      </c>
      <c r="R27" s="6" t="s">
        <v>1340</v>
      </c>
    </row>
    <row r="28" spans="1:20" x14ac:dyDescent="0.25">
      <c r="A28" s="563"/>
      <c r="B28" s="227" t="s">
        <v>1611</v>
      </c>
      <c r="C28" s="10">
        <v>10</v>
      </c>
      <c r="D28" s="523">
        <f>'BS  Notes  3-18'!G122</f>
        <v>54</v>
      </c>
      <c r="E28" s="571">
        <v>0</v>
      </c>
      <c r="F28" s="290"/>
      <c r="H28" s="1713">
        <f t="shared" si="2"/>
        <v>-54</v>
      </c>
      <c r="I28" s="1642">
        <v>54</v>
      </c>
      <c r="J28" s="1642">
        <f t="shared" si="1"/>
        <v>0</v>
      </c>
    </row>
    <row r="29" spans="1:20" x14ac:dyDescent="0.25">
      <c r="A29" s="563" t="s">
        <v>8</v>
      </c>
      <c r="B29" s="6" t="s">
        <v>17</v>
      </c>
      <c r="C29" s="10">
        <v>11</v>
      </c>
      <c r="D29" s="524">
        <f>'BS  Notes  3-18'!G131</f>
        <v>6155.5</v>
      </c>
      <c r="E29" s="296">
        <f>'BS  Notes  3-18'!H131</f>
        <v>5212</v>
      </c>
      <c r="F29" s="296">
        <f>'BS  Notes  3-18'!I131</f>
        <v>296</v>
      </c>
      <c r="G29" s="504" t="s">
        <v>1328</v>
      </c>
      <c r="H29" s="1713">
        <f t="shared" si="2"/>
        <v>-943.5</v>
      </c>
      <c r="I29" s="1642">
        <v>6155</v>
      </c>
      <c r="J29" s="1642">
        <f t="shared" si="1"/>
        <v>0.5</v>
      </c>
      <c r="K29" s="504"/>
      <c r="L29" s="504"/>
      <c r="M29" s="504"/>
      <c r="N29" s="9"/>
      <c r="O29" s="9"/>
      <c r="R29" s="6" t="s">
        <v>673</v>
      </c>
    </row>
    <row r="30" spans="1:20" x14ac:dyDescent="0.25">
      <c r="A30" s="572"/>
      <c r="B30" s="232" t="s">
        <v>18</v>
      </c>
      <c r="C30" s="233"/>
      <c r="D30" s="291">
        <f>SUM(D22:D29)</f>
        <v>15904.5</v>
      </c>
      <c r="E30" s="292">
        <f>SUM(E22:E29)</f>
        <v>6499</v>
      </c>
      <c r="F30" s="292">
        <f>SUM(F23:F29)</f>
        <v>320</v>
      </c>
      <c r="G30" s="504">
        <f>D30/10000</f>
        <v>1.5904499999999999</v>
      </c>
      <c r="I30" s="653">
        <v>15904</v>
      </c>
      <c r="J30" s="1642">
        <f t="shared" si="1"/>
        <v>0.5</v>
      </c>
      <c r="K30" s="9"/>
      <c r="L30" s="9"/>
      <c r="M30" s="9"/>
      <c r="N30" s="9"/>
      <c r="O30" s="9"/>
    </row>
    <row r="31" spans="1:20" ht="15.75" thickBot="1" x14ac:dyDescent="0.3">
      <c r="A31" s="573"/>
      <c r="B31" s="234" t="s">
        <v>19</v>
      </c>
      <c r="C31" s="235"/>
      <c r="D31" s="297">
        <f>D19+D30</f>
        <v>69508.635461176775</v>
      </c>
      <c r="E31" s="298">
        <f>E19+E30</f>
        <v>60336.969230000002</v>
      </c>
      <c r="F31" s="298">
        <f>F19+F30</f>
        <v>1966</v>
      </c>
      <c r="H31" s="487">
        <v>6424211962.3799982</v>
      </c>
      <c r="I31" s="653">
        <v>67922.25080010001</v>
      </c>
      <c r="J31" s="1642">
        <f t="shared" si="1"/>
        <v>1586.384661076765</v>
      </c>
      <c r="R31" s="9">
        <f>D31*1000</f>
        <v>69508635.461176768</v>
      </c>
      <c r="S31" s="9">
        <f>R31-H31</f>
        <v>-6354703326.9188213</v>
      </c>
      <c r="T31" s="9">
        <f>S31/1000</f>
        <v>-6354703.3269188218</v>
      </c>
    </row>
    <row r="32" spans="1:20" ht="15.75" thickTop="1" x14ac:dyDescent="0.25">
      <c r="A32" s="563"/>
      <c r="B32" s="3"/>
      <c r="E32" s="293"/>
      <c r="F32" s="293"/>
      <c r="J32" s="1642">
        <f t="shared" si="1"/>
        <v>0</v>
      </c>
    </row>
    <row r="33" spans="1:18" x14ac:dyDescent="0.25">
      <c r="A33" s="567"/>
      <c r="B33" s="286" t="s">
        <v>20</v>
      </c>
      <c r="E33" s="570"/>
      <c r="F33" s="290"/>
      <c r="J33" s="1642">
        <f t="shared" si="1"/>
        <v>0</v>
      </c>
    </row>
    <row r="34" spans="1:18" x14ac:dyDescent="0.25">
      <c r="A34" s="561"/>
      <c r="B34" s="3" t="s">
        <v>21</v>
      </c>
      <c r="E34" s="570"/>
      <c r="F34" s="290"/>
      <c r="J34" s="1642">
        <f t="shared" si="1"/>
        <v>0</v>
      </c>
    </row>
    <row r="35" spans="1:18" x14ac:dyDescent="0.25">
      <c r="A35" s="563" t="s">
        <v>22</v>
      </c>
      <c r="B35" s="6" t="s">
        <v>23</v>
      </c>
      <c r="C35" s="10">
        <v>12</v>
      </c>
      <c r="D35" s="289">
        <f>'BS  Notes  3-18'!G146</f>
        <v>15.978899999999999</v>
      </c>
      <c r="E35" s="290">
        <f>'BS  Notes  3-18'!H146</f>
        <v>13.659700000000001</v>
      </c>
      <c r="F35" s="290">
        <f>'BS  Notes  3-18'!I146</f>
        <v>100</v>
      </c>
      <c r="H35" s="653">
        <f>D35-E35</f>
        <v>2.3191999999999986</v>
      </c>
      <c r="I35" s="653">
        <v>15.978899999999999</v>
      </c>
      <c r="J35" s="1642">
        <f t="shared" si="1"/>
        <v>0</v>
      </c>
    </row>
    <row r="36" spans="1:18" x14ac:dyDescent="0.25">
      <c r="A36" s="563" t="s">
        <v>7</v>
      </c>
      <c r="B36" s="6" t="s">
        <v>923</v>
      </c>
      <c r="C36" s="10">
        <v>12</v>
      </c>
      <c r="D36" s="289">
        <f>'BS  Notes  3-18'!G197</f>
        <v>9.1867999999999999</v>
      </c>
      <c r="E36" s="290">
        <f>'BS  Notes  3-18'!H181+'BS  Notes  3-18'!H188</f>
        <v>9.1867999999999999</v>
      </c>
      <c r="F36" s="290"/>
      <c r="H36" s="1437">
        <f>D36-E36</f>
        <v>0</v>
      </c>
      <c r="I36" s="653">
        <v>8.6867999999999999</v>
      </c>
      <c r="J36" s="1642">
        <f t="shared" si="1"/>
        <v>0.5</v>
      </c>
    </row>
    <row r="37" spans="1:18" x14ac:dyDescent="0.25">
      <c r="A37" s="563" t="s">
        <v>8</v>
      </c>
      <c r="B37" s="6" t="s">
        <v>24</v>
      </c>
      <c r="C37" s="10">
        <v>13</v>
      </c>
      <c r="D37" s="295">
        <f>'BS  Notes  3-18'!G227</f>
        <v>27519.018629500006</v>
      </c>
      <c r="E37" s="296">
        <f>'BS  Notes  3-18'!H227</f>
        <v>26755.436420300008</v>
      </c>
      <c r="F37" s="296" t="e">
        <f>'BS  Notes  3-18'!I227</f>
        <v>#REF!</v>
      </c>
      <c r="H37" s="653">
        <f>D37-E37</f>
        <v>763.58220919999803</v>
      </c>
      <c r="I37" s="653">
        <v>25906.758629500007</v>
      </c>
      <c r="J37" s="1642">
        <f t="shared" si="1"/>
        <v>1612.2599999999984</v>
      </c>
      <c r="L37" s="1104">
        <f>'BS  Notes  3-18'!L224</f>
        <v>0</v>
      </c>
      <c r="N37" s="1105">
        <f>H35</f>
        <v>2.3191999999999986</v>
      </c>
      <c r="O37" t="s">
        <v>485</v>
      </c>
      <c r="R37" s="505">
        <f>E37-D37</f>
        <v>-763.58220919999803</v>
      </c>
    </row>
    <row r="38" spans="1:18" x14ac:dyDescent="0.25">
      <c r="A38" s="572"/>
      <c r="B38" s="232" t="s">
        <v>25</v>
      </c>
      <c r="C38" s="233"/>
      <c r="D38" s="291">
        <f>SUM(D35:D37)</f>
        <v>27544.184329500007</v>
      </c>
      <c r="E38" s="292">
        <f>SUM(E35:E37)</f>
        <v>26778.282920300007</v>
      </c>
      <c r="F38" s="292" t="e">
        <f>SUM(F35:F37)</f>
        <v>#REF!</v>
      </c>
      <c r="G38" s="504">
        <f>D38-E38</f>
        <v>765.90140919999976</v>
      </c>
      <c r="H38" s="487">
        <f>D38-E38</f>
        <v>765.90140919999976</v>
      </c>
      <c r="I38" s="653">
        <v>25931.424329500009</v>
      </c>
      <c r="J38" s="1642">
        <f t="shared" si="1"/>
        <v>1612.7599999999984</v>
      </c>
      <c r="K38" s="9"/>
      <c r="L38" s="1104">
        <f>'BS  Notes  3-18'!L225</f>
        <v>6708.8221699999995</v>
      </c>
      <c r="M38" s="9"/>
      <c r="N38" s="1105">
        <f>'BS  Notes  3-18'!O225</f>
        <v>6708.8221699999995</v>
      </c>
      <c r="O38" t="s">
        <v>874</v>
      </c>
      <c r="R38" s="24"/>
    </row>
    <row r="39" spans="1:18" x14ac:dyDescent="0.25">
      <c r="A39" s="563"/>
      <c r="B39" s="3"/>
      <c r="E39" s="293"/>
      <c r="F39" s="293"/>
      <c r="J39" s="1642">
        <f t="shared" si="1"/>
        <v>0</v>
      </c>
      <c r="K39" s="9"/>
      <c r="L39" s="1106">
        <f>'BS  Notes  3-18'!L226</f>
        <v>-5945.2399608000014</v>
      </c>
      <c r="M39" s="9"/>
      <c r="N39" s="1438">
        <f>'BS  Notes  3-18'!O226</f>
        <v>-5945.2399608000014</v>
      </c>
      <c r="O39" t="s">
        <v>116</v>
      </c>
    </row>
    <row r="40" spans="1:18" x14ac:dyDescent="0.25">
      <c r="A40" s="561"/>
      <c r="B40" s="286" t="s">
        <v>26</v>
      </c>
      <c r="E40" s="570"/>
      <c r="F40" s="290"/>
      <c r="J40" s="1642">
        <f t="shared" si="1"/>
        <v>0</v>
      </c>
      <c r="L40" s="506">
        <f>SUM(L37:L39)</f>
        <v>763.58220919999803</v>
      </c>
    </row>
    <row r="41" spans="1:18" x14ac:dyDescent="0.25">
      <c r="A41" s="567"/>
      <c r="B41" s="3" t="s">
        <v>27</v>
      </c>
      <c r="E41" s="570"/>
      <c r="F41" s="290"/>
      <c r="J41" s="1642">
        <f t="shared" si="1"/>
        <v>0</v>
      </c>
    </row>
    <row r="42" spans="1:18" x14ac:dyDescent="0.25">
      <c r="A42" s="563" t="s">
        <v>5</v>
      </c>
      <c r="B42" s="6" t="s">
        <v>28</v>
      </c>
      <c r="E42" s="570"/>
      <c r="F42" s="290"/>
      <c r="J42" s="1642">
        <f t="shared" si="1"/>
        <v>0</v>
      </c>
      <c r="R42" s="9">
        <f>D43/1000+D50/1000</f>
        <v>31.442</v>
      </c>
    </row>
    <row r="43" spans="1:18" x14ac:dyDescent="0.25">
      <c r="A43" s="563"/>
      <c r="B43" s="227" t="s">
        <v>29</v>
      </c>
      <c r="C43" s="10">
        <v>14</v>
      </c>
      <c r="D43" s="525">
        <f>'BS  Notes  3-18'!G263</f>
        <v>19691</v>
      </c>
      <c r="E43" s="290">
        <f>'BS  Notes  3-18'!H263</f>
        <v>26013</v>
      </c>
      <c r="F43" s="290">
        <f>'BS  Notes  3-18'!I263</f>
        <v>495</v>
      </c>
      <c r="H43" s="1714">
        <f>D43-E43</f>
        <v>-6322</v>
      </c>
      <c r="I43" s="653">
        <v>19702</v>
      </c>
      <c r="J43" s="1642">
        <f t="shared" si="1"/>
        <v>-11</v>
      </c>
      <c r="K43" s="505">
        <v>2605955</v>
      </c>
      <c r="P43" s="505">
        <f>D43</f>
        <v>19691</v>
      </c>
      <c r="Q43" s="505">
        <f>K43-P43</f>
        <v>2586264</v>
      </c>
      <c r="R43" s="6" t="s">
        <v>1341</v>
      </c>
    </row>
    <row r="44" spans="1:18" hidden="1" x14ac:dyDescent="0.25">
      <c r="A44" s="563"/>
      <c r="B44" s="227" t="s">
        <v>1546</v>
      </c>
      <c r="C44" s="10">
        <v>32</v>
      </c>
      <c r="D44" s="527">
        <f>-ROUND(SUMIF('TB BVS 31.03.26'!E:E,BS!B44,'TB BVS 31.03.26'!K:K)/Input!$C$2,Input!$E$2)</f>
        <v>0</v>
      </c>
      <c r="E44" s="290"/>
      <c r="F44" s="290"/>
      <c r="H44" s="1438">
        <f>D44-E44</f>
        <v>0</v>
      </c>
      <c r="I44" s="653">
        <v>0</v>
      </c>
      <c r="J44" s="1642">
        <f t="shared" si="1"/>
        <v>0</v>
      </c>
      <c r="K44" s="505"/>
      <c r="P44" s="505"/>
      <c r="Q44" s="505"/>
    </row>
    <row r="45" spans="1:18" x14ac:dyDescent="0.25">
      <c r="A45" s="563" t="s">
        <v>7</v>
      </c>
      <c r="B45" s="6" t="s">
        <v>30</v>
      </c>
      <c r="C45" s="10">
        <v>15</v>
      </c>
      <c r="D45" s="525">
        <f>'BS  Notes  3-18'!G306</f>
        <v>80</v>
      </c>
      <c r="E45" s="787">
        <f>'BS  Notes  3-18'!H306</f>
        <v>39</v>
      </c>
      <c r="F45" s="290"/>
      <c r="H45" s="1714">
        <f>D45-E45</f>
        <v>41</v>
      </c>
      <c r="I45" s="653">
        <v>80</v>
      </c>
      <c r="J45" s="1642">
        <f t="shared" si="1"/>
        <v>0</v>
      </c>
      <c r="R45" s="6" t="s">
        <v>1340</v>
      </c>
    </row>
    <row r="46" spans="1:18" x14ac:dyDescent="0.25">
      <c r="A46" s="572"/>
      <c r="B46" s="232" t="s">
        <v>32</v>
      </c>
      <c r="C46" s="233"/>
      <c r="D46" s="291">
        <f>SUM(D43:D45)</f>
        <v>19771</v>
      </c>
      <c r="E46" s="292">
        <f>SUM(E43:E45)</f>
        <v>26052</v>
      </c>
      <c r="F46" s="292">
        <f>SUM(F43:F45)</f>
        <v>495</v>
      </c>
      <c r="I46" s="653">
        <v>19782</v>
      </c>
      <c r="J46" s="1642">
        <f t="shared" si="1"/>
        <v>-11</v>
      </c>
    </row>
    <row r="47" spans="1:18" x14ac:dyDescent="0.25">
      <c r="A47" s="563"/>
      <c r="B47" s="3"/>
      <c r="E47" s="293"/>
      <c r="F47" s="293"/>
      <c r="J47" s="1642">
        <f t="shared" si="1"/>
        <v>0</v>
      </c>
    </row>
    <row r="48" spans="1:18" x14ac:dyDescent="0.25">
      <c r="A48" s="563"/>
      <c r="B48" s="3" t="s">
        <v>33</v>
      </c>
      <c r="E48" s="570"/>
      <c r="F48" s="290"/>
      <c r="H48" s="487">
        <f>D50+D43</f>
        <v>31442</v>
      </c>
      <c r="J48" s="1642">
        <f t="shared" si="1"/>
        <v>0</v>
      </c>
      <c r="R48" s="9">
        <f>H48/10</f>
        <v>3144.2</v>
      </c>
    </row>
    <row r="49" spans="1:18" x14ac:dyDescent="0.25">
      <c r="A49" s="563" t="s">
        <v>5</v>
      </c>
      <c r="B49" s="6" t="s">
        <v>28</v>
      </c>
      <c r="E49" s="570"/>
      <c r="F49" s="293"/>
      <c r="J49" s="1642">
        <f t="shared" si="1"/>
        <v>0</v>
      </c>
    </row>
    <row r="50" spans="1:18" x14ac:dyDescent="0.25">
      <c r="A50" s="563"/>
      <c r="B50" s="227" t="s">
        <v>29</v>
      </c>
      <c r="C50" s="10">
        <v>14</v>
      </c>
      <c r="D50" s="294">
        <f>'BS  Notes  3-18'!G275</f>
        <v>11751</v>
      </c>
      <c r="E50" s="570">
        <f>'BS  Notes  3-18'!H275</f>
        <v>3140</v>
      </c>
      <c r="F50" s="290">
        <f>'BS  Notes  3-18'!I275</f>
        <v>30</v>
      </c>
      <c r="H50" s="1714">
        <f>D50-E50</f>
        <v>8611</v>
      </c>
      <c r="I50" s="653">
        <v>11751</v>
      </c>
      <c r="J50" s="1642">
        <f t="shared" si="1"/>
        <v>0</v>
      </c>
      <c r="K50" s="505">
        <v>241523</v>
      </c>
      <c r="P50" s="505">
        <f>D50</f>
        <v>11751</v>
      </c>
      <c r="Q50" s="505">
        <f>K50-P50</f>
        <v>229772</v>
      </c>
      <c r="R50" s="6" t="s">
        <v>1341</v>
      </c>
    </row>
    <row r="51" spans="1:18" hidden="1" x14ac:dyDescent="0.25">
      <c r="A51" s="563"/>
      <c r="B51" s="227" t="s">
        <v>1546</v>
      </c>
      <c r="C51" s="10">
        <v>32</v>
      </c>
      <c r="D51" s="527">
        <f>-ROUND(SUMIF('TB BVS 31.03.26'!E:E,BS!B51,'TB BVS 31.03.26'!J:J)/Input!$C$2,Input!$E$2)</f>
        <v>0</v>
      </c>
      <c r="E51" s="570">
        <v>0</v>
      </c>
      <c r="F51" s="290"/>
      <c r="H51" s="653">
        <f>D51-E51</f>
        <v>0</v>
      </c>
      <c r="I51" s="653">
        <v>0</v>
      </c>
      <c r="J51" s="1642">
        <f t="shared" si="1"/>
        <v>0</v>
      </c>
      <c r="K51" s="505"/>
      <c r="P51" s="505"/>
      <c r="Q51" s="505"/>
    </row>
    <row r="52" spans="1:18" x14ac:dyDescent="0.25">
      <c r="A52" s="563"/>
      <c r="B52" s="227" t="s">
        <v>521</v>
      </c>
      <c r="D52" s="289"/>
      <c r="E52" s="290"/>
      <c r="F52" s="290"/>
      <c r="H52" s="653"/>
      <c r="J52" s="1642">
        <f t="shared" si="1"/>
        <v>0</v>
      </c>
    </row>
    <row r="53" spans="1:18" x14ac:dyDescent="0.25">
      <c r="A53" s="563"/>
      <c r="B53" s="287" t="s">
        <v>115</v>
      </c>
      <c r="C53" s="1804">
        <v>17</v>
      </c>
      <c r="D53" s="525">
        <f>'BS  Notes  3-18'!G421</f>
        <v>123.01882999999999</v>
      </c>
      <c r="E53" s="290">
        <f>'BS  Notes  3-18'!H421</f>
        <v>158.37</v>
      </c>
      <c r="F53" s="290">
        <f>'BS  Notes  3-18'!I421</f>
        <v>0</v>
      </c>
      <c r="H53" s="1714">
        <f t="shared" ref="H53:H57" si="3">D53-E53</f>
        <v>-35.35117000000001</v>
      </c>
      <c r="I53" s="653">
        <v>123.01882999999999</v>
      </c>
      <c r="J53" s="1642">
        <f t="shared" si="1"/>
        <v>0</v>
      </c>
    </row>
    <row r="54" spans="1:18" ht="30" x14ac:dyDescent="0.25">
      <c r="A54" s="563"/>
      <c r="B54" s="288" t="s">
        <v>114</v>
      </c>
      <c r="C54" s="1804"/>
      <c r="D54" s="526">
        <f>'BS  Notes  3-18'!G422</f>
        <v>9796.9811699999991</v>
      </c>
      <c r="E54" s="299">
        <f>'BS  Notes  3-18'!H422</f>
        <v>1654.63</v>
      </c>
      <c r="F54" s="299">
        <f>'BS  Notes  3-18'!I422</f>
        <v>14</v>
      </c>
      <c r="G54" s="504" t="s">
        <v>1328</v>
      </c>
      <c r="H54" s="1714">
        <f t="shared" si="3"/>
        <v>8142.351169999999</v>
      </c>
      <c r="I54" s="653">
        <v>9811.9811699999991</v>
      </c>
      <c r="J54" s="1642">
        <f t="shared" si="1"/>
        <v>-15</v>
      </c>
      <c r="R54" s="6" t="s">
        <v>673</v>
      </c>
    </row>
    <row r="55" spans="1:18" x14ac:dyDescent="0.25">
      <c r="A55" s="563"/>
      <c r="B55" s="227" t="s">
        <v>784</v>
      </c>
      <c r="C55" s="1567">
        <v>18</v>
      </c>
      <c r="D55" s="526">
        <f>'BS  Notes  3-18'!G469</f>
        <v>445</v>
      </c>
      <c r="E55" s="299">
        <f>'BS  Notes  3-18'!H469</f>
        <v>2508</v>
      </c>
      <c r="F55" s="299"/>
      <c r="H55" s="1714">
        <f>D55-E55</f>
        <v>-2063</v>
      </c>
      <c r="I55" s="653">
        <v>445</v>
      </c>
      <c r="J55" s="1642">
        <f t="shared" si="1"/>
        <v>0</v>
      </c>
      <c r="R55" s="6" t="s">
        <v>673</v>
      </c>
    </row>
    <row r="56" spans="1:18" x14ac:dyDescent="0.25">
      <c r="A56" s="563" t="s">
        <v>7</v>
      </c>
      <c r="B56" s="6" t="s">
        <v>36</v>
      </c>
      <c r="C56" s="10">
        <v>19</v>
      </c>
      <c r="D56" s="525">
        <f>'BS  Notes  3-18'!G475</f>
        <v>66</v>
      </c>
      <c r="E56" s="290">
        <f>'BS  Notes  3-18'!H475</f>
        <v>39</v>
      </c>
      <c r="F56" s="290">
        <f>'BS  Notes  3-18'!I475</f>
        <v>0</v>
      </c>
      <c r="G56" s="504" t="s">
        <v>1328</v>
      </c>
      <c r="H56" s="1714">
        <f t="shared" si="3"/>
        <v>27</v>
      </c>
      <c r="I56" s="653">
        <v>66</v>
      </c>
      <c r="J56" s="1642">
        <f t="shared" si="1"/>
        <v>0</v>
      </c>
      <c r="K56" s="505">
        <f>D31-D60</f>
        <v>27543.635461176775</v>
      </c>
      <c r="R56" s="6" t="s">
        <v>1342</v>
      </c>
    </row>
    <row r="57" spans="1:18" hidden="1" x14ac:dyDescent="0.25">
      <c r="A57" s="563" t="s">
        <v>8</v>
      </c>
      <c r="B57" s="6" t="s">
        <v>1129</v>
      </c>
      <c r="C57" s="10">
        <v>7</v>
      </c>
      <c r="D57" s="525">
        <v>0</v>
      </c>
      <c r="E57" s="290">
        <v>0</v>
      </c>
      <c r="F57" s="290"/>
      <c r="H57" s="653">
        <f t="shared" si="3"/>
        <v>0</v>
      </c>
      <c r="I57" s="653">
        <v>0</v>
      </c>
      <c r="J57" s="1642">
        <f t="shared" si="1"/>
        <v>0</v>
      </c>
    </row>
    <row r="58" spans="1:18" x14ac:dyDescent="0.25">
      <c r="A58" s="563" t="s">
        <v>9</v>
      </c>
      <c r="B58" s="6" t="s">
        <v>30</v>
      </c>
      <c r="C58" s="10">
        <v>15</v>
      </c>
      <c r="D58" s="525">
        <f>'BS  Notes  3-18'!G311</f>
        <v>12</v>
      </c>
      <c r="E58" s="787">
        <f>'BS  Notes  3-18'!H311</f>
        <v>7</v>
      </c>
      <c r="F58" s="290"/>
      <c r="H58" s="1714">
        <f>D58-E58</f>
        <v>5</v>
      </c>
      <c r="I58" s="653">
        <v>12</v>
      </c>
      <c r="J58" s="1642">
        <f t="shared" si="1"/>
        <v>0</v>
      </c>
      <c r="R58" s="6" t="s">
        <v>1340</v>
      </c>
    </row>
    <row r="59" spans="1:18" x14ac:dyDescent="0.25">
      <c r="A59" s="572"/>
      <c r="B59" s="232" t="s">
        <v>37</v>
      </c>
      <c r="C59" s="233"/>
      <c r="D59" s="291">
        <f>SUM(D50:D58)</f>
        <v>22194</v>
      </c>
      <c r="E59" s="292">
        <f>SUM(E50:E58)</f>
        <v>7507</v>
      </c>
      <c r="F59" s="292">
        <f>SUM(F50:F56)</f>
        <v>44</v>
      </c>
      <c r="H59" s="844">
        <f>SUM(H8:H58)</f>
        <v>6424244170.5165854</v>
      </c>
      <c r="I59" s="779">
        <v>22209</v>
      </c>
      <c r="J59" s="1642">
        <f t="shared" si="1"/>
        <v>-15</v>
      </c>
    </row>
    <row r="60" spans="1:18" ht="15.75" thickBot="1" x14ac:dyDescent="0.3">
      <c r="A60" s="572"/>
      <c r="B60" s="232" t="s">
        <v>38</v>
      </c>
      <c r="C60" s="233"/>
      <c r="D60" s="291">
        <f>+D46+D59</f>
        <v>41965</v>
      </c>
      <c r="E60" s="292">
        <f>+E46+E59</f>
        <v>33559</v>
      </c>
      <c r="F60" s="292">
        <f>+F46+F59</f>
        <v>539</v>
      </c>
      <c r="I60" s="653">
        <v>41991</v>
      </c>
      <c r="J60" s="1642">
        <f t="shared" si="1"/>
        <v>-26</v>
      </c>
    </row>
    <row r="61" spans="1:18" ht="15.75" thickBot="1" x14ac:dyDescent="0.3">
      <c r="A61" s="574"/>
      <c r="B61" s="234" t="s">
        <v>39</v>
      </c>
      <c r="C61" s="235"/>
      <c r="D61" s="297">
        <f>+D38+D60</f>
        <v>69509.184329500014</v>
      </c>
      <c r="E61" s="298">
        <f>+E38+E60</f>
        <v>60337.282920300007</v>
      </c>
      <c r="F61" s="298" t="e">
        <f>+F38+F60</f>
        <v>#REF!</v>
      </c>
      <c r="G61" s="1225">
        <f>D61-D31</f>
        <v>0.54886832323973067</v>
      </c>
      <c r="H61" s="1226">
        <f>D61-D31</f>
        <v>0.54886832323973067</v>
      </c>
      <c r="I61" s="1225">
        <v>67922.424329500005</v>
      </c>
      <c r="J61" s="1225"/>
      <c r="K61" s="1226">
        <f>E61-E31</f>
        <v>0.31369030000496423</v>
      </c>
      <c r="R61" s="1226">
        <f>E61-E31</f>
        <v>0.31369030000496423</v>
      </c>
    </row>
    <row r="62" spans="1:18" ht="15.75" thickTop="1" x14ac:dyDescent="0.25">
      <c r="A62" s="575" t="s">
        <v>932</v>
      </c>
      <c r="B62" s="31"/>
      <c r="C62" s="32" t="str">
        <f>Input!D10&amp;" &amp; "&amp;Input!D11</f>
        <v>1 &amp; 2</v>
      </c>
      <c r="D62" s="32"/>
      <c r="E62" s="576"/>
      <c r="F62" s="209"/>
      <c r="K62" s="9"/>
      <c r="L62" s="9"/>
      <c r="M62" s="9"/>
    </row>
    <row r="63" spans="1:18" ht="15.75" customHeight="1" x14ac:dyDescent="0.25">
      <c r="A63" s="577" t="s">
        <v>108</v>
      </c>
      <c r="B63" s="13"/>
      <c r="C63" s="13"/>
      <c r="D63" s="13"/>
      <c r="E63" s="210"/>
      <c r="F63" s="210"/>
      <c r="H63" s="487">
        <f>H61*1000</f>
        <v>548.86832323973067</v>
      </c>
    </row>
    <row r="64" spans="1:18" x14ac:dyDescent="0.25">
      <c r="A64" s="14" t="s">
        <v>113</v>
      </c>
      <c r="B64" s="15"/>
      <c r="C64" s="6"/>
      <c r="D64" s="6"/>
      <c r="E64" s="212"/>
      <c r="F64" s="211"/>
    </row>
    <row r="65" spans="1:9" x14ac:dyDescent="0.25">
      <c r="A65" s="14"/>
      <c r="B65" s="15"/>
      <c r="C65" s="6"/>
      <c r="D65" s="6"/>
      <c r="E65" s="578"/>
      <c r="F65" s="211"/>
    </row>
    <row r="66" spans="1:9" x14ac:dyDescent="0.25">
      <c r="A66" s="17" t="s">
        <v>599</v>
      </c>
      <c r="B66" s="15"/>
      <c r="C66" s="349"/>
      <c r="D66" s="349" t="s">
        <v>109</v>
      </c>
      <c r="E66" s="579"/>
      <c r="F66" s="26"/>
      <c r="I66" s="653" t="s">
        <v>109</v>
      </c>
    </row>
    <row r="67" spans="1:9" x14ac:dyDescent="0.25">
      <c r="A67" s="17" t="s">
        <v>110</v>
      </c>
      <c r="B67" s="15"/>
      <c r="C67" s="16"/>
      <c r="D67" s="16" t="s">
        <v>286</v>
      </c>
      <c r="E67" s="212"/>
      <c r="F67" s="25"/>
      <c r="I67" s="653" t="s">
        <v>286</v>
      </c>
    </row>
    <row r="68" spans="1:9" x14ac:dyDescent="0.25">
      <c r="A68" s="580" t="s">
        <v>538</v>
      </c>
      <c r="B68" s="15"/>
      <c r="C68" s="1107"/>
      <c r="D68" s="1107" t="str">
        <f>Input!$C$1</f>
        <v>CIN : U24230GJ2021PTC123855</v>
      </c>
      <c r="E68" s="1108"/>
      <c r="F68" s="26"/>
      <c r="I68" s="653" t="s">
        <v>523</v>
      </c>
    </row>
    <row r="69" spans="1:9" x14ac:dyDescent="0.25">
      <c r="A69" s="581"/>
      <c r="B69" s="15"/>
      <c r="C69"/>
      <c r="D69"/>
      <c r="E69" s="58"/>
      <c r="F69" s="26"/>
    </row>
    <row r="70" spans="1:9" x14ac:dyDescent="0.25">
      <c r="A70" s="581"/>
      <c r="B70" s="15"/>
      <c r="C70"/>
      <c r="D70"/>
      <c r="E70" s="58"/>
      <c r="F70" s="26"/>
    </row>
    <row r="71" spans="1:9" x14ac:dyDescent="0.25">
      <c r="A71" s="17" t="s">
        <v>539</v>
      </c>
      <c r="B71" s="15"/>
      <c r="C71" s="1568"/>
      <c r="D71" s="470" t="s">
        <v>1369</v>
      </c>
      <c r="E71" s="593" t="s">
        <v>938</v>
      </c>
      <c r="I71" s="653" t="s">
        <v>1369</v>
      </c>
    </row>
    <row r="72" spans="1:9" x14ac:dyDescent="0.25">
      <c r="A72" s="17" t="s">
        <v>111</v>
      </c>
      <c r="B72" s="15"/>
      <c r="C72" s="3"/>
      <c r="D72" s="470" t="s">
        <v>216</v>
      </c>
      <c r="E72" s="593" t="s">
        <v>216</v>
      </c>
      <c r="I72" s="653" t="s">
        <v>216</v>
      </c>
    </row>
    <row r="73" spans="1:9" x14ac:dyDescent="0.25">
      <c r="A73" s="350" t="s">
        <v>540</v>
      </c>
      <c r="B73" s="15"/>
      <c r="C73" s="349"/>
      <c r="D73" s="1092" t="s">
        <v>1370</v>
      </c>
      <c r="E73" s="1566" t="s">
        <v>217</v>
      </c>
      <c r="F73" s="25"/>
      <c r="I73" s="653" t="s">
        <v>1370</v>
      </c>
    </row>
    <row r="74" spans="1:9" x14ac:dyDescent="0.25">
      <c r="A74" s="350"/>
      <c r="B74" s="15"/>
      <c r="C74" s="349"/>
      <c r="D74" s="1092"/>
      <c r="E74" s="1566"/>
      <c r="F74" s="25"/>
    </row>
    <row r="75" spans="1:9" x14ac:dyDescent="0.25">
      <c r="A75" s="350"/>
      <c r="B75" s="15"/>
      <c r="C75" s="349"/>
      <c r="D75" s="1092"/>
      <c r="E75" s="1566"/>
      <c r="F75" s="25"/>
    </row>
    <row r="76" spans="1:9" x14ac:dyDescent="0.25">
      <c r="A76" s="350"/>
      <c r="B76" s="15"/>
      <c r="C76" s="349"/>
      <c r="D76" s="1092"/>
      <c r="E76" s="1566"/>
      <c r="F76" s="25"/>
    </row>
    <row r="77" spans="1:9" x14ac:dyDescent="0.25">
      <c r="A77" s="17"/>
      <c r="B77" s="15"/>
      <c r="D77" s="470" t="s">
        <v>1675</v>
      </c>
      <c r="E77" s="212" t="s">
        <v>1368</v>
      </c>
      <c r="F77" s="212"/>
      <c r="I77" s="653" t="s">
        <v>1675</v>
      </c>
    </row>
    <row r="78" spans="1:9" x14ac:dyDescent="0.25">
      <c r="A78" s="17"/>
      <c r="B78" s="15"/>
      <c r="D78" s="1092" t="s">
        <v>1677</v>
      </c>
      <c r="E78" s="579" t="s">
        <v>1676</v>
      </c>
      <c r="F78" s="212"/>
      <c r="I78" s="653" t="s">
        <v>1677</v>
      </c>
    </row>
    <row r="79" spans="1:9" x14ac:dyDescent="0.25">
      <c r="A79" s="17"/>
      <c r="B79" s="15"/>
      <c r="C79" s="3"/>
      <c r="D79" s="16"/>
      <c r="E79" s="212"/>
      <c r="F79" s="212"/>
    </row>
    <row r="80" spans="1:9" x14ac:dyDescent="0.25">
      <c r="A80" s="17"/>
      <c r="B80" s="15"/>
      <c r="C80" s="3"/>
      <c r="D80" s="16"/>
      <c r="E80" s="212"/>
      <c r="F80" s="212"/>
    </row>
    <row r="81" spans="1:9" x14ac:dyDescent="0.25">
      <c r="A81" s="582" t="str">
        <f>" "</f>
        <v xml:space="preserve"> </v>
      </c>
      <c r="B81" s="15"/>
      <c r="C81" s="16"/>
      <c r="D81" s="16"/>
      <c r="E81" s="212"/>
      <c r="F81" s="212"/>
    </row>
    <row r="82" spans="1:9" x14ac:dyDescent="0.25">
      <c r="A82" s="27" t="s">
        <v>112</v>
      </c>
      <c r="B82" s="1569"/>
      <c r="C82" s="16"/>
      <c r="D82" s="16" t="s">
        <v>710</v>
      </c>
      <c r="E82" s="583" t="s">
        <v>710</v>
      </c>
      <c r="I82" s="653" t="s">
        <v>710</v>
      </c>
    </row>
    <row r="83" spans="1:9" ht="15.75" thickBot="1" x14ac:dyDescent="0.3">
      <c r="A83" s="584" t="s">
        <v>1691</v>
      </c>
      <c r="B83" s="1109"/>
      <c r="C83" s="585"/>
      <c r="D83" s="585" t="str">
        <f>A83</f>
        <v>Date: 17 July 2026</v>
      </c>
      <c r="E83" s="586" t="str">
        <f>D83</f>
        <v>Date: 17 July 2026</v>
      </c>
      <c r="I83" s="653" t="s">
        <v>1691</v>
      </c>
    </row>
  </sheetData>
  <mergeCells count="3">
    <mergeCell ref="A4:B5"/>
    <mergeCell ref="C4:C5"/>
    <mergeCell ref="C53:C54"/>
  </mergeCells>
  <printOptions horizontalCentered="1"/>
  <pageMargins left="0.70866141732283472" right="0.70866141732283472" top="0.74803149606299213" bottom="0.74803149606299213" header="0.31496062992125984" footer="0.31496062992125984"/>
  <pageSetup paperSize="9" scale="62" orientation="portrait" r:id="rId1"/>
  <headerFooter>
    <oddHeader>&amp;C&amp;G</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U60"/>
  <sheetViews>
    <sheetView showGridLines="0" view="pageBreakPreview" zoomScaleNormal="85" zoomScaleSheetLayoutView="90" workbookViewId="0">
      <pane ySplit="5" topLeftCell="A6" activePane="bottomLeft" state="frozen"/>
      <selection activeCell="D40" sqref="D40"/>
      <selection pane="bottomLeft" activeCell="D14" sqref="D14"/>
    </sheetView>
  </sheetViews>
  <sheetFormatPr defaultColWidth="9.42578125" defaultRowHeight="15" x14ac:dyDescent="0.25"/>
  <cols>
    <col min="1" max="1" width="4.42578125" style="28" bestFit="1" customWidth="1"/>
    <col min="2" max="2" width="64.42578125" style="6" customWidth="1"/>
    <col min="3" max="3" width="21" style="10" customWidth="1"/>
    <col min="4" max="4" width="23.42578125" style="10" customWidth="1"/>
    <col min="5" max="5" width="21.140625" style="10" bestFit="1" customWidth="1"/>
    <col min="6" max="6" width="20" style="11" hidden="1" customWidth="1"/>
    <col min="7" max="7" width="15.85546875" style="6" hidden="1" customWidth="1"/>
    <col min="8" max="9" width="16.42578125" style="6" hidden="1" customWidth="1"/>
    <col min="10" max="10" width="15.85546875" style="6" hidden="1" customWidth="1"/>
    <col min="11" max="11" width="10.5703125" style="6" hidden="1" customWidth="1"/>
    <col min="12" max="12" width="10" style="6" hidden="1" customWidth="1"/>
    <col min="13" max="13" width="31.42578125" style="6" hidden="1" customWidth="1"/>
    <col min="14" max="14" width="22.42578125" style="6" hidden="1" customWidth="1"/>
    <col min="15" max="15" width="0" style="6" hidden="1" customWidth="1"/>
    <col min="16" max="16" width="22.42578125" style="6" hidden="1" customWidth="1"/>
    <col min="17" max="17" width="0" style="6" hidden="1" customWidth="1"/>
    <col min="18" max="18" width="15.42578125" style="6" bestFit="1" customWidth="1"/>
    <col min="19" max="19" width="9.42578125" style="6"/>
    <col min="20" max="20" width="11.85546875" style="6" bestFit="1" customWidth="1"/>
    <col min="21" max="16384" width="9.42578125" style="6"/>
  </cols>
  <sheetData>
    <row r="1" spans="1:21" x14ac:dyDescent="0.25">
      <c r="A1" s="19" t="str">
        <f>Input!$B$1</f>
        <v>BVC Specialities Private Limited</v>
      </c>
      <c r="B1" s="557"/>
      <c r="C1" s="558"/>
      <c r="D1" s="558"/>
      <c r="E1" s="559"/>
      <c r="F1" s="47"/>
    </row>
    <row r="2" spans="1:21" x14ac:dyDescent="0.25">
      <c r="A2" s="21" t="s">
        <v>1664</v>
      </c>
      <c r="B2" s="3"/>
      <c r="C2" s="3"/>
      <c r="D2" s="3"/>
      <c r="E2" s="48"/>
      <c r="F2" s="48"/>
    </row>
    <row r="3" spans="1:21" x14ac:dyDescent="0.25">
      <c r="A3" s="33"/>
      <c r="E3" s="49" t="str">
        <f>Input!$D$2</f>
        <v>(₹ in Lakh)</v>
      </c>
      <c r="F3" s="49" t="str">
        <f>Input!$D$2</f>
        <v>(₹ in Lakh)</v>
      </c>
    </row>
    <row r="4" spans="1:21" s="10" customFormat="1" x14ac:dyDescent="0.25">
      <c r="A4" s="1800" t="s">
        <v>0</v>
      </c>
      <c r="B4" s="1801"/>
      <c r="C4" s="1805" t="s">
        <v>40</v>
      </c>
      <c r="D4" s="239" t="s">
        <v>41</v>
      </c>
      <c r="E4" s="240" t="s">
        <v>41</v>
      </c>
      <c r="F4" s="240" t="s">
        <v>41</v>
      </c>
    </row>
    <row r="5" spans="1:21" s="10" customFormat="1" x14ac:dyDescent="0.25">
      <c r="A5" s="1802"/>
      <c r="B5" s="1803"/>
      <c r="C5" s="1806"/>
      <c r="D5" s="494" t="str">
        <f>BS!D5</f>
        <v>31 March 2026</v>
      </c>
      <c r="E5" s="236" t="str">
        <f>BS!E5</f>
        <v>31 March 2025</v>
      </c>
      <c r="F5" s="236" t="s">
        <v>91</v>
      </c>
    </row>
    <row r="6" spans="1:21" s="10" customFormat="1" ht="7.5" customHeight="1" x14ac:dyDescent="0.25">
      <c r="A6" s="587"/>
      <c r="B6" s="1572"/>
      <c r="C6" s="1573"/>
      <c r="D6" s="1573"/>
      <c r="E6" s="361"/>
      <c r="F6" s="361"/>
    </row>
    <row r="7" spans="1:21" x14ac:dyDescent="0.25">
      <c r="A7" s="33"/>
      <c r="B7" s="286" t="s">
        <v>717</v>
      </c>
      <c r="D7" s="1573"/>
      <c r="E7" s="192"/>
      <c r="F7" s="34"/>
    </row>
    <row r="8" spans="1:21" x14ac:dyDescent="0.25">
      <c r="A8" s="33" t="s">
        <v>42</v>
      </c>
      <c r="B8" s="6" t="s">
        <v>43</v>
      </c>
      <c r="C8" s="10">
        <v>20</v>
      </c>
      <c r="D8" s="289">
        <f>'PL Notes 19-27'!C17</f>
        <v>23491</v>
      </c>
      <c r="E8" s="290">
        <f>'PL Notes 19-27'!D17</f>
        <v>1094</v>
      </c>
      <c r="F8" s="290">
        <f>'[2]PL Notes 19-26'!E17</f>
        <v>0</v>
      </c>
      <c r="G8" s="504">
        <v>70109.417703899904</v>
      </c>
      <c r="H8" s="504">
        <f>E8-G8</f>
        <v>-69015.417703899904</v>
      </c>
      <c r="I8" s="6" t="s">
        <v>794</v>
      </c>
      <c r="J8" s="505"/>
      <c r="Q8" s="6" t="s">
        <v>1334</v>
      </c>
      <c r="R8" s="6">
        <v>40277</v>
      </c>
    </row>
    <row r="9" spans="1:21" x14ac:dyDescent="0.25">
      <c r="A9" s="33" t="s">
        <v>44</v>
      </c>
      <c r="B9" s="6" t="s">
        <v>45</v>
      </c>
      <c r="C9" s="10">
        <v>21</v>
      </c>
      <c r="D9" s="289">
        <f>'PL Notes 19-27'!C36</f>
        <v>238</v>
      </c>
      <c r="E9" s="290">
        <f>'PL Notes 19-27'!D36</f>
        <v>73</v>
      </c>
      <c r="F9" s="282">
        <f>'[2]PL Notes 19-26'!E34</f>
        <v>0</v>
      </c>
      <c r="G9" s="504">
        <v>682.34518008963107</v>
      </c>
      <c r="H9" s="504">
        <f>E9-G9</f>
        <v>-609.34518008963107</v>
      </c>
      <c r="I9" s="6" t="s">
        <v>798</v>
      </c>
      <c r="J9" s="505"/>
      <c r="Q9" s="6" t="s">
        <v>1334</v>
      </c>
      <c r="R9" s="1239">
        <f>R11/R8</f>
        <v>0.38246816547621321</v>
      </c>
      <c r="S9" s="1239">
        <f>S11/E8</f>
        <v>0.37463632607063441</v>
      </c>
    </row>
    <row r="10" spans="1:21" x14ac:dyDescent="0.25">
      <c r="A10" s="588" t="s">
        <v>46</v>
      </c>
      <c r="B10" s="232" t="s">
        <v>47</v>
      </c>
      <c r="C10" s="233"/>
      <c r="D10" s="291">
        <f>SUM(D8:D9)</f>
        <v>23729</v>
      </c>
      <c r="E10" s="292">
        <f>SUM(E8:E9)</f>
        <v>1167</v>
      </c>
      <c r="F10" s="292">
        <f>SUM(F8:F9)</f>
        <v>0</v>
      </c>
      <c r="G10" s="506">
        <f>SUM(G8:G9)</f>
        <v>70791.762883989533</v>
      </c>
      <c r="H10" s="507">
        <f>SUM(H8:H9)</f>
        <v>-69624.762883989533</v>
      </c>
    </row>
    <row r="11" spans="1:21" s="10" customFormat="1" ht="14.45" customHeight="1" x14ac:dyDescent="0.25">
      <c r="A11" s="587"/>
      <c r="B11" s="1572"/>
      <c r="C11" s="1573"/>
      <c r="D11" s="1573"/>
      <c r="E11" s="361"/>
      <c r="F11" s="361"/>
      <c r="R11" s="505">
        <f>D13+D15</f>
        <v>15404.670300885438</v>
      </c>
      <c r="S11" s="505">
        <f>E13+E15</f>
        <v>409.85214072127405</v>
      </c>
    </row>
    <row r="12" spans="1:21" x14ac:dyDescent="0.25">
      <c r="A12" s="33" t="s">
        <v>44</v>
      </c>
      <c r="B12" s="286" t="s">
        <v>97</v>
      </c>
      <c r="E12" s="589"/>
      <c r="F12" s="50"/>
      <c r="G12" s="505">
        <f>D10*1000</f>
        <v>23729000</v>
      </c>
    </row>
    <row r="13" spans="1:21" x14ac:dyDescent="0.25">
      <c r="A13" s="33"/>
      <c r="B13" s="6" t="s">
        <v>817</v>
      </c>
      <c r="C13" s="10">
        <f>C9+1</f>
        <v>22</v>
      </c>
      <c r="D13" s="289">
        <f>'PL Notes 19-27'!C51</f>
        <v>19619.670300885438</v>
      </c>
      <c r="E13" s="290">
        <f>'PL Notes 19-27'!D51-E14</f>
        <v>796.74214072127404</v>
      </c>
      <c r="F13" s="290">
        <f>'[2]PL Notes 19-26'!E42+'[2]PL Notes 19-26'!E47</f>
        <v>0</v>
      </c>
      <c r="G13" s="487">
        <v>44527.471992899991</v>
      </c>
      <c r="H13" s="504">
        <f t="shared" ref="H13:H15" si="0">E13-G13</f>
        <v>-43730.729852178716</v>
      </c>
      <c r="I13" s="509" t="s">
        <v>818</v>
      </c>
      <c r="J13" s="505"/>
      <c r="Q13" s="6" t="s">
        <v>1334</v>
      </c>
      <c r="T13" s="1239">
        <f>(D13+D15)/$D$10</f>
        <v>0.64919171903095108</v>
      </c>
      <c r="U13" s="1239">
        <f>(E13+E15)/$E$10</f>
        <v>0.35120149162062902</v>
      </c>
    </row>
    <row r="14" spans="1:21" x14ac:dyDescent="0.25">
      <c r="A14" s="33"/>
      <c r="B14" s="6" t="s">
        <v>1673</v>
      </c>
      <c r="C14" s="1021" t="s">
        <v>928</v>
      </c>
      <c r="D14" s="289">
        <v>2112.329699114563</v>
      </c>
      <c r="E14" s="290">
        <f>115.837859278726</f>
        <v>115.837859278726</v>
      </c>
      <c r="F14" s="290"/>
      <c r="G14" s="487"/>
      <c r="H14" s="504"/>
      <c r="I14" s="509"/>
      <c r="J14" s="505"/>
      <c r="R14" s="9">
        <f>D14*100000</f>
        <v>211232969.91145632</v>
      </c>
      <c r="T14" s="1239"/>
      <c r="U14" s="1239"/>
    </row>
    <row r="15" spans="1:21" x14ac:dyDescent="0.25">
      <c r="A15" s="33"/>
      <c r="B15" s="6" t="s">
        <v>161</v>
      </c>
      <c r="C15" s="10">
        <f>C13+1</f>
        <v>23</v>
      </c>
      <c r="D15" s="289">
        <f>'PL Notes 19-27'!C64</f>
        <v>-4215</v>
      </c>
      <c r="E15" s="290">
        <f>'PL Notes 19-27'!D64</f>
        <v>-386.89</v>
      </c>
      <c r="F15" s="290">
        <f>'[2]PL Notes 19-26'!E62</f>
        <v>0</v>
      </c>
      <c r="G15" s="289">
        <v>-1566.3014066999942</v>
      </c>
      <c r="H15" s="504">
        <f t="shared" si="0"/>
        <v>1179.4114066999941</v>
      </c>
      <c r="I15" s="509" t="s">
        <v>818</v>
      </c>
      <c r="J15" s="505"/>
      <c r="Q15" s="6" t="s">
        <v>1334</v>
      </c>
      <c r="T15" s="1239"/>
      <c r="U15" s="1239"/>
    </row>
    <row r="16" spans="1:21" x14ac:dyDescent="0.25">
      <c r="A16" s="33"/>
      <c r="B16" s="6" t="s">
        <v>50</v>
      </c>
      <c r="C16" s="10">
        <f t="shared" ref="C16:C17" si="1">C15+1</f>
        <v>24</v>
      </c>
      <c r="D16" s="289">
        <f>'PL Notes 19-27'!C74</f>
        <v>1989.5569379999999</v>
      </c>
      <c r="E16" s="290">
        <f>'PL Notes 19-27'!D74</f>
        <v>147.77469999999994</v>
      </c>
      <c r="F16" s="290"/>
      <c r="G16" s="202"/>
      <c r="H16" s="202"/>
      <c r="Q16" s="6" t="s">
        <v>1327</v>
      </c>
      <c r="R16" s="9">
        <f>D19/10</f>
        <v>588.29999999999995</v>
      </c>
      <c r="T16" s="1239">
        <f>D16/$D$10</f>
        <v>8.3844955033924737E-2</v>
      </c>
      <c r="U16" s="1239">
        <f>E16/$E$10</f>
        <v>0.12662784918594683</v>
      </c>
    </row>
    <row r="17" spans="1:21" x14ac:dyDescent="0.25">
      <c r="A17" s="33"/>
      <c r="B17" s="6" t="s">
        <v>51</v>
      </c>
      <c r="C17" s="10">
        <f t="shared" si="1"/>
        <v>25</v>
      </c>
      <c r="D17" s="289">
        <f>'PL Notes 19-27'!C86</f>
        <v>2699</v>
      </c>
      <c r="E17" s="290">
        <f>'PL Notes 19-27'!D86</f>
        <v>763.08651999999461</v>
      </c>
      <c r="F17" s="290">
        <f>'PL Notes 19-27'!E86</f>
        <v>38</v>
      </c>
      <c r="G17" s="202">
        <f>D13+D15</f>
        <v>15404.670300885438</v>
      </c>
      <c r="H17" s="202"/>
      <c r="Q17" s="6" t="s">
        <v>1334</v>
      </c>
      <c r="R17" s="9">
        <f>D21/10*12</f>
        <v>-9048.2879529600032</v>
      </c>
      <c r="S17" s="9">
        <f>R17/1000</f>
        <v>-9.0482879529600027</v>
      </c>
      <c r="T17" s="1239">
        <f t="shared" ref="T17:T19" si="2">D17/$D$10</f>
        <v>0.1137426777361035</v>
      </c>
      <c r="U17" s="1239">
        <f t="shared" ref="U17:U19" si="3">E17/$E$10</f>
        <v>0.65388733504712482</v>
      </c>
    </row>
    <row r="18" spans="1:21" x14ac:dyDescent="0.25">
      <c r="A18" s="33"/>
      <c r="B18" s="6" t="s">
        <v>589</v>
      </c>
      <c r="C18" s="10">
        <f>Input!D69</f>
        <v>3</v>
      </c>
      <c r="D18" s="275">
        <f>'PPE- note 3'!G17+'PPE- note 3'!G23+'PPE- note 3'!G27</f>
        <v>3180.6830227999999</v>
      </c>
      <c r="E18" s="282">
        <f>129491/100</f>
        <v>1294.9100000000001</v>
      </c>
      <c r="F18" s="276">
        <f>'PPE- note 3'!I141</f>
        <v>6</v>
      </c>
      <c r="G18" s="779">
        <f>G17*1000</f>
        <v>15404670.300885439</v>
      </c>
      <c r="H18" s="46"/>
      <c r="Q18" s="6" t="s">
        <v>1334</v>
      </c>
      <c r="R18" s="9"/>
      <c r="T18" s="1239">
        <f t="shared" si="2"/>
        <v>0.13404201705929453</v>
      </c>
      <c r="U18" s="1239">
        <f t="shared" si="3"/>
        <v>1.1096058269065983</v>
      </c>
    </row>
    <row r="19" spans="1:21" x14ac:dyDescent="0.25">
      <c r="A19" s="33"/>
      <c r="B19" s="6" t="s">
        <v>53</v>
      </c>
      <c r="C19" s="10">
        <f>C17+1</f>
        <v>26</v>
      </c>
      <c r="D19" s="289">
        <f>'PL Notes 19-27'!C111</f>
        <v>5883</v>
      </c>
      <c r="E19" s="290">
        <f>'PL Notes 19-27'!D111</f>
        <v>466</v>
      </c>
      <c r="F19" s="290">
        <f>'PL Notes 19-27'!E111</f>
        <v>38</v>
      </c>
      <c r="G19" s="504">
        <v>348000</v>
      </c>
      <c r="Q19" s="6" t="s">
        <v>1327</v>
      </c>
      <c r="R19" s="505">
        <f>D19*1000</f>
        <v>5883000</v>
      </c>
      <c r="S19" s="505">
        <f>D21+D18+D17</f>
        <v>-1660.5569380000015</v>
      </c>
      <c r="T19" s="1239">
        <f t="shared" si="2"/>
        <v>0.24792448059336678</v>
      </c>
      <c r="U19" s="1239">
        <f t="shared" si="3"/>
        <v>0.39931448157669236</v>
      </c>
    </row>
    <row r="20" spans="1:21" x14ac:dyDescent="0.25">
      <c r="A20" s="588"/>
      <c r="B20" s="232" t="s">
        <v>597</v>
      </c>
      <c r="C20" s="233"/>
      <c r="D20" s="291">
        <f>SUM(D13:D19)</f>
        <v>31269.239960800001</v>
      </c>
      <c r="E20" s="292">
        <f>SUM(E13:E19)</f>
        <v>3197.4612199999947</v>
      </c>
      <c r="F20" s="292">
        <f>SUM(F17:F19)</f>
        <v>82</v>
      </c>
      <c r="G20" s="9"/>
      <c r="I20" s="132" t="s">
        <v>228</v>
      </c>
      <c r="J20" s="133" t="s">
        <v>229</v>
      </c>
      <c r="K20" s="134" t="s">
        <v>230</v>
      </c>
      <c r="L20" s="148" t="s">
        <v>231</v>
      </c>
      <c r="M20" s="149" t="s">
        <v>235</v>
      </c>
      <c r="N20" s="150" t="s">
        <v>214</v>
      </c>
      <c r="R20" s="6">
        <v>-205627666.09999999</v>
      </c>
    </row>
    <row r="21" spans="1:21" x14ac:dyDescent="0.25">
      <c r="A21" s="588" t="s">
        <v>46</v>
      </c>
      <c r="B21" s="232" t="s">
        <v>1682</v>
      </c>
      <c r="C21" s="233"/>
      <c r="D21" s="291">
        <f>D10-D20</f>
        <v>-7540.2399608000014</v>
      </c>
      <c r="E21" s="292">
        <f>E10-E20</f>
        <v>-2030.4612199999947</v>
      </c>
      <c r="F21" s="292" t="e">
        <f>#REF!-F20</f>
        <v>#REF!</v>
      </c>
      <c r="G21" s="1227">
        <f>D21+D17+D18</f>
        <v>-1660.5569380000015</v>
      </c>
      <c r="I21" s="135">
        <f>E21</f>
        <v>-2030.4612199999947</v>
      </c>
      <c r="J21" s="136">
        <f>487303222.278789/10^5</f>
        <v>4873.0322227878896</v>
      </c>
      <c r="K21" s="140">
        <f>I21-J21</f>
        <v>-6903.4934427878843</v>
      </c>
      <c r="L21" s="141">
        <f>'TB BVS 31.3.23'!J173/10^5</f>
        <v>0</v>
      </c>
      <c r="M21" s="142" t="s">
        <v>212</v>
      </c>
      <c r="N21" s="143" t="s">
        <v>234</v>
      </c>
      <c r="Q21" s="505"/>
      <c r="R21" s="1392">
        <v>131099066.49000013</v>
      </c>
      <c r="T21" s="505">
        <f>D21+S21</f>
        <v>-7540.2399608000014</v>
      </c>
    </row>
    <row r="22" spans="1:21" x14ac:dyDescent="0.25">
      <c r="A22" s="590" t="s">
        <v>48</v>
      </c>
      <c r="B22" s="468" t="s">
        <v>58</v>
      </c>
      <c r="E22" s="591"/>
      <c r="F22" s="293"/>
      <c r="G22" s="9"/>
      <c r="I22" s="137"/>
      <c r="L22" s="141">
        <f>5550219/10^5</f>
        <v>55.502189999999999</v>
      </c>
      <c r="M22" s="144" t="s">
        <v>232</v>
      </c>
      <c r="N22" s="143" t="s">
        <v>233</v>
      </c>
      <c r="R22" s="9">
        <f>D26*1000</f>
        <v>-5952239.9608000014</v>
      </c>
      <c r="T22" s="9">
        <f>R22-S22</f>
        <v>-5952239.9608000014</v>
      </c>
    </row>
    <row r="23" spans="1:21" x14ac:dyDescent="0.25">
      <c r="A23" s="33"/>
      <c r="B23" s="6" t="s">
        <v>59</v>
      </c>
      <c r="C23" s="10">
        <v>16</v>
      </c>
      <c r="D23" s="289">
        <f>ROUND(SUMIF('TB BVS 31.03.26'!$E:$E,B23,'TB BVS 31.03.26'!$I:$I)/Input!$C$2,Input!$E$2)</f>
        <v>0</v>
      </c>
      <c r="E23" s="290">
        <v>0</v>
      </c>
      <c r="F23" s="290">
        <v>0</v>
      </c>
      <c r="G23" s="9"/>
      <c r="I23" s="138"/>
      <c r="J23" s="139"/>
      <c r="K23" s="139"/>
      <c r="L23" s="145">
        <f>L22-L21</f>
        <v>55.502189999999999</v>
      </c>
      <c r="M23" s="146"/>
      <c r="N23" s="147"/>
      <c r="R23" s="846">
        <f>D21+D18+D17</f>
        <v>-1660.5569380000015</v>
      </c>
      <c r="S23" s="505">
        <f>E21+E18+E17</f>
        <v>27.535300000000007</v>
      </c>
    </row>
    <row r="24" spans="1:21" x14ac:dyDescent="0.25">
      <c r="A24" s="33"/>
      <c r="B24" s="6" t="s">
        <v>588</v>
      </c>
      <c r="C24" s="10">
        <f>BS!C16</f>
        <v>16</v>
      </c>
      <c r="D24" s="289">
        <f>ROUND(SUMIF('TB BVS 31.03.26'!$E:$E,B24,'TB BVS 31.03.26'!$I:$I)/Input!$C$2,Input!$E$2)</f>
        <v>-1588</v>
      </c>
      <c r="E24" s="290">
        <f>-142.606394191297/100</f>
        <v>-1.4260639419129699</v>
      </c>
      <c r="F24" s="290">
        <f>ROUND(SUMIF('TB BVS 31.3.22'!$E:$E,B24,'TB BVS 31.3.22'!$L:$L)/Input!$C$2,Input!$E$2)</f>
        <v>-1</v>
      </c>
      <c r="G24" s="29"/>
    </row>
    <row r="25" spans="1:21" x14ac:dyDescent="0.25">
      <c r="A25" s="588"/>
      <c r="B25" s="364" t="s">
        <v>60</v>
      </c>
      <c r="C25" s="233"/>
      <c r="D25" s="291">
        <f>SUM(D23:D24)</f>
        <v>-1588</v>
      </c>
      <c r="E25" s="292">
        <f>SUM(E23:E24)</f>
        <v>-1.4260639419129699</v>
      </c>
      <c r="F25" s="292">
        <f>SUM(F23:F24)</f>
        <v>-1</v>
      </c>
      <c r="R25" s="6">
        <v>184764800.22999942</v>
      </c>
      <c r="S25" s="6">
        <f>R25/1000</f>
        <v>184764.80022999941</v>
      </c>
    </row>
    <row r="26" spans="1:21" x14ac:dyDescent="0.25">
      <c r="A26" s="588" t="s">
        <v>55</v>
      </c>
      <c r="B26" s="232" t="s">
        <v>1681</v>
      </c>
      <c r="C26" s="233"/>
      <c r="D26" s="291">
        <f>D21-D25</f>
        <v>-5952.2399608000014</v>
      </c>
      <c r="E26" s="292">
        <f>E21-E25</f>
        <v>-2029.0351560580816</v>
      </c>
      <c r="F26" s="292" t="e">
        <f>F21-F25</f>
        <v>#REF!</v>
      </c>
      <c r="H26" s="504"/>
      <c r="S26" s="505">
        <f>S25+D26</f>
        <v>178812.5602691994</v>
      </c>
    </row>
    <row r="27" spans="1:21" x14ac:dyDescent="0.25">
      <c r="A27" s="33"/>
      <c r="B27" s="3"/>
      <c r="E27" s="293"/>
      <c r="F27" s="293"/>
    </row>
    <row r="28" spans="1:21" x14ac:dyDescent="0.25">
      <c r="A28" s="33" t="s">
        <v>57</v>
      </c>
      <c r="B28" s="3" t="s">
        <v>64</v>
      </c>
      <c r="D28" s="1021"/>
      <c r="E28" s="591"/>
      <c r="F28" s="290"/>
    </row>
    <row r="29" spans="1:21" x14ac:dyDescent="0.25">
      <c r="A29" s="33"/>
      <c r="B29" s="3" t="s">
        <v>1374</v>
      </c>
      <c r="D29" s="1021"/>
      <c r="E29" s="591"/>
      <c r="F29" s="290"/>
    </row>
    <row r="30" spans="1:21" x14ac:dyDescent="0.25">
      <c r="A30" s="33"/>
      <c r="B30" s="1092" t="s">
        <v>1371</v>
      </c>
      <c r="C30" s="10">
        <f>C24</f>
        <v>16</v>
      </c>
      <c r="D30" s="289">
        <f>-ROUND(SUMIF('TB BVS 31.03.26'!$E:$E,B30,'TB BVS 31.03.26'!$I:$I)/Input!$C$2,Input!$E$2)</f>
        <v>9</v>
      </c>
      <c r="E30" s="591">
        <f>ROUND(SUMIF('TB BVS 31.3.25'!$E:$E,B30,'TB BVS 31.3.25'!$I:$I)/Input!$C$2,Input!$E$2)</f>
        <v>2</v>
      </c>
      <c r="F30" s="290"/>
    </row>
    <row r="31" spans="1:21" x14ac:dyDescent="0.25">
      <c r="A31" s="33"/>
      <c r="B31" s="6" t="s">
        <v>1372</v>
      </c>
      <c r="C31" s="10">
        <f>C30</f>
        <v>16</v>
      </c>
      <c r="D31" s="289">
        <f>ROUND(SUMIF('TB BVS 31.03.26'!$E:$E,B31,'TB BVS 31.03.26'!$I:$I)/Input!$C$2,Input!$E$2)</f>
        <v>-2</v>
      </c>
      <c r="E31" s="591">
        <v>0</v>
      </c>
      <c r="F31" s="290"/>
    </row>
    <row r="32" spans="1:21" hidden="1" x14ac:dyDescent="0.25">
      <c r="A32" s="33"/>
      <c r="D32" s="1021"/>
      <c r="E32" s="591"/>
      <c r="F32" s="290"/>
    </row>
    <row r="33" spans="1:8" x14ac:dyDescent="0.25">
      <c r="A33" s="588"/>
      <c r="B33" s="232" t="s">
        <v>65</v>
      </c>
      <c r="C33" s="233"/>
      <c r="D33" s="291">
        <f>SUM(D30:D32)</f>
        <v>7</v>
      </c>
      <c r="E33" s="292">
        <f>SUM(E30:E32)</f>
        <v>2</v>
      </c>
      <c r="F33" s="292">
        <f>F28</f>
        <v>0</v>
      </c>
      <c r="G33" s="24"/>
      <c r="H33" s="30"/>
    </row>
    <row r="34" spans="1:8" x14ac:dyDescent="0.25">
      <c r="A34" s="588"/>
      <c r="B34" s="232" t="s">
        <v>1637</v>
      </c>
      <c r="C34" s="233"/>
      <c r="D34" s="291">
        <f>D26+D33</f>
        <v>-5945.2399608000014</v>
      </c>
      <c r="E34" s="292">
        <f>E26+E33</f>
        <v>-2027.0351560580816</v>
      </c>
      <c r="F34" s="292" t="e">
        <f>F26+F33</f>
        <v>#REF!</v>
      </c>
      <c r="H34" s="24"/>
    </row>
    <row r="35" spans="1:8" x14ac:dyDescent="0.25">
      <c r="A35" s="33"/>
      <c r="B35" s="3"/>
      <c r="E35" s="293"/>
      <c r="F35" s="293"/>
      <c r="H35" s="24"/>
    </row>
    <row r="36" spans="1:8" x14ac:dyDescent="0.25">
      <c r="A36" s="33" t="s">
        <v>61</v>
      </c>
      <c r="B36" s="3" t="s">
        <v>66</v>
      </c>
      <c r="E36" s="591"/>
      <c r="F36" s="293"/>
    </row>
    <row r="37" spans="1:8" x14ac:dyDescent="0.25">
      <c r="A37" s="33"/>
      <c r="B37" s="1574" t="s">
        <v>482</v>
      </c>
      <c r="C37" s="10">
        <v>27</v>
      </c>
      <c r="D37" s="300">
        <f>'PL Notes 19-27'!C120</f>
        <v>-2082</v>
      </c>
      <c r="E37" s="592">
        <f>'PL Notes 19-27'!D120</f>
        <v>-961</v>
      </c>
      <c r="F37" s="293" t="e">
        <f>'PL Notes 19-27'!E120</f>
        <v>#REF!</v>
      </c>
    </row>
    <row r="38" spans="1:8" x14ac:dyDescent="0.25">
      <c r="A38" s="365" t="s">
        <v>932</v>
      </c>
      <c r="B38" s="366"/>
      <c r="C38" s="233" t="str">
        <f>BS!C62</f>
        <v>1 &amp; 2</v>
      </c>
      <c r="D38" s="233"/>
      <c r="E38" s="367"/>
      <c r="F38" s="367"/>
    </row>
    <row r="39" spans="1:8" x14ac:dyDescent="0.25">
      <c r="A39" s="577" t="s">
        <v>108</v>
      </c>
      <c r="B39" s="13"/>
      <c r="C39" s="13"/>
      <c r="D39" s="13"/>
      <c r="E39" s="564"/>
      <c r="F39" s="52"/>
    </row>
    <row r="40" spans="1:8" x14ac:dyDescent="0.25">
      <c r="A40" s="14" t="s">
        <v>113</v>
      </c>
      <c r="E40" s="192"/>
      <c r="F40" s="34"/>
    </row>
    <row r="41" spans="1:8" x14ac:dyDescent="0.25">
      <c r="A41" s="33"/>
      <c r="E41" s="192"/>
      <c r="F41" s="34"/>
    </row>
    <row r="42" spans="1:8" x14ac:dyDescent="0.25">
      <c r="A42" s="35" t="str">
        <f>BS!$A$66</f>
        <v>For B S R and Co</v>
      </c>
      <c r="C42" s="469"/>
      <c r="D42" s="469" t="str">
        <f>BS!D66</f>
        <v xml:space="preserve">For and on behalf of Board of </v>
      </c>
      <c r="E42" s="192"/>
      <c r="F42" s="34"/>
    </row>
    <row r="43" spans="1:8" x14ac:dyDescent="0.25">
      <c r="A43" s="35" t="str">
        <f>BS!$A$67</f>
        <v>Chartered Accountants</v>
      </c>
      <c r="C43" s="53"/>
      <c r="D43" s="53" t="str">
        <f>BS!D67</f>
        <v>BVC Specialities Private Limited</v>
      </c>
      <c r="E43" s="192"/>
      <c r="F43" s="34"/>
    </row>
    <row r="44" spans="1:8" x14ac:dyDescent="0.25">
      <c r="A44" s="351" t="str">
        <f>BS!$A$68</f>
        <v>Firm's Registration No: 128510W</v>
      </c>
      <c r="C44" s="469"/>
      <c r="D44" s="469" t="str">
        <f>BS!D68</f>
        <v>CIN : U24230GJ2021PTC123855</v>
      </c>
      <c r="E44" s="192"/>
      <c r="F44" s="34"/>
    </row>
    <row r="45" spans="1:8" x14ac:dyDescent="0.25">
      <c r="A45" s="61"/>
      <c r="C45" s="53"/>
      <c r="D45" s="53"/>
      <c r="E45" s="192"/>
      <c r="F45" s="34"/>
    </row>
    <row r="46" spans="1:8" x14ac:dyDescent="0.25">
      <c r="A46" s="33"/>
      <c r="E46" s="192"/>
      <c r="F46" s="34"/>
    </row>
    <row r="47" spans="1:8" x14ac:dyDescent="0.25">
      <c r="A47" s="17" t="str">
        <f>BS!$A$71</f>
        <v>Jeyur Shah</v>
      </c>
      <c r="C47" s="53"/>
      <c r="D47" s="1570" t="str">
        <f>BS!D71</f>
        <v>Shishir Srivastava</v>
      </c>
      <c r="E47" s="593" t="str">
        <f>BS!E71</f>
        <v>Shaju Ouseph Chazhoor</v>
      </c>
      <c r="F47" s="60"/>
    </row>
    <row r="48" spans="1:8" x14ac:dyDescent="0.25">
      <c r="A48" s="17" t="str">
        <f>BS!$A$72</f>
        <v>Partner</v>
      </c>
      <c r="C48" s="53"/>
      <c r="D48" s="1570" t="str">
        <f>BS!D72</f>
        <v>Director</v>
      </c>
      <c r="E48" s="593" t="str">
        <f>BS!E72</f>
        <v>Director</v>
      </c>
      <c r="F48" s="60"/>
    </row>
    <row r="49" spans="1:6" x14ac:dyDescent="0.25">
      <c r="A49" s="350" t="str">
        <f>BS!$A$73</f>
        <v>Membership No. 045754</v>
      </c>
      <c r="C49" s="469"/>
      <c r="D49" s="1571" t="str">
        <f>BS!D73</f>
        <v>DIN: 00330342</v>
      </c>
      <c r="E49" s="1566" t="str">
        <f>BS!E73</f>
        <v>DIN: 01482035</v>
      </c>
      <c r="F49" s="36"/>
    </row>
    <row r="50" spans="1:6" x14ac:dyDescent="0.25">
      <c r="A50" s="350"/>
      <c r="C50" s="469"/>
      <c r="D50" s="469"/>
      <c r="E50" s="594"/>
      <c r="F50" s="36"/>
    </row>
    <row r="51" spans="1:6" x14ac:dyDescent="0.25">
      <c r="A51" s="350"/>
      <c r="C51" s="469"/>
      <c r="D51" s="469"/>
      <c r="E51" s="594"/>
      <c r="F51" s="36"/>
    </row>
    <row r="52" spans="1:6" x14ac:dyDescent="0.25">
      <c r="A52" s="350"/>
      <c r="C52" s="469"/>
      <c r="D52" s="469"/>
      <c r="E52" s="594"/>
      <c r="F52" s="36"/>
    </row>
    <row r="53" spans="1:6" x14ac:dyDescent="0.25">
      <c r="A53" s="350"/>
      <c r="C53" s="469"/>
      <c r="D53" s="53" t="str">
        <f>BS!D77</f>
        <v>Ambrish Dixit</v>
      </c>
      <c r="E53" s="36" t="str">
        <f>BS!E77</f>
        <v>Mukesh Lodha</v>
      </c>
      <c r="F53" s="36"/>
    </row>
    <row r="54" spans="1:6" x14ac:dyDescent="0.25">
      <c r="A54" s="350"/>
      <c r="C54" s="469"/>
      <c r="D54" s="469" t="str">
        <f>BS!D78</f>
        <v>CEO</v>
      </c>
      <c r="E54" s="594" t="str">
        <f>BS!E78</f>
        <v>CFO</v>
      </c>
      <c r="F54" s="36"/>
    </row>
    <row r="55" spans="1:6" x14ac:dyDescent="0.25">
      <c r="A55" s="350"/>
      <c r="C55" s="469"/>
      <c r="D55" s="469"/>
      <c r="E55" s="594"/>
      <c r="F55" s="36"/>
    </row>
    <row r="56" spans="1:6" x14ac:dyDescent="0.25">
      <c r="A56" s="350"/>
      <c r="C56" s="469"/>
      <c r="D56" s="469"/>
      <c r="E56" s="594"/>
      <c r="F56" s="36"/>
    </row>
    <row r="57" spans="1:6" x14ac:dyDescent="0.25">
      <c r="A57" s="350"/>
      <c r="C57" s="469"/>
      <c r="D57" s="469"/>
      <c r="E57" s="594"/>
      <c r="F57" s="36"/>
    </row>
    <row r="58" spans="1:6" x14ac:dyDescent="0.25">
      <c r="A58" s="350"/>
      <c r="C58" s="469"/>
      <c r="D58" s="469"/>
      <c r="E58" s="594"/>
      <c r="F58" s="36"/>
    </row>
    <row r="59" spans="1:6" x14ac:dyDescent="0.25">
      <c r="A59" s="35" t="str">
        <f>BS!$A$82</f>
        <v>Place: Ahmedabad</v>
      </c>
      <c r="C59" s="470"/>
      <c r="D59" s="187" t="str">
        <f>BS!D82</f>
        <v>Place: Vadodara</v>
      </c>
      <c r="E59" s="593" t="str">
        <f>BS!E82</f>
        <v>Place: Vadodara</v>
      </c>
      <c r="F59" s="60"/>
    </row>
    <row r="60" spans="1:6" ht="15.75" thickBot="1" x14ac:dyDescent="0.3">
      <c r="A60" s="39" t="str">
        <f>BS!$A$83</f>
        <v>Date: 17 July 2026</v>
      </c>
      <c r="B60" s="54"/>
      <c r="C60" s="41"/>
      <c r="D60" s="595" t="str">
        <f>BS!D83</f>
        <v>Date: 17 July 2026</v>
      </c>
      <c r="E60" s="596" t="str">
        <f>BS!E83</f>
        <v>Date: 17 July 2026</v>
      </c>
      <c r="F60" s="492"/>
    </row>
  </sheetData>
  <mergeCells count="2">
    <mergeCell ref="A4:B5"/>
    <mergeCell ref="C4:C5"/>
  </mergeCells>
  <pageMargins left="0.70866141732283472" right="0.70866141732283472" top="0.74803149606299213" bottom="0.74803149606299213" header="0.31496062992125984" footer="0.31496062992125984"/>
  <pageSetup paperSize="9" scale="64" orientation="portrait" r:id="rId1"/>
  <headerFooter>
    <oddHeader>&amp;C&amp;G</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3758-2AB0-406E-AAA2-4EECA0FD36AF}">
  <dimension ref="B1:E10"/>
  <sheetViews>
    <sheetView workbookViewId="0">
      <selection activeCell="C11" sqref="C11"/>
    </sheetView>
  </sheetViews>
  <sheetFormatPr defaultRowHeight="15" x14ac:dyDescent="0.25"/>
  <cols>
    <col min="2" max="2" width="22.85546875" bestFit="1" customWidth="1"/>
  </cols>
  <sheetData>
    <row r="1" spans="2:5" x14ac:dyDescent="0.25">
      <c r="B1" t="s">
        <v>1143</v>
      </c>
    </row>
    <row r="2" spans="2:5" x14ac:dyDescent="0.25">
      <c r="B2" s="75" t="s">
        <v>536</v>
      </c>
      <c r="C2">
        <f>'PL Notes 19-27'!C83</f>
        <v>0</v>
      </c>
    </row>
    <row r="3" spans="2:5" x14ac:dyDescent="0.25">
      <c r="B3" s="75" t="s">
        <v>917</v>
      </c>
      <c r="C3">
        <f>'PL Notes 19-27'!C84</f>
        <v>232</v>
      </c>
    </row>
    <row r="4" spans="2:5" x14ac:dyDescent="0.25">
      <c r="B4" s="75" t="s">
        <v>939</v>
      </c>
      <c r="C4" s="5">
        <f>'PL Notes 19-27'!C85</f>
        <v>0</v>
      </c>
    </row>
    <row r="5" spans="2:5" x14ac:dyDescent="0.25">
      <c r="C5">
        <f>SUM(C2:C4)</f>
        <v>232</v>
      </c>
    </row>
    <row r="8" spans="2:5" x14ac:dyDescent="0.25">
      <c r="B8" t="s">
        <v>1144</v>
      </c>
    </row>
    <row r="9" spans="2:5" x14ac:dyDescent="0.25">
      <c r="B9" s="75" t="s">
        <v>536</v>
      </c>
      <c r="C9" s="75">
        <f>C2</f>
        <v>0</v>
      </c>
      <c r="E9" t="s">
        <v>1146</v>
      </c>
    </row>
    <row r="10" spans="2:5" x14ac:dyDescent="0.25">
      <c r="B10" s="75" t="s">
        <v>939</v>
      </c>
      <c r="C10" s="729">
        <f>C4</f>
        <v>0</v>
      </c>
      <c r="E10" t="s">
        <v>1145</v>
      </c>
    </row>
  </sheetData>
  <pageMargins left="0.7" right="0.7" top="0.75" bottom="0.75" header="0.3" footer="0.3"/>
  <headerFooter>
    <oddHeader>&amp;C&amp;G</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E242-9AF9-4C96-8986-0BBB35458EED}">
  <sheetPr codeName="Sheet21">
    <pageSetUpPr fitToPage="1"/>
  </sheetPr>
  <dimension ref="B2:HO160"/>
  <sheetViews>
    <sheetView showGridLines="0" workbookViewId="0">
      <selection activeCell="F3" sqref="F3"/>
    </sheetView>
  </sheetViews>
  <sheetFormatPr defaultColWidth="9.140625" defaultRowHeight="15" x14ac:dyDescent="0.3"/>
  <cols>
    <col min="1" max="1" width="4.42578125" style="421" bestFit="1" customWidth="1"/>
    <col min="2" max="2" width="11.5703125" style="422" customWidth="1"/>
    <col min="3" max="3" width="71.5703125" style="422" bestFit="1" customWidth="1"/>
    <col min="4" max="4" width="16.140625" style="422" customWidth="1"/>
    <col min="5" max="5" width="17.5703125" style="422" bestFit="1" customWidth="1"/>
    <col min="6" max="6" width="17.42578125" style="422" bestFit="1" customWidth="1"/>
    <col min="7" max="7" width="14.42578125" style="421" bestFit="1" customWidth="1"/>
    <col min="8" max="8" width="12.5703125" style="421" bestFit="1" customWidth="1"/>
    <col min="9" max="9" width="12" style="421" bestFit="1" customWidth="1"/>
    <col min="10" max="10" width="9.140625" style="421"/>
    <col min="11" max="11" width="9.7109375" style="421" bestFit="1" customWidth="1"/>
    <col min="12" max="12" width="10.85546875" style="421" bestFit="1" customWidth="1"/>
    <col min="13" max="16384" width="9.140625" style="421"/>
  </cols>
  <sheetData>
    <row r="2" spans="2:223" s="434" customFormat="1" x14ac:dyDescent="0.3">
      <c r="B2" s="458" t="s">
        <v>669</v>
      </c>
      <c r="C2" s="457" t="s">
        <v>286</v>
      </c>
      <c r="D2" s="457"/>
      <c r="E2" s="456" t="s">
        <v>668</v>
      </c>
      <c r="F2" s="455" t="s">
        <v>667</v>
      </c>
    </row>
    <row r="3" spans="2:223" s="434" customFormat="1" ht="30" x14ac:dyDescent="0.3">
      <c r="B3" s="536" t="s">
        <v>666</v>
      </c>
      <c r="C3" s="454" t="s">
        <v>911</v>
      </c>
      <c r="D3" s="452"/>
      <c r="E3" s="451" t="s">
        <v>665</v>
      </c>
      <c r="F3" s="450" t="s">
        <v>664</v>
      </c>
    </row>
    <row r="4" spans="2:223" s="434" customFormat="1" x14ac:dyDescent="0.3">
      <c r="B4" s="453"/>
      <c r="C4" s="452"/>
      <c r="D4" s="452"/>
      <c r="E4" s="451" t="s">
        <v>663</v>
      </c>
      <c r="F4" s="450" t="s">
        <v>662</v>
      </c>
    </row>
    <row r="5" spans="2:223" x14ac:dyDescent="0.3">
      <c r="B5" s="449"/>
      <c r="C5" s="448"/>
      <c r="D5" s="448"/>
      <c r="E5" s="447"/>
      <c r="F5" s="446"/>
    </row>
    <row r="6" spans="2:223" x14ac:dyDescent="0.3">
      <c r="B6" s="445"/>
      <c r="C6" s="444"/>
      <c r="D6" s="444"/>
      <c r="E6" s="444"/>
      <c r="F6" s="443"/>
    </row>
    <row r="7" spans="2:223" x14ac:dyDescent="0.3">
      <c r="B7" s="1807" t="s">
        <v>661</v>
      </c>
      <c r="C7" s="1807"/>
      <c r="D7" s="1807"/>
      <c r="E7" s="1807"/>
      <c r="F7" s="1807"/>
    </row>
    <row r="8" spans="2:223" ht="15.75" thickBot="1" x14ac:dyDescent="0.35">
      <c r="B8" s="1808" t="s">
        <v>645</v>
      </c>
      <c r="C8" s="1808"/>
      <c r="D8" s="1808"/>
      <c r="E8" s="433" t="s">
        <v>660</v>
      </c>
      <c r="F8" s="433" t="s">
        <v>660</v>
      </c>
    </row>
    <row r="9" spans="2:223" ht="15.75" thickTop="1" x14ac:dyDescent="0.3">
      <c r="B9" s="425"/>
      <c r="C9" s="425"/>
      <c r="D9" s="425"/>
      <c r="E9" s="425"/>
      <c r="F9" s="425"/>
    </row>
    <row r="10" spans="2:223" x14ac:dyDescent="0.3">
      <c r="B10" s="437" t="s">
        <v>42</v>
      </c>
      <c r="C10" s="435" t="s">
        <v>659</v>
      </c>
      <c r="D10" s="425"/>
      <c r="E10" s="425"/>
      <c r="F10" s="425"/>
    </row>
    <row r="11" spans="2:223" x14ac:dyDescent="0.3">
      <c r="B11" s="427"/>
      <c r="C11" s="425" t="s">
        <v>658</v>
      </c>
      <c r="D11" s="425"/>
      <c r="E11" s="425"/>
      <c r="F11" s="425">
        <f>PL!D21*1000</f>
        <v>-7540239.9608000014</v>
      </c>
      <c r="K11" s="459"/>
      <c r="L11" s="421" t="e">
        <f>PL!F21*1000</f>
        <v>#REF!</v>
      </c>
    </row>
    <row r="12" spans="2:223" x14ac:dyDescent="0.3">
      <c r="B12" s="427"/>
      <c r="C12" s="425"/>
      <c r="D12" s="425"/>
      <c r="E12" s="425"/>
      <c r="F12" s="425"/>
      <c r="K12" s="459"/>
    </row>
    <row r="13" spans="2:223" x14ac:dyDescent="0.3">
      <c r="B13" s="437" t="s">
        <v>126</v>
      </c>
      <c r="C13" s="439" t="s">
        <v>657</v>
      </c>
      <c r="D13" s="425"/>
      <c r="E13" s="425"/>
      <c r="F13" s="425"/>
      <c r="K13" s="459"/>
    </row>
    <row r="14" spans="2:223" x14ac:dyDescent="0.3">
      <c r="B14" s="437"/>
      <c r="C14" s="436" t="s">
        <v>656</v>
      </c>
      <c r="D14" s="425"/>
      <c r="E14" s="425">
        <v>0</v>
      </c>
      <c r="F14" s="425"/>
      <c r="K14" s="459"/>
    </row>
    <row r="15" spans="2:223" s="422" customFormat="1" x14ac:dyDescent="0.3">
      <c r="B15" s="437"/>
      <c r="C15" s="436" t="s">
        <v>655</v>
      </c>
      <c r="D15" s="425"/>
      <c r="E15" s="425">
        <v>0</v>
      </c>
      <c r="F15" s="425"/>
      <c r="G15" s="421"/>
      <c r="H15" s="421"/>
      <c r="I15" s="421"/>
      <c r="J15" s="421"/>
      <c r="K15" s="459">
        <f>'TB BVS 31.3.22'!L23</f>
        <v>164</v>
      </c>
      <c r="L15" s="421"/>
      <c r="M15" s="421"/>
      <c r="N15" s="421"/>
      <c r="O15" s="421"/>
      <c r="P15" s="421"/>
      <c r="Q15" s="421"/>
      <c r="R15" s="421"/>
      <c r="S15" s="421"/>
      <c r="T15" s="421"/>
      <c r="U15" s="421"/>
      <c r="V15" s="421"/>
      <c r="W15" s="421"/>
      <c r="X15" s="421"/>
      <c r="Y15" s="421"/>
      <c r="Z15" s="421"/>
      <c r="AA15" s="421"/>
      <c r="AB15" s="421"/>
      <c r="AC15" s="421"/>
      <c r="AD15" s="421"/>
      <c r="AE15" s="421"/>
      <c r="AF15" s="421"/>
      <c r="AG15" s="421"/>
      <c r="AH15" s="421"/>
      <c r="AI15" s="421"/>
      <c r="AJ15" s="421"/>
      <c r="AK15" s="421"/>
      <c r="AL15" s="421"/>
      <c r="AM15" s="421"/>
      <c r="AN15" s="421"/>
      <c r="AO15" s="421"/>
      <c r="AP15" s="421"/>
      <c r="AQ15" s="421"/>
      <c r="AR15" s="421"/>
      <c r="AS15" s="421"/>
      <c r="AT15" s="421"/>
      <c r="AU15" s="421"/>
      <c r="AV15" s="421"/>
      <c r="AW15" s="421"/>
      <c r="AX15" s="421"/>
      <c r="AY15" s="421"/>
      <c r="AZ15" s="421"/>
      <c r="BA15" s="421"/>
      <c r="BB15" s="421"/>
      <c r="BC15" s="421"/>
      <c r="BD15" s="421"/>
      <c r="BE15" s="421"/>
      <c r="BF15" s="421"/>
      <c r="BG15" s="421"/>
      <c r="BH15" s="421"/>
      <c r="BI15" s="421"/>
      <c r="BJ15" s="421"/>
      <c r="BK15" s="421"/>
      <c r="BL15" s="421"/>
      <c r="BM15" s="421"/>
      <c r="BN15" s="421"/>
      <c r="BO15" s="421"/>
      <c r="BP15" s="421"/>
      <c r="BQ15" s="421"/>
      <c r="BR15" s="421"/>
      <c r="BS15" s="421"/>
      <c r="BT15" s="421"/>
      <c r="BU15" s="421"/>
      <c r="BV15" s="421"/>
      <c r="BW15" s="421"/>
      <c r="BX15" s="421"/>
      <c r="BY15" s="421"/>
      <c r="BZ15" s="421"/>
      <c r="CA15" s="421"/>
      <c r="CB15" s="421"/>
      <c r="CC15" s="421"/>
      <c r="CD15" s="421"/>
      <c r="CE15" s="421"/>
      <c r="CF15" s="421"/>
      <c r="CG15" s="421"/>
      <c r="CH15" s="421"/>
      <c r="CI15" s="421"/>
      <c r="CJ15" s="421"/>
      <c r="CK15" s="421"/>
      <c r="CL15" s="421"/>
      <c r="CM15" s="421"/>
      <c r="CN15" s="421"/>
      <c r="CO15" s="421"/>
      <c r="CP15" s="421"/>
      <c r="CQ15" s="421"/>
      <c r="CR15" s="421"/>
      <c r="CS15" s="421"/>
      <c r="CT15" s="421"/>
      <c r="CU15" s="421"/>
      <c r="CV15" s="421"/>
      <c r="CW15" s="421"/>
      <c r="CX15" s="421"/>
      <c r="CY15" s="421"/>
      <c r="CZ15" s="421"/>
      <c r="DA15" s="421"/>
      <c r="DB15" s="421"/>
      <c r="DC15" s="421"/>
      <c r="DD15" s="421"/>
      <c r="DE15" s="421"/>
      <c r="DF15" s="421"/>
      <c r="DG15" s="421"/>
      <c r="DH15" s="421"/>
      <c r="DI15" s="421"/>
      <c r="DJ15" s="421"/>
      <c r="DK15" s="421"/>
      <c r="DL15" s="421"/>
      <c r="DM15" s="421"/>
      <c r="DN15" s="421"/>
      <c r="DO15" s="421"/>
      <c r="DP15" s="421"/>
      <c r="DQ15" s="421"/>
      <c r="DR15" s="421"/>
      <c r="DS15" s="421"/>
      <c r="DT15" s="421"/>
      <c r="DU15" s="421"/>
      <c r="DV15" s="421"/>
      <c r="DW15" s="421"/>
      <c r="DX15" s="421"/>
      <c r="DY15" s="421"/>
      <c r="DZ15" s="421"/>
      <c r="EA15" s="421"/>
      <c r="EB15" s="421"/>
      <c r="EC15" s="421"/>
      <c r="ED15" s="421"/>
      <c r="EE15" s="421"/>
      <c r="EF15" s="421"/>
      <c r="EG15" s="421"/>
      <c r="EH15" s="421"/>
      <c r="EI15" s="421"/>
      <c r="EJ15" s="421"/>
      <c r="EK15" s="421"/>
      <c r="EL15" s="421"/>
      <c r="EM15" s="421"/>
      <c r="EN15" s="421"/>
      <c r="EO15" s="421"/>
      <c r="EP15" s="421"/>
      <c r="EQ15" s="421"/>
      <c r="ER15" s="421"/>
      <c r="ES15" s="421"/>
      <c r="ET15" s="421"/>
      <c r="EU15" s="421"/>
      <c r="EV15" s="421"/>
      <c r="EW15" s="421"/>
      <c r="EX15" s="421"/>
      <c r="EY15" s="421"/>
      <c r="EZ15" s="421"/>
      <c r="FA15" s="421"/>
      <c r="FB15" s="421"/>
      <c r="FC15" s="421"/>
      <c r="FD15" s="421"/>
      <c r="FE15" s="421"/>
      <c r="FF15" s="421"/>
      <c r="FG15" s="421"/>
      <c r="FH15" s="421"/>
      <c r="FI15" s="421"/>
      <c r="FJ15" s="421"/>
      <c r="FK15" s="421"/>
      <c r="FL15" s="421"/>
      <c r="FM15" s="421"/>
      <c r="FN15" s="421"/>
      <c r="FO15" s="421"/>
      <c r="FP15" s="421"/>
      <c r="FQ15" s="421"/>
      <c r="FR15" s="421"/>
      <c r="FS15" s="421"/>
      <c r="FT15" s="421"/>
      <c r="FU15" s="421"/>
      <c r="FV15" s="421"/>
      <c r="FW15" s="421"/>
      <c r="FX15" s="421"/>
      <c r="FY15" s="421"/>
      <c r="FZ15" s="421"/>
      <c r="GA15" s="421"/>
      <c r="GB15" s="421"/>
      <c r="GC15" s="421"/>
      <c r="GD15" s="421"/>
      <c r="GE15" s="421"/>
      <c r="GF15" s="421"/>
      <c r="GG15" s="421"/>
      <c r="GH15" s="421"/>
      <c r="GI15" s="421"/>
      <c r="GJ15" s="421"/>
      <c r="GK15" s="421"/>
      <c r="GL15" s="421"/>
      <c r="GM15" s="421"/>
      <c r="GN15" s="421"/>
      <c r="GO15" s="421"/>
      <c r="GP15" s="421"/>
      <c r="GQ15" s="421"/>
      <c r="GR15" s="421"/>
      <c r="GS15" s="421"/>
      <c r="GT15" s="421"/>
      <c r="GU15" s="421"/>
      <c r="GV15" s="421"/>
      <c r="GW15" s="421"/>
      <c r="GX15" s="421"/>
      <c r="GY15" s="421"/>
      <c r="GZ15" s="421"/>
      <c r="HA15" s="421"/>
      <c r="HB15" s="421"/>
      <c r="HC15" s="421"/>
      <c r="HD15" s="421"/>
      <c r="HE15" s="421"/>
      <c r="HF15" s="421"/>
      <c r="HG15" s="421"/>
      <c r="HH15" s="421"/>
      <c r="HI15" s="421"/>
      <c r="HJ15" s="421"/>
      <c r="HK15" s="421"/>
      <c r="HL15" s="421"/>
      <c r="HM15" s="421"/>
      <c r="HN15" s="421"/>
      <c r="HO15" s="421"/>
    </row>
    <row r="16" spans="2:223" s="422" customFormat="1" x14ac:dyDescent="0.3">
      <c r="B16" s="437"/>
      <c r="C16" s="436" t="s">
        <v>894</v>
      </c>
      <c r="D16" s="425"/>
      <c r="E16" s="425">
        <f>'TB BVS 31.3.25'!G114</f>
        <v>0</v>
      </c>
      <c r="F16" s="425"/>
      <c r="G16" s="980">
        <f>(+E16+E17+E26+E27)*17.16%</f>
        <v>-8487.3359999999993</v>
      </c>
      <c r="H16" s="980">
        <f>E16+E17+E18</f>
        <v>3180683.0227999999</v>
      </c>
      <c r="I16" s="421"/>
      <c r="J16" s="421"/>
      <c r="K16" s="459"/>
      <c r="L16" s="421"/>
      <c r="M16" s="421"/>
      <c r="N16" s="421"/>
      <c r="O16" s="421"/>
      <c r="P16" s="421"/>
      <c r="Q16" s="421"/>
      <c r="R16" s="421"/>
      <c r="S16" s="421"/>
      <c r="T16" s="421"/>
      <c r="U16" s="421"/>
      <c r="V16" s="421"/>
      <c r="W16" s="421"/>
      <c r="X16" s="421"/>
      <c r="Y16" s="421"/>
      <c r="Z16" s="421"/>
      <c r="AA16" s="421"/>
      <c r="AB16" s="421"/>
      <c r="AC16" s="421"/>
      <c r="AD16" s="421"/>
      <c r="AE16" s="421"/>
      <c r="AF16" s="421"/>
      <c r="AG16" s="421"/>
      <c r="AH16" s="421"/>
      <c r="AI16" s="421"/>
      <c r="AJ16" s="421"/>
      <c r="AK16" s="421"/>
      <c r="AL16" s="421"/>
      <c r="AM16" s="421"/>
      <c r="AN16" s="421"/>
      <c r="AO16" s="421"/>
      <c r="AP16" s="421"/>
      <c r="AQ16" s="421"/>
      <c r="AR16" s="421"/>
      <c r="AS16" s="421"/>
      <c r="AT16" s="421"/>
      <c r="AU16" s="421"/>
      <c r="AV16" s="421"/>
      <c r="AW16" s="421"/>
      <c r="AX16" s="421"/>
      <c r="AY16" s="421"/>
      <c r="AZ16" s="421"/>
      <c r="BA16" s="421"/>
      <c r="BB16" s="421"/>
      <c r="BC16" s="421"/>
      <c r="BD16" s="421"/>
      <c r="BE16" s="421"/>
      <c r="BF16" s="421"/>
      <c r="BG16" s="421"/>
      <c r="BH16" s="421"/>
      <c r="BI16" s="421"/>
      <c r="BJ16" s="421"/>
      <c r="BK16" s="421"/>
      <c r="BL16" s="421"/>
      <c r="BM16" s="421"/>
      <c r="BN16" s="421"/>
      <c r="BO16" s="421"/>
      <c r="BP16" s="421"/>
      <c r="BQ16" s="421"/>
      <c r="BR16" s="421"/>
      <c r="BS16" s="421"/>
      <c r="BT16" s="421"/>
      <c r="BU16" s="421"/>
      <c r="BV16" s="421"/>
      <c r="BW16" s="421"/>
      <c r="BX16" s="421"/>
      <c r="BY16" s="421"/>
      <c r="BZ16" s="421"/>
      <c r="CA16" s="421"/>
      <c r="CB16" s="421"/>
      <c r="CC16" s="421"/>
      <c r="CD16" s="421"/>
      <c r="CE16" s="421"/>
      <c r="CF16" s="421"/>
      <c r="CG16" s="421"/>
      <c r="CH16" s="421"/>
      <c r="CI16" s="421"/>
      <c r="CJ16" s="421"/>
      <c r="CK16" s="421"/>
      <c r="CL16" s="421"/>
      <c r="CM16" s="421"/>
      <c r="CN16" s="421"/>
      <c r="CO16" s="421"/>
      <c r="CP16" s="421"/>
      <c r="CQ16" s="421"/>
      <c r="CR16" s="421"/>
      <c r="CS16" s="421"/>
      <c r="CT16" s="421"/>
      <c r="CU16" s="421"/>
      <c r="CV16" s="421"/>
      <c r="CW16" s="421"/>
      <c r="CX16" s="421"/>
      <c r="CY16" s="421"/>
      <c r="CZ16" s="421"/>
      <c r="DA16" s="421"/>
      <c r="DB16" s="421"/>
      <c r="DC16" s="421"/>
      <c r="DD16" s="421"/>
      <c r="DE16" s="421"/>
      <c r="DF16" s="421"/>
      <c r="DG16" s="421"/>
      <c r="DH16" s="421"/>
      <c r="DI16" s="421"/>
      <c r="DJ16" s="421"/>
      <c r="DK16" s="421"/>
      <c r="DL16" s="421"/>
      <c r="DM16" s="421"/>
      <c r="DN16" s="421"/>
      <c r="DO16" s="421"/>
      <c r="DP16" s="421"/>
      <c r="DQ16" s="421"/>
      <c r="DR16" s="421"/>
      <c r="DS16" s="421"/>
      <c r="DT16" s="421"/>
      <c r="DU16" s="421"/>
      <c r="DV16" s="421"/>
      <c r="DW16" s="421"/>
      <c r="DX16" s="421"/>
      <c r="DY16" s="421"/>
      <c r="DZ16" s="421"/>
      <c r="EA16" s="421"/>
      <c r="EB16" s="421"/>
      <c r="EC16" s="421"/>
      <c r="ED16" s="421"/>
      <c r="EE16" s="421"/>
      <c r="EF16" s="421"/>
      <c r="EG16" s="421"/>
      <c r="EH16" s="421"/>
      <c r="EI16" s="421"/>
      <c r="EJ16" s="421"/>
      <c r="EK16" s="421"/>
      <c r="EL16" s="421"/>
      <c r="EM16" s="421"/>
      <c r="EN16" s="421"/>
      <c r="EO16" s="421"/>
      <c r="EP16" s="421"/>
      <c r="EQ16" s="421"/>
      <c r="ER16" s="421"/>
      <c r="ES16" s="421"/>
      <c r="ET16" s="421"/>
      <c r="EU16" s="421"/>
      <c r="EV16" s="421"/>
      <c r="EW16" s="421"/>
      <c r="EX16" s="421"/>
      <c r="EY16" s="421"/>
      <c r="EZ16" s="421"/>
      <c r="FA16" s="421"/>
      <c r="FB16" s="421"/>
      <c r="FC16" s="421"/>
      <c r="FD16" s="421"/>
      <c r="FE16" s="421"/>
      <c r="FF16" s="421"/>
      <c r="FG16" s="421"/>
      <c r="FH16" s="421"/>
      <c r="FI16" s="421"/>
      <c r="FJ16" s="421"/>
      <c r="FK16" s="421"/>
      <c r="FL16" s="421"/>
      <c r="FM16" s="421"/>
      <c r="FN16" s="421"/>
      <c r="FO16" s="421"/>
      <c r="FP16" s="421"/>
      <c r="FQ16" s="421"/>
      <c r="FR16" s="421"/>
      <c r="FS16" s="421"/>
      <c r="FT16" s="421"/>
      <c r="FU16" s="421"/>
      <c r="FV16" s="421"/>
      <c r="FW16" s="421"/>
      <c r="FX16" s="421"/>
      <c r="FY16" s="421"/>
      <c r="FZ16" s="421"/>
      <c r="GA16" s="421"/>
      <c r="GB16" s="421"/>
      <c r="GC16" s="421"/>
      <c r="GD16" s="421"/>
      <c r="GE16" s="421"/>
      <c r="GF16" s="421"/>
      <c r="GG16" s="421"/>
      <c r="GH16" s="421"/>
      <c r="GI16" s="421"/>
      <c r="GJ16" s="421"/>
      <c r="GK16" s="421"/>
      <c r="GL16" s="421"/>
      <c r="GM16" s="421"/>
      <c r="GN16" s="421"/>
      <c r="GO16" s="421"/>
      <c r="GP16" s="421"/>
      <c r="GQ16" s="421"/>
      <c r="GR16" s="421"/>
      <c r="GS16" s="421"/>
      <c r="GT16" s="421"/>
      <c r="GU16" s="421"/>
      <c r="GV16" s="421"/>
      <c r="GW16" s="421"/>
      <c r="GX16" s="421"/>
      <c r="GY16" s="421"/>
      <c r="GZ16" s="421"/>
      <c r="HA16" s="421"/>
      <c r="HB16" s="421"/>
      <c r="HC16" s="421"/>
      <c r="HD16" s="421"/>
      <c r="HE16" s="421"/>
      <c r="HF16" s="421"/>
      <c r="HG16" s="421"/>
      <c r="HH16" s="421"/>
      <c r="HI16" s="421"/>
      <c r="HJ16" s="421"/>
      <c r="HK16" s="421"/>
      <c r="HL16" s="421"/>
      <c r="HM16" s="421"/>
      <c r="HN16" s="421"/>
      <c r="HO16" s="421"/>
    </row>
    <row r="17" spans="2:223" s="422" customFormat="1" x14ac:dyDescent="0.3">
      <c r="B17" s="437"/>
      <c r="C17" s="436" t="s">
        <v>654</v>
      </c>
      <c r="D17" s="425"/>
      <c r="E17" s="425">
        <f>'PL Notes 19-27'!$C$83*1000</f>
        <v>0</v>
      </c>
      <c r="F17" s="425"/>
      <c r="G17" s="421"/>
      <c r="H17" s="534">
        <f>H16*17.16%</f>
        <v>545805.20671247994</v>
      </c>
      <c r="I17" s="421"/>
      <c r="J17" s="421"/>
      <c r="K17" s="459">
        <f>'PL Notes 19-27'!$E$83*A1</f>
        <v>0</v>
      </c>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c r="AJ17" s="421"/>
      <c r="AK17" s="421"/>
      <c r="AL17" s="421"/>
      <c r="AM17" s="421"/>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1"/>
      <c r="BK17" s="421"/>
      <c r="BL17" s="421"/>
      <c r="BM17" s="421"/>
      <c r="BN17" s="421"/>
      <c r="BO17" s="421"/>
      <c r="BP17" s="421"/>
      <c r="BQ17" s="421"/>
      <c r="BR17" s="421"/>
      <c r="BS17" s="421"/>
      <c r="BT17" s="421"/>
      <c r="BU17" s="421"/>
      <c r="BV17" s="421"/>
      <c r="BW17" s="421"/>
      <c r="BX17" s="421"/>
      <c r="BY17" s="421"/>
      <c r="BZ17" s="421"/>
      <c r="CA17" s="421"/>
      <c r="CB17" s="421"/>
      <c r="CC17" s="421"/>
      <c r="CD17" s="421"/>
      <c r="CE17" s="421"/>
      <c r="CF17" s="421"/>
      <c r="CG17" s="421"/>
      <c r="CH17" s="421"/>
      <c r="CI17" s="421"/>
      <c r="CJ17" s="421"/>
      <c r="CK17" s="421"/>
      <c r="CL17" s="421"/>
      <c r="CM17" s="421"/>
      <c r="CN17" s="421"/>
      <c r="CO17" s="421"/>
      <c r="CP17" s="421"/>
      <c r="CQ17" s="421"/>
      <c r="CR17" s="421"/>
      <c r="CS17" s="421"/>
      <c r="CT17" s="421"/>
      <c r="CU17" s="421"/>
      <c r="CV17" s="421"/>
      <c r="CW17" s="421"/>
      <c r="CX17" s="421"/>
      <c r="CY17" s="421"/>
      <c r="CZ17" s="421"/>
      <c r="DA17" s="421"/>
      <c r="DB17" s="421"/>
      <c r="DC17" s="421"/>
      <c r="DD17" s="421"/>
      <c r="DE17" s="421"/>
      <c r="DF17" s="421"/>
      <c r="DG17" s="421"/>
      <c r="DH17" s="421"/>
      <c r="DI17" s="421"/>
      <c r="DJ17" s="421"/>
      <c r="DK17" s="421"/>
      <c r="DL17" s="421"/>
      <c r="DM17" s="421"/>
      <c r="DN17" s="421"/>
      <c r="DO17" s="421"/>
      <c r="DP17" s="421"/>
      <c r="DQ17" s="421"/>
      <c r="DR17" s="421"/>
      <c r="DS17" s="421"/>
      <c r="DT17" s="421"/>
      <c r="DU17" s="421"/>
      <c r="DV17" s="421"/>
      <c r="DW17" s="421"/>
      <c r="DX17" s="421"/>
      <c r="DY17" s="421"/>
      <c r="DZ17" s="421"/>
      <c r="EA17" s="421"/>
      <c r="EB17" s="421"/>
      <c r="EC17" s="421"/>
      <c r="ED17" s="421"/>
      <c r="EE17" s="421"/>
      <c r="EF17" s="421"/>
      <c r="EG17" s="421"/>
      <c r="EH17" s="421"/>
      <c r="EI17" s="421"/>
      <c r="EJ17" s="421"/>
      <c r="EK17" s="421"/>
      <c r="EL17" s="421"/>
      <c r="EM17" s="421"/>
      <c r="EN17" s="421"/>
      <c r="EO17" s="421"/>
      <c r="EP17" s="421"/>
      <c r="EQ17" s="421"/>
      <c r="ER17" s="421"/>
      <c r="ES17" s="421"/>
      <c r="ET17" s="421"/>
      <c r="EU17" s="421"/>
      <c r="EV17" s="421"/>
      <c r="EW17" s="421"/>
      <c r="EX17" s="421"/>
      <c r="EY17" s="421"/>
      <c r="EZ17" s="421"/>
      <c r="FA17" s="421"/>
      <c r="FB17" s="421"/>
      <c r="FC17" s="421"/>
      <c r="FD17" s="421"/>
      <c r="FE17" s="421"/>
      <c r="FF17" s="421"/>
      <c r="FG17" s="421"/>
      <c r="FH17" s="421"/>
      <c r="FI17" s="421"/>
      <c r="FJ17" s="421"/>
      <c r="FK17" s="421"/>
      <c r="FL17" s="421"/>
      <c r="FM17" s="421"/>
      <c r="FN17" s="421"/>
      <c r="FO17" s="421"/>
      <c r="FP17" s="421"/>
      <c r="FQ17" s="421"/>
      <c r="FR17" s="421"/>
      <c r="FS17" s="421"/>
      <c r="FT17" s="421"/>
      <c r="FU17" s="421"/>
      <c r="FV17" s="421"/>
      <c r="FW17" s="421"/>
      <c r="FX17" s="421"/>
      <c r="FY17" s="421"/>
      <c r="FZ17" s="421"/>
      <c r="GA17" s="421"/>
      <c r="GB17" s="421"/>
      <c r="GC17" s="421"/>
      <c r="GD17" s="421"/>
      <c r="GE17" s="421"/>
      <c r="GF17" s="421"/>
      <c r="GG17" s="421"/>
      <c r="GH17" s="421"/>
      <c r="GI17" s="421"/>
      <c r="GJ17" s="421"/>
      <c r="GK17" s="421"/>
      <c r="GL17" s="421"/>
      <c r="GM17" s="421"/>
      <c r="GN17" s="421"/>
      <c r="GO17" s="421"/>
      <c r="GP17" s="421"/>
      <c r="GQ17" s="421"/>
      <c r="GR17" s="421"/>
      <c r="GS17" s="421"/>
      <c r="GT17" s="421"/>
      <c r="GU17" s="421"/>
      <c r="GV17" s="421"/>
      <c r="GW17" s="421"/>
      <c r="GX17" s="421"/>
      <c r="GY17" s="421"/>
      <c r="GZ17" s="421"/>
      <c r="HA17" s="421"/>
      <c r="HB17" s="421"/>
      <c r="HC17" s="421"/>
      <c r="HD17" s="421"/>
      <c r="HE17" s="421"/>
      <c r="HF17" s="421"/>
      <c r="HG17" s="421"/>
      <c r="HH17" s="421"/>
      <c r="HI17" s="421"/>
      <c r="HJ17" s="421"/>
      <c r="HK17" s="421"/>
      <c r="HL17" s="421"/>
      <c r="HM17" s="421"/>
      <c r="HN17" s="421"/>
      <c r="HO17" s="421"/>
    </row>
    <row r="18" spans="2:223" s="422" customFormat="1" x14ac:dyDescent="0.3">
      <c r="B18" s="437"/>
      <c r="C18" s="436" t="s">
        <v>653</v>
      </c>
      <c r="D18" s="425"/>
      <c r="E18" s="425">
        <f>PL!D18*1000</f>
        <v>3180683.0227999999</v>
      </c>
      <c r="F18" s="425"/>
      <c r="G18" s="421" t="s">
        <v>652</v>
      </c>
      <c r="H18" s="980"/>
      <c r="I18" s="421"/>
      <c r="J18" s="421"/>
      <c r="K18" s="459"/>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c r="AJ18" s="421"/>
      <c r="AK18" s="421"/>
      <c r="AL18" s="421"/>
      <c r="AM18" s="421"/>
      <c r="AN18" s="421"/>
      <c r="AO18" s="421"/>
      <c r="AP18" s="421"/>
      <c r="AQ18" s="421"/>
      <c r="AR18" s="421"/>
      <c r="AS18" s="421"/>
      <c r="AT18" s="421"/>
      <c r="AU18" s="421"/>
      <c r="AV18" s="421"/>
      <c r="AW18" s="421"/>
      <c r="AX18" s="421"/>
      <c r="AY18" s="421"/>
      <c r="AZ18" s="421"/>
      <c r="BA18" s="421"/>
      <c r="BB18" s="421"/>
      <c r="BC18" s="421"/>
      <c r="BD18" s="421"/>
      <c r="BE18" s="421"/>
      <c r="BF18" s="421"/>
      <c r="BG18" s="421"/>
      <c r="BH18" s="421"/>
      <c r="BI18" s="421"/>
      <c r="BJ18" s="421"/>
      <c r="BK18" s="421"/>
      <c r="BL18" s="421"/>
      <c r="BM18" s="421"/>
      <c r="BN18" s="421"/>
      <c r="BO18" s="421"/>
      <c r="BP18" s="421"/>
      <c r="BQ18" s="421"/>
      <c r="BR18" s="421"/>
      <c r="BS18" s="421"/>
      <c r="BT18" s="421"/>
      <c r="BU18" s="421"/>
      <c r="BV18" s="421"/>
      <c r="BW18" s="421"/>
      <c r="BX18" s="421"/>
      <c r="BY18" s="421"/>
      <c r="BZ18" s="421"/>
      <c r="CA18" s="421"/>
      <c r="CB18" s="421"/>
      <c r="CC18" s="421"/>
      <c r="CD18" s="421"/>
      <c r="CE18" s="421"/>
      <c r="CF18" s="421"/>
      <c r="CG18" s="421"/>
      <c r="CH18" s="421"/>
      <c r="CI18" s="421"/>
      <c r="CJ18" s="421"/>
      <c r="CK18" s="421"/>
      <c r="CL18" s="421"/>
      <c r="CM18" s="421"/>
      <c r="CN18" s="421"/>
      <c r="CO18" s="421"/>
      <c r="CP18" s="421"/>
      <c r="CQ18" s="421"/>
      <c r="CR18" s="421"/>
      <c r="CS18" s="421"/>
      <c r="CT18" s="421"/>
      <c r="CU18" s="421"/>
      <c r="CV18" s="421"/>
      <c r="CW18" s="421"/>
      <c r="CX18" s="421"/>
      <c r="CY18" s="421"/>
      <c r="CZ18" s="421"/>
      <c r="DA18" s="421"/>
      <c r="DB18" s="421"/>
      <c r="DC18" s="421"/>
      <c r="DD18" s="421"/>
      <c r="DE18" s="421"/>
      <c r="DF18" s="421"/>
      <c r="DG18" s="421"/>
      <c r="DH18" s="421"/>
      <c r="DI18" s="421"/>
      <c r="DJ18" s="421"/>
      <c r="DK18" s="421"/>
      <c r="DL18" s="421"/>
      <c r="DM18" s="421"/>
      <c r="DN18" s="421"/>
      <c r="DO18" s="421"/>
      <c r="DP18" s="421"/>
      <c r="DQ18" s="421"/>
      <c r="DR18" s="421"/>
      <c r="DS18" s="421"/>
      <c r="DT18" s="421"/>
      <c r="DU18" s="421"/>
      <c r="DV18" s="421"/>
      <c r="DW18" s="421"/>
      <c r="DX18" s="421"/>
      <c r="DY18" s="421"/>
      <c r="DZ18" s="421"/>
      <c r="EA18" s="421"/>
      <c r="EB18" s="421"/>
      <c r="EC18" s="421"/>
      <c r="ED18" s="421"/>
      <c r="EE18" s="421"/>
      <c r="EF18" s="421"/>
      <c r="EG18" s="421"/>
      <c r="EH18" s="421"/>
      <c r="EI18" s="421"/>
      <c r="EJ18" s="421"/>
      <c r="EK18" s="421"/>
      <c r="EL18" s="421"/>
      <c r="EM18" s="421"/>
      <c r="EN18" s="421"/>
      <c r="EO18" s="421"/>
      <c r="EP18" s="421"/>
      <c r="EQ18" s="421"/>
      <c r="ER18" s="421"/>
      <c r="ES18" s="421"/>
      <c r="ET18" s="421"/>
      <c r="EU18" s="421"/>
      <c r="EV18" s="421"/>
      <c r="EW18" s="421"/>
      <c r="EX18" s="421"/>
      <c r="EY18" s="421"/>
      <c r="EZ18" s="421"/>
      <c r="FA18" s="421"/>
      <c r="FB18" s="421"/>
      <c r="FC18" s="421"/>
      <c r="FD18" s="421"/>
      <c r="FE18" s="421"/>
      <c r="FF18" s="421"/>
      <c r="FG18" s="421"/>
      <c r="FH18" s="421"/>
      <c r="FI18" s="421"/>
      <c r="FJ18" s="421"/>
      <c r="FK18" s="421"/>
      <c r="FL18" s="421"/>
      <c r="FM18" s="421"/>
      <c r="FN18" s="421"/>
      <c r="FO18" s="421"/>
      <c r="FP18" s="421"/>
      <c r="FQ18" s="421"/>
      <c r="FR18" s="421"/>
      <c r="FS18" s="421"/>
      <c r="FT18" s="421"/>
      <c r="FU18" s="421"/>
      <c r="FV18" s="421"/>
      <c r="FW18" s="421"/>
      <c r="FX18" s="421"/>
      <c r="FY18" s="421"/>
      <c r="FZ18" s="421"/>
      <c r="GA18" s="421"/>
      <c r="GB18" s="421"/>
      <c r="GC18" s="421"/>
      <c r="GD18" s="421"/>
      <c r="GE18" s="421"/>
      <c r="GF18" s="421"/>
      <c r="GG18" s="421"/>
      <c r="GH18" s="421"/>
      <c r="GI18" s="421"/>
      <c r="GJ18" s="421"/>
      <c r="GK18" s="421"/>
      <c r="GL18" s="421"/>
      <c r="GM18" s="421"/>
      <c r="GN18" s="421"/>
      <c r="GO18" s="421"/>
      <c r="GP18" s="421"/>
      <c r="GQ18" s="421"/>
      <c r="GR18" s="421"/>
      <c r="GS18" s="421"/>
      <c r="GT18" s="421"/>
      <c r="GU18" s="421"/>
      <c r="GV18" s="421"/>
      <c r="GW18" s="421"/>
      <c r="GX18" s="421"/>
      <c r="GY18" s="421"/>
      <c r="GZ18" s="421"/>
      <c r="HA18" s="421"/>
      <c r="HB18" s="421"/>
      <c r="HC18" s="421"/>
      <c r="HD18" s="421"/>
      <c r="HE18" s="421"/>
      <c r="HF18" s="421"/>
      <c r="HG18" s="421"/>
      <c r="HH18" s="421"/>
      <c r="HI18" s="421"/>
      <c r="HJ18" s="421"/>
      <c r="HK18" s="421"/>
      <c r="HL18" s="421"/>
      <c r="HM18" s="421"/>
      <c r="HN18" s="421"/>
      <c r="HO18" s="421"/>
    </row>
    <row r="19" spans="2:223" s="422" customFormat="1" x14ac:dyDescent="0.3">
      <c r="B19" s="437"/>
      <c r="C19" s="436" t="s">
        <v>902</v>
      </c>
      <c r="D19" s="425"/>
      <c r="E19" s="425">
        <f>'PL Notes 19-27'!C109*1000*0</f>
        <v>0</v>
      </c>
      <c r="F19" s="425"/>
      <c r="G19" s="421">
        <v>17.16</v>
      </c>
      <c r="H19" s="421"/>
      <c r="I19" s="421"/>
      <c r="J19" s="421"/>
      <c r="K19" s="459"/>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c r="AJ19" s="421"/>
      <c r="AK19" s="421"/>
      <c r="AL19" s="421"/>
      <c r="AM19" s="421"/>
      <c r="AN19" s="421"/>
      <c r="AO19" s="421"/>
      <c r="AP19" s="421"/>
      <c r="AQ19" s="421"/>
      <c r="AR19" s="421"/>
      <c r="AS19" s="421"/>
      <c r="AT19" s="421"/>
      <c r="AU19" s="421"/>
      <c r="AV19" s="421"/>
      <c r="AW19" s="421"/>
      <c r="AX19" s="421"/>
      <c r="AY19" s="421"/>
      <c r="AZ19" s="421"/>
      <c r="BA19" s="421"/>
      <c r="BB19" s="421"/>
      <c r="BC19" s="421"/>
      <c r="BD19" s="421"/>
      <c r="BE19" s="421"/>
      <c r="BF19" s="421"/>
      <c r="BG19" s="421"/>
      <c r="BH19" s="421"/>
      <c r="BI19" s="421"/>
      <c r="BJ19" s="421"/>
      <c r="BK19" s="421"/>
      <c r="BL19" s="421"/>
      <c r="BM19" s="421"/>
      <c r="BN19" s="421"/>
      <c r="BO19" s="421"/>
      <c r="BP19" s="421"/>
      <c r="BQ19" s="421"/>
      <c r="BR19" s="421"/>
      <c r="BS19" s="421"/>
      <c r="BT19" s="421"/>
      <c r="BU19" s="421"/>
      <c r="BV19" s="421"/>
      <c r="BW19" s="421"/>
      <c r="BX19" s="421"/>
      <c r="BY19" s="421"/>
      <c r="BZ19" s="421"/>
      <c r="CA19" s="421"/>
      <c r="CB19" s="421"/>
      <c r="CC19" s="421"/>
      <c r="CD19" s="421"/>
      <c r="CE19" s="421"/>
      <c r="CF19" s="421"/>
      <c r="CG19" s="421"/>
      <c r="CH19" s="421"/>
      <c r="CI19" s="421"/>
      <c r="CJ19" s="421"/>
      <c r="CK19" s="421"/>
      <c r="CL19" s="421"/>
      <c r="CM19" s="421"/>
      <c r="CN19" s="421"/>
      <c r="CO19" s="421"/>
      <c r="CP19" s="421"/>
      <c r="CQ19" s="421"/>
      <c r="CR19" s="421"/>
      <c r="CS19" s="421"/>
      <c r="CT19" s="421"/>
      <c r="CU19" s="421"/>
      <c r="CV19" s="421"/>
      <c r="CW19" s="421"/>
      <c r="CX19" s="421"/>
      <c r="CY19" s="421"/>
      <c r="CZ19" s="421"/>
      <c r="DA19" s="421"/>
      <c r="DB19" s="421"/>
      <c r="DC19" s="421"/>
      <c r="DD19" s="421"/>
      <c r="DE19" s="421"/>
      <c r="DF19" s="421"/>
      <c r="DG19" s="421"/>
      <c r="DH19" s="421"/>
      <c r="DI19" s="421"/>
      <c r="DJ19" s="421"/>
      <c r="DK19" s="421"/>
      <c r="DL19" s="421"/>
      <c r="DM19" s="421"/>
      <c r="DN19" s="421"/>
      <c r="DO19" s="421"/>
      <c r="DP19" s="421"/>
      <c r="DQ19" s="421"/>
      <c r="DR19" s="421"/>
      <c r="DS19" s="421"/>
      <c r="DT19" s="421"/>
      <c r="DU19" s="421"/>
      <c r="DV19" s="421"/>
      <c r="DW19" s="421"/>
      <c r="DX19" s="421"/>
      <c r="DY19" s="421"/>
      <c r="DZ19" s="421"/>
      <c r="EA19" s="421"/>
      <c r="EB19" s="421"/>
      <c r="EC19" s="421"/>
      <c r="ED19" s="421"/>
      <c r="EE19" s="421"/>
      <c r="EF19" s="421"/>
      <c r="EG19" s="421"/>
      <c r="EH19" s="421"/>
      <c r="EI19" s="421"/>
      <c r="EJ19" s="421"/>
      <c r="EK19" s="421"/>
      <c r="EL19" s="421"/>
      <c r="EM19" s="421"/>
      <c r="EN19" s="421"/>
      <c r="EO19" s="421"/>
      <c r="EP19" s="421"/>
      <c r="EQ19" s="421"/>
      <c r="ER19" s="421"/>
      <c r="ES19" s="421"/>
      <c r="ET19" s="421"/>
      <c r="EU19" s="421"/>
      <c r="EV19" s="421"/>
      <c r="EW19" s="421"/>
      <c r="EX19" s="421"/>
      <c r="EY19" s="421"/>
      <c r="EZ19" s="421"/>
      <c r="FA19" s="421"/>
      <c r="FB19" s="421"/>
      <c r="FC19" s="421"/>
      <c r="FD19" s="421"/>
      <c r="FE19" s="421"/>
      <c r="FF19" s="421"/>
      <c r="FG19" s="421"/>
      <c r="FH19" s="421"/>
      <c r="FI19" s="421"/>
      <c r="FJ19" s="421"/>
      <c r="FK19" s="421"/>
      <c r="FL19" s="421"/>
      <c r="FM19" s="421"/>
      <c r="FN19" s="421"/>
      <c r="FO19" s="421"/>
      <c r="FP19" s="421"/>
      <c r="FQ19" s="421"/>
      <c r="FR19" s="421"/>
      <c r="FS19" s="421"/>
      <c r="FT19" s="421"/>
      <c r="FU19" s="421"/>
      <c r="FV19" s="421"/>
      <c r="FW19" s="421"/>
      <c r="FX19" s="421"/>
      <c r="FY19" s="421"/>
      <c r="FZ19" s="421"/>
      <c r="GA19" s="421"/>
      <c r="GB19" s="421"/>
      <c r="GC19" s="421"/>
      <c r="GD19" s="421"/>
      <c r="GE19" s="421"/>
      <c r="GF19" s="421"/>
      <c r="GG19" s="421"/>
      <c r="GH19" s="421"/>
      <c r="GI19" s="421"/>
      <c r="GJ19" s="421"/>
      <c r="GK19" s="421"/>
      <c r="GL19" s="421"/>
      <c r="GM19" s="421"/>
      <c r="GN19" s="421"/>
      <c r="GO19" s="421"/>
      <c r="GP19" s="421"/>
      <c r="GQ19" s="421"/>
      <c r="GR19" s="421"/>
      <c r="GS19" s="421"/>
      <c r="GT19" s="421"/>
      <c r="GU19" s="421"/>
      <c r="GV19" s="421"/>
      <c r="GW19" s="421"/>
      <c r="GX19" s="421"/>
      <c r="GY19" s="421"/>
      <c r="GZ19" s="421"/>
      <c r="HA19" s="421"/>
      <c r="HB19" s="421"/>
      <c r="HC19" s="421"/>
      <c r="HD19" s="421"/>
      <c r="HE19" s="421"/>
      <c r="HF19" s="421"/>
      <c r="HG19" s="421"/>
      <c r="HH19" s="421"/>
      <c r="HI19" s="421"/>
      <c r="HJ19" s="421"/>
      <c r="HK19" s="421"/>
      <c r="HL19" s="421"/>
      <c r="HM19" s="421"/>
      <c r="HN19" s="421"/>
      <c r="HO19" s="421"/>
    </row>
    <row r="20" spans="2:223" s="422" customFormat="1" ht="13.5" customHeight="1" x14ac:dyDescent="0.3">
      <c r="B20" s="427"/>
      <c r="C20" s="436" t="s">
        <v>651</v>
      </c>
      <c r="D20" s="425"/>
      <c r="E20" s="425">
        <v>0</v>
      </c>
      <c r="F20" s="425"/>
      <c r="G20" s="980">
        <f>+E18+E24</f>
        <v>3227634.0159728094</v>
      </c>
      <c r="H20" s="421"/>
      <c r="I20" s="421"/>
      <c r="J20" s="421"/>
      <c r="K20" s="459">
        <f>PL!F18*A1</f>
        <v>0</v>
      </c>
      <c r="L20" s="421"/>
      <c r="M20" s="421"/>
      <c r="N20" s="421"/>
      <c r="O20" s="421"/>
      <c r="P20" s="421"/>
      <c r="Q20" s="421"/>
      <c r="R20" s="421"/>
      <c r="S20" s="421"/>
      <c r="T20" s="421"/>
      <c r="U20" s="421"/>
      <c r="V20" s="421"/>
      <c r="W20" s="421"/>
      <c r="X20" s="421"/>
      <c r="Y20" s="421"/>
      <c r="Z20" s="421"/>
      <c r="AA20" s="421"/>
      <c r="AB20" s="421"/>
      <c r="AC20" s="421"/>
      <c r="AD20" s="421"/>
      <c r="AE20" s="421"/>
      <c r="AF20" s="421"/>
      <c r="AG20" s="421"/>
      <c r="AH20" s="421"/>
      <c r="AI20" s="421"/>
      <c r="AJ20" s="421"/>
      <c r="AK20" s="421"/>
      <c r="AL20" s="421"/>
      <c r="AM20" s="421"/>
      <c r="AN20" s="421"/>
      <c r="AO20" s="421"/>
      <c r="AP20" s="421"/>
      <c r="AQ20" s="421"/>
      <c r="AR20" s="421"/>
      <c r="AS20" s="421"/>
      <c r="AT20" s="421"/>
      <c r="AU20" s="421"/>
      <c r="AV20" s="421"/>
      <c r="AW20" s="421"/>
      <c r="AX20" s="421"/>
      <c r="AY20" s="421"/>
      <c r="AZ20" s="421"/>
      <c r="BA20" s="421"/>
      <c r="BB20" s="421"/>
      <c r="BC20" s="421"/>
      <c r="BD20" s="421"/>
      <c r="BE20" s="421"/>
      <c r="BF20" s="421"/>
      <c r="BG20" s="421"/>
      <c r="BH20" s="421"/>
      <c r="BI20" s="421"/>
      <c r="BJ20" s="421"/>
      <c r="BK20" s="421"/>
      <c r="BL20" s="421"/>
      <c r="BM20" s="421"/>
      <c r="BN20" s="421"/>
      <c r="BO20" s="421"/>
      <c r="BP20" s="421"/>
      <c r="BQ20" s="421"/>
      <c r="BR20" s="421"/>
      <c r="BS20" s="421"/>
      <c r="BT20" s="421"/>
      <c r="BU20" s="421"/>
      <c r="BV20" s="421"/>
      <c r="BW20" s="421"/>
      <c r="BX20" s="421"/>
      <c r="BY20" s="421"/>
      <c r="BZ20" s="421"/>
      <c r="CA20" s="421"/>
      <c r="CB20" s="421"/>
      <c r="CC20" s="421"/>
      <c r="CD20" s="421"/>
      <c r="CE20" s="421"/>
      <c r="CF20" s="421"/>
      <c r="CG20" s="421"/>
      <c r="CH20" s="421"/>
      <c r="CI20" s="421"/>
      <c r="CJ20" s="421"/>
      <c r="CK20" s="421"/>
      <c r="CL20" s="421"/>
      <c r="CM20" s="421"/>
      <c r="CN20" s="421"/>
      <c r="CO20" s="421"/>
      <c r="CP20" s="421"/>
      <c r="CQ20" s="421"/>
      <c r="CR20" s="421"/>
      <c r="CS20" s="421"/>
      <c r="CT20" s="421"/>
      <c r="CU20" s="421"/>
      <c r="CV20" s="421"/>
      <c r="CW20" s="421"/>
      <c r="CX20" s="421"/>
      <c r="CY20" s="421"/>
      <c r="CZ20" s="421"/>
      <c r="DA20" s="421"/>
      <c r="DB20" s="421"/>
      <c r="DC20" s="421"/>
      <c r="DD20" s="421"/>
      <c r="DE20" s="421"/>
      <c r="DF20" s="421"/>
      <c r="DG20" s="421"/>
      <c r="DH20" s="421"/>
      <c r="DI20" s="421"/>
      <c r="DJ20" s="421"/>
      <c r="DK20" s="421"/>
      <c r="DL20" s="421"/>
      <c r="DM20" s="421"/>
      <c r="DN20" s="421"/>
      <c r="DO20" s="421"/>
      <c r="DP20" s="421"/>
      <c r="DQ20" s="421"/>
      <c r="DR20" s="421"/>
      <c r="DS20" s="421"/>
      <c r="DT20" s="421"/>
      <c r="DU20" s="421"/>
      <c r="DV20" s="421"/>
      <c r="DW20" s="421"/>
      <c r="DX20" s="421"/>
      <c r="DY20" s="421"/>
      <c r="DZ20" s="421"/>
      <c r="EA20" s="421"/>
      <c r="EB20" s="421"/>
      <c r="EC20" s="421"/>
      <c r="ED20" s="421"/>
      <c r="EE20" s="421"/>
      <c r="EF20" s="421"/>
      <c r="EG20" s="421"/>
      <c r="EH20" s="421"/>
      <c r="EI20" s="421"/>
      <c r="EJ20" s="421"/>
      <c r="EK20" s="421"/>
      <c r="EL20" s="421"/>
      <c r="EM20" s="421"/>
      <c r="EN20" s="421"/>
      <c r="EO20" s="421"/>
      <c r="EP20" s="421"/>
      <c r="EQ20" s="421"/>
      <c r="ER20" s="421"/>
      <c r="ES20" s="421"/>
      <c r="ET20" s="421"/>
      <c r="EU20" s="421"/>
      <c r="EV20" s="421"/>
      <c r="EW20" s="421"/>
      <c r="EX20" s="421"/>
      <c r="EY20" s="421"/>
      <c r="EZ20" s="421"/>
      <c r="FA20" s="421"/>
      <c r="FB20" s="421"/>
      <c r="FC20" s="421"/>
      <c r="FD20" s="421"/>
      <c r="FE20" s="421"/>
      <c r="FF20" s="421"/>
      <c r="FG20" s="421"/>
      <c r="FH20" s="421"/>
      <c r="FI20" s="421"/>
      <c r="FJ20" s="421"/>
      <c r="FK20" s="421"/>
      <c r="FL20" s="421"/>
      <c r="FM20" s="421"/>
      <c r="FN20" s="421"/>
      <c r="FO20" s="421"/>
      <c r="FP20" s="421"/>
      <c r="FQ20" s="421"/>
      <c r="FR20" s="421"/>
      <c r="FS20" s="421"/>
      <c r="FT20" s="421"/>
      <c r="FU20" s="421"/>
      <c r="FV20" s="421"/>
      <c r="FW20" s="421"/>
      <c r="FX20" s="421"/>
      <c r="FY20" s="421"/>
      <c r="FZ20" s="421"/>
      <c r="GA20" s="421"/>
      <c r="GB20" s="421"/>
      <c r="GC20" s="421"/>
      <c r="GD20" s="421"/>
      <c r="GE20" s="421"/>
      <c r="GF20" s="421"/>
      <c r="GG20" s="421"/>
      <c r="GH20" s="421"/>
      <c r="GI20" s="421"/>
      <c r="GJ20" s="421"/>
      <c r="GK20" s="421"/>
      <c r="GL20" s="421"/>
      <c r="GM20" s="421"/>
      <c r="GN20" s="421"/>
      <c r="GO20" s="421"/>
      <c r="GP20" s="421"/>
      <c r="GQ20" s="421"/>
      <c r="GR20" s="421"/>
      <c r="GS20" s="421"/>
      <c r="GT20" s="421"/>
      <c r="GU20" s="421"/>
      <c r="GV20" s="421"/>
      <c r="GW20" s="421"/>
      <c r="GX20" s="421"/>
      <c r="GY20" s="421"/>
      <c r="GZ20" s="421"/>
      <c r="HA20" s="421"/>
      <c r="HB20" s="421"/>
      <c r="HC20" s="421"/>
      <c r="HD20" s="421"/>
      <c r="HE20" s="421"/>
      <c r="HF20" s="421"/>
      <c r="HG20" s="421"/>
      <c r="HH20" s="421"/>
      <c r="HI20" s="421"/>
      <c r="HJ20" s="421"/>
      <c r="HK20" s="421"/>
      <c r="HL20" s="421"/>
      <c r="HM20" s="421"/>
      <c r="HN20" s="421"/>
      <c r="HO20" s="421"/>
    </row>
    <row r="21" spans="2:223" s="422" customFormat="1" x14ac:dyDescent="0.3">
      <c r="B21" s="427"/>
      <c r="C21" s="436" t="s">
        <v>650</v>
      </c>
      <c r="D21" s="425"/>
      <c r="E21" s="426">
        <v>0</v>
      </c>
      <c r="F21" s="425">
        <f>SUM(E14:E21)</f>
        <v>3180683.0227999999</v>
      </c>
      <c r="G21" s="421"/>
      <c r="H21" s="421"/>
      <c r="I21" s="421"/>
      <c r="J21" s="421"/>
      <c r="K21" s="459"/>
      <c r="L21" s="425">
        <f>SUM(K14:K21)</f>
        <v>164</v>
      </c>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c r="AJ21" s="421"/>
      <c r="AK21" s="421"/>
      <c r="AL21" s="421"/>
      <c r="AM21" s="421"/>
      <c r="AN21" s="421"/>
      <c r="AO21" s="421"/>
      <c r="AP21" s="421"/>
      <c r="AQ21" s="421"/>
      <c r="AR21" s="421"/>
      <c r="AS21" s="421"/>
      <c r="AT21" s="421"/>
      <c r="AU21" s="421"/>
      <c r="AV21" s="421"/>
      <c r="AW21" s="421"/>
      <c r="AX21" s="421"/>
      <c r="AY21" s="421"/>
      <c r="AZ21" s="421"/>
      <c r="BA21" s="421"/>
      <c r="BB21" s="421"/>
      <c r="BC21" s="421"/>
      <c r="BD21" s="421"/>
      <c r="BE21" s="421"/>
      <c r="BF21" s="421"/>
      <c r="BG21" s="421"/>
      <c r="BH21" s="421"/>
      <c r="BI21" s="421"/>
      <c r="BJ21" s="421"/>
      <c r="BK21" s="421"/>
      <c r="BL21" s="421"/>
      <c r="BM21" s="421"/>
      <c r="BN21" s="421"/>
      <c r="BO21" s="421"/>
      <c r="BP21" s="421"/>
      <c r="BQ21" s="421"/>
      <c r="BR21" s="421"/>
      <c r="BS21" s="421"/>
      <c r="BT21" s="421"/>
      <c r="BU21" s="421"/>
      <c r="BV21" s="421"/>
      <c r="BW21" s="421"/>
      <c r="BX21" s="421"/>
      <c r="BY21" s="421"/>
      <c r="BZ21" s="421"/>
      <c r="CA21" s="421"/>
      <c r="CB21" s="421"/>
      <c r="CC21" s="421"/>
      <c r="CD21" s="421"/>
      <c r="CE21" s="421"/>
      <c r="CF21" s="421"/>
      <c r="CG21" s="421"/>
      <c r="CH21" s="421"/>
      <c r="CI21" s="421"/>
      <c r="CJ21" s="421"/>
      <c r="CK21" s="421"/>
      <c r="CL21" s="421"/>
      <c r="CM21" s="421"/>
      <c r="CN21" s="421"/>
      <c r="CO21" s="421"/>
      <c r="CP21" s="421"/>
      <c r="CQ21" s="421"/>
      <c r="CR21" s="421"/>
      <c r="CS21" s="421"/>
      <c r="CT21" s="421"/>
      <c r="CU21" s="421"/>
      <c r="CV21" s="421"/>
      <c r="CW21" s="421"/>
      <c r="CX21" s="421"/>
      <c r="CY21" s="421"/>
      <c r="CZ21" s="421"/>
      <c r="DA21" s="421"/>
      <c r="DB21" s="421"/>
      <c r="DC21" s="421"/>
      <c r="DD21" s="421"/>
      <c r="DE21" s="421"/>
      <c r="DF21" s="421"/>
      <c r="DG21" s="421"/>
      <c r="DH21" s="421"/>
      <c r="DI21" s="421"/>
      <c r="DJ21" s="421"/>
      <c r="DK21" s="421"/>
      <c r="DL21" s="421"/>
      <c r="DM21" s="421"/>
      <c r="DN21" s="421"/>
      <c r="DO21" s="421"/>
      <c r="DP21" s="421"/>
      <c r="DQ21" s="421"/>
      <c r="DR21" s="421"/>
      <c r="DS21" s="421"/>
      <c r="DT21" s="421"/>
      <c r="DU21" s="421"/>
      <c r="DV21" s="421"/>
      <c r="DW21" s="421"/>
      <c r="DX21" s="421"/>
      <c r="DY21" s="421"/>
      <c r="DZ21" s="421"/>
      <c r="EA21" s="421"/>
      <c r="EB21" s="421"/>
      <c r="EC21" s="421"/>
      <c r="ED21" s="421"/>
      <c r="EE21" s="421"/>
      <c r="EF21" s="421"/>
      <c r="EG21" s="421"/>
      <c r="EH21" s="421"/>
      <c r="EI21" s="421"/>
      <c r="EJ21" s="421"/>
      <c r="EK21" s="421"/>
      <c r="EL21" s="421"/>
      <c r="EM21" s="421"/>
      <c r="EN21" s="421"/>
      <c r="EO21" s="421"/>
      <c r="EP21" s="421"/>
      <c r="EQ21" s="421"/>
      <c r="ER21" s="421"/>
      <c r="ES21" s="421"/>
      <c r="ET21" s="421"/>
      <c r="EU21" s="421"/>
      <c r="EV21" s="421"/>
      <c r="EW21" s="421"/>
      <c r="EX21" s="421"/>
      <c r="EY21" s="421"/>
      <c r="EZ21" s="421"/>
      <c r="FA21" s="421"/>
      <c r="FB21" s="421"/>
      <c r="FC21" s="421"/>
      <c r="FD21" s="421"/>
      <c r="FE21" s="421"/>
      <c r="FF21" s="421"/>
      <c r="FG21" s="421"/>
      <c r="FH21" s="421"/>
      <c r="FI21" s="421"/>
      <c r="FJ21" s="421"/>
      <c r="FK21" s="421"/>
      <c r="FL21" s="421"/>
      <c r="FM21" s="421"/>
      <c r="FN21" s="421"/>
      <c r="FO21" s="421"/>
      <c r="FP21" s="421"/>
      <c r="FQ21" s="421"/>
      <c r="FR21" s="421"/>
      <c r="FS21" s="421"/>
      <c r="FT21" s="421"/>
      <c r="FU21" s="421"/>
      <c r="FV21" s="421"/>
      <c r="FW21" s="421"/>
      <c r="FX21" s="421"/>
      <c r="FY21" s="421"/>
      <c r="FZ21" s="421"/>
      <c r="GA21" s="421"/>
      <c r="GB21" s="421"/>
      <c r="GC21" s="421"/>
      <c r="GD21" s="421"/>
      <c r="GE21" s="421"/>
      <c r="GF21" s="421"/>
      <c r="GG21" s="421"/>
      <c r="GH21" s="421"/>
      <c r="GI21" s="421"/>
      <c r="GJ21" s="421"/>
      <c r="GK21" s="421"/>
      <c r="GL21" s="421"/>
      <c r="GM21" s="421"/>
      <c r="GN21" s="421"/>
      <c r="GO21" s="421"/>
      <c r="GP21" s="421"/>
      <c r="GQ21" s="421"/>
      <c r="GR21" s="421"/>
      <c r="GS21" s="421"/>
      <c r="GT21" s="421"/>
      <c r="GU21" s="421"/>
      <c r="GV21" s="421"/>
      <c r="GW21" s="421"/>
      <c r="GX21" s="421"/>
      <c r="GY21" s="421"/>
      <c r="GZ21" s="421"/>
      <c r="HA21" s="421"/>
      <c r="HB21" s="421"/>
      <c r="HC21" s="421"/>
      <c r="HD21" s="421"/>
      <c r="HE21" s="421"/>
      <c r="HF21" s="421"/>
      <c r="HG21" s="421"/>
      <c r="HH21" s="421"/>
      <c r="HI21" s="421"/>
      <c r="HJ21" s="421"/>
      <c r="HK21" s="421"/>
      <c r="HL21" s="421"/>
      <c r="HM21" s="421"/>
      <c r="HN21" s="421"/>
      <c r="HO21" s="421"/>
    </row>
    <row r="22" spans="2:223" s="422" customFormat="1" x14ac:dyDescent="0.3">
      <c r="B22" s="427"/>
      <c r="C22" s="436"/>
      <c r="D22" s="425"/>
      <c r="E22" s="425"/>
      <c r="F22" s="425"/>
      <c r="G22" s="421"/>
      <c r="H22" s="421"/>
      <c r="I22" s="421"/>
      <c r="J22" s="421"/>
      <c r="K22" s="459"/>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c r="AJ22" s="421"/>
      <c r="AK22" s="421"/>
      <c r="AL22" s="421"/>
      <c r="AM22" s="421"/>
      <c r="AN22" s="421"/>
      <c r="AO22" s="421"/>
      <c r="AP22" s="421"/>
      <c r="AQ22" s="421"/>
      <c r="AR22" s="421"/>
      <c r="AS22" s="421"/>
      <c r="AT22" s="421"/>
      <c r="AU22" s="421"/>
      <c r="AV22" s="421"/>
      <c r="AW22" s="421"/>
      <c r="AX22" s="421"/>
      <c r="AY22" s="421"/>
      <c r="AZ22" s="421"/>
      <c r="BA22" s="421"/>
      <c r="BB22" s="421"/>
      <c r="BC22" s="421"/>
      <c r="BD22" s="421"/>
      <c r="BE22" s="421"/>
      <c r="BF22" s="421"/>
      <c r="BG22" s="421"/>
      <c r="BH22" s="421"/>
      <c r="BI22" s="421"/>
      <c r="BJ22" s="421"/>
      <c r="BK22" s="421"/>
      <c r="BL22" s="421"/>
      <c r="BM22" s="421"/>
      <c r="BN22" s="421"/>
      <c r="BO22" s="421"/>
      <c r="BP22" s="421"/>
      <c r="BQ22" s="421"/>
      <c r="BR22" s="421"/>
      <c r="BS22" s="421"/>
      <c r="BT22" s="421"/>
      <c r="BU22" s="421"/>
      <c r="BV22" s="421"/>
      <c r="BW22" s="421"/>
      <c r="BX22" s="421"/>
      <c r="BY22" s="421"/>
      <c r="BZ22" s="421"/>
      <c r="CA22" s="421"/>
      <c r="CB22" s="421"/>
      <c r="CC22" s="421"/>
      <c r="CD22" s="421"/>
      <c r="CE22" s="421"/>
      <c r="CF22" s="421"/>
      <c r="CG22" s="421"/>
      <c r="CH22" s="421"/>
      <c r="CI22" s="421"/>
      <c r="CJ22" s="421"/>
      <c r="CK22" s="421"/>
      <c r="CL22" s="421"/>
      <c r="CM22" s="421"/>
      <c r="CN22" s="421"/>
      <c r="CO22" s="421"/>
      <c r="CP22" s="421"/>
      <c r="CQ22" s="421"/>
      <c r="CR22" s="421"/>
      <c r="CS22" s="421"/>
      <c r="CT22" s="421"/>
      <c r="CU22" s="421"/>
      <c r="CV22" s="421"/>
      <c r="CW22" s="421"/>
      <c r="CX22" s="421"/>
      <c r="CY22" s="421"/>
      <c r="CZ22" s="421"/>
      <c r="DA22" s="421"/>
      <c r="DB22" s="421"/>
      <c r="DC22" s="421"/>
      <c r="DD22" s="421"/>
      <c r="DE22" s="421"/>
      <c r="DF22" s="421"/>
      <c r="DG22" s="421"/>
      <c r="DH22" s="421"/>
      <c r="DI22" s="421"/>
      <c r="DJ22" s="421"/>
      <c r="DK22" s="421"/>
      <c r="DL22" s="421"/>
      <c r="DM22" s="421"/>
      <c r="DN22" s="421"/>
      <c r="DO22" s="421"/>
      <c r="DP22" s="421"/>
      <c r="DQ22" s="421"/>
      <c r="DR22" s="421"/>
      <c r="DS22" s="421"/>
      <c r="DT22" s="421"/>
      <c r="DU22" s="421"/>
      <c r="DV22" s="421"/>
      <c r="DW22" s="421"/>
      <c r="DX22" s="421"/>
      <c r="DY22" s="421"/>
      <c r="DZ22" s="421"/>
      <c r="EA22" s="421"/>
      <c r="EB22" s="421"/>
      <c r="EC22" s="421"/>
      <c r="ED22" s="421"/>
      <c r="EE22" s="421"/>
      <c r="EF22" s="421"/>
      <c r="EG22" s="421"/>
      <c r="EH22" s="421"/>
      <c r="EI22" s="421"/>
      <c r="EJ22" s="421"/>
      <c r="EK22" s="421"/>
      <c r="EL22" s="421"/>
      <c r="EM22" s="421"/>
      <c r="EN22" s="421"/>
      <c r="EO22" s="421"/>
      <c r="EP22" s="421"/>
      <c r="EQ22" s="421"/>
      <c r="ER22" s="421"/>
      <c r="ES22" s="421"/>
      <c r="ET22" s="421"/>
      <c r="EU22" s="421"/>
      <c r="EV22" s="421"/>
      <c r="EW22" s="421"/>
      <c r="EX22" s="421"/>
      <c r="EY22" s="421"/>
      <c r="EZ22" s="421"/>
      <c r="FA22" s="421"/>
      <c r="FB22" s="421"/>
      <c r="FC22" s="421"/>
      <c r="FD22" s="421"/>
      <c r="FE22" s="421"/>
      <c r="FF22" s="421"/>
      <c r="FG22" s="421"/>
      <c r="FH22" s="421"/>
      <c r="FI22" s="421"/>
      <c r="FJ22" s="421"/>
      <c r="FK22" s="421"/>
      <c r="FL22" s="421"/>
      <c r="FM22" s="421"/>
      <c r="FN22" s="421"/>
      <c r="FO22" s="421"/>
      <c r="FP22" s="421"/>
      <c r="FQ22" s="421"/>
      <c r="FR22" s="421"/>
      <c r="FS22" s="421"/>
      <c r="FT22" s="421"/>
      <c r="FU22" s="421"/>
      <c r="FV22" s="421"/>
      <c r="FW22" s="421"/>
      <c r="FX22" s="421"/>
      <c r="FY22" s="421"/>
      <c r="FZ22" s="421"/>
      <c r="GA22" s="421"/>
      <c r="GB22" s="421"/>
      <c r="GC22" s="421"/>
      <c r="GD22" s="421"/>
      <c r="GE22" s="421"/>
      <c r="GF22" s="421"/>
      <c r="GG22" s="421"/>
      <c r="GH22" s="421"/>
      <c r="GI22" s="421"/>
      <c r="GJ22" s="421"/>
      <c r="GK22" s="421"/>
      <c r="GL22" s="421"/>
      <c r="GM22" s="421"/>
      <c r="GN22" s="421"/>
      <c r="GO22" s="421"/>
      <c r="GP22" s="421"/>
      <c r="GQ22" s="421"/>
      <c r="GR22" s="421"/>
      <c r="GS22" s="421"/>
      <c r="GT22" s="421"/>
      <c r="GU22" s="421"/>
      <c r="GV22" s="421"/>
      <c r="GW22" s="421"/>
      <c r="GX22" s="421"/>
      <c r="GY22" s="421"/>
      <c r="GZ22" s="421"/>
      <c r="HA22" s="421"/>
      <c r="HB22" s="421"/>
      <c r="HC22" s="421"/>
      <c r="HD22" s="421"/>
      <c r="HE22" s="421"/>
      <c r="HF22" s="421"/>
      <c r="HG22" s="421"/>
      <c r="HH22" s="421"/>
      <c r="HI22" s="421"/>
      <c r="HJ22" s="421"/>
      <c r="HK22" s="421"/>
      <c r="HL22" s="421"/>
      <c r="HM22" s="421"/>
      <c r="HN22" s="421"/>
      <c r="HO22" s="421"/>
    </row>
    <row r="23" spans="2:223" s="422" customFormat="1" x14ac:dyDescent="0.3">
      <c r="B23" s="437" t="s">
        <v>632</v>
      </c>
      <c r="C23" s="439" t="s">
        <v>649</v>
      </c>
      <c r="D23" s="425"/>
      <c r="E23" s="425"/>
      <c r="F23" s="425"/>
      <c r="G23" s="421"/>
      <c r="H23" s="421"/>
      <c r="I23" s="421"/>
      <c r="J23" s="421"/>
      <c r="K23" s="459"/>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c r="AJ23" s="421"/>
      <c r="AK23" s="421"/>
      <c r="AL23" s="421"/>
      <c r="AM23" s="421"/>
      <c r="AN23" s="421"/>
      <c r="AO23" s="421"/>
      <c r="AP23" s="421"/>
      <c r="AQ23" s="421"/>
      <c r="AR23" s="421"/>
      <c r="AS23" s="421"/>
      <c r="AT23" s="421"/>
      <c r="AU23" s="421"/>
      <c r="AV23" s="421"/>
      <c r="AW23" s="421"/>
      <c r="AX23" s="421"/>
      <c r="AY23" s="421"/>
      <c r="AZ23" s="421"/>
      <c r="BA23" s="421"/>
      <c r="BB23" s="421"/>
      <c r="BC23" s="421"/>
      <c r="BD23" s="421"/>
      <c r="BE23" s="421"/>
      <c r="BF23" s="421"/>
      <c r="BG23" s="421"/>
      <c r="BH23" s="421"/>
      <c r="BI23" s="421"/>
      <c r="BJ23" s="421"/>
      <c r="BK23" s="421"/>
      <c r="BL23" s="421"/>
      <c r="BM23" s="421"/>
      <c r="BN23" s="421"/>
      <c r="BO23" s="421"/>
      <c r="BP23" s="421"/>
      <c r="BQ23" s="421"/>
      <c r="BR23" s="421"/>
      <c r="BS23" s="421"/>
      <c r="BT23" s="421"/>
      <c r="BU23" s="421"/>
      <c r="BV23" s="421"/>
      <c r="BW23" s="421"/>
      <c r="BX23" s="421"/>
      <c r="BY23" s="421"/>
      <c r="BZ23" s="421"/>
      <c r="CA23" s="421"/>
      <c r="CB23" s="421"/>
      <c r="CC23" s="421"/>
      <c r="CD23" s="421"/>
      <c r="CE23" s="421"/>
      <c r="CF23" s="421"/>
      <c r="CG23" s="421"/>
      <c r="CH23" s="421"/>
      <c r="CI23" s="421"/>
      <c r="CJ23" s="421"/>
      <c r="CK23" s="421"/>
      <c r="CL23" s="421"/>
      <c r="CM23" s="421"/>
      <c r="CN23" s="421"/>
      <c r="CO23" s="421"/>
      <c r="CP23" s="421"/>
      <c r="CQ23" s="421"/>
      <c r="CR23" s="421"/>
      <c r="CS23" s="421"/>
      <c r="CT23" s="421"/>
      <c r="CU23" s="421"/>
      <c r="CV23" s="421"/>
      <c r="CW23" s="421"/>
      <c r="CX23" s="421"/>
      <c r="CY23" s="421"/>
      <c r="CZ23" s="421"/>
      <c r="DA23" s="421"/>
      <c r="DB23" s="421"/>
      <c r="DC23" s="421"/>
      <c r="DD23" s="421"/>
      <c r="DE23" s="421"/>
      <c r="DF23" s="421"/>
      <c r="DG23" s="421"/>
      <c r="DH23" s="421"/>
      <c r="DI23" s="421"/>
      <c r="DJ23" s="421"/>
      <c r="DK23" s="421"/>
      <c r="DL23" s="421"/>
      <c r="DM23" s="421"/>
      <c r="DN23" s="421"/>
      <c r="DO23" s="421"/>
      <c r="DP23" s="421"/>
      <c r="DQ23" s="421"/>
      <c r="DR23" s="421"/>
      <c r="DS23" s="421"/>
      <c r="DT23" s="421"/>
      <c r="DU23" s="421"/>
      <c r="DV23" s="421"/>
      <c r="DW23" s="421"/>
      <c r="DX23" s="421"/>
      <c r="DY23" s="421"/>
      <c r="DZ23" s="421"/>
      <c r="EA23" s="421"/>
      <c r="EB23" s="421"/>
      <c r="EC23" s="421"/>
      <c r="ED23" s="421"/>
      <c r="EE23" s="421"/>
      <c r="EF23" s="421"/>
      <c r="EG23" s="421"/>
      <c r="EH23" s="421"/>
      <c r="EI23" s="421"/>
      <c r="EJ23" s="421"/>
      <c r="EK23" s="421"/>
      <c r="EL23" s="421"/>
      <c r="EM23" s="421"/>
      <c r="EN23" s="421"/>
      <c r="EO23" s="421"/>
      <c r="EP23" s="421"/>
      <c r="EQ23" s="421"/>
      <c r="ER23" s="421"/>
      <c r="ES23" s="421"/>
      <c r="ET23" s="421"/>
      <c r="EU23" s="421"/>
      <c r="EV23" s="421"/>
      <c r="EW23" s="421"/>
      <c r="EX23" s="421"/>
      <c r="EY23" s="421"/>
      <c r="EZ23" s="421"/>
      <c r="FA23" s="421"/>
      <c r="FB23" s="421"/>
      <c r="FC23" s="421"/>
      <c r="FD23" s="421"/>
      <c r="FE23" s="421"/>
      <c r="FF23" s="421"/>
      <c r="FG23" s="421"/>
      <c r="FH23" s="421"/>
      <c r="FI23" s="421"/>
      <c r="FJ23" s="421"/>
      <c r="FK23" s="421"/>
      <c r="FL23" s="421"/>
      <c r="FM23" s="421"/>
      <c r="FN23" s="421"/>
      <c r="FO23" s="421"/>
      <c r="FP23" s="421"/>
      <c r="FQ23" s="421"/>
      <c r="FR23" s="421"/>
      <c r="FS23" s="421"/>
      <c r="FT23" s="421"/>
      <c r="FU23" s="421"/>
      <c r="FV23" s="421"/>
      <c r="FW23" s="421"/>
      <c r="FX23" s="421"/>
      <c r="FY23" s="421"/>
      <c r="FZ23" s="421"/>
      <c r="GA23" s="421"/>
      <c r="GB23" s="421"/>
      <c r="GC23" s="421"/>
      <c r="GD23" s="421"/>
      <c r="GE23" s="421"/>
      <c r="GF23" s="421"/>
      <c r="GG23" s="421"/>
      <c r="GH23" s="421"/>
      <c r="GI23" s="421"/>
      <c r="GJ23" s="421"/>
      <c r="GK23" s="421"/>
      <c r="GL23" s="421"/>
      <c r="GM23" s="421"/>
      <c r="GN23" s="421"/>
      <c r="GO23" s="421"/>
      <c r="GP23" s="421"/>
      <c r="GQ23" s="421"/>
      <c r="GR23" s="421"/>
      <c r="GS23" s="421"/>
      <c r="GT23" s="421"/>
      <c r="GU23" s="421"/>
      <c r="GV23" s="421"/>
      <c r="GW23" s="421"/>
      <c r="GX23" s="421"/>
      <c r="GY23" s="421"/>
      <c r="GZ23" s="421"/>
      <c r="HA23" s="421"/>
      <c r="HB23" s="421"/>
      <c r="HC23" s="421"/>
      <c r="HD23" s="421"/>
      <c r="HE23" s="421"/>
      <c r="HF23" s="421"/>
      <c r="HG23" s="421"/>
      <c r="HH23" s="421"/>
      <c r="HI23" s="421"/>
      <c r="HJ23" s="421"/>
      <c r="HK23" s="421"/>
      <c r="HL23" s="421"/>
      <c r="HM23" s="421"/>
      <c r="HN23" s="421"/>
      <c r="HO23" s="421"/>
    </row>
    <row r="24" spans="2:223" s="422" customFormat="1" x14ac:dyDescent="0.3">
      <c r="B24" s="427"/>
      <c r="C24" s="436" t="s">
        <v>648</v>
      </c>
      <c r="D24" s="425"/>
      <c r="E24" s="425">
        <f>-'IT Comp workings_FY24'!E21</f>
        <v>46950.993172809511</v>
      </c>
      <c r="F24" s="425"/>
      <c r="G24" s="534"/>
      <c r="H24" s="421"/>
      <c r="I24" s="421"/>
      <c r="J24" s="421"/>
      <c r="K24" s="459"/>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c r="AJ24" s="421"/>
      <c r="AK24" s="421"/>
      <c r="AL24" s="421"/>
      <c r="AM24" s="421"/>
      <c r="AN24" s="421"/>
      <c r="AO24" s="421"/>
      <c r="AP24" s="421"/>
      <c r="AQ24" s="421"/>
      <c r="AR24" s="421"/>
      <c r="AS24" s="421"/>
      <c r="AT24" s="421"/>
      <c r="AU24" s="421"/>
      <c r="AV24" s="421"/>
      <c r="AW24" s="421"/>
      <c r="AX24" s="421"/>
      <c r="AY24" s="421"/>
      <c r="AZ24" s="421"/>
      <c r="BA24" s="421"/>
      <c r="BB24" s="421"/>
      <c r="BC24" s="421"/>
      <c r="BD24" s="421"/>
      <c r="BE24" s="421"/>
      <c r="BF24" s="421"/>
      <c r="BG24" s="421"/>
      <c r="BH24" s="421"/>
      <c r="BI24" s="421"/>
      <c r="BJ24" s="421"/>
      <c r="BK24" s="421"/>
      <c r="BL24" s="421"/>
      <c r="BM24" s="421"/>
      <c r="BN24" s="421"/>
      <c r="BO24" s="421"/>
      <c r="BP24" s="421"/>
      <c r="BQ24" s="421"/>
      <c r="BR24" s="421"/>
      <c r="BS24" s="421"/>
      <c r="BT24" s="421"/>
      <c r="BU24" s="421"/>
      <c r="BV24" s="421"/>
      <c r="BW24" s="421"/>
      <c r="BX24" s="421"/>
      <c r="BY24" s="421"/>
      <c r="BZ24" s="421"/>
      <c r="CA24" s="421"/>
      <c r="CB24" s="421"/>
      <c r="CC24" s="421"/>
      <c r="CD24" s="421"/>
      <c r="CE24" s="421"/>
      <c r="CF24" s="421"/>
      <c r="CG24" s="421"/>
      <c r="CH24" s="421"/>
      <c r="CI24" s="421"/>
      <c r="CJ24" s="421"/>
      <c r="CK24" s="421"/>
      <c r="CL24" s="421"/>
      <c r="CM24" s="421"/>
      <c r="CN24" s="421"/>
      <c r="CO24" s="421"/>
      <c r="CP24" s="421"/>
      <c r="CQ24" s="421"/>
      <c r="CR24" s="421"/>
      <c r="CS24" s="421"/>
      <c r="CT24" s="421"/>
      <c r="CU24" s="421"/>
      <c r="CV24" s="421"/>
      <c r="CW24" s="421"/>
      <c r="CX24" s="421"/>
      <c r="CY24" s="421"/>
      <c r="CZ24" s="421"/>
      <c r="DA24" s="421"/>
      <c r="DB24" s="421"/>
      <c r="DC24" s="421"/>
      <c r="DD24" s="421"/>
      <c r="DE24" s="421"/>
      <c r="DF24" s="421"/>
      <c r="DG24" s="421"/>
      <c r="DH24" s="421"/>
      <c r="DI24" s="421"/>
      <c r="DJ24" s="421"/>
      <c r="DK24" s="421"/>
      <c r="DL24" s="421"/>
      <c r="DM24" s="421"/>
      <c r="DN24" s="421"/>
      <c r="DO24" s="421"/>
      <c r="DP24" s="421"/>
      <c r="DQ24" s="421"/>
      <c r="DR24" s="421"/>
      <c r="DS24" s="421"/>
      <c r="DT24" s="421"/>
      <c r="DU24" s="421"/>
      <c r="DV24" s="421"/>
      <c r="DW24" s="421"/>
      <c r="DX24" s="421"/>
      <c r="DY24" s="421"/>
      <c r="DZ24" s="421"/>
      <c r="EA24" s="421"/>
      <c r="EB24" s="421"/>
      <c r="EC24" s="421"/>
      <c r="ED24" s="421"/>
      <c r="EE24" s="421"/>
      <c r="EF24" s="421"/>
      <c r="EG24" s="421"/>
      <c r="EH24" s="421"/>
      <c r="EI24" s="421"/>
      <c r="EJ24" s="421"/>
      <c r="EK24" s="421"/>
      <c r="EL24" s="421"/>
      <c r="EM24" s="421"/>
      <c r="EN24" s="421"/>
      <c r="EO24" s="421"/>
      <c r="EP24" s="421"/>
      <c r="EQ24" s="421"/>
      <c r="ER24" s="421"/>
      <c r="ES24" s="421"/>
      <c r="ET24" s="421"/>
      <c r="EU24" s="421"/>
      <c r="EV24" s="421"/>
      <c r="EW24" s="421"/>
      <c r="EX24" s="421"/>
      <c r="EY24" s="421"/>
      <c r="EZ24" s="421"/>
      <c r="FA24" s="421"/>
      <c r="FB24" s="421"/>
      <c r="FC24" s="421"/>
      <c r="FD24" s="421"/>
      <c r="FE24" s="421"/>
      <c r="FF24" s="421"/>
      <c r="FG24" s="421"/>
      <c r="FH24" s="421"/>
      <c r="FI24" s="421"/>
      <c r="FJ24" s="421"/>
      <c r="FK24" s="421"/>
      <c r="FL24" s="421"/>
      <c r="FM24" s="421"/>
      <c r="FN24" s="421"/>
      <c r="FO24" s="421"/>
      <c r="FP24" s="421"/>
      <c r="FQ24" s="421"/>
      <c r="FR24" s="421"/>
      <c r="FS24" s="421"/>
      <c r="FT24" s="421"/>
      <c r="FU24" s="421"/>
      <c r="FV24" s="421"/>
      <c r="FW24" s="421"/>
      <c r="FX24" s="421"/>
      <c r="FY24" s="421"/>
      <c r="FZ24" s="421"/>
      <c r="GA24" s="421"/>
      <c r="GB24" s="421"/>
      <c r="GC24" s="421"/>
      <c r="GD24" s="421"/>
      <c r="GE24" s="421"/>
      <c r="GF24" s="421"/>
      <c r="GG24" s="421"/>
      <c r="GH24" s="421"/>
      <c r="GI24" s="421"/>
      <c r="GJ24" s="421"/>
      <c r="GK24" s="421"/>
      <c r="GL24" s="421"/>
      <c r="GM24" s="421"/>
      <c r="GN24" s="421"/>
      <c r="GO24" s="421"/>
      <c r="GP24" s="421"/>
      <c r="GQ24" s="421"/>
      <c r="GR24" s="421"/>
      <c r="GS24" s="421"/>
      <c r="GT24" s="421"/>
      <c r="GU24" s="421"/>
      <c r="GV24" s="421"/>
      <c r="GW24" s="421"/>
      <c r="GX24" s="421"/>
      <c r="GY24" s="421"/>
      <c r="GZ24" s="421"/>
      <c r="HA24" s="421"/>
      <c r="HB24" s="421"/>
      <c r="HC24" s="421"/>
      <c r="HD24" s="421"/>
      <c r="HE24" s="421"/>
      <c r="HF24" s="421"/>
      <c r="HG24" s="421"/>
      <c r="HH24" s="421"/>
      <c r="HI24" s="421"/>
      <c r="HJ24" s="421"/>
      <c r="HK24" s="421"/>
      <c r="HL24" s="421"/>
      <c r="HM24" s="421"/>
      <c r="HN24" s="421"/>
      <c r="HO24" s="421"/>
    </row>
    <row r="25" spans="2:223" s="422" customFormat="1" x14ac:dyDescent="0.3">
      <c r="B25" s="427"/>
      <c r="C25" s="436" t="s">
        <v>903</v>
      </c>
      <c r="D25" s="425"/>
      <c r="E25" s="425">
        <f>'TB BVS 31.3.25'!I72</f>
        <v>4679369.24</v>
      </c>
      <c r="F25" s="425"/>
      <c r="G25" s="980">
        <f>+E25+E26</f>
        <v>4638309.24</v>
      </c>
      <c r="H25" s="421"/>
      <c r="I25" s="421"/>
      <c r="J25" s="421"/>
      <c r="K25" s="459"/>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c r="AJ25" s="421"/>
      <c r="AK25" s="421"/>
      <c r="AL25" s="421"/>
      <c r="AM25" s="421"/>
      <c r="AN25" s="421"/>
      <c r="AO25" s="421"/>
      <c r="AP25" s="421"/>
      <c r="AQ25" s="421"/>
      <c r="AR25" s="421"/>
      <c r="AS25" s="421"/>
      <c r="AT25" s="421"/>
      <c r="AU25" s="421"/>
      <c r="AV25" s="421"/>
      <c r="AW25" s="421"/>
      <c r="AX25" s="421"/>
      <c r="AY25" s="421"/>
      <c r="AZ25" s="421"/>
      <c r="BA25" s="421"/>
      <c r="BB25" s="421"/>
      <c r="BC25" s="421"/>
      <c r="BD25" s="421"/>
      <c r="BE25" s="421"/>
      <c r="BF25" s="421"/>
      <c r="BG25" s="421"/>
      <c r="BH25" s="421"/>
      <c r="BI25" s="421"/>
      <c r="BJ25" s="421"/>
      <c r="BK25" s="421"/>
      <c r="BL25" s="421"/>
      <c r="BM25" s="421"/>
      <c r="BN25" s="421"/>
      <c r="BO25" s="421"/>
      <c r="BP25" s="421"/>
      <c r="BQ25" s="421"/>
      <c r="BR25" s="421"/>
      <c r="BS25" s="421"/>
      <c r="BT25" s="421"/>
      <c r="BU25" s="421"/>
      <c r="BV25" s="421"/>
      <c r="BW25" s="421"/>
      <c r="BX25" s="421"/>
      <c r="BY25" s="421"/>
      <c r="BZ25" s="421"/>
      <c r="CA25" s="421"/>
      <c r="CB25" s="421"/>
      <c r="CC25" s="421"/>
      <c r="CD25" s="421"/>
      <c r="CE25" s="421"/>
      <c r="CF25" s="421"/>
      <c r="CG25" s="421"/>
      <c r="CH25" s="421"/>
      <c r="CI25" s="421"/>
      <c r="CJ25" s="421"/>
      <c r="CK25" s="421"/>
      <c r="CL25" s="421"/>
      <c r="CM25" s="421"/>
      <c r="CN25" s="421"/>
      <c r="CO25" s="421"/>
      <c r="CP25" s="421"/>
      <c r="CQ25" s="421"/>
      <c r="CR25" s="421"/>
      <c r="CS25" s="421"/>
      <c r="CT25" s="421"/>
      <c r="CU25" s="421"/>
      <c r="CV25" s="421"/>
      <c r="CW25" s="421"/>
      <c r="CX25" s="421"/>
      <c r="CY25" s="421"/>
      <c r="CZ25" s="421"/>
      <c r="DA25" s="421"/>
      <c r="DB25" s="421"/>
      <c r="DC25" s="421"/>
      <c r="DD25" s="421"/>
      <c r="DE25" s="421"/>
      <c r="DF25" s="421"/>
      <c r="DG25" s="421"/>
      <c r="DH25" s="421"/>
      <c r="DI25" s="421"/>
      <c r="DJ25" s="421"/>
      <c r="DK25" s="421"/>
      <c r="DL25" s="421"/>
      <c r="DM25" s="421"/>
      <c r="DN25" s="421"/>
      <c r="DO25" s="421"/>
      <c r="DP25" s="421"/>
      <c r="DQ25" s="421"/>
      <c r="DR25" s="421"/>
      <c r="DS25" s="421"/>
      <c r="DT25" s="421"/>
      <c r="DU25" s="421"/>
      <c r="DV25" s="421"/>
      <c r="DW25" s="421"/>
      <c r="DX25" s="421"/>
      <c r="DY25" s="421"/>
      <c r="DZ25" s="421"/>
      <c r="EA25" s="421"/>
      <c r="EB25" s="421"/>
      <c r="EC25" s="421"/>
      <c r="ED25" s="421"/>
      <c r="EE25" s="421"/>
      <c r="EF25" s="421"/>
      <c r="EG25" s="421"/>
      <c r="EH25" s="421"/>
      <c r="EI25" s="421"/>
      <c r="EJ25" s="421"/>
      <c r="EK25" s="421"/>
      <c r="EL25" s="421"/>
      <c r="EM25" s="421"/>
      <c r="EN25" s="421"/>
      <c r="EO25" s="421"/>
      <c r="EP25" s="421"/>
      <c r="EQ25" s="421"/>
      <c r="ER25" s="421"/>
      <c r="ES25" s="421"/>
      <c r="ET25" s="421"/>
      <c r="EU25" s="421"/>
      <c r="EV25" s="421"/>
      <c r="EW25" s="421"/>
      <c r="EX25" s="421"/>
      <c r="EY25" s="421"/>
      <c r="EZ25" s="421"/>
      <c r="FA25" s="421"/>
      <c r="FB25" s="421"/>
      <c r="FC25" s="421"/>
      <c r="FD25" s="421"/>
      <c r="FE25" s="421"/>
      <c r="FF25" s="421"/>
      <c r="FG25" s="421"/>
      <c r="FH25" s="421"/>
      <c r="FI25" s="421"/>
      <c r="FJ25" s="421"/>
      <c r="FK25" s="421"/>
      <c r="FL25" s="421"/>
      <c r="FM25" s="421"/>
      <c r="FN25" s="421"/>
      <c r="FO25" s="421"/>
      <c r="FP25" s="421"/>
      <c r="FQ25" s="421"/>
      <c r="FR25" s="421"/>
      <c r="FS25" s="421"/>
      <c r="FT25" s="421"/>
      <c r="FU25" s="421"/>
      <c r="FV25" s="421"/>
      <c r="FW25" s="421"/>
      <c r="FX25" s="421"/>
      <c r="FY25" s="421"/>
      <c r="FZ25" s="421"/>
      <c r="GA25" s="421"/>
      <c r="GB25" s="421"/>
      <c r="GC25" s="421"/>
      <c r="GD25" s="421"/>
      <c r="GE25" s="421"/>
      <c r="GF25" s="421"/>
      <c r="GG25" s="421"/>
      <c r="GH25" s="421"/>
      <c r="GI25" s="421"/>
      <c r="GJ25" s="421"/>
      <c r="GK25" s="421"/>
      <c r="GL25" s="421"/>
      <c r="GM25" s="421"/>
      <c r="GN25" s="421"/>
      <c r="GO25" s="421"/>
      <c r="GP25" s="421"/>
      <c r="GQ25" s="421"/>
      <c r="GR25" s="421"/>
      <c r="GS25" s="421"/>
      <c r="GT25" s="421"/>
      <c r="GU25" s="421"/>
      <c r="GV25" s="421"/>
      <c r="GW25" s="421"/>
      <c r="GX25" s="421"/>
      <c r="GY25" s="421"/>
      <c r="GZ25" s="421"/>
      <c r="HA25" s="421"/>
      <c r="HB25" s="421"/>
      <c r="HC25" s="421"/>
      <c r="HD25" s="421"/>
      <c r="HE25" s="421"/>
      <c r="HF25" s="421"/>
      <c r="HG25" s="421"/>
      <c r="HH25" s="421"/>
      <c r="HI25" s="421"/>
      <c r="HJ25" s="421"/>
      <c r="HK25" s="421"/>
      <c r="HL25" s="421"/>
      <c r="HM25" s="421"/>
      <c r="HN25" s="421"/>
      <c r="HO25" s="421"/>
    </row>
    <row r="26" spans="2:223" s="422" customFormat="1" x14ac:dyDescent="0.3">
      <c r="B26" s="427"/>
      <c r="C26" s="436" t="s">
        <v>863</v>
      </c>
      <c r="D26" s="425"/>
      <c r="E26" s="425">
        <f>'TB BVS 31.3.25'!I73</f>
        <v>-41060</v>
      </c>
      <c r="F26" s="425"/>
      <c r="G26" s="421"/>
      <c r="H26" s="421"/>
      <c r="I26" s="421"/>
      <c r="J26" s="421"/>
      <c r="K26" s="459"/>
      <c r="L26" s="421"/>
      <c r="M26" s="421"/>
      <c r="N26" s="421"/>
      <c r="O26" s="421"/>
      <c r="P26" s="421"/>
      <c r="Q26" s="421"/>
      <c r="R26" s="421"/>
      <c r="S26" s="421"/>
      <c r="T26" s="421"/>
      <c r="U26" s="421"/>
      <c r="V26" s="421"/>
      <c r="W26" s="421"/>
      <c r="X26" s="421"/>
      <c r="Y26" s="421"/>
      <c r="Z26" s="421"/>
      <c r="AA26" s="421"/>
      <c r="AB26" s="421"/>
      <c r="AC26" s="421"/>
      <c r="AD26" s="421"/>
      <c r="AE26" s="421"/>
      <c r="AF26" s="421"/>
      <c r="AG26" s="421"/>
      <c r="AH26" s="421"/>
      <c r="AI26" s="421"/>
      <c r="AJ26" s="421"/>
      <c r="AK26" s="421"/>
      <c r="AL26" s="421"/>
      <c r="AM26" s="421"/>
      <c r="AN26" s="421"/>
      <c r="AO26" s="421"/>
      <c r="AP26" s="421"/>
      <c r="AQ26" s="421"/>
      <c r="AR26" s="421"/>
      <c r="AS26" s="421"/>
      <c r="AT26" s="421"/>
      <c r="AU26" s="421"/>
      <c r="AV26" s="421"/>
      <c r="AW26" s="421"/>
      <c r="AX26" s="421"/>
      <c r="AY26" s="421"/>
      <c r="AZ26" s="421"/>
      <c r="BA26" s="421"/>
      <c r="BB26" s="421"/>
      <c r="BC26" s="421"/>
      <c r="BD26" s="421"/>
      <c r="BE26" s="421"/>
      <c r="BF26" s="421"/>
      <c r="BG26" s="421"/>
      <c r="BH26" s="421"/>
      <c r="BI26" s="421"/>
      <c r="BJ26" s="421"/>
      <c r="BK26" s="421"/>
      <c r="BL26" s="421"/>
      <c r="BM26" s="421"/>
      <c r="BN26" s="421"/>
      <c r="BO26" s="421"/>
      <c r="BP26" s="421"/>
      <c r="BQ26" s="421"/>
      <c r="BR26" s="421"/>
      <c r="BS26" s="421"/>
      <c r="BT26" s="421"/>
      <c r="BU26" s="421"/>
      <c r="BV26" s="421"/>
      <c r="BW26" s="421"/>
      <c r="BX26" s="421"/>
      <c r="BY26" s="421"/>
      <c r="BZ26" s="421"/>
      <c r="CA26" s="421"/>
      <c r="CB26" s="421"/>
      <c r="CC26" s="421"/>
      <c r="CD26" s="421"/>
      <c r="CE26" s="421"/>
      <c r="CF26" s="421"/>
      <c r="CG26" s="421"/>
      <c r="CH26" s="421"/>
      <c r="CI26" s="421"/>
      <c r="CJ26" s="421"/>
      <c r="CK26" s="421"/>
      <c r="CL26" s="421"/>
      <c r="CM26" s="421"/>
      <c r="CN26" s="421"/>
      <c r="CO26" s="421"/>
      <c r="CP26" s="421"/>
      <c r="CQ26" s="421"/>
      <c r="CR26" s="421"/>
      <c r="CS26" s="421"/>
      <c r="CT26" s="421"/>
      <c r="CU26" s="421"/>
      <c r="CV26" s="421"/>
      <c r="CW26" s="421"/>
      <c r="CX26" s="421"/>
      <c r="CY26" s="421"/>
      <c r="CZ26" s="421"/>
      <c r="DA26" s="421"/>
      <c r="DB26" s="421"/>
      <c r="DC26" s="421"/>
      <c r="DD26" s="421"/>
      <c r="DE26" s="421"/>
      <c r="DF26" s="421"/>
      <c r="DG26" s="421"/>
      <c r="DH26" s="421"/>
      <c r="DI26" s="421"/>
      <c r="DJ26" s="421"/>
      <c r="DK26" s="421"/>
      <c r="DL26" s="421"/>
      <c r="DM26" s="421"/>
      <c r="DN26" s="421"/>
      <c r="DO26" s="421"/>
      <c r="DP26" s="421"/>
      <c r="DQ26" s="421"/>
      <c r="DR26" s="421"/>
      <c r="DS26" s="421"/>
      <c r="DT26" s="421"/>
      <c r="DU26" s="421"/>
      <c r="DV26" s="421"/>
      <c r="DW26" s="421"/>
      <c r="DX26" s="421"/>
      <c r="DY26" s="421"/>
      <c r="DZ26" s="421"/>
      <c r="EA26" s="421"/>
      <c r="EB26" s="421"/>
      <c r="EC26" s="421"/>
      <c r="ED26" s="421"/>
      <c r="EE26" s="421"/>
      <c r="EF26" s="421"/>
      <c r="EG26" s="421"/>
      <c r="EH26" s="421"/>
      <c r="EI26" s="421"/>
      <c r="EJ26" s="421"/>
      <c r="EK26" s="421"/>
      <c r="EL26" s="421"/>
      <c r="EM26" s="421"/>
      <c r="EN26" s="421"/>
      <c r="EO26" s="421"/>
      <c r="EP26" s="421"/>
      <c r="EQ26" s="421"/>
      <c r="ER26" s="421"/>
      <c r="ES26" s="421"/>
      <c r="ET26" s="421"/>
      <c r="EU26" s="421"/>
      <c r="EV26" s="421"/>
      <c r="EW26" s="421"/>
      <c r="EX26" s="421"/>
      <c r="EY26" s="421"/>
      <c r="EZ26" s="421"/>
      <c r="FA26" s="421"/>
      <c r="FB26" s="421"/>
      <c r="FC26" s="421"/>
      <c r="FD26" s="421"/>
      <c r="FE26" s="421"/>
      <c r="FF26" s="421"/>
      <c r="FG26" s="421"/>
      <c r="FH26" s="421"/>
      <c r="FI26" s="421"/>
      <c r="FJ26" s="421"/>
      <c r="FK26" s="421"/>
      <c r="FL26" s="421"/>
      <c r="FM26" s="421"/>
      <c r="FN26" s="421"/>
      <c r="FO26" s="421"/>
      <c r="FP26" s="421"/>
      <c r="FQ26" s="421"/>
      <c r="FR26" s="421"/>
      <c r="FS26" s="421"/>
      <c r="FT26" s="421"/>
      <c r="FU26" s="421"/>
      <c r="FV26" s="421"/>
      <c r="FW26" s="421"/>
      <c r="FX26" s="421"/>
      <c r="FY26" s="421"/>
      <c r="FZ26" s="421"/>
      <c r="GA26" s="421"/>
      <c r="GB26" s="421"/>
      <c r="GC26" s="421"/>
      <c r="GD26" s="421"/>
      <c r="GE26" s="421"/>
      <c r="GF26" s="421"/>
      <c r="GG26" s="421"/>
      <c r="GH26" s="421"/>
      <c r="GI26" s="421"/>
      <c r="GJ26" s="421"/>
      <c r="GK26" s="421"/>
      <c r="GL26" s="421"/>
      <c r="GM26" s="421"/>
      <c r="GN26" s="421"/>
      <c r="GO26" s="421"/>
      <c r="GP26" s="421"/>
      <c r="GQ26" s="421"/>
      <c r="GR26" s="421"/>
      <c r="GS26" s="421"/>
      <c r="GT26" s="421"/>
      <c r="GU26" s="421"/>
      <c r="GV26" s="421"/>
      <c r="GW26" s="421"/>
      <c r="GX26" s="421"/>
      <c r="GY26" s="421"/>
      <c r="GZ26" s="421"/>
      <c r="HA26" s="421"/>
      <c r="HB26" s="421"/>
      <c r="HC26" s="421"/>
      <c r="HD26" s="421"/>
      <c r="HE26" s="421"/>
      <c r="HF26" s="421"/>
      <c r="HG26" s="421"/>
      <c r="HH26" s="421"/>
      <c r="HI26" s="421"/>
      <c r="HJ26" s="421"/>
      <c r="HK26" s="421"/>
      <c r="HL26" s="421"/>
      <c r="HM26" s="421"/>
      <c r="HN26" s="421"/>
      <c r="HO26" s="421"/>
    </row>
    <row r="27" spans="2:223" s="422" customFormat="1" x14ac:dyDescent="0.3">
      <c r="B27" s="427"/>
      <c r="C27" s="436" t="s">
        <v>1116</v>
      </c>
      <c r="D27" s="425"/>
      <c r="E27" s="425">
        <v>-8400</v>
      </c>
      <c r="F27" s="425"/>
      <c r="G27" s="421"/>
      <c r="H27" s="421"/>
      <c r="I27" s="421"/>
      <c r="J27" s="421"/>
      <c r="K27" s="459"/>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c r="AJ27" s="421"/>
      <c r="AK27" s="421"/>
      <c r="AL27" s="421"/>
      <c r="AM27" s="421"/>
      <c r="AN27" s="421"/>
      <c r="AO27" s="421"/>
      <c r="AP27" s="421"/>
      <c r="AQ27" s="421"/>
      <c r="AR27" s="421"/>
      <c r="AS27" s="421"/>
      <c r="AT27" s="421"/>
      <c r="AU27" s="421"/>
      <c r="AV27" s="421"/>
      <c r="AW27" s="421"/>
      <c r="AX27" s="421"/>
      <c r="AY27" s="421"/>
      <c r="AZ27" s="421"/>
      <c r="BA27" s="421"/>
      <c r="BB27" s="421"/>
      <c r="BC27" s="421"/>
      <c r="BD27" s="421"/>
      <c r="BE27" s="421"/>
      <c r="BF27" s="421"/>
      <c r="BG27" s="421"/>
      <c r="BH27" s="421"/>
      <c r="BI27" s="421"/>
      <c r="BJ27" s="421"/>
      <c r="BK27" s="421"/>
      <c r="BL27" s="421"/>
      <c r="BM27" s="421"/>
      <c r="BN27" s="421"/>
      <c r="BO27" s="421"/>
      <c r="BP27" s="421"/>
      <c r="BQ27" s="421"/>
      <c r="BR27" s="421"/>
      <c r="BS27" s="421"/>
      <c r="BT27" s="421"/>
      <c r="BU27" s="421"/>
      <c r="BV27" s="421"/>
      <c r="BW27" s="421"/>
      <c r="BX27" s="421"/>
      <c r="BY27" s="421"/>
      <c r="BZ27" s="421"/>
      <c r="CA27" s="421"/>
      <c r="CB27" s="421"/>
      <c r="CC27" s="421"/>
      <c r="CD27" s="421"/>
      <c r="CE27" s="421"/>
      <c r="CF27" s="421"/>
      <c r="CG27" s="421"/>
      <c r="CH27" s="421"/>
      <c r="CI27" s="421"/>
      <c r="CJ27" s="421"/>
      <c r="CK27" s="421"/>
      <c r="CL27" s="421"/>
      <c r="CM27" s="421"/>
      <c r="CN27" s="421"/>
      <c r="CO27" s="421"/>
      <c r="CP27" s="421"/>
      <c r="CQ27" s="421"/>
      <c r="CR27" s="421"/>
      <c r="CS27" s="421"/>
      <c r="CT27" s="421"/>
      <c r="CU27" s="421"/>
      <c r="CV27" s="421"/>
      <c r="CW27" s="421"/>
      <c r="CX27" s="421"/>
      <c r="CY27" s="421"/>
      <c r="CZ27" s="421"/>
      <c r="DA27" s="421"/>
      <c r="DB27" s="421"/>
      <c r="DC27" s="421"/>
      <c r="DD27" s="421"/>
      <c r="DE27" s="421"/>
      <c r="DF27" s="421"/>
      <c r="DG27" s="421"/>
      <c r="DH27" s="421"/>
      <c r="DI27" s="421"/>
      <c r="DJ27" s="421"/>
      <c r="DK27" s="421"/>
      <c r="DL27" s="421"/>
      <c r="DM27" s="421"/>
      <c r="DN27" s="421"/>
      <c r="DO27" s="421"/>
      <c r="DP27" s="421"/>
      <c r="DQ27" s="421"/>
      <c r="DR27" s="421"/>
      <c r="DS27" s="421"/>
      <c r="DT27" s="421"/>
      <c r="DU27" s="421"/>
      <c r="DV27" s="421"/>
      <c r="DW27" s="421"/>
      <c r="DX27" s="421"/>
      <c r="DY27" s="421"/>
      <c r="DZ27" s="421"/>
      <c r="EA27" s="421"/>
      <c r="EB27" s="421"/>
      <c r="EC27" s="421"/>
      <c r="ED27" s="421"/>
      <c r="EE27" s="421"/>
      <c r="EF27" s="421"/>
      <c r="EG27" s="421"/>
      <c r="EH27" s="421"/>
      <c r="EI27" s="421"/>
      <c r="EJ27" s="421"/>
      <c r="EK27" s="421"/>
      <c r="EL27" s="421"/>
      <c r="EM27" s="421"/>
      <c r="EN27" s="421"/>
      <c r="EO27" s="421"/>
      <c r="EP27" s="421"/>
      <c r="EQ27" s="421"/>
      <c r="ER27" s="421"/>
      <c r="ES27" s="421"/>
      <c r="ET27" s="421"/>
      <c r="EU27" s="421"/>
      <c r="EV27" s="421"/>
      <c r="EW27" s="421"/>
      <c r="EX27" s="421"/>
      <c r="EY27" s="421"/>
      <c r="EZ27" s="421"/>
      <c r="FA27" s="421"/>
      <c r="FB27" s="421"/>
      <c r="FC27" s="421"/>
      <c r="FD27" s="421"/>
      <c r="FE27" s="421"/>
      <c r="FF27" s="421"/>
      <c r="FG27" s="421"/>
      <c r="FH27" s="421"/>
      <c r="FI27" s="421"/>
      <c r="FJ27" s="421"/>
      <c r="FK27" s="421"/>
      <c r="FL27" s="421"/>
      <c r="FM27" s="421"/>
      <c r="FN27" s="421"/>
      <c r="FO27" s="421"/>
      <c r="FP27" s="421"/>
      <c r="FQ27" s="421"/>
      <c r="FR27" s="421"/>
      <c r="FS27" s="421"/>
      <c r="FT27" s="421"/>
      <c r="FU27" s="421"/>
      <c r="FV27" s="421"/>
      <c r="FW27" s="421"/>
      <c r="FX27" s="421"/>
      <c r="FY27" s="421"/>
      <c r="FZ27" s="421"/>
      <c r="GA27" s="421"/>
      <c r="GB27" s="421"/>
      <c r="GC27" s="421"/>
      <c r="GD27" s="421"/>
      <c r="GE27" s="421"/>
      <c r="GF27" s="421"/>
      <c r="GG27" s="421"/>
      <c r="GH27" s="421"/>
      <c r="GI27" s="421"/>
      <c r="GJ27" s="421"/>
      <c r="GK27" s="421"/>
      <c r="GL27" s="421"/>
      <c r="GM27" s="421"/>
      <c r="GN27" s="421"/>
      <c r="GO27" s="421"/>
      <c r="GP27" s="421"/>
      <c r="GQ27" s="421"/>
      <c r="GR27" s="421"/>
      <c r="GS27" s="421"/>
      <c r="GT27" s="421"/>
      <c r="GU27" s="421"/>
      <c r="GV27" s="421"/>
      <c r="GW27" s="421"/>
      <c r="GX27" s="421"/>
      <c r="GY27" s="421"/>
      <c r="GZ27" s="421"/>
      <c r="HA27" s="421"/>
      <c r="HB27" s="421"/>
      <c r="HC27" s="421"/>
      <c r="HD27" s="421"/>
      <c r="HE27" s="421"/>
      <c r="HF27" s="421"/>
      <c r="HG27" s="421"/>
      <c r="HH27" s="421"/>
      <c r="HI27" s="421"/>
      <c r="HJ27" s="421"/>
      <c r="HK27" s="421"/>
      <c r="HL27" s="421"/>
      <c r="HM27" s="421"/>
      <c r="HN27" s="421"/>
      <c r="HO27" s="421"/>
    </row>
    <row r="28" spans="2:223" s="422" customFormat="1" x14ac:dyDescent="0.3">
      <c r="B28" s="427"/>
      <c r="C28" s="425" t="s">
        <v>1118</v>
      </c>
      <c r="D28" s="425"/>
      <c r="E28" s="425">
        <f>-'PL Notes 19-27'!C28*1000</f>
        <v>-4000</v>
      </c>
      <c r="F28" s="425"/>
      <c r="G28" s="421"/>
      <c r="H28" s="421"/>
      <c r="I28" s="421"/>
      <c r="J28" s="421"/>
      <c r="K28" s="459"/>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c r="AJ28" s="421"/>
      <c r="AK28" s="421"/>
      <c r="AL28" s="421"/>
      <c r="AM28" s="421"/>
      <c r="AN28" s="421"/>
      <c r="AO28" s="421"/>
      <c r="AP28" s="421"/>
      <c r="AQ28" s="421"/>
      <c r="AR28" s="421"/>
      <c r="AS28" s="421"/>
      <c r="AT28" s="421"/>
      <c r="AU28" s="421"/>
      <c r="AV28" s="421"/>
      <c r="AW28" s="421"/>
      <c r="AX28" s="421"/>
      <c r="AY28" s="421"/>
      <c r="AZ28" s="421"/>
      <c r="BA28" s="421"/>
      <c r="BB28" s="421"/>
      <c r="BC28" s="421"/>
      <c r="BD28" s="421"/>
      <c r="BE28" s="421"/>
      <c r="BF28" s="421"/>
      <c r="BG28" s="421"/>
      <c r="BH28" s="421"/>
      <c r="BI28" s="421"/>
      <c r="BJ28" s="421"/>
      <c r="BK28" s="421"/>
      <c r="BL28" s="421"/>
      <c r="BM28" s="421"/>
      <c r="BN28" s="421"/>
      <c r="BO28" s="421"/>
      <c r="BP28" s="421"/>
      <c r="BQ28" s="421"/>
      <c r="BR28" s="421"/>
      <c r="BS28" s="421"/>
      <c r="BT28" s="421"/>
      <c r="BU28" s="421"/>
      <c r="BV28" s="421"/>
      <c r="BW28" s="421"/>
      <c r="BX28" s="421"/>
      <c r="BY28" s="421"/>
      <c r="BZ28" s="421"/>
      <c r="CA28" s="421"/>
      <c r="CB28" s="421"/>
      <c r="CC28" s="421"/>
      <c r="CD28" s="421"/>
      <c r="CE28" s="421"/>
      <c r="CF28" s="421"/>
      <c r="CG28" s="421"/>
      <c r="CH28" s="421"/>
      <c r="CI28" s="421"/>
      <c r="CJ28" s="421"/>
      <c r="CK28" s="421"/>
      <c r="CL28" s="421"/>
      <c r="CM28" s="421"/>
      <c r="CN28" s="421"/>
      <c r="CO28" s="421"/>
      <c r="CP28" s="421"/>
      <c r="CQ28" s="421"/>
      <c r="CR28" s="421"/>
      <c r="CS28" s="421"/>
      <c r="CT28" s="421"/>
      <c r="CU28" s="421"/>
      <c r="CV28" s="421"/>
      <c r="CW28" s="421"/>
      <c r="CX28" s="421"/>
      <c r="CY28" s="421"/>
      <c r="CZ28" s="421"/>
      <c r="DA28" s="421"/>
      <c r="DB28" s="421"/>
      <c r="DC28" s="421"/>
      <c r="DD28" s="421"/>
      <c r="DE28" s="421"/>
      <c r="DF28" s="421"/>
      <c r="DG28" s="421"/>
      <c r="DH28" s="421"/>
      <c r="DI28" s="421"/>
      <c r="DJ28" s="421"/>
      <c r="DK28" s="421"/>
      <c r="DL28" s="421"/>
      <c r="DM28" s="421"/>
      <c r="DN28" s="421"/>
      <c r="DO28" s="421"/>
      <c r="DP28" s="421"/>
      <c r="DQ28" s="421"/>
      <c r="DR28" s="421"/>
      <c r="DS28" s="421"/>
      <c r="DT28" s="421"/>
      <c r="DU28" s="421"/>
      <c r="DV28" s="421"/>
      <c r="DW28" s="421"/>
      <c r="DX28" s="421"/>
      <c r="DY28" s="421"/>
      <c r="DZ28" s="421"/>
      <c r="EA28" s="421"/>
      <c r="EB28" s="421"/>
      <c r="EC28" s="421"/>
      <c r="ED28" s="421"/>
      <c r="EE28" s="421"/>
      <c r="EF28" s="421"/>
      <c r="EG28" s="421"/>
      <c r="EH28" s="421"/>
      <c r="EI28" s="421"/>
      <c r="EJ28" s="421"/>
      <c r="EK28" s="421"/>
      <c r="EL28" s="421"/>
      <c r="EM28" s="421"/>
      <c r="EN28" s="421"/>
      <c r="EO28" s="421"/>
      <c r="EP28" s="421"/>
      <c r="EQ28" s="421"/>
      <c r="ER28" s="421"/>
      <c r="ES28" s="421"/>
      <c r="ET28" s="421"/>
      <c r="EU28" s="421"/>
      <c r="EV28" s="421"/>
      <c r="EW28" s="421"/>
      <c r="EX28" s="421"/>
      <c r="EY28" s="421"/>
      <c r="EZ28" s="421"/>
      <c r="FA28" s="421"/>
      <c r="FB28" s="421"/>
      <c r="FC28" s="421"/>
      <c r="FD28" s="421"/>
      <c r="FE28" s="421"/>
      <c r="FF28" s="421"/>
      <c r="FG28" s="421"/>
      <c r="FH28" s="421"/>
      <c r="FI28" s="421"/>
      <c r="FJ28" s="421"/>
      <c r="FK28" s="421"/>
      <c r="FL28" s="421"/>
      <c r="FM28" s="421"/>
      <c r="FN28" s="421"/>
      <c r="FO28" s="421"/>
      <c r="FP28" s="421"/>
      <c r="FQ28" s="421"/>
      <c r="FR28" s="421"/>
      <c r="FS28" s="421"/>
      <c r="FT28" s="421"/>
      <c r="FU28" s="421"/>
      <c r="FV28" s="421"/>
      <c r="FW28" s="421"/>
      <c r="FX28" s="421"/>
      <c r="FY28" s="421"/>
      <c r="FZ28" s="421"/>
      <c r="GA28" s="421"/>
      <c r="GB28" s="421"/>
      <c r="GC28" s="421"/>
      <c r="GD28" s="421"/>
      <c r="GE28" s="421"/>
      <c r="GF28" s="421"/>
      <c r="GG28" s="421"/>
      <c r="GH28" s="421"/>
      <c r="GI28" s="421"/>
      <c r="GJ28" s="421"/>
      <c r="GK28" s="421"/>
      <c r="GL28" s="421"/>
      <c r="GM28" s="421"/>
      <c r="GN28" s="421"/>
      <c r="GO28" s="421"/>
      <c r="GP28" s="421"/>
      <c r="GQ28" s="421"/>
      <c r="GR28" s="421"/>
      <c r="GS28" s="421"/>
      <c r="GT28" s="421"/>
      <c r="GU28" s="421"/>
      <c r="GV28" s="421"/>
      <c r="GW28" s="421"/>
      <c r="GX28" s="421"/>
      <c r="GY28" s="421"/>
      <c r="GZ28" s="421"/>
      <c r="HA28" s="421"/>
      <c r="HB28" s="421"/>
      <c r="HC28" s="421"/>
      <c r="HD28" s="421"/>
      <c r="HE28" s="421"/>
      <c r="HF28" s="421"/>
      <c r="HG28" s="421"/>
      <c r="HH28" s="421"/>
      <c r="HI28" s="421"/>
      <c r="HJ28" s="421"/>
      <c r="HK28" s="421"/>
      <c r="HL28" s="421"/>
      <c r="HM28" s="421"/>
      <c r="HN28" s="421"/>
      <c r="HO28" s="421"/>
    </row>
    <row r="29" spans="2:223" s="422" customFormat="1" x14ac:dyDescent="0.3">
      <c r="B29" s="427"/>
      <c r="C29" s="425" t="s">
        <v>1119</v>
      </c>
      <c r="D29" s="425"/>
      <c r="E29" s="425"/>
      <c r="F29" s="425"/>
      <c r="G29" s="421"/>
      <c r="H29" s="421"/>
      <c r="I29" s="421"/>
      <c r="J29" s="421"/>
      <c r="K29" s="459"/>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c r="AJ29" s="421"/>
      <c r="AK29" s="421"/>
      <c r="AL29" s="421"/>
      <c r="AM29" s="421"/>
      <c r="AN29" s="421"/>
      <c r="AO29" s="421"/>
      <c r="AP29" s="421"/>
      <c r="AQ29" s="421"/>
      <c r="AR29" s="421"/>
      <c r="AS29" s="421"/>
      <c r="AT29" s="421"/>
      <c r="AU29" s="421"/>
      <c r="AV29" s="421"/>
      <c r="AW29" s="421"/>
      <c r="AX29" s="421"/>
      <c r="AY29" s="421"/>
      <c r="AZ29" s="421"/>
      <c r="BA29" s="421"/>
      <c r="BB29" s="421"/>
      <c r="BC29" s="421"/>
      <c r="BD29" s="421"/>
      <c r="BE29" s="421"/>
      <c r="BF29" s="421"/>
      <c r="BG29" s="421"/>
      <c r="BH29" s="421"/>
      <c r="BI29" s="421"/>
      <c r="BJ29" s="421"/>
      <c r="BK29" s="421"/>
      <c r="BL29" s="421"/>
      <c r="BM29" s="421"/>
      <c r="BN29" s="421"/>
      <c r="BO29" s="421"/>
      <c r="BP29" s="421"/>
      <c r="BQ29" s="421"/>
      <c r="BR29" s="421"/>
      <c r="BS29" s="421"/>
      <c r="BT29" s="421"/>
      <c r="BU29" s="421"/>
      <c r="BV29" s="421"/>
      <c r="BW29" s="421"/>
      <c r="BX29" s="421"/>
      <c r="BY29" s="421"/>
      <c r="BZ29" s="421"/>
      <c r="CA29" s="421"/>
      <c r="CB29" s="421"/>
      <c r="CC29" s="421"/>
      <c r="CD29" s="421"/>
      <c r="CE29" s="421"/>
      <c r="CF29" s="421"/>
      <c r="CG29" s="421"/>
      <c r="CH29" s="421"/>
      <c r="CI29" s="421"/>
      <c r="CJ29" s="421"/>
      <c r="CK29" s="421"/>
      <c r="CL29" s="421"/>
      <c r="CM29" s="421"/>
      <c r="CN29" s="421"/>
      <c r="CO29" s="421"/>
      <c r="CP29" s="421"/>
      <c r="CQ29" s="421"/>
      <c r="CR29" s="421"/>
      <c r="CS29" s="421"/>
      <c r="CT29" s="421"/>
      <c r="CU29" s="421"/>
      <c r="CV29" s="421"/>
      <c r="CW29" s="421"/>
      <c r="CX29" s="421"/>
      <c r="CY29" s="421"/>
      <c r="CZ29" s="421"/>
      <c r="DA29" s="421"/>
      <c r="DB29" s="421"/>
      <c r="DC29" s="421"/>
      <c r="DD29" s="421"/>
      <c r="DE29" s="421"/>
      <c r="DF29" s="421"/>
      <c r="DG29" s="421"/>
      <c r="DH29" s="421"/>
      <c r="DI29" s="421"/>
      <c r="DJ29" s="421"/>
      <c r="DK29" s="421"/>
      <c r="DL29" s="421"/>
      <c r="DM29" s="421"/>
      <c r="DN29" s="421"/>
      <c r="DO29" s="421"/>
      <c r="DP29" s="421"/>
      <c r="DQ29" s="421"/>
      <c r="DR29" s="421"/>
      <c r="DS29" s="421"/>
      <c r="DT29" s="421"/>
      <c r="DU29" s="421"/>
      <c r="DV29" s="421"/>
      <c r="DW29" s="421"/>
      <c r="DX29" s="421"/>
      <c r="DY29" s="421"/>
      <c r="DZ29" s="421"/>
      <c r="EA29" s="421"/>
      <c r="EB29" s="421"/>
      <c r="EC29" s="421"/>
      <c r="ED29" s="421"/>
      <c r="EE29" s="421"/>
      <c r="EF29" s="421"/>
      <c r="EG29" s="421"/>
      <c r="EH29" s="421"/>
      <c r="EI29" s="421"/>
      <c r="EJ29" s="421"/>
      <c r="EK29" s="421"/>
      <c r="EL29" s="421"/>
      <c r="EM29" s="421"/>
      <c r="EN29" s="421"/>
      <c r="EO29" s="421"/>
      <c r="EP29" s="421"/>
      <c r="EQ29" s="421"/>
      <c r="ER29" s="421"/>
      <c r="ES29" s="421"/>
      <c r="ET29" s="421"/>
      <c r="EU29" s="421"/>
      <c r="EV29" s="421"/>
      <c r="EW29" s="421"/>
      <c r="EX29" s="421"/>
      <c r="EY29" s="421"/>
      <c r="EZ29" s="421"/>
      <c r="FA29" s="421"/>
      <c r="FB29" s="421"/>
      <c r="FC29" s="421"/>
      <c r="FD29" s="421"/>
      <c r="FE29" s="421"/>
      <c r="FF29" s="421"/>
      <c r="FG29" s="421"/>
      <c r="FH29" s="421"/>
      <c r="FI29" s="421"/>
      <c r="FJ29" s="421"/>
      <c r="FK29" s="421"/>
      <c r="FL29" s="421"/>
      <c r="FM29" s="421"/>
      <c r="FN29" s="421"/>
      <c r="FO29" s="421"/>
      <c r="FP29" s="421"/>
      <c r="FQ29" s="421"/>
      <c r="FR29" s="421"/>
      <c r="FS29" s="421"/>
      <c r="FT29" s="421"/>
      <c r="FU29" s="421"/>
      <c r="FV29" s="421"/>
      <c r="FW29" s="421"/>
      <c r="FX29" s="421"/>
      <c r="FY29" s="421"/>
      <c r="FZ29" s="421"/>
      <c r="GA29" s="421"/>
      <c r="GB29" s="421"/>
      <c r="GC29" s="421"/>
      <c r="GD29" s="421"/>
      <c r="GE29" s="421"/>
      <c r="GF29" s="421"/>
      <c r="GG29" s="421"/>
      <c r="GH29" s="421"/>
      <c r="GI29" s="421"/>
      <c r="GJ29" s="421"/>
      <c r="GK29" s="421"/>
      <c r="GL29" s="421"/>
      <c r="GM29" s="421"/>
      <c r="GN29" s="421"/>
      <c r="GO29" s="421"/>
      <c r="GP29" s="421"/>
      <c r="GQ29" s="421"/>
      <c r="GR29" s="421"/>
      <c r="GS29" s="421"/>
      <c r="GT29" s="421"/>
      <c r="GU29" s="421"/>
      <c r="GV29" s="421"/>
      <c r="GW29" s="421"/>
      <c r="GX29" s="421"/>
      <c r="GY29" s="421"/>
      <c r="GZ29" s="421"/>
      <c r="HA29" s="421"/>
      <c r="HB29" s="421"/>
      <c r="HC29" s="421"/>
      <c r="HD29" s="421"/>
      <c r="HE29" s="421"/>
      <c r="HF29" s="421"/>
      <c r="HG29" s="421"/>
      <c r="HH29" s="421"/>
      <c r="HI29" s="421"/>
      <c r="HJ29" s="421"/>
      <c r="HK29" s="421"/>
      <c r="HL29" s="421"/>
      <c r="HM29" s="421"/>
      <c r="HN29" s="421"/>
      <c r="HO29" s="421"/>
    </row>
    <row r="30" spans="2:223" s="422" customFormat="1" x14ac:dyDescent="0.3">
      <c r="B30" s="427"/>
      <c r="C30" s="442" t="s">
        <v>1117</v>
      </c>
      <c r="D30" s="425"/>
      <c r="E30" s="425">
        <f>-'IT Comp workings_FY24'!C62</f>
        <v>-17876.795132630385</v>
      </c>
      <c r="F30" s="425"/>
      <c r="G30" s="421"/>
      <c r="H30" s="421"/>
      <c r="I30" s="421"/>
      <c r="J30" s="421"/>
      <c r="K30" s="459"/>
      <c r="L30" s="421"/>
      <c r="M30" s="421"/>
      <c r="N30" s="421"/>
      <c r="O30" s="421"/>
      <c r="P30" s="421"/>
      <c r="Q30" s="421"/>
      <c r="R30" s="421"/>
      <c r="S30" s="421"/>
      <c r="T30" s="421"/>
      <c r="U30" s="421"/>
      <c r="V30" s="421"/>
      <c r="W30" s="421"/>
      <c r="X30" s="421"/>
      <c r="Y30" s="421"/>
      <c r="Z30" s="421"/>
      <c r="AA30" s="421"/>
      <c r="AB30" s="421"/>
      <c r="AC30" s="421"/>
      <c r="AD30" s="421"/>
      <c r="AE30" s="421"/>
      <c r="AF30" s="421"/>
      <c r="AG30" s="421"/>
      <c r="AH30" s="421"/>
      <c r="AI30" s="421"/>
      <c r="AJ30" s="421"/>
      <c r="AK30" s="421"/>
      <c r="AL30" s="421"/>
      <c r="AM30" s="421"/>
      <c r="AN30" s="421"/>
      <c r="AO30" s="421"/>
      <c r="AP30" s="421"/>
      <c r="AQ30" s="421"/>
      <c r="AR30" s="421"/>
      <c r="AS30" s="421"/>
      <c r="AT30" s="421"/>
      <c r="AU30" s="421"/>
      <c r="AV30" s="421"/>
      <c r="AW30" s="421"/>
      <c r="AX30" s="421"/>
      <c r="AY30" s="421"/>
      <c r="AZ30" s="421"/>
      <c r="BA30" s="421"/>
      <c r="BB30" s="421"/>
      <c r="BC30" s="421"/>
      <c r="BD30" s="421"/>
      <c r="BE30" s="421"/>
      <c r="BF30" s="421"/>
      <c r="BG30" s="421"/>
      <c r="BH30" s="421"/>
      <c r="BI30" s="421"/>
      <c r="BJ30" s="421"/>
      <c r="BK30" s="421"/>
      <c r="BL30" s="421"/>
      <c r="BM30" s="421"/>
      <c r="BN30" s="421"/>
      <c r="BO30" s="421"/>
      <c r="BP30" s="421"/>
      <c r="BQ30" s="421"/>
      <c r="BR30" s="421"/>
      <c r="BS30" s="421"/>
      <c r="BT30" s="421"/>
      <c r="BU30" s="421"/>
      <c r="BV30" s="421"/>
      <c r="BW30" s="421"/>
      <c r="BX30" s="421"/>
      <c r="BY30" s="421"/>
      <c r="BZ30" s="421"/>
      <c r="CA30" s="421"/>
      <c r="CB30" s="421"/>
      <c r="CC30" s="421"/>
      <c r="CD30" s="421"/>
      <c r="CE30" s="421"/>
      <c r="CF30" s="421"/>
      <c r="CG30" s="421"/>
      <c r="CH30" s="421"/>
      <c r="CI30" s="421"/>
      <c r="CJ30" s="421"/>
      <c r="CK30" s="421"/>
      <c r="CL30" s="421"/>
      <c r="CM30" s="421"/>
      <c r="CN30" s="421"/>
      <c r="CO30" s="421"/>
      <c r="CP30" s="421"/>
      <c r="CQ30" s="421"/>
      <c r="CR30" s="421"/>
      <c r="CS30" s="421"/>
      <c r="CT30" s="421"/>
      <c r="CU30" s="421"/>
      <c r="CV30" s="421"/>
      <c r="CW30" s="421"/>
      <c r="CX30" s="421"/>
      <c r="CY30" s="421"/>
      <c r="CZ30" s="421"/>
      <c r="DA30" s="421"/>
      <c r="DB30" s="421"/>
      <c r="DC30" s="421"/>
      <c r="DD30" s="421"/>
      <c r="DE30" s="421"/>
      <c r="DF30" s="421"/>
      <c r="DG30" s="421"/>
      <c r="DH30" s="421"/>
      <c r="DI30" s="421"/>
      <c r="DJ30" s="421"/>
      <c r="DK30" s="421"/>
      <c r="DL30" s="421"/>
      <c r="DM30" s="421"/>
      <c r="DN30" s="421"/>
      <c r="DO30" s="421"/>
      <c r="DP30" s="421"/>
      <c r="DQ30" s="421"/>
      <c r="DR30" s="421"/>
      <c r="DS30" s="421"/>
      <c r="DT30" s="421"/>
      <c r="DU30" s="421"/>
      <c r="DV30" s="421"/>
      <c r="DW30" s="421"/>
      <c r="DX30" s="421"/>
      <c r="DY30" s="421"/>
      <c r="DZ30" s="421"/>
      <c r="EA30" s="421"/>
      <c r="EB30" s="421"/>
      <c r="EC30" s="421"/>
      <c r="ED30" s="421"/>
      <c r="EE30" s="421"/>
      <c r="EF30" s="421"/>
      <c r="EG30" s="421"/>
      <c r="EH30" s="421"/>
      <c r="EI30" s="421"/>
      <c r="EJ30" s="421"/>
      <c r="EK30" s="421"/>
      <c r="EL30" s="421"/>
      <c r="EM30" s="421"/>
      <c r="EN30" s="421"/>
      <c r="EO30" s="421"/>
      <c r="EP30" s="421"/>
      <c r="EQ30" s="421"/>
      <c r="ER30" s="421"/>
      <c r="ES30" s="421"/>
      <c r="ET30" s="421"/>
      <c r="EU30" s="421"/>
      <c r="EV30" s="421"/>
      <c r="EW30" s="421"/>
      <c r="EX30" s="421"/>
      <c r="EY30" s="421"/>
      <c r="EZ30" s="421"/>
      <c r="FA30" s="421"/>
      <c r="FB30" s="421"/>
      <c r="FC30" s="421"/>
      <c r="FD30" s="421"/>
      <c r="FE30" s="421"/>
      <c r="FF30" s="421"/>
      <c r="FG30" s="421"/>
      <c r="FH30" s="421"/>
      <c r="FI30" s="421"/>
      <c r="FJ30" s="421"/>
      <c r="FK30" s="421"/>
      <c r="FL30" s="421"/>
      <c r="FM30" s="421"/>
      <c r="FN30" s="421"/>
      <c r="FO30" s="421"/>
      <c r="FP30" s="421"/>
      <c r="FQ30" s="421"/>
      <c r="FR30" s="421"/>
      <c r="FS30" s="421"/>
      <c r="FT30" s="421"/>
      <c r="FU30" s="421"/>
      <c r="FV30" s="421"/>
      <c r="FW30" s="421"/>
      <c r="FX30" s="421"/>
      <c r="FY30" s="421"/>
      <c r="FZ30" s="421"/>
      <c r="GA30" s="421"/>
      <c r="GB30" s="421"/>
      <c r="GC30" s="421"/>
      <c r="GD30" s="421"/>
      <c r="GE30" s="421"/>
      <c r="GF30" s="421"/>
      <c r="GG30" s="421"/>
      <c r="GH30" s="421"/>
      <c r="GI30" s="421"/>
      <c r="GJ30" s="421"/>
      <c r="GK30" s="421"/>
      <c r="GL30" s="421"/>
      <c r="GM30" s="421"/>
      <c r="GN30" s="421"/>
      <c r="GO30" s="421"/>
      <c r="GP30" s="421"/>
      <c r="GQ30" s="421"/>
      <c r="GR30" s="421"/>
      <c r="GS30" s="421"/>
      <c r="GT30" s="421"/>
      <c r="GU30" s="421"/>
      <c r="GV30" s="421"/>
      <c r="GW30" s="421"/>
      <c r="GX30" s="421"/>
      <c r="GY30" s="421"/>
      <c r="GZ30" s="421"/>
      <c r="HA30" s="421"/>
      <c r="HB30" s="421"/>
      <c r="HC30" s="421"/>
      <c r="HD30" s="421"/>
      <c r="HE30" s="421"/>
      <c r="HF30" s="421"/>
      <c r="HG30" s="421"/>
      <c r="HH30" s="421"/>
      <c r="HI30" s="421"/>
      <c r="HJ30" s="421"/>
      <c r="HK30" s="421"/>
      <c r="HL30" s="421"/>
      <c r="HM30" s="421"/>
      <c r="HN30" s="421"/>
      <c r="HO30" s="421"/>
    </row>
    <row r="31" spans="2:223" s="422" customFormat="1" x14ac:dyDescent="0.3">
      <c r="B31" s="427"/>
      <c r="C31" s="442"/>
      <c r="D31" s="425"/>
      <c r="E31" s="426"/>
      <c r="F31" s="425">
        <f>SUM(E24:E31)</f>
        <v>4654983.4380401792</v>
      </c>
      <c r="G31" s="421"/>
      <c r="H31" s="421"/>
      <c r="I31" s="421"/>
      <c r="J31" s="421"/>
      <c r="K31" s="459"/>
      <c r="L31" s="421"/>
      <c r="M31" s="421"/>
      <c r="N31" s="421"/>
      <c r="O31" s="421"/>
      <c r="P31" s="421"/>
      <c r="Q31" s="421"/>
      <c r="R31" s="421"/>
      <c r="S31" s="421"/>
      <c r="T31" s="421"/>
      <c r="U31" s="421"/>
      <c r="V31" s="421"/>
      <c r="W31" s="421"/>
      <c r="X31" s="421"/>
      <c r="Y31" s="421"/>
      <c r="Z31" s="421"/>
      <c r="AA31" s="421"/>
      <c r="AB31" s="421"/>
      <c r="AC31" s="421"/>
      <c r="AD31" s="421"/>
      <c r="AE31" s="421"/>
      <c r="AF31" s="421"/>
      <c r="AG31" s="421"/>
      <c r="AH31" s="421"/>
      <c r="AI31" s="421"/>
      <c r="AJ31" s="421"/>
      <c r="AK31" s="421"/>
      <c r="AL31" s="421"/>
      <c r="AM31" s="421"/>
      <c r="AN31" s="421"/>
      <c r="AO31" s="421"/>
      <c r="AP31" s="421"/>
      <c r="AQ31" s="421"/>
      <c r="AR31" s="421"/>
      <c r="AS31" s="421"/>
      <c r="AT31" s="421"/>
      <c r="AU31" s="421"/>
      <c r="AV31" s="421"/>
      <c r="AW31" s="421"/>
      <c r="AX31" s="421"/>
      <c r="AY31" s="421"/>
      <c r="AZ31" s="421"/>
      <c r="BA31" s="421"/>
      <c r="BB31" s="421"/>
      <c r="BC31" s="421"/>
      <c r="BD31" s="421"/>
      <c r="BE31" s="421"/>
      <c r="BF31" s="421"/>
      <c r="BG31" s="421"/>
      <c r="BH31" s="421"/>
      <c r="BI31" s="421"/>
      <c r="BJ31" s="421"/>
      <c r="BK31" s="421"/>
      <c r="BL31" s="421"/>
      <c r="BM31" s="421"/>
      <c r="BN31" s="421"/>
      <c r="BO31" s="421"/>
      <c r="BP31" s="421"/>
      <c r="BQ31" s="421"/>
      <c r="BR31" s="421"/>
      <c r="BS31" s="421"/>
      <c r="BT31" s="421"/>
      <c r="BU31" s="421"/>
      <c r="BV31" s="421"/>
      <c r="BW31" s="421"/>
      <c r="BX31" s="421"/>
      <c r="BY31" s="421"/>
      <c r="BZ31" s="421"/>
      <c r="CA31" s="421"/>
      <c r="CB31" s="421"/>
      <c r="CC31" s="421"/>
      <c r="CD31" s="421"/>
      <c r="CE31" s="421"/>
      <c r="CF31" s="421"/>
      <c r="CG31" s="421"/>
      <c r="CH31" s="421"/>
      <c r="CI31" s="421"/>
      <c r="CJ31" s="421"/>
      <c r="CK31" s="421"/>
      <c r="CL31" s="421"/>
      <c r="CM31" s="421"/>
      <c r="CN31" s="421"/>
      <c r="CO31" s="421"/>
      <c r="CP31" s="421"/>
      <c r="CQ31" s="421"/>
      <c r="CR31" s="421"/>
      <c r="CS31" s="421"/>
      <c r="CT31" s="421"/>
      <c r="CU31" s="421"/>
      <c r="CV31" s="421"/>
      <c r="CW31" s="421"/>
      <c r="CX31" s="421"/>
      <c r="CY31" s="421"/>
      <c r="CZ31" s="421"/>
      <c r="DA31" s="421"/>
      <c r="DB31" s="421"/>
      <c r="DC31" s="421"/>
      <c r="DD31" s="421"/>
      <c r="DE31" s="421"/>
      <c r="DF31" s="421"/>
      <c r="DG31" s="421"/>
      <c r="DH31" s="421"/>
      <c r="DI31" s="421"/>
      <c r="DJ31" s="421"/>
      <c r="DK31" s="421"/>
      <c r="DL31" s="421"/>
      <c r="DM31" s="421"/>
      <c r="DN31" s="421"/>
      <c r="DO31" s="421"/>
      <c r="DP31" s="421"/>
      <c r="DQ31" s="421"/>
      <c r="DR31" s="421"/>
      <c r="DS31" s="421"/>
      <c r="DT31" s="421"/>
      <c r="DU31" s="421"/>
      <c r="DV31" s="421"/>
      <c r="DW31" s="421"/>
      <c r="DX31" s="421"/>
      <c r="DY31" s="421"/>
      <c r="DZ31" s="421"/>
      <c r="EA31" s="421"/>
      <c r="EB31" s="421"/>
      <c r="EC31" s="421"/>
      <c r="ED31" s="421"/>
      <c r="EE31" s="421"/>
      <c r="EF31" s="421"/>
      <c r="EG31" s="421"/>
      <c r="EH31" s="421"/>
      <c r="EI31" s="421"/>
      <c r="EJ31" s="421"/>
      <c r="EK31" s="421"/>
      <c r="EL31" s="421"/>
      <c r="EM31" s="421"/>
      <c r="EN31" s="421"/>
      <c r="EO31" s="421"/>
      <c r="EP31" s="421"/>
      <c r="EQ31" s="421"/>
      <c r="ER31" s="421"/>
      <c r="ES31" s="421"/>
      <c r="ET31" s="421"/>
      <c r="EU31" s="421"/>
      <c r="EV31" s="421"/>
      <c r="EW31" s="421"/>
      <c r="EX31" s="421"/>
      <c r="EY31" s="421"/>
      <c r="EZ31" s="421"/>
      <c r="FA31" s="421"/>
      <c r="FB31" s="421"/>
      <c r="FC31" s="421"/>
      <c r="FD31" s="421"/>
      <c r="FE31" s="421"/>
      <c r="FF31" s="421"/>
      <c r="FG31" s="421"/>
      <c r="FH31" s="421"/>
      <c r="FI31" s="421"/>
      <c r="FJ31" s="421"/>
      <c r="FK31" s="421"/>
      <c r="FL31" s="421"/>
      <c r="FM31" s="421"/>
      <c r="FN31" s="421"/>
      <c r="FO31" s="421"/>
      <c r="FP31" s="421"/>
      <c r="FQ31" s="421"/>
      <c r="FR31" s="421"/>
      <c r="FS31" s="421"/>
      <c r="FT31" s="421"/>
      <c r="FU31" s="421"/>
      <c r="FV31" s="421"/>
      <c r="FW31" s="421"/>
      <c r="FX31" s="421"/>
      <c r="FY31" s="421"/>
      <c r="FZ31" s="421"/>
      <c r="GA31" s="421"/>
      <c r="GB31" s="421"/>
      <c r="GC31" s="421"/>
      <c r="GD31" s="421"/>
      <c r="GE31" s="421"/>
      <c r="GF31" s="421"/>
      <c r="GG31" s="421"/>
      <c r="GH31" s="421"/>
      <c r="GI31" s="421"/>
      <c r="GJ31" s="421"/>
      <c r="GK31" s="421"/>
      <c r="GL31" s="421"/>
      <c r="GM31" s="421"/>
      <c r="GN31" s="421"/>
      <c r="GO31" s="421"/>
      <c r="GP31" s="421"/>
      <c r="GQ31" s="421"/>
      <c r="GR31" s="421"/>
      <c r="GS31" s="421"/>
      <c r="GT31" s="421"/>
      <c r="GU31" s="421"/>
      <c r="GV31" s="421"/>
      <c r="GW31" s="421"/>
      <c r="GX31" s="421"/>
      <c r="GY31" s="421"/>
      <c r="GZ31" s="421"/>
      <c r="HA31" s="421"/>
      <c r="HB31" s="421"/>
      <c r="HC31" s="421"/>
      <c r="HD31" s="421"/>
      <c r="HE31" s="421"/>
      <c r="HF31" s="421"/>
      <c r="HG31" s="421"/>
      <c r="HH31" s="421"/>
      <c r="HI31" s="421"/>
      <c r="HJ31" s="421"/>
      <c r="HK31" s="421"/>
      <c r="HL31" s="421"/>
      <c r="HM31" s="421"/>
      <c r="HN31" s="421"/>
      <c r="HO31" s="421"/>
    </row>
    <row r="32" spans="2:223" s="422" customFormat="1" x14ac:dyDescent="0.3">
      <c r="B32" s="437"/>
      <c r="C32" s="441"/>
      <c r="D32" s="425"/>
      <c r="E32" s="425"/>
      <c r="F32" s="425"/>
      <c r="G32" s="421"/>
      <c r="H32" s="421"/>
      <c r="I32" s="421"/>
      <c r="J32" s="421"/>
      <c r="K32" s="459"/>
      <c r="L32" s="421"/>
      <c r="M32" s="421"/>
      <c r="N32" s="421"/>
      <c r="O32" s="421"/>
      <c r="P32" s="421"/>
      <c r="Q32" s="421"/>
      <c r="R32" s="421"/>
      <c r="S32" s="421"/>
      <c r="T32" s="421"/>
      <c r="U32" s="421"/>
      <c r="V32" s="421"/>
      <c r="W32" s="421"/>
      <c r="X32" s="421"/>
      <c r="Y32" s="421"/>
      <c r="Z32" s="421"/>
      <c r="AA32" s="421"/>
      <c r="AB32" s="421"/>
      <c r="AC32" s="421"/>
      <c r="AD32" s="421"/>
      <c r="AE32" s="421"/>
      <c r="AF32" s="421"/>
      <c r="AG32" s="421"/>
      <c r="AH32" s="421"/>
      <c r="AI32" s="421"/>
      <c r="AJ32" s="421"/>
      <c r="AK32" s="421"/>
      <c r="AL32" s="421"/>
      <c r="AM32" s="421"/>
      <c r="AN32" s="421"/>
      <c r="AO32" s="421"/>
      <c r="AP32" s="421"/>
      <c r="AQ32" s="421"/>
      <c r="AR32" s="421"/>
      <c r="AS32" s="421"/>
      <c r="AT32" s="421"/>
      <c r="AU32" s="421"/>
      <c r="AV32" s="421"/>
      <c r="AW32" s="421"/>
      <c r="AX32" s="421"/>
      <c r="AY32" s="421"/>
      <c r="AZ32" s="421"/>
      <c r="BA32" s="421"/>
      <c r="BB32" s="421"/>
      <c r="BC32" s="421"/>
      <c r="BD32" s="421"/>
      <c r="BE32" s="421"/>
      <c r="BF32" s="421"/>
      <c r="BG32" s="421"/>
      <c r="BH32" s="421"/>
      <c r="BI32" s="421"/>
      <c r="BJ32" s="421"/>
      <c r="BK32" s="421"/>
      <c r="BL32" s="421"/>
      <c r="BM32" s="421"/>
      <c r="BN32" s="421"/>
      <c r="BO32" s="421"/>
      <c r="BP32" s="421"/>
      <c r="BQ32" s="421"/>
      <c r="BR32" s="421"/>
      <c r="BS32" s="421"/>
      <c r="BT32" s="421"/>
      <c r="BU32" s="421"/>
      <c r="BV32" s="421"/>
      <c r="BW32" s="421"/>
      <c r="BX32" s="421"/>
      <c r="BY32" s="421"/>
      <c r="BZ32" s="421"/>
      <c r="CA32" s="421"/>
      <c r="CB32" s="421"/>
      <c r="CC32" s="421"/>
      <c r="CD32" s="421"/>
      <c r="CE32" s="421"/>
      <c r="CF32" s="421"/>
      <c r="CG32" s="421"/>
      <c r="CH32" s="421"/>
      <c r="CI32" s="421"/>
      <c r="CJ32" s="421"/>
      <c r="CK32" s="421"/>
      <c r="CL32" s="421"/>
      <c r="CM32" s="421"/>
      <c r="CN32" s="421"/>
      <c r="CO32" s="421"/>
      <c r="CP32" s="421"/>
      <c r="CQ32" s="421"/>
      <c r="CR32" s="421"/>
      <c r="CS32" s="421"/>
      <c r="CT32" s="421"/>
      <c r="CU32" s="421"/>
      <c r="CV32" s="421"/>
      <c r="CW32" s="421"/>
      <c r="CX32" s="421"/>
      <c r="CY32" s="421"/>
      <c r="CZ32" s="421"/>
      <c r="DA32" s="421"/>
      <c r="DB32" s="421"/>
      <c r="DC32" s="421"/>
      <c r="DD32" s="421"/>
      <c r="DE32" s="421"/>
      <c r="DF32" s="421"/>
      <c r="DG32" s="421"/>
      <c r="DH32" s="421"/>
      <c r="DI32" s="421"/>
      <c r="DJ32" s="421"/>
      <c r="DK32" s="421"/>
      <c r="DL32" s="421"/>
      <c r="DM32" s="421"/>
      <c r="DN32" s="421"/>
      <c r="DO32" s="421"/>
      <c r="DP32" s="421"/>
      <c r="DQ32" s="421"/>
      <c r="DR32" s="421"/>
      <c r="DS32" s="421"/>
      <c r="DT32" s="421"/>
      <c r="DU32" s="421"/>
      <c r="DV32" s="421"/>
      <c r="DW32" s="421"/>
      <c r="DX32" s="421"/>
      <c r="DY32" s="421"/>
      <c r="DZ32" s="421"/>
      <c r="EA32" s="421"/>
      <c r="EB32" s="421"/>
      <c r="EC32" s="421"/>
      <c r="ED32" s="421"/>
      <c r="EE32" s="421"/>
      <c r="EF32" s="421"/>
      <c r="EG32" s="421"/>
      <c r="EH32" s="421"/>
      <c r="EI32" s="421"/>
      <c r="EJ32" s="421"/>
      <c r="EK32" s="421"/>
      <c r="EL32" s="421"/>
      <c r="EM32" s="421"/>
      <c r="EN32" s="421"/>
      <c r="EO32" s="421"/>
      <c r="EP32" s="421"/>
      <c r="EQ32" s="421"/>
      <c r="ER32" s="421"/>
      <c r="ES32" s="421"/>
      <c r="ET32" s="421"/>
      <c r="EU32" s="421"/>
      <c r="EV32" s="421"/>
      <c r="EW32" s="421"/>
      <c r="EX32" s="421"/>
      <c r="EY32" s="421"/>
      <c r="EZ32" s="421"/>
      <c r="FA32" s="421"/>
      <c r="FB32" s="421"/>
      <c r="FC32" s="421"/>
      <c r="FD32" s="421"/>
      <c r="FE32" s="421"/>
      <c r="FF32" s="421"/>
      <c r="FG32" s="421"/>
      <c r="FH32" s="421"/>
      <c r="FI32" s="421"/>
      <c r="FJ32" s="421"/>
      <c r="FK32" s="421"/>
      <c r="FL32" s="421"/>
      <c r="FM32" s="421"/>
      <c r="FN32" s="421"/>
      <c r="FO32" s="421"/>
      <c r="FP32" s="421"/>
      <c r="FQ32" s="421"/>
      <c r="FR32" s="421"/>
      <c r="FS32" s="421"/>
      <c r="FT32" s="421"/>
      <c r="FU32" s="421"/>
      <c r="FV32" s="421"/>
      <c r="FW32" s="421"/>
      <c r="FX32" s="421"/>
      <c r="FY32" s="421"/>
      <c r="FZ32" s="421"/>
      <c r="GA32" s="421"/>
      <c r="GB32" s="421"/>
      <c r="GC32" s="421"/>
      <c r="GD32" s="421"/>
      <c r="GE32" s="421"/>
      <c r="GF32" s="421"/>
      <c r="GG32" s="421"/>
      <c r="GH32" s="421"/>
      <c r="GI32" s="421"/>
      <c r="GJ32" s="421"/>
      <c r="GK32" s="421"/>
      <c r="GL32" s="421"/>
      <c r="GM32" s="421"/>
      <c r="GN32" s="421"/>
      <c r="GO32" s="421"/>
      <c r="GP32" s="421"/>
      <c r="GQ32" s="421"/>
      <c r="GR32" s="421"/>
      <c r="GS32" s="421"/>
      <c r="GT32" s="421"/>
      <c r="GU32" s="421"/>
      <c r="GV32" s="421"/>
      <c r="GW32" s="421"/>
      <c r="GX32" s="421"/>
      <c r="GY32" s="421"/>
      <c r="GZ32" s="421"/>
      <c r="HA32" s="421"/>
      <c r="HB32" s="421"/>
      <c r="HC32" s="421"/>
      <c r="HD32" s="421"/>
      <c r="HE32" s="421"/>
      <c r="HF32" s="421"/>
      <c r="HG32" s="421"/>
      <c r="HH32" s="421"/>
      <c r="HI32" s="421"/>
      <c r="HJ32" s="421"/>
      <c r="HK32" s="421"/>
      <c r="HL32" s="421"/>
      <c r="HM32" s="421"/>
      <c r="HN32" s="421"/>
      <c r="HO32" s="421"/>
    </row>
    <row r="33" spans="2:223" s="422" customFormat="1" x14ac:dyDescent="0.3">
      <c r="B33" s="427"/>
      <c r="C33" s="435" t="s">
        <v>647</v>
      </c>
      <c r="D33" s="425"/>
      <c r="E33" s="425"/>
      <c r="F33" s="978">
        <f>SUM(F11:F31)</f>
        <v>295426.50004017819</v>
      </c>
      <c r="G33" s="421"/>
      <c r="H33" s="421"/>
      <c r="I33" s="421"/>
      <c r="J33" s="421"/>
      <c r="K33" s="459"/>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c r="AJ33" s="421"/>
      <c r="AK33" s="421"/>
      <c r="AL33" s="421"/>
      <c r="AM33" s="421"/>
      <c r="AN33" s="421"/>
      <c r="AO33" s="421"/>
      <c r="AP33" s="421"/>
      <c r="AQ33" s="421"/>
      <c r="AR33" s="421"/>
      <c r="AS33" s="421"/>
      <c r="AT33" s="421"/>
      <c r="AU33" s="421"/>
      <c r="AV33" s="421"/>
      <c r="AW33" s="421"/>
      <c r="AX33" s="421"/>
      <c r="AY33" s="421"/>
      <c r="AZ33" s="421"/>
      <c r="BA33" s="421"/>
      <c r="BB33" s="421"/>
      <c r="BC33" s="421"/>
      <c r="BD33" s="421"/>
      <c r="BE33" s="421"/>
      <c r="BF33" s="421"/>
      <c r="BG33" s="421"/>
      <c r="BH33" s="421"/>
      <c r="BI33" s="421"/>
      <c r="BJ33" s="421"/>
      <c r="BK33" s="421"/>
      <c r="BL33" s="421"/>
      <c r="BM33" s="421"/>
      <c r="BN33" s="421"/>
      <c r="BO33" s="421"/>
      <c r="BP33" s="421"/>
      <c r="BQ33" s="421"/>
      <c r="BR33" s="421"/>
      <c r="BS33" s="421"/>
      <c r="BT33" s="421"/>
      <c r="BU33" s="421"/>
      <c r="BV33" s="421"/>
      <c r="BW33" s="421"/>
      <c r="BX33" s="421"/>
      <c r="BY33" s="421"/>
      <c r="BZ33" s="421"/>
      <c r="CA33" s="421"/>
      <c r="CB33" s="421"/>
      <c r="CC33" s="421"/>
      <c r="CD33" s="421"/>
      <c r="CE33" s="421"/>
      <c r="CF33" s="421"/>
      <c r="CG33" s="421"/>
      <c r="CH33" s="421"/>
      <c r="CI33" s="421"/>
      <c r="CJ33" s="421"/>
      <c r="CK33" s="421"/>
      <c r="CL33" s="421"/>
      <c r="CM33" s="421"/>
      <c r="CN33" s="421"/>
      <c r="CO33" s="421"/>
      <c r="CP33" s="421"/>
      <c r="CQ33" s="421"/>
      <c r="CR33" s="421"/>
      <c r="CS33" s="421"/>
      <c r="CT33" s="421"/>
      <c r="CU33" s="421"/>
      <c r="CV33" s="421"/>
      <c r="CW33" s="421"/>
      <c r="CX33" s="421"/>
      <c r="CY33" s="421"/>
      <c r="CZ33" s="421"/>
      <c r="DA33" s="421"/>
      <c r="DB33" s="421"/>
      <c r="DC33" s="421"/>
      <c r="DD33" s="421"/>
      <c r="DE33" s="421"/>
      <c r="DF33" s="421"/>
      <c r="DG33" s="421"/>
      <c r="DH33" s="421"/>
      <c r="DI33" s="421"/>
      <c r="DJ33" s="421"/>
      <c r="DK33" s="421"/>
      <c r="DL33" s="421"/>
      <c r="DM33" s="421"/>
      <c r="DN33" s="421"/>
      <c r="DO33" s="421"/>
      <c r="DP33" s="421"/>
      <c r="DQ33" s="421"/>
      <c r="DR33" s="421"/>
      <c r="DS33" s="421"/>
      <c r="DT33" s="421"/>
      <c r="DU33" s="421"/>
      <c r="DV33" s="421"/>
      <c r="DW33" s="421"/>
      <c r="DX33" s="421"/>
      <c r="DY33" s="421"/>
      <c r="DZ33" s="421"/>
      <c r="EA33" s="421"/>
      <c r="EB33" s="421"/>
      <c r="EC33" s="421"/>
      <c r="ED33" s="421"/>
      <c r="EE33" s="421"/>
      <c r="EF33" s="421"/>
      <c r="EG33" s="421"/>
      <c r="EH33" s="421"/>
      <c r="EI33" s="421"/>
      <c r="EJ33" s="421"/>
      <c r="EK33" s="421"/>
      <c r="EL33" s="421"/>
      <c r="EM33" s="421"/>
      <c r="EN33" s="421"/>
      <c r="EO33" s="421"/>
      <c r="EP33" s="421"/>
      <c r="EQ33" s="421"/>
      <c r="ER33" s="421"/>
      <c r="ES33" s="421"/>
      <c r="ET33" s="421"/>
      <c r="EU33" s="421"/>
      <c r="EV33" s="421"/>
      <c r="EW33" s="421"/>
      <c r="EX33" s="421"/>
      <c r="EY33" s="421"/>
      <c r="EZ33" s="421"/>
      <c r="FA33" s="421"/>
      <c r="FB33" s="421"/>
      <c r="FC33" s="421"/>
      <c r="FD33" s="421"/>
      <c r="FE33" s="421"/>
      <c r="FF33" s="421"/>
      <c r="FG33" s="421"/>
      <c r="FH33" s="421"/>
      <c r="FI33" s="421"/>
      <c r="FJ33" s="421"/>
      <c r="FK33" s="421"/>
      <c r="FL33" s="421"/>
      <c r="FM33" s="421"/>
      <c r="FN33" s="421"/>
      <c r="FO33" s="421"/>
      <c r="FP33" s="421"/>
      <c r="FQ33" s="421"/>
      <c r="FR33" s="421"/>
      <c r="FS33" s="421"/>
      <c r="FT33" s="421"/>
      <c r="FU33" s="421"/>
      <c r="FV33" s="421"/>
      <c r="FW33" s="421"/>
      <c r="FX33" s="421"/>
      <c r="FY33" s="421"/>
      <c r="FZ33" s="421"/>
      <c r="GA33" s="421"/>
      <c r="GB33" s="421"/>
      <c r="GC33" s="421"/>
      <c r="GD33" s="421"/>
      <c r="GE33" s="421"/>
      <c r="GF33" s="421"/>
      <c r="GG33" s="421"/>
      <c r="GH33" s="421"/>
      <c r="GI33" s="421"/>
      <c r="GJ33" s="421"/>
      <c r="GK33" s="421"/>
      <c r="GL33" s="421"/>
      <c r="GM33" s="421"/>
      <c r="GN33" s="421"/>
      <c r="GO33" s="421"/>
      <c r="GP33" s="421"/>
      <c r="GQ33" s="421"/>
      <c r="GR33" s="421"/>
      <c r="GS33" s="421"/>
      <c r="GT33" s="421"/>
      <c r="GU33" s="421"/>
      <c r="GV33" s="421"/>
      <c r="GW33" s="421"/>
      <c r="GX33" s="421"/>
      <c r="GY33" s="421"/>
      <c r="GZ33" s="421"/>
      <c r="HA33" s="421"/>
      <c r="HB33" s="421"/>
      <c r="HC33" s="421"/>
      <c r="HD33" s="421"/>
      <c r="HE33" s="421"/>
      <c r="HF33" s="421"/>
      <c r="HG33" s="421"/>
      <c r="HH33" s="421"/>
      <c r="HI33" s="421"/>
      <c r="HJ33" s="421"/>
      <c r="HK33" s="421"/>
      <c r="HL33" s="421"/>
      <c r="HM33" s="421"/>
      <c r="HN33" s="421"/>
      <c r="HO33" s="421"/>
    </row>
    <row r="34" spans="2:223" x14ac:dyDescent="0.3">
      <c r="B34" s="437"/>
      <c r="C34" s="425"/>
      <c r="D34" s="440"/>
      <c r="E34" s="425"/>
      <c r="F34" s="430"/>
      <c r="K34" s="459"/>
    </row>
    <row r="35" spans="2:223" x14ac:dyDescent="0.3">
      <c r="B35" s="437" t="s">
        <v>46</v>
      </c>
      <c r="C35" s="435" t="s">
        <v>904</v>
      </c>
      <c r="D35" s="425"/>
      <c r="E35" s="425"/>
      <c r="F35" s="435"/>
      <c r="K35" s="459"/>
    </row>
    <row r="36" spans="2:223" x14ac:dyDescent="0.3">
      <c r="B36" s="437"/>
      <c r="C36" s="435" t="s">
        <v>905</v>
      </c>
      <c r="D36" s="425"/>
      <c r="E36" s="425"/>
      <c r="F36" s="435"/>
      <c r="K36" s="459"/>
    </row>
    <row r="37" spans="2:223" x14ac:dyDescent="0.3">
      <c r="B37" s="427"/>
      <c r="C37" s="425" t="s">
        <v>906</v>
      </c>
      <c r="D37" s="425"/>
      <c r="E37" s="425">
        <f>'IT Comp workings_FY24'!D30</f>
        <v>13741617.57</v>
      </c>
      <c r="F37" s="435"/>
      <c r="K37" s="459"/>
    </row>
    <row r="38" spans="2:223" x14ac:dyDescent="0.3">
      <c r="B38" s="427"/>
      <c r="C38" s="425" t="s">
        <v>907</v>
      </c>
      <c r="D38" s="425"/>
      <c r="E38" s="426"/>
      <c r="F38" s="435">
        <f>E37-E38</f>
        <v>13741617.57</v>
      </c>
      <c r="K38" s="459"/>
    </row>
    <row r="39" spans="2:223" x14ac:dyDescent="0.3">
      <c r="B39" s="427"/>
      <c r="C39" s="425"/>
      <c r="D39" s="425"/>
      <c r="E39" s="425"/>
      <c r="F39" s="435"/>
      <c r="K39" s="459"/>
    </row>
    <row r="40" spans="2:223" x14ac:dyDescent="0.3">
      <c r="B40" s="427"/>
      <c r="C40" s="435" t="s">
        <v>1120</v>
      </c>
      <c r="D40" s="425"/>
      <c r="E40" s="425">
        <f>'IT Comp workings_FY24'!D28+'IT Comp workings_FY24'!D34</f>
        <v>3479670.2700000005</v>
      </c>
      <c r="F40" s="435"/>
      <c r="K40" s="459"/>
    </row>
    <row r="41" spans="2:223" x14ac:dyDescent="0.3">
      <c r="B41" s="427"/>
      <c r="C41" s="425" t="s">
        <v>906</v>
      </c>
      <c r="D41" s="425"/>
      <c r="E41" s="426"/>
      <c r="F41" s="978">
        <f>E40-E41</f>
        <v>3479670.2700000005</v>
      </c>
      <c r="K41" s="459"/>
    </row>
    <row r="42" spans="2:223" x14ac:dyDescent="0.3">
      <c r="B42" s="427"/>
      <c r="C42" s="425" t="s">
        <v>907</v>
      </c>
      <c r="D42" s="425"/>
      <c r="E42" s="975"/>
      <c r="F42" s="450"/>
      <c r="K42" s="459"/>
    </row>
    <row r="43" spans="2:223" x14ac:dyDescent="0.3">
      <c r="B43" s="427"/>
      <c r="C43" s="425"/>
      <c r="D43" s="425"/>
      <c r="E43" s="425"/>
      <c r="F43" s="450"/>
      <c r="K43" s="459"/>
    </row>
    <row r="44" spans="2:223" x14ac:dyDescent="0.3">
      <c r="B44" s="437" t="s">
        <v>46</v>
      </c>
      <c r="C44" s="435" t="s">
        <v>908</v>
      </c>
      <c r="D44" s="425"/>
      <c r="E44" s="425"/>
      <c r="F44" s="450"/>
      <c r="K44" s="459"/>
    </row>
    <row r="45" spans="2:223" x14ac:dyDescent="0.3">
      <c r="B45" s="427"/>
      <c r="C45" s="425" t="s">
        <v>909</v>
      </c>
      <c r="D45" s="425">
        <f>E30*0</f>
        <v>0</v>
      </c>
      <c r="E45" s="425"/>
      <c r="F45" s="450"/>
      <c r="K45" s="459"/>
    </row>
    <row r="46" spans="2:223" x14ac:dyDescent="0.3">
      <c r="B46" s="427"/>
      <c r="C46" s="435" t="s">
        <v>910</v>
      </c>
      <c r="D46" s="425">
        <f>12674410.7755109</f>
        <v>12674410.7755109</v>
      </c>
      <c r="E46" s="425"/>
      <c r="F46" s="450"/>
      <c r="G46" s="421" t="s">
        <v>942</v>
      </c>
      <c r="K46" s="459"/>
    </row>
    <row r="47" spans="2:223" x14ac:dyDescent="0.3">
      <c r="B47" s="427"/>
      <c r="C47" s="425" t="s">
        <v>1118</v>
      </c>
      <c r="D47" s="425">
        <f>91096*0</f>
        <v>0</v>
      </c>
      <c r="E47" s="425"/>
      <c r="F47" s="450"/>
      <c r="K47" s="459"/>
    </row>
    <row r="48" spans="2:223" x14ac:dyDescent="0.3">
      <c r="B48" s="427"/>
      <c r="C48" s="425" t="s">
        <v>1119</v>
      </c>
      <c r="D48" s="425">
        <f>1532699*0-E28</f>
        <v>4000</v>
      </c>
      <c r="E48" s="425"/>
      <c r="F48" s="450"/>
      <c r="K48" s="459"/>
    </row>
    <row r="49" spans="2:223" x14ac:dyDescent="0.3">
      <c r="B49" s="437"/>
      <c r="C49" s="425"/>
      <c r="D49" s="425">
        <f>SUM(D45:D48)</f>
        <v>12678410.7755109</v>
      </c>
      <c r="E49" s="976"/>
      <c r="F49" s="459"/>
      <c r="K49" s="459"/>
    </row>
    <row r="50" spans="2:223" x14ac:dyDescent="0.3">
      <c r="B50" s="437"/>
      <c r="C50" s="425"/>
      <c r="D50" s="425">
        <v>11686976.979451504</v>
      </c>
      <c r="E50" s="430">
        <f>D49-D50</f>
        <v>991433.79605939612</v>
      </c>
      <c r="F50" s="979">
        <f>SUM(E45:E50)</f>
        <v>991433.79605939612</v>
      </c>
      <c r="G50" s="533">
        <f>F50*17.16%</f>
        <v>170130.03940379238</v>
      </c>
      <c r="H50" s="980">
        <f>D46-D50</f>
        <v>987433.79605939612</v>
      </c>
      <c r="K50" s="459"/>
    </row>
    <row r="51" spans="2:223" x14ac:dyDescent="0.3">
      <c r="B51" s="437"/>
      <c r="C51" s="425"/>
      <c r="D51" s="440"/>
      <c r="E51" s="425"/>
      <c r="F51" s="972"/>
      <c r="H51" s="533">
        <f>H50*25.167%</f>
        <v>248507.46345426823</v>
      </c>
      <c r="I51" s="533">
        <f>H51+H17</f>
        <v>794312.67016674811</v>
      </c>
      <c r="K51" s="459"/>
    </row>
    <row r="52" spans="2:223" x14ac:dyDescent="0.3">
      <c r="B52" s="437"/>
      <c r="C52" s="439" t="s">
        <v>67</v>
      </c>
      <c r="D52" s="435"/>
      <c r="E52" s="435"/>
      <c r="F52" s="450">
        <f>F33+F38+F41+F50</f>
        <v>18508148.136099573</v>
      </c>
      <c r="G52" s="434"/>
      <c r="H52" s="434"/>
      <c r="I52" s="434"/>
      <c r="J52" s="434"/>
      <c r="K52" s="460"/>
      <c r="L52" s="434"/>
      <c r="M52" s="434"/>
      <c r="N52" s="434"/>
      <c r="O52" s="434"/>
      <c r="P52" s="434"/>
      <c r="Q52" s="434"/>
      <c r="R52" s="434"/>
      <c r="S52" s="434"/>
      <c r="T52" s="434"/>
      <c r="U52" s="434"/>
      <c r="V52" s="434"/>
      <c r="W52" s="434"/>
      <c r="X52" s="434"/>
      <c r="Y52" s="434"/>
      <c r="Z52" s="434"/>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4"/>
      <c r="AX52" s="434"/>
      <c r="AY52" s="434"/>
      <c r="AZ52" s="434"/>
      <c r="BA52" s="434"/>
      <c r="BB52" s="434"/>
      <c r="BC52" s="434"/>
      <c r="BD52" s="434"/>
      <c r="BE52" s="434"/>
      <c r="BF52" s="434"/>
      <c r="BG52" s="434"/>
      <c r="BH52" s="434"/>
      <c r="BI52" s="434"/>
      <c r="BJ52" s="434"/>
      <c r="BK52" s="434"/>
      <c r="BL52" s="434"/>
      <c r="BM52" s="434"/>
      <c r="BN52" s="434"/>
      <c r="BO52" s="434"/>
      <c r="BP52" s="434"/>
      <c r="BQ52" s="434"/>
      <c r="BR52" s="434"/>
      <c r="BS52" s="434"/>
      <c r="BT52" s="434"/>
      <c r="BU52" s="434"/>
      <c r="BV52" s="434"/>
      <c r="BW52" s="434"/>
      <c r="BX52" s="434"/>
      <c r="BY52" s="434"/>
      <c r="BZ52" s="434"/>
      <c r="CA52" s="434"/>
      <c r="CB52" s="434"/>
      <c r="CC52" s="434"/>
      <c r="CD52" s="434"/>
      <c r="CE52" s="434"/>
      <c r="CF52" s="434"/>
      <c r="CG52" s="434"/>
      <c r="CH52" s="434"/>
      <c r="CI52" s="434"/>
      <c r="CJ52" s="434"/>
      <c r="CK52" s="434"/>
      <c r="CL52" s="434"/>
      <c r="CM52" s="434"/>
      <c r="CN52" s="434"/>
      <c r="CO52" s="434"/>
      <c r="CP52" s="434"/>
      <c r="CQ52" s="434"/>
      <c r="CR52" s="434"/>
      <c r="CS52" s="434"/>
      <c r="CT52" s="434"/>
      <c r="CU52" s="434"/>
      <c r="CV52" s="434"/>
      <c r="CW52" s="434"/>
      <c r="CX52" s="434"/>
      <c r="CY52" s="434"/>
      <c r="CZ52" s="434"/>
      <c r="DA52" s="434"/>
      <c r="DB52" s="434"/>
      <c r="DC52" s="434"/>
      <c r="DD52" s="434"/>
      <c r="DE52" s="434"/>
      <c r="DF52" s="434"/>
      <c r="DG52" s="434"/>
      <c r="DH52" s="434"/>
      <c r="DI52" s="434"/>
      <c r="DJ52" s="434"/>
      <c r="DK52" s="434"/>
      <c r="DL52" s="434"/>
      <c r="DM52" s="434"/>
      <c r="DN52" s="434"/>
      <c r="DO52" s="434"/>
      <c r="DP52" s="434"/>
      <c r="DQ52" s="434"/>
      <c r="DR52" s="434"/>
      <c r="DS52" s="434"/>
      <c r="DT52" s="434"/>
      <c r="DU52" s="434"/>
      <c r="DV52" s="434"/>
      <c r="DW52" s="434"/>
      <c r="DX52" s="434"/>
      <c r="DY52" s="434"/>
      <c r="DZ52" s="434"/>
      <c r="EA52" s="434"/>
      <c r="EB52" s="434"/>
      <c r="EC52" s="434"/>
      <c r="ED52" s="434"/>
      <c r="EE52" s="434"/>
      <c r="EF52" s="434"/>
      <c r="EG52" s="434"/>
      <c r="EH52" s="434"/>
      <c r="EI52" s="434"/>
      <c r="EJ52" s="434"/>
      <c r="EK52" s="434"/>
      <c r="EL52" s="434"/>
      <c r="EM52" s="434"/>
      <c r="EN52" s="434"/>
      <c r="EO52" s="434"/>
      <c r="EP52" s="434"/>
      <c r="EQ52" s="434"/>
      <c r="ER52" s="434"/>
      <c r="ES52" s="434"/>
      <c r="ET52" s="434"/>
      <c r="EU52" s="434"/>
      <c r="EV52" s="434"/>
      <c r="EW52" s="434"/>
      <c r="EX52" s="434"/>
      <c r="EY52" s="434"/>
      <c r="EZ52" s="434"/>
      <c r="FA52" s="434"/>
      <c r="FB52" s="434"/>
      <c r="FC52" s="434"/>
      <c r="FD52" s="434"/>
      <c r="FE52" s="434"/>
      <c r="FF52" s="434"/>
      <c r="FG52" s="434"/>
      <c r="FH52" s="434"/>
      <c r="FI52" s="434"/>
      <c r="FJ52" s="434"/>
      <c r="FK52" s="434"/>
      <c r="FL52" s="434"/>
      <c r="FM52" s="434"/>
      <c r="FN52" s="434"/>
      <c r="FO52" s="434"/>
      <c r="FP52" s="434"/>
      <c r="FQ52" s="434"/>
      <c r="FR52" s="434"/>
      <c r="FS52" s="434"/>
      <c r="FT52" s="434"/>
      <c r="FU52" s="434"/>
      <c r="FV52" s="434"/>
      <c r="FW52" s="434"/>
      <c r="FX52" s="434"/>
      <c r="FY52" s="434"/>
      <c r="FZ52" s="434"/>
      <c r="GA52" s="434"/>
      <c r="GB52" s="434"/>
      <c r="GC52" s="434"/>
      <c r="GD52" s="434"/>
      <c r="GE52" s="434"/>
      <c r="GF52" s="434"/>
      <c r="GG52" s="434"/>
      <c r="GH52" s="434"/>
      <c r="GI52" s="434"/>
      <c r="GJ52" s="434"/>
      <c r="GK52" s="434"/>
      <c r="GL52" s="434"/>
      <c r="GM52" s="434"/>
      <c r="GN52" s="434"/>
      <c r="GO52" s="434"/>
      <c r="GP52" s="434"/>
      <c r="GQ52" s="434"/>
      <c r="GR52" s="434"/>
      <c r="GS52" s="434"/>
      <c r="GT52" s="434"/>
      <c r="GU52" s="434"/>
      <c r="GV52" s="434"/>
      <c r="GW52" s="434"/>
      <c r="GX52" s="434"/>
      <c r="GY52" s="434"/>
      <c r="GZ52" s="434"/>
      <c r="HA52" s="434"/>
      <c r="HB52" s="434"/>
      <c r="HC52" s="434"/>
      <c r="HD52" s="434"/>
      <c r="HE52" s="434"/>
      <c r="HF52" s="434"/>
      <c r="HG52" s="434"/>
      <c r="HH52" s="434"/>
      <c r="HI52" s="434"/>
      <c r="HJ52" s="434"/>
      <c r="HK52" s="434"/>
      <c r="HL52" s="434"/>
      <c r="HM52" s="434"/>
      <c r="HN52" s="434"/>
      <c r="HO52" s="434"/>
    </row>
    <row r="53" spans="2:223" x14ac:dyDescent="0.3">
      <c r="B53" s="437"/>
      <c r="C53" s="438"/>
      <c r="D53" s="435"/>
      <c r="E53" s="435"/>
      <c r="F53" s="973"/>
      <c r="G53" s="535">
        <f>+F52*17.16%</f>
        <v>3175998.2201546868</v>
      </c>
      <c r="H53" s="434"/>
      <c r="I53" s="434"/>
      <c r="J53" s="434"/>
      <c r="K53" s="460"/>
      <c r="L53" s="434"/>
      <c r="M53" s="434"/>
      <c r="N53" s="434"/>
      <c r="O53" s="434"/>
      <c r="P53" s="434"/>
      <c r="Q53" s="434"/>
      <c r="R53" s="434"/>
      <c r="S53" s="434"/>
      <c r="T53" s="434"/>
      <c r="U53" s="434"/>
      <c r="V53" s="434"/>
      <c r="W53" s="434"/>
      <c r="X53" s="434"/>
      <c r="Y53" s="434"/>
      <c r="Z53" s="434"/>
      <c r="AA53" s="434"/>
      <c r="AB53" s="434"/>
      <c r="AC53" s="434"/>
      <c r="AD53" s="434"/>
      <c r="AE53" s="434"/>
      <c r="AF53" s="434"/>
      <c r="AG53" s="434"/>
      <c r="AH53" s="434"/>
      <c r="AI53" s="434"/>
      <c r="AJ53" s="434"/>
      <c r="AK53" s="434"/>
      <c r="AL53" s="434"/>
      <c r="AM53" s="434"/>
      <c r="AN53" s="434"/>
      <c r="AO53" s="434"/>
      <c r="AP53" s="434"/>
      <c r="AQ53" s="434"/>
      <c r="AR53" s="434"/>
      <c r="AS53" s="434"/>
      <c r="AT53" s="434"/>
      <c r="AU53" s="434"/>
      <c r="AV53" s="434"/>
      <c r="AW53" s="434"/>
      <c r="AX53" s="434"/>
      <c r="AY53" s="434"/>
      <c r="AZ53" s="434"/>
      <c r="BA53" s="434"/>
      <c r="BB53" s="434"/>
      <c r="BC53" s="434"/>
      <c r="BD53" s="434"/>
      <c r="BE53" s="434"/>
      <c r="BF53" s="434"/>
      <c r="BG53" s="434"/>
      <c r="BH53" s="434"/>
      <c r="BI53" s="434"/>
      <c r="BJ53" s="434"/>
      <c r="BK53" s="434"/>
      <c r="BL53" s="434"/>
      <c r="BM53" s="434"/>
      <c r="BN53" s="434"/>
      <c r="BO53" s="434"/>
      <c r="BP53" s="434"/>
      <c r="BQ53" s="434"/>
      <c r="BR53" s="434"/>
      <c r="BS53" s="434"/>
      <c r="BT53" s="434"/>
      <c r="BU53" s="434"/>
      <c r="BV53" s="434"/>
      <c r="BW53" s="434"/>
      <c r="BX53" s="434"/>
      <c r="BY53" s="434"/>
      <c r="BZ53" s="434"/>
      <c r="CA53" s="434"/>
      <c r="CB53" s="434"/>
      <c r="CC53" s="434"/>
      <c r="CD53" s="434"/>
      <c r="CE53" s="434"/>
      <c r="CF53" s="434"/>
      <c r="CG53" s="434"/>
      <c r="CH53" s="434"/>
      <c r="CI53" s="434"/>
      <c r="CJ53" s="434"/>
      <c r="CK53" s="434"/>
      <c r="CL53" s="434"/>
      <c r="CM53" s="434"/>
      <c r="CN53" s="434"/>
      <c r="CO53" s="434"/>
      <c r="CP53" s="434"/>
      <c r="CQ53" s="434"/>
      <c r="CR53" s="434"/>
      <c r="CS53" s="434"/>
      <c r="CT53" s="434"/>
      <c r="CU53" s="434"/>
      <c r="CV53" s="434"/>
      <c r="CW53" s="434"/>
      <c r="CX53" s="434"/>
      <c r="CY53" s="434"/>
      <c r="CZ53" s="434"/>
      <c r="DA53" s="434"/>
      <c r="DB53" s="434"/>
      <c r="DC53" s="434"/>
      <c r="DD53" s="434"/>
      <c r="DE53" s="434"/>
      <c r="DF53" s="434"/>
      <c r="DG53" s="434"/>
      <c r="DH53" s="434"/>
      <c r="DI53" s="434"/>
      <c r="DJ53" s="434"/>
      <c r="DK53" s="434"/>
      <c r="DL53" s="434"/>
      <c r="DM53" s="434"/>
      <c r="DN53" s="434"/>
      <c r="DO53" s="434"/>
      <c r="DP53" s="434"/>
      <c r="DQ53" s="434"/>
      <c r="DR53" s="434"/>
      <c r="DS53" s="434"/>
      <c r="DT53" s="434"/>
      <c r="DU53" s="434"/>
      <c r="DV53" s="434"/>
      <c r="DW53" s="434"/>
      <c r="DX53" s="434"/>
      <c r="DY53" s="434"/>
      <c r="DZ53" s="434"/>
      <c r="EA53" s="434"/>
      <c r="EB53" s="434"/>
      <c r="EC53" s="434"/>
      <c r="ED53" s="434"/>
      <c r="EE53" s="434"/>
      <c r="EF53" s="434"/>
      <c r="EG53" s="434"/>
      <c r="EH53" s="434"/>
      <c r="EI53" s="434"/>
      <c r="EJ53" s="434"/>
      <c r="EK53" s="434"/>
      <c r="EL53" s="434"/>
      <c r="EM53" s="434"/>
      <c r="EN53" s="434"/>
      <c r="EO53" s="434"/>
      <c r="EP53" s="434"/>
      <c r="EQ53" s="434"/>
      <c r="ER53" s="434"/>
      <c r="ES53" s="434"/>
      <c r="ET53" s="434"/>
      <c r="EU53" s="434"/>
      <c r="EV53" s="434"/>
      <c r="EW53" s="434"/>
      <c r="EX53" s="434"/>
      <c r="EY53" s="434"/>
      <c r="EZ53" s="434"/>
      <c r="FA53" s="434"/>
      <c r="FB53" s="434"/>
      <c r="FC53" s="434"/>
      <c r="FD53" s="434"/>
      <c r="FE53" s="434"/>
      <c r="FF53" s="434"/>
      <c r="FG53" s="434"/>
      <c r="FH53" s="434"/>
      <c r="FI53" s="434"/>
      <c r="FJ53" s="434"/>
      <c r="FK53" s="434"/>
      <c r="FL53" s="434"/>
      <c r="FM53" s="434"/>
      <c r="FN53" s="434"/>
      <c r="FO53" s="434"/>
      <c r="FP53" s="434"/>
      <c r="FQ53" s="434"/>
      <c r="FR53" s="434"/>
      <c r="FS53" s="434"/>
      <c r="FT53" s="434"/>
      <c r="FU53" s="434"/>
      <c r="FV53" s="434"/>
      <c r="FW53" s="434"/>
      <c r="FX53" s="434"/>
      <c r="FY53" s="434"/>
      <c r="FZ53" s="434"/>
      <c r="GA53" s="434"/>
      <c r="GB53" s="434"/>
      <c r="GC53" s="434"/>
      <c r="GD53" s="434"/>
      <c r="GE53" s="434"/>
      <c r="GF53" s="434"/>
      <c r="GG53" s="434"/>
      <c r="GH53" s="434"/>
      <c r="GI53" s="434"/>
      <c r="GJ53" s="434"/>
      <c r="GK53" s="434"/>
      <c r="GL53" s="434"/>
      <c r="GM53" s="434"/>
      <c r="GN53" s="434"/>
      <c r="GO53" s="434"/>
      <c r="GP53" s="434"/>
      <c r="GQ53" s="434"/>
      <c r="GR53" s="434"/>
      <c r="GS53" s="434"/>
      <c r="GT53" s="434"/>
      <c r="GU53" s="434"/>
      <c r="GV53" s="434"/>
      <c r="GW53" s="434"/>
      <c r="GX53" s="434"/>
      <c r="GY53" s="434"/>
      <c r="GZ53" s="434"/>
      <c r="HA53" s="434"/>
      <c r="HB53" s="434"/>
      <c r="HC53" s="434"/>
      <c r="HD53" s="434"/>
      <c r="HE53" s="434"/>
      <c r="HF53" s="434"/>
      <c r="HG53" s="434"/>
      <c r="HH53" s="434"/>
      <c r="HI53" s="434"/>
      <c r="HJ53" s="434"/>
      <c r="HK53" s="434"/>
      <c r="HL53" s="434"/>
      <c r="HM53" s="434"/>
      <c r="HN53" s="434"/>
      <c r="HO53" s="434"/>
    </row>
    <row r="54" spans="2:223" x14ac:dyDescent="0.3">
      <c r="B54" s="969"/>
      <c r="C54" s="970"/>
      <c r="D54" s="971"/>
      <c r="E54" s="971"/>
      <c r="F54" s="974"/>
      <c r="G54" s="1091">
        <f>+G53-F65</f>
        <v>-381703.767733254</v>
      </c>
      <c r="H54" s="434"/>
      <c r="I54" s="434"/>
      <c r="J54" s="434"/>
      <c r="K54" s="460"/>
      <c r="L54" s="434"/>
      <c r="M54" s="434"/>
      <c r="N54" s="434"/>
      <c r="O54" s="434"/>
      <c r="P54" s="434"/>
      <c r="Q54" s="434"/>
      <c r="R54" s="434"/>
      <c r="S54" s="434"/>
      <c r="T54" s="434"/>
      <c r="U54" s="434"/>
      <c r="V54" s="434"/>
      <c r="W54" s="434"/>
      <c r="X54" s="434"/>
      <c r="Y54" s="434"/>
      <c r="Z54" s="434"/>
      <c r="AA54" s="434"/>
      <c r="AB54" s="434"/>
      <c r="AC54" s="434"/>
      <c r="AD54" s="434"/>
      <c r="AE54" s="434"/>
      <c r="AF54" s="434"/>
      <c r="AG54" s="434"/>
      <c r="AH54" s="434"/>
      <c r="AI54" s="434"/>
      <c r="AJ54" s="434"/>
      <c r="AK54" s="434"/>
      <c r="AL54" s="434"/>
      <c r="AM54" s="434"/>
      <c r="AN54" s="434"/>
      <c r="AO54" s="434"/>
      <c r="AP54" s="434"/>
      <c r="AQ54" s="434"/>
      <c r="AR54" s="434"/>
      <c r="AS54" s="434"/>
      <c r="AT54" s="434"/>
      <c r="AU54" s="434"/>
      <c r="AV54" s="434"/>
      <c r="AW54" s="434"/>
      <c r="AX54" s="434"/>
      <c r="AY54" s="434"/>
      <c r="AZ54" s="434"/>
      <c r="BA54" s="434"/>
      <c r="BB54" s="434"/>
      <c r="BC54" s="434"/>
      <c r="BD54" s="434"/>
      <c r="BE54" s="434"/>
      <c r="BF54" s="434"/>
      <c r="BG54" s="434"/>
      <c r="BH54" s="434"/>
      <c r="BI54" s="434"/>
      <c r="BJ54" s="434"/>
      <c r="BK54" s="434"/>
      <c r="BL54" s="434"/>
      <c r="BM54" s="434"/>
      <c r="BN54" s="434"/>
      <c r="BO54" s="434"/>
      <c r="BP54" s="434"/>
      <c r="BQ54" s="434"/>
      <c r="BR54" s="434"/>
      <c r="BS54" s="434"/>
      <c r="BT54" s="434"/>
      <c r="BU54" s="434"/>
      <c r="BV54" s="434"/>
      <c r="BW54" s="434"/>
      <c r="BX54" s="434"/>
      <c r="BY54" s="434"/>
      <c r="BZ54" s="434"/>
      <c r="CA54" s="434"/>
      <c r="CB54" s="434"/>
      <c r="CC54" s="434"/>
      <c r="CD54" s="434"/>
      <c r="CE54" s="434"/>
      <c r="CF54" s="434"/>
      <c r="CG54" s="434"/>
      <c r="CH54" s="434"/>
      <c r="CI54" s="434"/>
      <c r="CJ54" s="434"/>
      <c r="CK54" s="434"/>
      <c r="CL54" s="434"/>
      <c r="CM54" s="434"/>
      <c r="CN54" s="434"/>
      <c r="CO54" s="434"/>
      <c r="CP54" s="434"/>
      <c r="CQ54" s="434"/>
      <c r="CR54" s="434"/>
      <c r="CS54" s="434"/>
      <c r="CT54" s="434"/>
      <c r="CU54" s="434"/>
      <c r="CV54" s="434"/>
      <c r="CW54" s="434"/>
      <c r="CX54" s="434"/>
      <c r="CY54" s="434"/>
      <c r="CZ54" s="434"/>
      <c r="DA54" s="434"/>
      <c r="DB54" s="434"/>
      <c r="DC54" s="434"/>
      <c r="DD54" s="434"/>
      <c r="DE54" s="434"/>
      <c r="DF54" s="434"/>
      <c r="DG54" s="434"/>
      <c r="DH54" s="434"/>
      <c r="DI54" s="434"/>
      <c r="DJ54" s="434"/>
      <c r="DK54" s="434"/>
      <c r="DL54" s="434"/>
      <c r="DM54" s="434"/>
      <c r="DN54" s="434"/>
      <c r="DO54" s="434"/>
      <c r="DP54" s="434"/>
      <c r="DQ54" s="434"/>
      <c r="DR54" s="434"/>
      <c r="DS54" s="434"/>
      <c r="DT54" s="434"/>
      <c r="DU54" s="434"/>
      <c r="DV54" s="434"/>
      <c r="DW54" s="434"/>
      <c r="DX54" s="434"/>
      <c r="DY54" s="434"/>
      <c r="DZ54" s="434"/>
      <c r="EA54" s="434"/>
      <c r="EB54" s="434"/>
      <c r="EC54" s="434"/>
      <c r="ED54" s="434"/>
      <c r="EE54" s="434"/>
      <c r="EF54" s="434"/>
      <c r="EG54" s="434"/>
      <c r="EH54" s="434"/>
      <c r="EI54" s="434"/>
      <c r="EJ54" s="434"/>
      <c r="EK54" s="434"/>
      <c r="EL54" s="434"/>
      <c r="EM54" s="434"/>
      <c r="EN54" s="434"/>
      <c r="EO54" s="434"/>
      <c r="EP54" s="434"/>
      <c r="EQ54" s="434"/>
      <c r="ER54" s="434"/>
      <c r="ES54" s="434"/>
      <c r="ET54" s="434"/>
      <c r="EU54" s="434"/>
      <c r="EV54" s="434"/>
      <c r="EW54" s="434"/>
      <c r="EX54" s="434"/>
      <c r="EY54" s="434"/>
      <c r="EZ54" s="434"/>
      <c r="FA54" s="434"/>
      <c r="FB54" s="434"/>
      <c r="FC54" s="434"/>
      <c r="FD54" s="434"/>
      <c r="FE54" s="434"/>
      <c r="FF54" s="434"/>
      <c r="FG54" s="434"/>
      <c r="FH54" s="434"/>
      <c r="FI54" s="434"/>
      <c r="FJ54" s="434"/>
      <c r="FK54" s="434"/>
      <c r="FL54" s="434"/>
      <c r="FM54" s="434"/>
      <c r="FN54" s="434"/>
      <c r="FO54" s="434"/>
      <c r="FP54" s="434"/>
      <c r="FQ54" s="434"/>
      <c r="FR54" s="434"/>
      <c r="FS54" s="434"/>
      <c r="FT54" s="434"/>
      <c r="FU54" s="434"/>
      <c r="FV54" s="434"/>
      <c r="FW54" s="434"/>
      <c r="FX54" s="434"/>
      <c r="FY54" s="434"/>
      <c r="FZ54" s="434"/>
      <c r="GA54" s="434"/>
      <c r="GB54" s="434"/>
      <c r="GC54" s="434"/>
      <c r="GD54" s="434"/>
      <c r="GE54" s="434"/>
      <c r="GF54" s="434"/>
      <c r="GG54" s="434"/>
      <c r="GH54" s="434"/>
      <c r="GI54" s="434"/>
      <c r="GJ54" s="434"/>
      <c r="GK54" s="434"/>
      <c r="GL54" s="434"/>
      <c r="GM54" s="434"/>
      <c r="GN54" s="434"/>
      <c r="GO54" s="434"/>
      <c r="GP54" s="434"/>
      <c r="GQ54" s="434"/>
      <c r="GR54" s="434"/>
      <c r="GS54" s="434"/>
      <c r="GT54" s="434"/>
      <c r="GU54" s="434"/>
      <c r="GV54" s="434"/>
      <c r="GW54" s="434"/>
      <c r="GX54" s="434"/>
      <c r="GY54" s="434"/>
      <c r="GZ54" s="434"/>
      <c r="HA54" s="434"/>
      <c r="HB54" s="434"/>
      <c r="HC54" s="434"/>
      <c r="HD54" s="434"/>
      <c r="HE54" s="434"/>
      <c r="HF54" s="434"/>
      <c r="HG54" s="434"/>
      <c r="HH54" s="434"/>
      <c r="HI54" s="434"/>
      <c r="HJ54" s="434"/>
      <c r="HK54" s="434"/>
      <c r="HL54" s="434"/>
      <c r="HM54" s="434"/>
      <c r="HN54" s="434"/>
      <c r="HO54" s="434"/>
    </row>
    <row r="55" spans="2:223" x14ac:dyDescent="0.3">
      <c r="B55" s="1807" t="s">
        <v>646</v>
      </c>
      <c r="C55" s="1807"/>
      <c r="D55" s="1807"/>
      <c r="E55" s="1807"/>
      <c r="F55" s="1807"/>
    </row>
    <row r="56" spans="2:223" ht="15.75" thickBot="1" x14ac:dyDescent="0.35">
      <c r="B56" s="1808" t="s">
        <v>645</v>
      </c>
      <c r="C56" s="1808"/>
      <c r="D56" s="1808"/>
      <c r="E56" s="433" t="str">
        <f>E8</f>
        <v>Amt In INR</v>
      </c>
      <c r="F56" s="433" t="str">
        <f>F8</f>
        <v>Amt In INR</v>
      </c>
    </row>
    <row r="57" spans="2:223" s="429" customFormat="1" ht="15.75" thickTop="1" x14ac:dyDescent="0.3">
      <c r="B57" s="425"/>
      <c r="C57" s="425" t="s">
        <v>644</v>
      </c>
      <c r="D57" s="425"/>
      <c r="E57" s="425"/>
      <c r="F57" s="425">
        <v>0</v>
      </c>
      <c r="G57" s="421"/>
      <c r="H57" s="421"/>
      <c r="I57" s="421"/>
      <c r="J57" s="421"/>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c r="AJ57" s="421"/>
      <c r="AK57" s="421"/>
      <c r="AL57" s="421"/>
      <c r="AM57" s="421"/>
      <c r="AN57" s="421"/>
      <c r="AO57" s="421"/>
      <c r="AP57" s="421"/>
      <c r="AQ57" s="421"/>
      <c r="AR57" s="421"/>
      <c r="AS57" s="421"/>
      <c r="AT57" s="421"/>
      <c r="AU57" s="421"/>
      <c r="AV57" s="421"/>
      <c r="AW57" s="421"/>
      <c r="AX57" s="421"/>
      <c r="AY57" s="421"/>
      <c r="AZ57" s="421"/>
      <c r="BA57" s="421"/>
      <c r="BB57" s="421"/>
      <c r="BC57" s="421"/>
      <c r="BD57" s="421"/>
      <c r="BE57" s="421"/>
      <c r="BF57" s="421"/>
      <c r="BG57" s="421"/>
      <c r="BH57" s="421"/>
      <c r="BI57" s="421"/>
      <c r="BJ57" s="421"/>
      <c r="BK57" s="421"/>
      <c r="BL57" s="421"/>
      <c r="BM57" s="421"/>
      <c r="BN57" s="421"/>
      <c r="BO57" s="421"/>
      <c r="BP57" s="421"/>
      <c r="BQ57" s="421"/>
      <c r="BR57" s="421"/>
      <c r="BS57" s="421"/>
      <c r="BT57" s="421"/>
      <c r="BU57" s="421"/>
      <c r="BV57" s="421"/>
      <c r="BW57" s="421"/>
      <c r="BX57" s="421"/>
      <c r="BY57" s="421"/>
      <c r="BZ57" s="421"/>
      <c r="CA57" s="421"/>
      <c r="CB57" s="421"/>
      <c r="CC57" s="421"/>
      <c r="CD57" s="421"/>
      <c r="CE57" s="421"/>
      <c r="CF57" s="421"/>
      <c r="CG57" s="421"/>
      <c r="CH57" s="421"/>
      <c r="CI57" s="421"/>
      <c r="CJ57" s="421"/>
      <c r="CK57" s="421"/>
      <c r="CL57" s="421"/>
      <c r="CM57" s="421"/>
      <c r="CN57" s="421"/>
      <c r="CO57" s="421"/>
      <c r="CP57" s="421"/>
      <c r="CQ57" s="421"/>
      <c r="CR57" s="421"/>
      <c r="CS57" s="421"/>
      <c r="CT57" s="421"/>
      <c r="CU57" s="421"/>
      <c r="CV57" s="421"/>
      <c r="CW57" s="421"/>
      <c r="CX57" s="421"/>
      <c r="CY57" s="421"/>
      <c r="CZ57" s="421"/>
      <c r="DA57" s="421"/>
      <c r="DB57" s="421"/>
      <c r="DC57" s="421"/>
      <c r="DD57" s="421"/>
      <c r="DE57" s="421"/>
      <c r="DF57" s="421"/>
      <c r="DG57" s="421"/>
      <c r="DH57" s="421"/>
      <c r="DI57" s="421"/>
      <c r="DJ57" s="421"/>
      <c r="DK57" s="421"/>
      <c r="DL57" s="421"/>
      <c r="DM57" s="421"/>
      <c r="DN57" s="421"/>
      <c r="DO57" s="421"/>
      <c r="DP57" s="421"/>
      <c r="DQ57" s="421"/>
      <c r="DR57" s="421"/>
      <c r="DS57" s="421"/>
      <c r="DT57" s="421"/>
      <c r="DU57" s="421"/>
      <c r="DV57" s="421"/>
      <c r="DW57" s="421"/>
      <c r="DX57" s="421"/>
      <c r="DY57" s="421"/>
      <c r="DZ57" s="421"/>
      <c r="EA57" s="421"/>
      <c r="EB57" s="421"/>
      <c r="EC57" s="421"/>
      <c r="ED57" s="421"/>
      <c r="EE57" s="421"/>
      <c r="EF57" s="421"/>
      <c r="EG57" s="421"/>
      <c r="EH57" s="421"/>
      <c r="EI57" s="421"/>
      <c r="EJ57" s="421"/>
      <c r="EK57" s="421"/>
      <c r="EL57" s="421"/>
      <c r="EM57" s="421"/>
      <c r="EN57" s="421"/>
      <c r="EO57" s="421"/>
      <c r="EP57" s="421"/>
      <c r="EQ57" s="421"/>
      <c r="ER57" s="421"/>
      <c r="ES57" s="421"/>
      <c r="ET57" s="421"/>
      <c r="EU57" s="421"/>
      <c r="EV57" s="421"/>
      <c r="EW57" s="421"/>
      <c r="EX57" s="421"/>
      <c r="EY57" s="421"/>
      <c r="EZ57" s="421"/>
      <c r="FA57" s="421"/>
      <c r="FB57" s="421"/>
      <c r="FC57" s="421"/>
      <c r="FD57" s="421"/>
      <c r="FE57" s="421"/>
      <c r="FF57" s="421"/>
      <c r="FG57" s="421"/>
      <c r="FH57" s="421"/>
      <c r="FI57" s="421"/>
      <c r="FJ57" s="421"/>
      <c r="FK57" s="421"/>
      <c r="FL57" s="421"/>
      <c r="FM57" s="421"/>
      <c r="FN57" s="421"/>
      <c r="FO57" s="421"/>
      <c r="FP57" s="421"/>
      <c r="FQ57" s="421"/>
      <c r="FR57" s="421"/>
      <c r="FS57" s="421"/>
      <c r="FT57" s="421"/>
      <c r="FU57" s="421"/>
      <c r="FV57" s="421"/>
      <c r="FW57" s="421"/>
      <c r="FX57" s="421"/>
      <c r="FY57" s="421"/>
      <c r="FZ57" s="421"/>
      <c r="GA57" s="421"/>
      <c r="GB57" s="421"/>
      <c r="GC57" s="421"/>
      <c r="GD57" s="421"/>
      <c r="GE57" s="421"/>
      <c r="GF57" s="421"/>
      <c r="GG57" s="421"/>
      <c r="GH57" s="421"/>
      <c r="GI57" s="421"/>
      <c r="GJ57" s="421"/>
      <c r="GK57" s="421"/>
      <c r="GL57" s="421"/>
      <c r="GM57" s="421"/>
      <c r="GN57" s="421"/>
      <c r="GO57" s="421"/>
      <c r="GP57" s="421"/>
      <c r="GQ57" s="421"/>
      <c r="GR57" s="421"/>
      <c r="GS57" s="421"/>
      <c r="GT57" s="421"/>
      <c r="GU57" s="421"/>
      <c r="GV57" s="421"/>
      <c r="GW57" s="421"/>
      <c r="GX57" s="421"/>
      <c r="GY57" s="421"/>
      <c r="GZ57" s="421"/>
      <c r="HA57" s="421"/>
      <c r="HB57" s="421"/>
      <c r="HC57" s="421"/>
      <c r="HD57" s="421"/>
      <c r="HE57" s="421"/>
      <c r="HF57" s="421"/>
      <c r="HG57" s="421"/>
      <c r="HH57" s="421"/>
      <c r="HI57" s="421"/>
      <c r="HJ57" s="421"/>
      <c r="HK57" s="421"/>
      <c r="HL57" s="421"/>
      <c r="HM57" s="421"/>
      <c r="HN57" s="421"/>
      <c r="HO57" s="421"/>
    </row>
    <row r="58" spans="2:223" x14ac:dyDescent="0.3">
      <c r="B58" s="425"/>
      <c r="C58" s="425"/>
      <c r="D58" s="425"/>
      <c r="E58" s="425"/>
      <c r="F58" s="425"/>
      <c r="G58" s="534">
        <f>+E59*17.16%</f>
        <v>2358061.5750120003</v>
      </c>
      <c r="H58" s="534">
        <f>+E60*D60</f>
        <v>1048636.7245419065</v>
      </c>
      <c r="I58" s="534"/>
    </row>
    <row r="59" spans="2:223" s="429" customFormat="1" x14ac:dyDescent="0.3">
      <c r="B59" s="425"/>
      <c r="C59" s="425" t="s">
        <v>643</v>
      </c>
      <c r="D59" s="432">
        <v>0.15</v>
      </c>
      <c r="E59" s="531">
        <f>F38</f>
        <v>13741617.57</v>
      </c>
      <c r="F59" s="425">
        <f>D59*E59</f>
        <v>2061242.6354999999</v>
      </c>
      <c r="G59" s="980">
        <f>+F59+F60</f>
        <v>3109879.3600419061</v>
      </c>
      <c r="H59" s="421">
        <f>15</f>
        <v>15</v>
      </c>
      <c r="I59" s="421">
        <v>22</v>
      </c>
      <c r="J59" s="421"/>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c r="AJ59" s="421"/>
      <c r="AK59" s="421"/>
      <c r="AL59" s="421"/>
      <c r="AM59" s="421"/>
      <c r="AN59" s="421"/>
      <c r="AO59" s="421"/>
      <c r="AP59" s="421"/>
      <c r="AQ59" s="421"/>
      <c r="AR59" s="421"/>
      <c r="AS59" s="421"/>
      <c r="AT59" s="421"/>
      <c r="AU59" s="421"/>
      <c r="AV59" s="421"/>
      <c r="AW59" s="421"/>
      <c r="AX59" s="421"/>
      <c r="AY59" s="421"/>
      <c r="AZ59" s="421"/>
      <c r="BA59" s="421"/>
      <c r="BB59" s="421"/>
      <c r="BC59" s="421"/>
      <c r="BD59" s="421"/>
      <c r="BE59" s="421"/>
      <c r="BF59" s="421"/>
      <c r="BG59" s="421"/>
      <c r="BH59" s="421"/>
      <c r="BI59" s="421"/>
      <c r="BJ59" s="421"/>
      <c r="BK59" s="421"/>
      <c r="BL59" s="421"/>
      <c r="BM59" s="421"/>
      <c r="BN59" s="421"/>
      <c r="BO59" s="421"/>
      <c r="BP59" s="421"/>
      <c r="BQ59" s="421"/>
      <c r="BR59" s="421"/>
      <c r="BS59" s="421"/>
      <c r="BT59" s="421"/>
      <c r="BU59" s="421"/>
      <c r="BV59" s="421"/>
      <c r="BW59" s="421"/>
      <c r="BX59" s="421"/>
      <c r="BY59" s="421"/>
      <c r="BZ59" s="421"/>
      <c r="CA59" s="421"/>
      <c r="CB59" s="421"/>
      <c r="CC59" s="421"/>
      <c r="CD59" s="421"/>
      <c r="CE59" s="421"/>
      <c r="CF59" s="421"/>
      <c r="CG59" s="421"/>
      <c r="CH59" s="421"/>
      <c r="CI59" s="421"/>
      <c r="CJ59" s="421"/>
      <c r="CK59" s="421"/>
      <c r="CL59" s="421"/>
      <c r="CM59" s="421"/>
      <c r="CN59" s="421"/>
      <c r="CO59" s="421"/>
      <c r="CP59" s="421"/>
      <c r="CQ59" s="421"/>
      <c r="CR59" s="421"/>
      <c r="CS59" s="421"/>
      <c r="CT59" s="421"/>
      <c r="CU59" s="421"/>
      <c r="CV59" s="421"/>
      <c r="CW59" s="421"/>
      <c r="CX59" s="421"/>
      <c r="CY59" s="421"/>
      <c r="CZ59" s="421"/>
      <c r="DA59" s="421"/>
      <c r="DB59" s="421"/>
      <c r="DC59" s="421"/>
      <c r="DD59" s="421"/>
      <c r="DE59" s="421"/>
      <c r="DF59" s="421"/>
      <c r="DG59" s="421"/>
      <c r="DH59" s="421"/>
      <c r="DI59" s="421"/>
      <c r="DJ59" s="421"/>
      <c r="DK59" s="421"/>
      <c r="DL59" s="421"/>
      <c r="DM59" s="421"/>
      <c r="DN59" s="421"/>
      <c r="DO59" s="421"/>
      <c r="DP59" s="421"/>
      <c r="DQ59" s="421"/>
      <c r="DR59" s="421"/>
      <c r="DS59" s="421"/>
      <c r="DT59" s="421"/>
      <c r="DU59" s="421"/>
      <c r="DV59" s="421"/>
      <c r="DW59" s="421"/>
      <c r="DX59" s="421"/>
      <c r="DY59" s="421"/>
      <c r="DZ59" s="421"/>
      <c r="EA59" s="421"/>
      <c r="EB59" s="421"/>
      <c r="EC59" s="421"/>
      <c r="ED59" s="421"/>
      <c r="EE59" s="421"/>
      <c r="EF59" s="421"/>
      <c r="EG59" s="421"/>
      <c r="EH59" s="421"/>
      <c r="EI59" s="421"/>
      <c r="EJ59" s="421"/>
      <c r="EK59" s="421"/>
      <c r="EL59" s="421"/>
      <c r="EM59" s="421"/>
      <c r="EN59" s="421"/>
      <c r="EO59" s="421"/>
      <c r="EP59" s="421"/>
      <c r="EQ59" s="421"/>
      <c r="ER59" s="421"/>
      <c r="ES59" s="421"/>
      <c r="ET59" s="421"/>
      <c r="EU59" s="421"/>
      <c r="EV59" s="421"/>
      <c r="EW59" s="421"/>
      <c r="EX59" s="421"/>
      <c r="EY59" s="421"/>
      <c r="EZ59" s="421"/>
      <c r="FA59" s="421"/>
      <c r="FB59" s="421"/>
      <c r="FC59" s="421"/>
      <c r="FD59" s="421"/>
      <c r="FE59" s="421"/>
      <c r="FF59" s="421"/>
      <c r="FG59" s="421"/>
      <c r="FH59" s="421"/>
      <c r="FI59" s="421"/>
      <c r="FJ59" s="421"/>
      <c r="FK59" s="421"/>
      <c r="FL59" s="421"/>
      <c r="FM59" s="421"/>
      <c r="FN59" s="421"/>
      <c r="FO59" s="421"/>
      <c r="FP59" s="421"/>
      <c r="FQ59" s="421"/>
      <c r="FR59" s="421"/>
      <c r="FS59" s="421"/>
      <c r="FT59" s="421"/>
      <c r="FU59" s="421"/>
      <c r="FV59" s="421"/>
      <c r="FW59" s="421"/>
      <c r="FX59" s="421"/>
      <c r="FY59" s="421"/>
      <c r="FZ59" s="421"/>
      <c r="GA59" s="421"/>
      <c r="GB59" s="421"/>
      <c r="GC59" s="421"/>
      <c r="GD59" s="421"/>
      <c r="GE59" s="421"/>
      <c r="GF59" s="421"/>
      <c r="GG59" s="421"/>
      <c r="GH59" s="421"/>
      <c r="GI59" s="421"/>
      <c r="GJ59" s="421"/>
      <c r="GK59" s="421"/>
      <c r="GL59" s="421"/>
      <c r="GM59" s="421"/>
      <c r="GN59" s="421"/>
      <c r="GO59" s="421"/>
      <c r="GP59" s="421"/>
      <c r="GQ59" s="421"/>
      <c r="GR59" s="421"/>
      <c r="GS59" s="421"/>
      <c r="GT59" s="421"/>
      <c r="GU59" s="421"/>
      <c r="GV59" s="421"/>
      <c r="GW59" s="421"/>
      <c r="GX59" s="421"/>
      <c r="GY59" s="421"/>
      <c r="GZ59" s="421"/>
      <c r="HA59" s="421"/>
      <c r="HB59" s="421"/>
      <c r="HC59" s="421"/>
      <c r="HD59" s="421"/>
      <c r="HE59" s="421"/>
      <c r="HF59" s="421"/>
      <c r="HG59" s="421"/>
      <c r="HH59" s="421"/>
      <c r="HI59" s="421"/>
      <c r="HJ59" s="421"/>
      <c r="HK59" s="421"/>
      <c r="HL59" s="421"/>
      <c r="HM59" s="421"/>
      <c r="HN59" s="421"/>
      <c r="HO59" s="421"/>
    </row>
    <row r="60" spans="2:223" s="429" customFormat="1" x14ac:dyDescent="0.3">
      <c r="B60" s="425"/>
      <c r="C60" s="425" t="s">
        <v>642</v>
      </c>
      <c r="D60" s="432">
        <v>0.22</v>
      </c>
      <c r="E60" s="531">
        <f>F33+F41+F50</f>
        <v>4766530.5660995748</v>
      </c>
      <c r="F60" s="425">
        <f>D60*E60</f>
        <v>1048636.7245419065</v>
      </c>
      <c r="G60" s="534">
        <f>E60*H63%</f>
        <v>817936.64514268702</v>
      </c>
      <c r="H60" s="421">
        <f>H59*10%</f>
        <v>1.5</v>
      </c>
      <c r="I60" s="421">
        <f>I59*10%</f>
        <v>2.2000000000000002</v>
      </c>
      <c r="J60" s="421"/>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c r="AJ60" s="421"/>
      <c r="AK60" s="421"/>
      <c r="AL60" s="421"/>
      <c r="AM60" s="421"/>
      <c r="AN60" s="421"/>
      <c r="AO60" s="421"/>
      <c r="AP60" s="421"/>
      <c r="AQ60" s="421"/>
      <c r="AR60" s="421"/>
      <c r="AS60" s="421"/>
      <c r="AT60" s="421"/>
      <c r="AU60" s="421"/>
      <c r="AV60" s="421"/>
      <c r="AW60" s="421"/>
      <c r="AX60" s="421"/>
      <c r="AY60" s="421"/>
      <c r="AZ60" s="421"/>
      <c r="BA60" s="421"/>
      <c r="BB60" s="421"/>
      <c r="BC60" s="421"/>
      <c r="BD60" s="421"/>
      <c r="BE60" s="421"/>
      <c r="BF60" s="421"/>
      <c r="BG60" s="421"/>
      <c r="BH60" s="421"/>
      <c r="BI60" s="421"/>
      <c r="BJ60" s="421"/>
      <c r="BK60" s="421"/>
      <c r="BL60" s="421"/>
      <c r="BM60" s="421"/>
      <c r="BN60" s="421"/>
      <c r="BO60" s="421"/>
      <c r="BP60" s="421"/>
      <c r="BQ60" s="421"/>
      <c r="BR60" s="421"/>
      <c r="BS60" s="421"/>
      <c r="BT60" s="421"/>
      <c r="BU60" s="421"/>
      <c r="BV60" s="421"/>
      <c r="BW60" s="421"/>
      <c r="BX60" s="421"/>
      <c r="BY60" s="421"/>
      <c r="BZ60" s="421"/>
      <c r="CA60" s="421"/>
      <c r="CB60" s="421"/>
      <c r="CC60" s="421"/>
      <c r="CD60" s="421"/>
      <c r="CE60" s="421"/>
      <c r="CF60" s="421"/>
      <c r="CG60" s="421"/>
      <c r="CH60" s="421"/>
      <c r="CI60" s="421"/>
      <c r="CJ60" s="421"/>
      <c r="CK60" s="421"/>
      <c r="CL60" s="421"/>
      <c r="CM60" s="421"/>
      <c r="CN60" s="421"/>
      <c r="CO60" s="421"/>
      <c r="CP60" s="421"/>
      <c r="CQ60" s="421"/>
      <c r="CR60" s="421"/>
      <c r="CS60" s="421"/>
      <c r="CT60" s="421"/>
      <c r="CU60" s="421"/>
      <c r="CV60" s="421"/>
      <c r="CW60" s="421"/>
      <c r="CX60" s="421"/>
      <c r="CY60" s="421"/>
      <c r="CZ60" s="421"/>
      <c r="DA60" s="421"/>
      <c r="DB60" s="421"/>
      <c r="DC60" s="421"/>
      <c r="DD60" s="421"/>
      <c r="DE60" s="421"/>
      <c r="DF60" s="421"/>
      <c r="DG60" s="421"/>
      <c r="DH60" s="421"/>
      <c r="DI60" s="421"/>
      <c r="DJ60" s="421"/>
      <c r="DK60" s="421"/>
      <c r="DL60" s="421"/>
      <c r="DM60" s="421"/>
      <c r="DN60" s="421"/>
      <c r="DO60" s="421"/>
      <c r="DP60" s="421"/>
      <c r="DQ60" s="421"/>
      <c r="DR60" s="421"/>
      <c r="DS60" s="421"/>
      <c r="DT60" s="421"/>
      <c r="DU60" s="421"/>
      <c r="DV60" s="421"/>
      <c r="DW60" s="421"/>
      <c r="DX60" s="421"/>
      <c r="DY60" s="421"/>
      <c r="DZ60" s="421"/>
      <c r="EA60" s="421"/>
      <c r="EB60" s="421"/>
      <c r="EC60" s="421"/>
      <c r="ED60" s="421"/>
      <c r="EE60" s="421"/>
      <c r="EF60" s="421"/>
      <c r="EG60" s="421"/>
      <c r="EH60" s="421"/>
      <c r="EI60" s="421"/>
      <c r="EJ60" s="421"/>
      <c r="EK60" s="421"/>
      <c r="EL60" s="421"/>
      <c r="EM60" s="421"/>
      <c r="EN60" s="421"/>
      <c r="EO60" s="421"/>
      <c r="EP60" s="421"/>
      <c r="EQ60" s="421"/>
      <c r="ER60" s="421"/>
      <c r="ES60" s="421"/>
      <c r="ET60" s="421"/>
      <c r="EU60" s="421"/>
      <c r="EV60" s="421"/>
      <c r="EW60" s="421"/>
      <c r="EX60" s="421"/>
      <c r="EY60" s="421"/>
      <c r="EZ60" s="421"/>
      <c r="FA60" s="421"/>
      <c r="FB60" s="421"/>
      <c r="FC60" s="421"/>
      <c r="FD60" s="421"/>
      <c r="FE60" s="421"/>
      <c r="FF60" s="421"/>
      <c r="FG60" s="421"/>
      <c r="FH60" s="421"/>
      <c r="FI60" s="421"/>
      <c r="FJ60" s="421"/>
      <c r="FK60" s="421"/>
      <c r="FL60" s="421"/>
      <c r="FM60" s="421"/>
      <c r="FN60" s="421"/>
      <c r="FO60" s="421"/>
      <c r="FP60" s="421"/>
      <c r="FQ60" s="421"/>
      <c r="FR60" s="421"/>
      <c r="FS60" s="421"/>
      <c r="FT60" s="421"/>
      <c r="FU60" s="421"/>
      <c r="FV60" s="421"/>
      <c r="FW60" s="421"/>
      <c r="FX60" s="421"/>
      <c r="FY60" s="421"/>
      <c r="FZ60" s="421"/>
      <c r="GA60" s="421"/>
      <c r="GB60" s="421"/>
      <c r="GC60" s="421"/>
      <c r="GD60" s="421"/>
      <c r="GE60" s="421"/>
      <c r="GF60" s="421"/>
      <c r="GG60" s="421"/>
      <c r="GH60" s="421"/>
      <c r="GI60" s="421"/>
      <c r="GJ60" s="421"/>
      <c r="GK60" s="421"/>
      <c r="GL60" s="421"/>
      <c r="GM60" s="421"/>
      <c r="GN60" s="421"/>
      <c r="GO60" s="421"/>
      <c r="GP60" s="421"/>
      <c r="GQ60" s="421"/>
      <c r="GR60" s="421"/>
      <c r="GS60" s="421"/>
      <c r="GT60" s="421"/>
      <c r="GU60" s="421"/>
      <c r="GV60" s="421"/>
      <c r="GW60" s="421"/>
      <c r="GX60" s="421"/>
      <c r="GY60" s="421"/>
      <c r="GZ60" s="421"/>
      <c r="HA60" s="421"/>
      <c r="HB60" s="421"/>
      <c r="HC60" s="421"/>
      <c r="HD60" s="421"/>
      <c r="HE60" s="421"/>
      <c r="HF60" s="421"/>
      <c r="HG60" s="421"/>
      <c r="HH60" s="421"/>
      <c r="HI60" s="421"/>
      <c r="HJ60" s="421"/>
      <c r="HK60" s="421"/>
      <c r="HL60" s="421"/>
      <c r="HM60" s="421"/>
      <c r="HN60" s="421"/>
      <c r="HO60" s="421"/>
    </row>
    <row r="61" spans="2:223" s="429" customFormat="1" x14ac:dyDescent="0.3">
      <c r="B61" s="425"/>
      <c r="C61" s="425" t="s">
        <v>642</v>
      </c>
      <c r="D61" s="432">
        <v>0.1</v>
      </c>
      <c r="E61" s="432"/>
      <c r="F61" s="426">
        <v>0</v>
      </c>
      <c r="G61" s="534">
        <f>E60*I63%</f>
        <v>1199640.412875941</v>
      </c>
      <c r="H61" s="421">
        <f>H59+H60</f>
        <v>16.5</v>
      </c>
      <c r="I61" s="421">
        <f>I59+I60</f>
        <v>24.2</v>
      </c>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c r="AJ61" s="421"/>
      <c r="AK61" s="421"/>
      <c r="AL61" s="421"/>
      <c r="AM61" s="421"/>
      <c r="AN61" s="421"/>
      <c r="AO61" s="421"/>
      <c r="AP61" s="421"/>
      <c r="AQ61" s="421"/>
      <c r="AR61" s="421"/>
      <c r="AS61" s="421"/>
      <c r="AT61" s="421"/>
      <c r="AU61" s="421"/>
      <c r="AV61" s="421"/>
      <c r="AW61" s="421"/>
      <c r="AX61" s="421"/>
      <c r="AY61" s="421"/>
      <c r="AZ61" s="421"/>
      <c r="BA61" s="421"/>
      <c r="BB61" s="421"/>
      <c r="BC61" s="421"/>
      <c r="BD61" s="421"/>
      <c r="BE61" s="421"/>
      <c r="BF61" s="421"/>
      <c r="BG61" s="421"/>
      <c r="BH61" s="421"/>
      <c r="BI61" s="421"/>
      <c r="BJ61" s="421"/>
      <c r="BK61" s="421"/>
      <c r="BL61" s="421"/>
      <c r="BM61" s="421"/>
      <c r="BN61" s="421"/>
      <c r="BO61" s="421"/>
      <c r="BP61" s="421"/>
      <c r="BQ61" s="421"/>
      <c r="BR61" s="421"/>
      <c r="BS61" s="421"/>
      <c r="BT61" s="421"/>
      <c r="BU61" s="421"/>
      <c r="BV61" s="421"/>
      <c r="BW61" s="421"/>
      <c r="BX61" s="421"/>
      <c r="BY61" s="421"/>
      <c r="BZ61" s="421"/>
      <c r="CA61" s="421"/>
      <c r="CB61" s="421"/>
      <c r="CC61" s="421"/>
      <c r="CD61" s="421"/>
      <c r="CE61" s="421"/>
      <c r="CF61" s="421"/>
      <c r="CG61" s="421"/>
      <c r="CH61" s="421"/>
      <c r="CI61" s="421"/>
      <c r="CJ61" s="421"/>
      <c r="CK61" s="421"/>
      <c r="CL61" s="421"/>
      <c r="CM61" s="421"/>
      <c r="CN61" s="421"/>
      <c r="CO61" s="421"/>
      <c r="CP61" s="421"/>
      <c r="CQ61" s="421"/>
      <c r="CR61" s="421"/>
      <c r="CS61" s="421"/>
      <c r="CT61" s="421"/>
      <c r="CU61" s="421"/>
      <c r="CV61" s="421"/>
      <c r="CW61" s="421"/>
      <c r="CX61" s="421"/>
      <c r="CY61" s="421"/>
      <c r="CZ61" s="421"/>
      <c r="DA61" s="421"/>
      <c r="DB61" s="421"/>
      <c r="DC61" s="421"/>
      <c r="DD61" s="421"/>
      <c r="DE61" s="421"/>
      <c r="DF61" s="421"/>
      <c r="DG61" s="421"/>
      <c r="DH61" s="421"/>
      <c r="DI61" s="421"/>
      <c r="DJ61" s="421"/>
      <c r="DK61" s="421"/>
      <c r="DL61" s="421"/>
      <c r="DM61" s="421"/>
      <c r="DN61" s="421"/>
      <c r="DO61" s="421"/>
      <c r="DP61" s="421"/>
      <c r="DQ61" s="421"/>
      <c r="DR61" s="421"/>
      <c r="DS61" s="421"/>
      <c r="DT61" s="421"/>
      <c r="DU61" s="421"/>
      <c r="DV61" s="421"/>
      <c r="DW61" s="421"/>
      <c r="DX61" s="421"/>
      <c r="DY61" s="421"/>
      <c r="DZ61" s="421"/>
      <c r="EA61" s="421"/>
      <c r="EB61" s="421"/>
      <c r="EC61" s="421"/>
      <c r="ED61" s="421"/>
      <c r="EE61" s="421"/>
      <c r="EF61" s="421"/>
      <c r="EG61" s="421"/>
      <c r="EH61" s="421"/>
      <c r="EI61" s="421"/>
      <c r="EJ61" s="421"/>
      <c r="EK61" s="421"/>
      <c r="EL61" s="421"/>
      <c r="EM61" s="421"/>
      <c r="EN61" s="421"/>
      <c r="EO61" s="421"/>
      <c r="EP61" s="421"/>
      <c r="EQ61" s="421"/>
      <c r="ER61" s="421"/>
      <c r="ES61" s="421"/>
      <c r="ET61" s="421"/>
      <c r="EU61" s="421"/>
      <c r="EV61" s="421"/>
      <c r="EW61" s="421"/>
      <c r="EX61" s="421"/>
      <c r="EY61" s="421"/>
      <c r="EZ61" s="421"/>
      <c r="FA61" s="421"/>
      <c r="FB61" s="421"/>
      <c r="FC61" s="421"/>
      <c r="FD61" s="421"/>
      <c r="FE61" s="421"/>
      <c r="FF61" s="421"/>
      <c r="FG61" s="421"/>
      <c r="FH61" s="421"/>
      <c r="FI61" s="421"/>
      <c r="FJ61" s="421"/>
      <c r="FK61" s="421"/>
      <c r="FL61" s="421"/>
      <c r="FM61" s="421"/>
      <c r="FN61" s="421"/>
      <c r="FO61" s="421"/>
      <c r="FP61" s="421"/>
      <c r="FQ61" s="421"/>
      <c r="FR61" s="421"/>
      <c r="FS61" s="421"/>
      <c r="FT61" s="421"/>
      <c r="FU61" s="421"/>
      <c r="FV61" s="421"/>
      <c r="FW61" s="421"/>
      <c r="FX61" s="421"/>
      <c r="FY61" s="421"/>
      <c r="FZ61" s="421"/>
      <c r="GA61" s="421"/>
      <c r="GB61" s="421"/>
      <c r="GC61" s="421"/>
      <c r="GD61" s="421"/>
      <c r="GE61" s="421"/>
      <c r="GF61" s="421"/>
      <c r="GG61" s="421"/>
      <c r="GH61" s="421"/>
      <c r="GI61" s="421"/>
      <c r="GJ61" s="421"/>
      <c r="GK61" s="421"/>
      <c r="GL61" s="421"/>
      <c r="GM61" s="421"/>
      <c r="GN61" s="421"/>
      <c r="GO61" s="421"/>
      <c r="GP61" s="421"/>
      <c r="GQ61" s="421"/>
      <c r="GR61" s="421"/>
      <c r="GS61" s="421"/>
      <c r="GT61" s="421"/>
      <c r="GU61" s="421"/>
      <c r="GV61" s="421"/>
      <c r="GW61" s="421"/>
      <c r="GX61" s="421"/>
      <c r="GY61" s="421"/>
      <c r="GZ61" s="421"/>
      <c r="HA61" s="421"/>
      <c r="HB61" s="421"/>
      <c r="HC61" s="421"/>
      <c r="HD61" s="421"/>
      <c r="HE61" s="421"/>
      <c r="HF61" s="421"/>
      <c r="HG61" s="421"/>
      <c r="HH61" s="421"/>
      <c r="HI61" s="421"/>
      <c r="HJ61" s="421"/>
      <c r="HK61" s="421"/>
      <c r="HL61" s="421"/>
      <c r="HM61" s="421"/>
      <c r="HN61" s="421"/>
      <c r="HO61" s="421"/>
    </row>
    <row r="62" spans="2:223" s="429" customFormat="1" x14ac:dyDescent="0.3">
      <c r="B62" s="425"/>
      <c r="C62" s="425" t="s">
        <v>639</v>
      </c>
      <c r="D62" s="425"/>
      <c r="E62" s="425"/>
      <c r="F62" s="425">
        <f>SUM(F59:F61)</f>
        <v>3109879.3600419061</v>
      </c>
      <c r="G62" s="534">
        <f>G61-G60</f>
        <v>381703.767733254</v>
      </c>
      <c r="H62" s="421">
        <f>H61*4%</f>
        <v>0.66</v>
      </c>
      <c r="I62" s="421">
        <f>I61*4%</f>
        <v>0.96799999999999997</v>
      </c>
      <c r="J62" s="421"/>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c r="AJ62" s="421"/>
      <c r="AK62" s="421"/>
      <c r="AL62" s="421"/>
      <c r="AM62" s="421"/>
      <c r="AN62" s="421"/>
      <c r="AO62" s="421"/>
      <c r="AP62" s="421"/>
      <c r="AQ62" s="421"/>
      <c r="AR62" s="421"/>
      <c r="AS62" s="421"/>
      <c r="AT62" s="421"/>
      <c r="AU62" s="421"/>
      <c r="AV62" s="421"/>
      <c r="AW62" s="421"/>
      <c r="AX62" s="421"/>
      <c r="AY62" s="421"/>
      <c r="AZ62" s="421"/>
      <c r="BA62" s="421"/>
      <c r="BB62" s="421"/>
      <c r="BC62" s="421"/>
      <c r="BD62" s="421"/>
      <c r="BE62" s="421"/>
      <c r="BF62" s="421"/>
      <c r="BG62" s="421"/>
      <c r="BH62" s="421"/>
      <c r="BI62" s="421"/>
      <c r="BJ62" s="421"/>
      <c r="BK62" s="421"/>
      <c r="BL62" s="421"/>
      <c r="BM62" s="421"/>
      <c r="BN62" s="421"/>
      <c r="BO62" s="421"/>
      <c r="BP62" s="421"/>
      <c r="BQ62" s="421"/>
      <c r="BR62" s="421"/>
      <c r="BS62" s="421"/>
      <c r="BT62" s="421"/>
      <c r="BU62" s="421"/>
      <c r="BV62" s="421"/>
      <c r="BW62" s="421"/>
      <c r="BX62" s="421"/>
      <c r="BY62" s="421"/>
      <c r="BZ62" s="421"/>
      <c r="CA62" s="421"/>
      <c r="CB62" s="421"/>
      <c r="CC62" s="421"/>
      <c r="CD62" s="421"/>
      <c r="CE62" s="421"/>
      <c r="CF62" s="421"/>
      <c r="CG62" s="421"/>
      <c r="CH62" s="421"/>
      <c r="CI62" s="421"/>
      <c r="CJ62" s="421"/>
      <c r="CK62" s="421"/>
      <c r="CL62" s="421"/>
      <c r="CM62" s="421"/>
      <c r="CN62" s="421"/>
      <c r="CO62" s="421"/>
      <c r="CP62" s="421"/>
      <c r="CQ62" s="421"/>
      <c r="CR62" s="421"/>
      <c r="CS62" s="421"/>
      <c r="CT62" s="421"/>
      <c r="CU62" s="421"/>
      <c r="CV62" s="421"/>
      <c r="CW62" s="421"/>
      <c r="CX62" s="421"/>
      <c r="CY62" s="421"/>
      <c r="CZ62" s="421"/>
      <c r="DA62" s="421"/>
      <c r="DB62" s="421"/>
      <c r="DC62" s="421"/>
      <c r="DD62" s="421"/>
      <c r="DE62" s="421"/>
      <c r="DF62" s="421"/>
      <c r="DG62" s="421"/>
      <c r="DH62" s="421"/>
      <c r="DI62" s="421"/>
      <c r="DJ62" s="421"/>
      <c r="DK62" s="421"/>
      <c r="DL62" s="421"/>
      <c r="DM62" s="421"/>
      <c r="DN62" s="421"/>
      <c r="DO62" s="421"/>
      <c r="DP62" s="421"/>
      <c r="DQ62" s="421"/>
      <c r="DR62" s="421"/>
      <c r="DS62" s="421"/>
      <c r="DT62" s="421"/>
      <c r="DU62" s="421"/>
      <c r="DV62" s="421"/>
      <c r="DW62" s="421"/>
      <c r="DX62" s="421"/>
      <c r="DY62" s="421"/>
      <c r="DZ62" s="421"/>
      <c r="EA62" s="421"/>
      <c r="EB62" s="421"/>
      <c r="EC62" s="421"/>
      <c r="ED62" s="421"/>
      <c r="EE62" s="421"/>
      <c r="EF62" s="421"/>
      <c r="EG62" s="421"/>
      <c r="EH62" s="421"/>
      <c r="EI62" s="421"/>
      <c r="EJ62" s="421"/>
      <c r="EK62" s="421"/>
      <c r="EL62" s="421"/>
      <c r="EM62" s="421"/>
      <c r="EN62" s="421"/>
      <c r="EO62" s="421"/>
      <c r="EP62" s="421"/>
      <c r="EQ62" s="421"/>
      <c r="ER62" s="421"/>
      <c r="ES62" s="421"/>
      <c r="ET62" s="421"/>
      <c r="EU62" s="421"/>
      <c r="EV62" s="421"/>
      <c r="EW62" s="421"/>
      <c r="EX62" s="421"/>
      <c r="EY62" s="421"/>
      <c r="EZ62" s="421"/>
      <c r="FA62" s="421"/>
      <c r="FB62" s="421"/>
      <c r="FC62" s="421"/>
      <c r="FD62" s="421"/>
      <c r="FE62" s="421"/>
      <c r="FF62" s="421"/>
      <c r="FG62" s="421"/>
      <c r="FH62" s="421"/>
      <c r="FI62" s="421"/>
      <c r="FJ62" s="421"/>
      <c r="FK62" s="421"/>
      <c r="FL62" s="421"/>
      <c r="FM62" s="421"/>
      <c r="FN62" s="421"/>
      <c r="FO62" s="421"/>
      <c r="FP62" s="421"/>
      <c r="FQ62" s="421"/>
      <c r="FR62" s="421"/>
      <c r="FS62" s="421"/>
      <c r="FT62" s="421"/>
      <c r="FU62" s="421"/>
      <c r="FV62" s="421"/>
      <c r="FW62" s="421"/>
      <c r="FX62" s="421"/>
      <c r="FY62" s="421"/>
      <c r="FZ62" s="421"/>
      <c r="GA62" s="421"/>
      <c r="GB62" s="421"/>
      <c r="GC62" s="421"/>
      <c r="GD62" s="421"/>
      <c r="GE62" s="421"/>
      <c r="GF62" s="421"/>
      <c r="GG62" s="421"/>
      <c r="GH62" s="421"/>
      <c r="GI62" s="421"/>
      <c r="GJ62" s="421"/>
      <c r="GK62" s="421"/>
      <c r="GL62" s="421"/>
      <c r="GM62" s="421"/>
      <c r="GN62" s="421"/>
      <c r="GO62" s="421"/>
      <c r="GP62" s="421"/>
      <c r="GQ62" s="421"/>
      <c r="GR62" s="421"/>
      <c r="GS62" s="421"/>
      <c r="GT62" s="421"/>
      <c r="GU62" s="421"/>
      <c r="GV62" s="421"/>
      <c r="GW62" s="421"/>
      <c r="GX62" s="421"/>
      <c r="GY62" s="421"/>
      <c r="GZ62" s="421"/>
      <c r="HA62" s="421"/>
      <c r="HB62" s="421"/>
      <c r="HC62" s="421"/>
      <c r="HD62" s="421"/>
      <c r="HE62" s="421"/>
      <c r="HF62" s="421"/>
      <c r="HG62" s="421"/>
      <c r="HH62" s="421"/>
      <c r="HI62" s="421"/>
      <c r="HJ62" s="421"/>
      <c r="HK62" s="421"/>
      <c r="HL62" s="421"/>
      <c r="HM62" s="421"/>
      <c r="HN62" s="421"/>
      <c r="HO62" s="421"/>
    </row>
    <row r="63" spans="2:223" s="429" customFormat="1" x14ac:dyDescent="0.3">
      <c r="B63" s="427" t="s">
        <v>638</v>
      </c>
      <c r="C63" s="425" t="s">
        <v>641</v>
      </c>
      <c r="D63" s="425"/>
      <c r="E63" s="425"/>
      <c r="F63" s="431">
        <f>F62*10%</f>
        <v>310987.93600419065</v>
      </c>
      <c r="G63" s="421"/>
      <c r="H63" s="977">
        <f>H61+H62</f>
        <v>17.16</v>
      </c>
      <c r="I63" s="1076">
        <f>I61+I62</f>
        <v>25.167999999999999</v>
      </c>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c r="AJ63" s="421"/>
      <c r="AK63" s="421"/>
      <c r="AL63" s="421"/>
      <c r="AM63" s="421"/>
      <c r="AN63" s="421"/>
      <c r="AO63" s="421"/>
      <c r="AP63" s="421"/>
      <c r="AQ63" s="421"/>
      <c r="AR63" s="421"/>
      <c r="AS63" s="421"/>
      <c r="AT63" s="421"/>
      <c r="AU63" s="421"/>
      <c r="AV63" s="421"/>
      <c r="AW63" s="421"/>
      <c r="AX63" s="421"/>
      <c r="AY63" s="421"/>
      <c r="AZ63" s="421"/>
      <c r="BA63" s="421"/>
      <c r="BB63" s="421"/>
      <c r="BC63" s="421"/>
      <c r="BD63" s="421"/>
      <c r="BE63" s="421"/>
      <c r="BF63" s="421"/>
      <c r="BG63" s="421"/>
      <c r="BH63" s="421"/>
      <c r="BI63" s="421"/>
      <c r="BJ63" s="421"/>
      <c r="BK63" s="421"/>
      <c r="BL63" s="421"/>
      <c r="BM63" s="421"/>
      <c r="BN63" s="421"/>
      <c r="BO63" s="421"/>
      <c r="BP63" s="421"/>
      <c r="BQ63" s="421"/>
      <c r="BR63" s="421"/>
      <c r="BS63" s="421"/>
      <c r="BT63" s="421"/>
      <c r="BU63" s="421"/>
      <c r="BV63" s="421"/>
      <c r="BW63" s="421"/>
      <c r="BX63" s="421"/>
      <c r="BY63" s="421"/>
      <c r="BZ63" s="421"/>
      <c r="CA63" s="421"/>
      <c r="CB63" s="421"/>
      <c r="CC63" s="421"/>
      <c r="CD63" s="421"/>
      <c r="CE63" s="421"/>
      <c r="CF63" s="421"/>
      <c r="CG63" s="421"/>
      <c r="CH63" s="421"/>
      <c r="CI63" s="421"/>
      <c r="CJ63" s="421"/>
      <c r="CK63" s="421"/>
      <c r="CL63" s="421"/>
      <c r="CM63" s="421"/>
      <c r="CN63" s="421"/>
      <c r="CO63" s="421"/>
      <c r="CP63" s="421"/>
      <c r="CQ63" s="421"/>
      <c r="CR63" s="421"/>
      <c r="CS63" s="421"/>
      <c r="CT63" s="421"/>
      <c r="CU63" s="421"/>
      <c r="CV63" s="421"/>
      <c r="CW63" s="421"/>
      <c r="CX63" s="421"/>
      <c r="CY63" s="421"/>
      <c r="CZ63" s="421"/>
      <c r="DA63" s="421"/>
      <c r="DB63" s="421"/>
      <c r="DC63" s="421"/>
      <c r="DD63" s="421"/>
      <c r="DE63" s="421"/>
      <c r="DF63" s="421"/>
      <c r="DG63" s="421"/>
      <c r="DH63" s="421"/>
      <c r="DI63" s="421"/>
      <c r="DJ63" s="421"/>
      <c r="DK63" s="421"/>
      <c r="DL63" s="421"/>
      <c r="DM63" s="421"/>
      <c r="DN63" s="421"/>
      <c r="DO63" s="421"/>
      <c r="DP63" s="421"/>
      <c r="DQ63" s="421"/>
      <c r="DR63" s="421"/>
      <c r="DS63" s="421"/>
      <c r="DT63" s="421"/>
      <c r="DU63" s="421"/>
      <c r="DV63" s="421"/>
      <c r="DW63" s="421"/>
      <c r="DX63" s="421"/>
      <c r="DY63" s="421"/>
      <c r="DZ63" s="421"/>
      <c r="EA63" s="421"/>
      <c r="EB63" s="421"/>
      <c r="EC63" s="421"/>
      <c r="ED63" s="421"/>
      <c r="EE63" s="421"/>
      <c r="EF63" s="421"/>
      <c r="EG63" s="421"/>
      <c r="EH63" s="421"/>
      <c r="EI63" s="421"/>
      <c r="EJ63" s="421"/>
      <c r="EK63" s="421"/>
      <c r="EL63" s="421"/>
      <c r="EM63" s="421"/>
      <c r="EN63" s="421"/>
      <c r="EO63" s="421"/>
      <c r="EP63" s="421"/>
      <c r="EQ63" s="421"/>
      <c r="ER63" s="421"/>
      <c r="ES63" s="421"/>
      <c r="ET63" s="421"/>
      <c r="EU63" s="421"/>
      <c r="EV63" s="421"/>
      <c r="EW63" s="421"/>
      <c r="EX63" s="421"/>
      <c r="EY63" s="421"/>
      <c r="EZ63" s="421"/>
      <c r="FA63" s="421"/>
      <c r="FB63" s="421"/>
      <c r="FC63" s="421"/>
      <c r="FD63" s="421"/>
      <c r="FE63" s="421"/>
      <c r="FF63" s="421"/>
      <c r="FG63" s="421"/>
      <c r="FH63" s="421"/>
      <c r="FI63" s="421"/>
      <c r="FJ63" s="421"/>
      <c r="FK63" s="421"/>
      <c r="FL63" s="421"/>
      <c r="FM63" s="421"/>
      <c r="FN63" s="421"/>
      <c r="FO63" s="421"/>
      <c r="FP63" s="421"/>
      <c r="FQ63" s="421"/>
      <c r="FR63" s="421"/>
      <c r="FS63" s="421"/>
      <c r="FT63" s="421"/>
      <c r="FU63" s="421"/>
      <c r="FV63" s="421"/>
      <c r="FW63" s="421"/>
      <c r="FX63" s="421"/>
      <c r="FY63" s="421"/>
      <c r="FZ63" s="421"/>
      <c r="GA63" s="421"/>
      <c r="GB63" s="421"/>
      <c r="GC63" s="421"/>
      <c r="GD63" s="421"/>
      <c r="GE63" s="421"/>
      <c r="GF63" s="421"/>
      <c r="GG63" s="421"/>
      <c r="GH63" s="421"/>
      <c r="GI63" s="421"/>
      <c r="GJ63" s="421"/>
      <c r="GK63" s="421"/>
      <c r="GL63" s="421"/>
      <c r="GM63" s="421"/>
      <c r="GN63" s="421"/>
      <c r="GO63" s="421"/>
      <c r="GP63" s="421"/>
      <c r="GQ63" s="421"/>
      <c r="GR63" s="421"/>
      <c r="GS63" s="421"/>
      <c r="GT63" s="421"/>
      <c r="GU63" s="421"/>
      <c r="GV63" s="421"/>
      <c r="GW63" s="421"/>
      <c r="GX63" s="421"/>
      <c r="GY63" s="421"/>
      <c r="GZ63" s="421"/>
      <c r="HA63" s="421"/>
      <c r="HB63" s="421"/>
      <c r="HC63" s="421"/>
      <c r="HD63" s="421"/>
      <c r="HE63" s="421"/>
      <c r="HF63" s="421"/>
      <c r="HG63" s="421"/>
      <c r="HH63" s="421"/>
      <c r="HI63" s="421"/>
      <c r="HJ63" s="421"/>
      <c r="HK63" s="421"/>
      <c r="HL63" s="421"/>
      <c r="HM63" s="421"/>
      <c r="HN63" s="421"/>
      <c r="HO63" s="421"/>
    </row>
    <row r="64" spans="2:223" s="429" customFormat="1" x14ac:dyDescent="0.3">
      <c r="B64" s="427" t="s">
        <v>638</v>
      </c>
      <c r="C64" s="425" t="s">
        <v>640</v>
      </c>
      <c r="D64" s="425"/>
      <c r="E64" s="425"/>
      <c r="F64" s="426">
        <f>(F62+F63)*4%</f>
        <v>136834.69184184389</v>
      </c>
      <c r="G64" s="421"/>
      <c r="H64" s="532">
        <v>0.15</v>
      </c>
      <c r="I64" s="533">
        <f>($F$65-$E$75)*H64</f>
        <v>-241160316.12181681</v>
      </c>
      <c r="J64" s="421">
        <v>3</v>
      </c>
      <c r="K64" s="534">
        <f>I64*J64%</f>
        <v>-7234809.4836545037</v>
      </c>
      <c r="L64" s="421"/>
      <c r="M64" s="421"/>
      <c r="N64" s="421"/>
      <c r="O64" s="421"/>
      <c r="P64" s="421"/>
      <c r="Q64" s="421"/>
      <c r="R64" s="421"/>
      <c r="S64" s="421"/>
      <c r="T64" s="421"/>
      <c r="U64" s="421"/>
      <c r="V64" s="421"/>
      <c r="W64" s="421"/>
      <c r="X64" s="421"/>
      <c r="Y64" s="421"/>
      <c r="Z64" s="421"/>
      <c r="AA64" s="421"/>
      <c r="AB64" s="421"/>
      <c r="AC64" s="421"/>
      <c r="AD64" s="421"/>
      <c r="AE64" s="421"/>
      <c r="AF64" s="421"/>
      <c r="AG64" s="421"/>
      <c r="AH64" s="421"/>
      <c r="AI64" s="421"/>
      <c r="AJ64" s="421"/>
      <c r="AK64" s="421"/>
      <c r="AL64" s="421"/>
      <c r="AM64" s="421"/>
      <c r="AN64" s="421"/>
      <c r="AO64" s="421"/>
      <c r="AP64" s="421"/>
      <c r="AQ64" s="421"/>
      <c r="AR64" s="421"/>
      <c r="AS64" s="421"/>
      <c r="AT64" s="421"/>
      <c r="AU64" s="421"/>
      <c r="AV64" s="421"/>
      <c r="AW64" s="421"/>
      <c r="AX64" s="421"/>
      <c r="AY64" s="421"/>
      <c r="AZ64" s="421"/>
      <c r="BA64" s="421"/>
      <c r="BB64" s="421"/>
      <c r="BC64" s="421"/>
      <c r="BD64" s="421"/>
      <c r="BE64" s="421"/>
      <c r="BF64" s="421"/>
      <c r="BG64" s="421"/>
      <c r="BH64" s="421"/>
      <c r="BI64" s="421"/>
      <c r="BJ64" s="421"/>
      <c r="BK64" s="421"/>
      <c r="BL64" s="421"/>
      <c r="BM64" s="421"/>
      <c r="BN64" s="421"/>
      <c r="BO64" s="421"/>
      <c r="BP64" s="421"/>
      <c r="BQ64" s="421"/>
      <c r="BR64" s="421"/>
      <c r="BS64" s="421"/>
      <c r="BT64" s="421"/>
      <c r="BU64" s="421"/>
      <c r="BV64" s="421"/>
      <c r="BW64" s="421"/>
      <c r="BX64" s="421"/>
      <c r="BY64" s="421"/>
      <c r="BZ64" s="421"/>
      <c r="CA64" s="421"/>
      <c r="CB64" s="421"/>
      <c r="CC64" s="421"/>
      <c r="CD64" s="421"/>
      <c r="CE64" s="421"/>
      <c r="CF64" s="421"/>
      <c r="CG64" s="421"/>
      <c r="CH64" s="421"/>
      <c r="CI64" s="421"/>
      <c r="CJ64" s="421"/>
      <c r="CK64" s="421"/>
      <c r="CL64" s="421"/>
      <c r="CM64" s="421"/>
      <c r="CN64" s="421"/>
      <c r="CO64" s="421"/>
      <c r="CP64" s="421"/>
      <c r="CQ64" s="421"/>
      <c r="CR64" s="421"/>
      <c r="CS64" s="421"/>
      <c r="CT64" s="421"/>
      <c r="CU64" s="421"/>
      <c r="CV64" s="421"/>
      <c r="CW64" s="421"/>
      <c r="CX64" s="421"/>
      <c r="CY64" s="421"/>
      <c r="CZ64" s="421"/>
      <c r="DA64" s="421"/>
      <c r="DB64" s="421"/>
      <c r="DC64" s="421"/>
      <c r="DD64" s="421"/>
      <c r="DE64" s="421"/>
      <c r="DF64" s="421"/>
      <c r="DG64" s="421"/>
      <c r="DH64" s="421"/>
      <c r="DI64" s="421"/>
      <c r="DJ64" s="421"/>
      <c r="DK64" s="421"/>
      <c r="DL64" s="421"/>
      <c r="DM64" s="421"/>
      <c r="DN64" s="421"/>
      <c r="DO64" s="421"/>
      <c r="DP64" s="421"/>
      <c r="DQ64" s="421"/>
      <c r="DR64" s="421"/>
      <c r="DS64" s="421"/>
      <c r="DT64" s="421"/>
      <c r="DU64" s="421"/>
      <c r="DV64" s="421"/>
      <c r="DW64" s="421"/>
      <c r="DX64" s="421"/>
      <c r="DY64" s="421"/>
      <c r="DZ64" s="421"/>
      <c r="EA64" s="421"/>
      <c r="EB64" s="421"/>
      <c r="EC64" s="421"/>
      <c r="ED64" s="421"/>
      <c r="EE64" s="421"/>
      <c r="EF64" s="421"/>
      <c r="EG64" s="421"/>
      <c r="EH64" s="421"/>
      <c r="EI64" s="421"/>
      <c r="EJ64" s="421"/>
      <c r="EK64" s="421"/>
      <c r="EL64" s="421"/>
      <c r="EM64" s="421"/>
      <c r="EN64" s="421"/>
      <c r="EO64" s="421"/>
      <c r="EP64" s="421"/>
      <c r="EQ64" s="421"/>
      <c r="ER64" s="421"/>
      <c r="ES64" s="421"/>
      <c r="ET64" s="421"/>
      <c r="EU64" s="421"/>
      <c r="EV64" s="421"/>
      <c r="EW64" s="421"/>
      <c r="EX64" s="421"/>
      <c r="EY64" s="421"/>
      <c r="EZ64" s="421"/>
      <c r="FA64" s="421"/>
      <c r="FB64" s="421"/>
      <c r="FC64" s="421"/>
      <c r="FD64" s="421"/>
      <c r="FE64" s="421"/>
      <c r="FF64" s="421"/>
      <c r="FG64" s="421"/>
      <c r="FH64" s="421"/>
      <c r="FI64" s="421"/>
      <c r="FJ64" s="421"/>
      <c r="FK64" s="421"/>
      <c r="FL64" s="421"/>
      <c r="FM64" s="421"/>
      <c r="FN64" s="421"/>
      <c r="FO64" s="421"/>
      <c r="FP64" s="421"/>
      <c r="FQ64" s="421"/>
      <c r="FR64" s="421"/>
      <c r="FS64" s="421"/>
      <c r="FT64" s="421"/>
      <c r="FU64" s="421"/>
      <c r="FV64" s="421"/>
      <c r="FW64" s="421"/>
      <c r="FX64" s="421"/>
      <c r="FY64" s="421"/>
      <c r="FZ64" s="421"/>
      <c r="GA64" s="421"/>
      <c r="GB64" s="421"/>
      <c r="GC64" s="421"/>
      <c r="GD64" s="421"/>
      <c r="GE64" s="421"/>
      <c r="GF64" s="421"/>
      <c r="GG64" s="421"/>
      <c r="GH64" s="421"/>
      <c r="GI64" s="421"/>
      <c r="GJ64" s="421"/>
      <c r="GK64" s="421"/>
      <c r="GL64" s="421"/>
      <c r="GM64" s="421"/>
      <c r="GN64" s="421"/>
      <c r="GO64" s="421"/>
      <c r="GP64" s="421"/>
      <c r="GQ64" s="421"/>
      <c r="GR64" s="421"/>
      <c r="GS64" s="421"/>
      <c r="GT64" s="421"/>
      <c r="GU64" s="421"/>
      <c r="GV64" s="421"/>
      <c r="GW64" s="421"/>
      <c r="GX64" s="421"/>
      <c r="GY64" s="421"/>
      <c r="GZ64" s="421"/>
      <c r="HA64" s="421"/>
      <c r="HB64" s="421"/>
      <c r="HC64" s="421"/>
      <c r="HD64" s="421"/>
      <c r="HE64" s="421"/>
      <c r="HF64" s="421"/>
      <c r="HG64" s="421"/>
      <c r="HH64" s="421"/>
      <c r="HI64" s="421"/>
      <c r="HJ64" s="421"/>
      <c r="HK64" s="421"/>
      <c r="HL64" s="421"/>
      <c r="HM64" s="421"/>
      <c r="HN64" s="421"/>
      <c r="HO64" s="421"/>
    </row>
    <row r="65" spans="2:223" s="429" customFormat="1" x14ac:dyDescent="0.3">
      <c r="B65" s="427"/>
      <c r="C65" s="425" t="s">
        <v>639</v>
      </c>
      <c r="D65" s="425"/>
      <c r="E65" s="425"/>
      <c r="F65" s="425">
        <f>SUM(F62:F64)</f>
        <v>3557701.9878879408</v>
      </c>
      <c r="G65" s="421"/>
      <c r="H65" s="532">
        <v>0.45</v>
      </c>
      <c r="I65" s="533">
        <f t="shared" ref="I65:I67" si="0">($F$65-$E$75)*H65</f>
        <v>-723480948.3654505</v>
      </c>
      <c r="J65" s="421">
        <v>3</v>
      </c>
      <c r="K65" s="534">
        <f t="shared" ref="K65:K67" si="1">I65*J65%</f>
        <v>-21704428.450963516</v>
      </c>
      <c r="L65" s="421"/>
      <c r="M65" s="421"/>
      <c r="N65" s="421"/>
      <c r="O65" s="421"/>
      <c r="P65" s="421"/>
      <c r="Q65" s="421"/>
      <c r="R65" s="421"/>
      <c r="S65" s="421"/>
      <c r="T65" s="421"/>
      <c r="U65" s="421"/>
      <c r="V65" s="421"/>
      <c r="W65" s="421"/>
      <c r="X65" s="421"/>
      <c r="Y65" s="421"/>
      <c r="Z65" s="421"/>
      <c r="AA65" s="421"/>
      <c r="AB65" s="421"/>
      <c r="AC65" s="421"/>
      <c r="AD65" s="421"/>
      <c r="AE65" s="421"/>
      <c r="AF65" s="421"/>
      <c r="AG65" s="421"/>
      <c r="AH65" s="421"/>
      <c r="AI65" s="421"/>
      <c r="AJ65" s="421"/>
      <c r="AK65" s="421"/>
      <c r="AL65" s="421"/>
      <c r="AM65" s="421"/>
      <c r="AN65" s="421"/>
      <c r="AO65" s="421"/>
      <c r="AP65" s="421"/>
      <c r="AQ65" s="421"/>
      <c r="AR65" s="421"/>
      <c r="AS65" s="421"/>
      <c r="AT65" s="421"/>
      <c r="AU65" s="421"/>
      <c r="AV65" s="421"/>
      <c r="AW65" s="421"/>
      <c r="AX65" s="421"/>
      <c r="AY65" s="421"/>
      <c r="AZ65" s="421"/>
      <c r="BA65" s="421"/>
      <c r="BB65" s="421"/>
      <c r="BC65" s="421"/>
      <c r="BD65" s="421"/>
      <c r="BE65" s="421"/>
      <c r="BF65" s="421"/>
      <c r="BG65" s="421"/>
      <c r="BH65" s="421"/>
      <c r="BI65" s="421"/>
      <c r="BJ65" s="421"/>
      <c r="BK65" s="421"/>
      <c r="BL65" s="421"/>
      <c r="BM65" s="421"/>
      <c r="BN65" s="421"/>
      <c r="BO65" s="421"/>
      <c r="BP65" s="421"/>
      <c r="BQ65" s="421"/>
      <c r="BR65" s="421"/>
      <c r="BS65" s="421"/>
      <c r="BT65" s="421"/>
      <c r="BU65" s="421"/>
      <c r="BV65" s="421"/>
      <c r="BW65" s="421"/>
      <c r="BX65" s="421"/>
      <c r="BY65" s="421"/>
      <c r="BZ65" s="421"/>
      <c r="CA65" s="421"/>
      <c r="CB65" s="421"/>
      <c r="CC65" s="421"/>
      <c r="CD65" s="421"/>
      <c r="CE65" s="421"/>
      <c r="CF65" s="421"/>
      <c r="CG65" s="421"/>
      <c r="CH65" s="421"/>
      <c r="CI65" s="421"/>
      <c r="CJ65" s="421"/>
      <c r="CK65" s="421"/>
      <c r="CL65" s="421"/>
      <c r="CM65" s="421"/>
      <c r="CN65" s="421"/>
      <c r="CO65" s="421"/>
      <c r="CP65" s="421"/>
      <c r="CQ65" s="421"/>
      <c r="CR65" s="421"/>
      <c r="CS65" s="421"/>
      <c r="CT65" s="421"/>
      <c r="CU65" s="421"/>
      <c r="CV65" s="421"/>
      <c r="CW65" s="421"/>
      <c r="CX65" s="421"/>
      <c r="CY65" s="421"/>
      <c r="CZ65" s="421"/>
      <c r="DA65" s="421"/>
      <c r="DB65" s="421"/>
      <c r="DC65" s="421"/>
      <c r="DD65" s="421"/>
      <c r="DE65" s="421"/>
      <c r="DF65" s="421"/>
      <c r="DG65" s="421"/>
      <c r="DH65" s="421"/>
      <c r="DI65" s="421"/>
      <c r="DJ65" s="421"/>
      <c r="DK65" s="421"/>
      <c r="DL65" s="421"/>
      <c r="DM65" s="421"/>
      <c r="DN65" s="421"/>
      <c r="DO65" s="421"/>
      <c r="DP65" s="421"/>
      <c r="DQ65" s="421"/>
      <c r="DR65" s="421"/>
      <c r="DS65" s="421"/>
      <c r="DT65" s="421"/>
      <c r="DU65" s="421"/>
      <c r="DV65" s="421"/>
      <c r="DW65" s="421"/>
      <c r="DX65" s="421"/>
      <c r="DY65" s="421"/>
      <c r="DZ65" s="421"/>
      <c r="EA65" s="421"/>
      <c r="EB65" s="421"/>
      <c r="EC65" s="421"/>
      <c r="ED65" s="421"/>
      <c r="EE65" s="421"/>
      <c r="EF65" s="421"/>
      <c r="EG65" s="421"/>
      <c r="EH65" s="421"/>
      <c r="EI65" s="421"/>
      <c r="EJ65" s="421"/>
      <c r="EK65" s="421"/>
      <c r="EL65" s="421"/>
      <c r="EM65" s="421"/>
      <c r="EN65" s="421"/>
      <c r="EO65" s="421"/>
      <c r="EP65" s="421"/>
      <c r="EQ65" s="421"/>
      <c r="ER65" s="421"/>
      <c r="ES65" s="421"/>
      <c r="ET65" s="421"/>
      <c r="EU65" s="421"/>
      <c r="EV65" s="421"/>
      <c r="EW65" s="421"/>
      <c r="EX65" s="421"/>
      <c r="EY65" s="421"/>
      <c r="EZ65" s="421"/>
      <c r="FA65" s="421"/>
      <c r="FB65" s="421"/>
      <c r="FC65" s="421"/>
      <c r="FD65" s="421"/>
      <c r="FE65" s="421"/>
      <c r="FF65" s="421"/>
      <c r="FG65" s="421"/>
      <c r="FH65" s="421"/>
      <c r="FI65" s="421"/>
      <c r="FJ65" s="421"/>
      <c r="FK65" s="421"/>
      <c r="FL65" s="421"/>
      <c r="FM65" s="421"/>
      <c r="FN65" s="421"/>
      <c r="FO65" s="421"/>
      <c r="FP65" s="421"/>
      <c r="FQ65" s="421"/>
      <c r="FR65" s="421"/>
      <c r="FS65" s="421"/>
      <c r="FT65" s="421"/>
      <c r="FU65" s="421"/>
      <c r="FV65" s="421"/>
      <c r="FW65" s="421"/>
      <c r="FX65" s="421"/>
      <c r="FY65" s="421"/>
      <c r="FZ65" s="421"/>
      <c r="GA65" s="421"/>
      <c r="GB65" s="421"/>
      <c r="GC65" s="421"/>
      <c r="GD65" s="421"/>
      <c r="GE65" s="421"/>
      <c r="GF65" s="421"/>
      <c r="GG65" s="421"/>
      <c r="GH65" s="421"/>
      <c r="GI65" s="421"/>
      <c r="GJ65" s="421"/>
      <c r="GK65" s="421"/>
      <c r="GL65" s="421"/>
      <c r="GM65" s="421"/>
      <c r="GN65" s="421"/>
      <c r="GO65" s="421"/>
      <c r="GP65" s="421"/>
      <c r="GQ65" s="421"/>
      <c r="GR65" s="421"/>
      <c r="GS65" s="421"/>
      <c r="GT65" s="421"/>
      <c r="GU65" s="421"/>
      <c r="GV65" s="421"/>
      <c r="GW65" s="421"/>
      <c r="GX65" s="421"/>
      <c r="GY65" s="421"/>
      <c r="GZ65" s="421"/>
      <c r="HA65" s="421"/>
      <c r="HB65" s="421"/>
      <c r="HC65" s="421"/>
      <c r="HD65" s="421"/>
      <c r="HE65" s="421"/>
      <c r="HF65" s="421"/>
      <c r="HG65" s="421"/>
      <c r="HH65" s="421"/>
      <c r="HI65" s="421"/>
      <c r="HJ65" s="421"/>
      <c r="HK65" s="421"/>
      <c r="HL65" s="421"/>
      <c r="HM65" s="421"/>
      <c r="HN65" s="421"/>
      <c r="HO65" s="421"/>
    </row>
    <row r="66" spans="2:223" s="429" customFormat="1" x14ac:dyDescent="0.3">
      <c r="B66" s="427"/>
      <c r="C66" s="425"/>
      <c r="D66" s="425"/>
      <c r="E66" s="425"/>
      <c r="F66" s="425"/>
      <c r="G66" s="421"/>
      <c r="H66" s="532">
        <v>0.75</v>
      </c>
      <c r="I66" s="533">
        <f t="shared" si="0"/>
        <v>-1205801580.6090841</v>
      </c>
      <c r="J66" s="421">
        <v>3</v>
      </c>
      <c r="K66" s="534">
        <f t="shared" si="1"/>
        <v>-36174047.418272525</v>
      </c>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c r="AJ66" s="421"/>
      <c r="AK66" s="421"/>
      <c r="AL66" s="421"/>
      <c r="AM66" s="421"/>
      <c r="AN66" s="421"/>
      <c r="AO66" s="421"/>
      <c r="AP66" s="421"/>
      <c r="AQ66" s="421"/>
      <c r="AR66" s="421"/>
      <c r="AS66" s="421"/>
      <c r="AT66" s="421"/>
      <c r="AU66" s="421"/>
      <c r="AV66" s="421"/>
      <c r="AW66" s="421"/>
      <c r="AX66" s="421"/>
      <c r="AY66" s="421"/>
      <c r="AZ66" s="421"/>
      <c r="BA66" s="421"/>
      <c r="BB66" s="421"/>
      <c r="BC66" s="421"/>
      <c r="BD66" s="421"/>
      <c r="BE66" s="421"/>
      <c r="BF66" s="421"/>
      <c r="BG66" s="421"/>
      <c r="BH66" s="421"/>
      <c r="BI66" s="421"/>
      <c r="BJ66" s="421"/>
      <c r="BK66" s="421"/>
      <c r="BL66" s="421"/>
      <c r="BM66" s="421"/>
      <c r="BN66" s="421"/>
      <c r="BO66" s="421"/>
      <c r="BP66" s="421"/>
      <c r="BQ66" s="421"/>
      <c r="BR66" s="421"/>
      <c r="BS66" s="421"/>
      <c r="BT66" s="421"/>
      <c r="BU66" s="421"/>
      <c r="BV66" s="421"/>
      <c r="BW66" s="421"/>
      <c r="BX66" s="421"/>
      <c r="BY66" s="421"/>
      <c r="BZ66" s="421"/>
      <c r="CA66" s="421"/>
      <c r="CB66" s="421"/>
      <c r="CC66" s="421"/>
      <c r="CD66" s="421"/>
      <c r="CE66" s="421"/>
      <c r="CF66" s="421"/>
      <c r="CG66" s="421"/>
      <c r="CH66" s="421"/>
      <c r="CI66" s="421"/>
      <c r="CJ66" s="421"/>
      <c r="CK66" s="421"/>
      <c r="CL66" s="421"/>
      <c r="CM66" s="421"/>
      <c r="CN66" s="421"/>
      <c r="CO66" s="421"/>
      <c r="CP66" s="421"/>
      <c r="CQ66" s="421"/>
      <c r="CR66" s="421"/>
      <c r="CS66" s="421"/>
      <c r="CT66" s="421"/>
      <c r="CU66" s="421"/>
      <c r="CV66" s="421"/>
      <c r="CW66" s="421"/>
      <c r="CX66" s="421"/>
      <c r="CY66" s="421"/>
      <c r="CZ66" s="421"/>
      <c r="DA66" s="421"/>
      <c r="DB66" s="421"/>
      <c r="DC66" s="421"/>
      <c r="DD66" s="421"/>
      <c r="DE66" s="421"/>
      <c r="DF66" s="421"/>
      <c r="DG66" s="421"/>
      <c r="DH66" s="421"/>
      <c r="DI66" s="421"/>
      <c r="DJ66" s="421"/>
      <c r="DK66" s="421"/>
      <c r="DL66" s="421"/>
      <c r="DM66" s="421"/>
      <c r="DN66" s="421"/>
      <c r="DO66" s="421"/>
      <c r="DP66" s="421"/>
      <c r="DQ66" s="421"/>
      <c r="DR66" s="421"/>
      <c r="DS66" s="421"/>
      <c r="DT66" s="421"/>
      <c r="DU66" s="421"/>
      <c r="DV66" s="421"/>
      <c r="DW66" s="421"/>
      <c r="DX66" s="421"/>
      <c r="DY66" s="421"/>
      <c r="DZ66" s="421"/>
      <c r="EA66" s="421"/>
      <c r="EB66" s="421"/>
      <c r="EC66" s="421"/>
      <c r="ED66" s="421"/>
      <c r="EE66" s="421"/>
      <c r="EF66" s="421"/>
      <c r="EG66" s="421"/>
      <c r="EH66" s="421"/>
      <c r="EI66" s="421"/>
      <c r="EJ66" s="421"/>
      <c r="EK66" s="421"/>
      <c r="EL66" s="421"/>
      <c r="EM66" s="421"/>
      <c r="EN66" s="421"/>
      <c r="EO66" s="421"/>
      <c r="EP66" s="421"/>
      <c r="EQ66" s="421"/>
      <c r="ER66" s="421"/>
      <c r="ES66" s="421"/>
      <c r="ET66" s="421"/>
      <c r="EU66" s="421"/>
      <c r="EV66" s="421"/>
      <c r="EW66" s="421"/>
      <c r="EX66" s="421"/>
      <c r="EY66" s="421"/>
      <c r="EZ66" s="421"/>
      <c r="FA66" s="421"/>
      <c r="FB66" s="421"/>
      <c r="FC66" s="421"/>
      <c r="FD66" s="421"/>
      <c r="FE66" s="421"/>
      <c r="FF66" s="421"/>
      <c r="FG66" s="421"/>
      <c r="FH66" s="421"/>
      <c r="FI66" s="421"/>
      <c r="FJ66" s="421"/>
      <c r="FK66" s="421"/>
      <c r="FL66" s="421"/>
      <c r="FM66" s="421"/>
      <c r="FN66" s="421"/>
      <c r="FO66" s="421"/>
      <c r="FP66" s="421"/>
      <c r="FQ66" s="421"/>
      <c r="FR66" s="421"/>
      <c r="FS66" s="421"/>
      <c r="FT66" s="421"/>
      <c r="FU66" s="421"/>
      <c r="FV66" s="421"/>
      <c r="FW66" s="421"/>
      <c r="FX66" s="421"/>
      <c r="FY66" s="421"/>
      <c r="FZ66" s="421"/>
      <c r="GA66" s="421"/>
      <c r="GB66" s="421"/>
      <c r="GC66" s="421"/>
      <c r="GD66" s="421"/>
      <c r="GE66" s="421"/>
      <c r="GF66" s="421"/>
      <c r="GG66" s="421"/>
      <c r="GH66" s="421"/>
      <c r="GI66" s="421"/>
      <c r="GJ66" s="421"/>
      <c r="GK66" s="421"/>
      <c r="GL66" s="421"/>
      <c r="GM66" s="421"/>
      <c r="GN66" s="421"/>
      <c r="GO66" s="421"/>
      <c r="GP66" s="421"/>
      <c r="GQ66" s="421"/>
      <c r="GR66" s="421"/>
      <c r="GS66" s="421"/>
      <c r="GT66" s="421"/>
      <c r="GU66" s="421"/>
      <c r="GV66" s="421"/>
      <c r="GW66" s="421"/>
      <c r="GX66" s="421"/>
      <c r="GY66" s="421"/>
      <c r="GZ66" s="421"/>
      <c r="HA66" s="421"/>
      <c r="HB66" s="421"/>
      <c r="HC66" s="421"/>
      <c r="HD66" s="421"/>
      <c r="HE66" s="421"/>
      <c r="HF66" s="421"/>
      <c r="HG66" s="421"/>
      <c r="HH66" s="421"/>
      <c r="HI66" s="421"/>
      <c r="HJ66" s="421"/>
      <c r="HK66" s="421"/>
      <c r="HL66" s="421"/>
      <c r="HM66" s="421"/>
      <c r="HN66" s="421"/>
      <c r="HO66" s="421"/>
    </row>
    <row r="67" spans="2:223" s="429" customFormat="1" x14ac:dyDescent="0.3">
      <c r="B67" s="427" t="s">
        <v>638</v>
      </c>
      <c r="C67" s="425" t="s">
        <v>637</v>
      </c>
      <c r="D67" s="425"/>
      <c r="E67" s="425"/>
      <c r="F67" s="425"/>
      <c r="G67" s="421"/>
      <c r="H67" s="532">
        <v>1</v>
      </c>
      <c r="I67" s="533">
        <f t="shared" si="0"/>
        <v>-1607735440.8121121</v>
      </c>
      <c r="J67" s="421">
        <v>1</v>
      </c>
      <c r="K67" s="534">
        <f t="shared" si="1"/>
        <v>-16077354.408121122</v>
      </c>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c r="AS67" s="421"/>
      <c r="AT67" s="421"/>
      <c r="AU67" s="421"/>
      <c r="AV67" s="421"/>
      <c r="AW67" s="421"/>
      <c r="AX67" s="421"/>
      <c r="AY67" s="421"/>
      <c r="AZ67" s="421"/>
      <c r="BA67" s="421"/>
      <c r="BB67" s="421"/>
      <c r="BC67" s="421"/>
      <c r="BD67" s="421"/>
      <c r="BE67" s="421"/>
      <c r="BF67" s="421"/>
      <c r="BG67" s="421"/>
      <c r="BH67" s="421"/>
      <c r="BI67" s="421"/>
      <c r="BJ67" s="421"/>
      <c r="BK67" s="421"/>
      <c r="BL67" s="421"/>
      <c r="BM67" s="421"/>
      <c r="BN67" s="421"/>
      <c r="BO67" s="421"/>
      <c r="BP67" s="421"/>
      <c r="BQ67" s="421"/>
      <c r="BR67" s="421"/>
      <c r="BS67" s="421"/>
      <c r="BT67" s="421"/>
      <c r="BU67" s="421"/>
      <c r="BV67" s="421"/>
      <c r="BW67" s="421"/>
      <c r="BX67" s="421"/>
      <c r="BY67" s="421"/>
      <c r="BZ67" s="421"/>
      <c r="CA67" s="421"/>
      <c r="CB67" s="421"/>
      <c r="CC67" s="421"/>
      <c r="CD67" s="421"/>
      <c r="CE67" s="421"/>
      <c r="CF67" s="421"/>
      <c r="CG67" s="421"/>
      <c r="CH67" s="421"/>
      <c r="CI67" s="421"/>
      <c r="CJ67" s="421"/>
      <c r="CK67" s="421"/>
      <c r="CL67" s="421"/>
      <c r="CM67" s="421"/>
      <c r="CN67" s="421"/>
      <c r="CO67" s="421"/>
      <c r="CP67" s="421"/>
      <c r="CQ67" s="421"/>
      <c r="CR67" s="421"/>
      <c r="CS67" s="421"/>
      <c r="CT67" s="421"/>
      <c r="CU67" s="421"/>
      <c r="CV67" s="421"/>
      <c r="CW67" s="421"/>
      <c r="CX67" s="421"/>
      <c r="CY67" s="421"/>
      <c r="CZ67" s="421"/>
      <c r="DA67" s="421"/>
      <c r="DB67" s="421"/>
      <c r="DC67" s="421"/>
      <c r="DD67" s="421"/>
      <c r="DE67" s="421"/>
      <c r="DF67" s="421"/>
      <c r="DG67" s="421"/>
      <c r="DH67" s="421"/>
      <c r="DI67" s="421"/>
      <c r="DJ67" s="421"/>
      <c r="DK67" s="421"/>
      <c r="DL67" s="421"/>
      <c r="DM67" s="421"/>
      <c r="DN67" s="421"/>
      <c r="DO67" s="421"/>
      <c r="DP67" s="421"/>
      <c r="DQ67" s="421"/>
      <c r="DR67" s="421"/>
      <c r="DS67" s="421"/>
      <c r="DT67" s="421"/>
      <c r="DU67" s="421"/>
      <c r="DV67" s="421"/>
      <c r="DW67" s="421"/>
      <c r="DX67" s="421"/>
      <c r="DY67" s="421"/>
      <c r="DZ67" s="421"/>
      <c r="EA67" s="421"/>
      <c r="EB67" s="421"/>
      <c r="EC67" s="421"/>
      <c r="ED67" s="421"/>
      <c r="EE67" s="421"/>
      <c r="EF67" s="421"/>
      <c r="EG67" s="421"/>
      <c r="EH67" s="421"/>
      <c r="EI67" s="421"/>
      <c r="EJ67" s="421"/>
      <c r="EK67" s="421"/>
      <c r="EL67" s="421"/>
      <c r="EM67" s="421"/>
      <c r="EN67" s="421"/>
      <c r="EO67" s="421"/>
      <c r="EP67" s="421"/>
      <c r="EQ67" s="421"/>
      <c r="ER67" s="421"/>
      <c r="ES67" s="421"/>
      <c r="ET67" s="421"/>
      <c r="EU67" s="421"/>
      <c r="EV67" s="421"/>
      <c r="EW67" s="421"/>
      <c r="EX67" s="421"/>
      <c r="EY67" s="421"/>
      <c r="EZ67" s="421"/>
      <c r="FA67" s="421"/>
      <c r="FB67" s="421"/>
      <c r="FC67" s="421"/>
      <c r="FD67" s="421"/>
      <c r="FE67" s="421"/>
      <c r="FF67" s="421"/>
      <c r="FG67" s="421"/>
      <c r="FH67" s="421"/>
      <c r="FI67" s="421"/>
      <c r="FJ67" s="421"/>
      <c r="FK67" s="421"/>
      <c r="FL67" s="421"/>
      <c r="FM67" s="421"/>
      <c r="FN67" s="421"/>
      <c r="FO67" s="421"/>
      <c r="FP67" s="421"/>
      <c r="FQ67" s="421"/>
      <c r="FR67" s="421"/>
      <c r="FS67" s="421"/>
      <c r="FT67" s="421"/>
      <c r="FU67" s="421"/>
      <c r="FV67" s="421"/>
      <c r="FW67" s="421"/>
      <c r="FX67" s="421"/>
      <c r="FY67" s="421"/>
      <c r="FZ67" s="421"/>
      <c r="GA67" s="421"/>
      <c r="GB67" s="421"/>
      <c r="GC67" s="421"/>
      <c r="GD67" s="421"/>
      <c r="GE67" s="421"/>
      <c r="GF67" s="421"/>
      <c r="GG67" s="421"/>
      <c r="GH67" s="421"/>
      <c r="GI67" s="421"/>
      <c r="GJ67" s="421"/>
      <c r="GK67" s="421"/>
      <c r="GL67" s="421"/>
      <c r="GM67" s="421"/>
      <c r="GN67" s="421"/>
      <c r="GO67" s="421"/>
      <c r="GP67" s="421"/>
      <c r="GQ67" s="421"/>
      <c r="GR67" s="421"/>
      <c r="GS67" s="421"/>
      <c r="GT67" s="421"/>
      <c r="GU67" s="421"/>
      <c r="GV67" s="421"/>
      <c r="GW67" s="421"/>
      <c r="GX67" s="421"/>
      <c r="GY67" s="421"/>
      <c r="GZ67" s="421"/>
      <c r="HA67" s="421"/>
      <c r="HB67" s="421"/>
      <c r="HC67" s="421"/>
      <c r="HD67" s="421"/>
      <c r="HE67" s="421"/>
      <c r="HF67" s="421"/>
      <c r="HG67" s="421"/>
      <c r="HH67" s="421"/>
      <c r="HI67" s="421"/>
      <c r="HJ67" s="421"/>
      <c r="HK67" s="421"/>
      <c r="HL67" s="421"/>
      <c r="HM67" s="421"/>
      <c r="HN67" s="421"/>
      <c r="HO67" s="421"/>
    </row>
    <row r="68" spans="2:223" s="429" customFormat="1" x14ac:dyDescent="0.3">
      <c r="B68" s="427"/>
      <c r="C68" s="425" t="s">
        <v>636</v>
      </c>
      <c r="D68" s="425"/>
      <c r="E68" s="425">
        <v>0</v>
      </c>
      <c r="F68" s="425"/>
      <c r="G68" s="421"/>
      <c r="H68" s="421"/>
      <c r="I68" s="421"/>
      <c r="J68" s="421"/>
      <c r="K68" s="535">
        <f>SUM(K64:K67)</f>
        <v>-81190639.76101166</v>
      </c>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c r="AJ68" s="421"/>
      <c r="AK68" s="421"/>
      <c r="AL68" s="421"/>
      <c r="AM68" s="421"/>
      <c r="AN68" s="421"/>
      <c r="AO68" s="421"/>
      <c r="AP68" s="421"/>
      <c r="AQ68" s="421"/>
      <c r="AR68" s="421"/>
      <c r="AS68" s="421"/>
      <c r="AT68" s="421"/>
      <c r="AU68" s="421"/>
      <c r="AV68" s="421"/>
      <c r="AW68" s="421"/>
      <c r="AX68" s="421"/>
      <c r="AY68" s="421"/>
      <c r="AZ68" s="421"/>
      <c r="BA68" s="421"/>
      <c r="BB68" s="421"/>
      <c r="BC68" s="421"/>
      <c r="BD68" s="421"/>
      <c r="BE68" s="421"/>
      <c r="BF68" s="421"/>
      <c r="BG68" s="421"/>
      <c r="BH68" s="421"/>
      <c r="BI68" s="421"/>
      <c r="BJ68" s="421"/>
      <c r="BK68" s="421"/>
      <c r="BL68" s="421"/>
      <c r="BM68" s="421"/>
      <c r="BN68" s="421"/>
      <c r="BO68" s="421"/>
      <c r="BP68" s="421"/>
      <c r="BQ68" s="421"/>
      <c r="BR68" s="421"/>
      <c r="BS68" s="421"/>
      <c r="BT68" s="421"/>
      <c r="BU68" s="421"/>
      <c r="BV68" s="421"/>
      <c r="BW68" s="421"/>
      <c r="BX68" s="421"/>
      <c r="BY68" s="421"/>
      <c r="BZ68" s="421"/>
      <c r="CA68" s="421"/>
      <c r="CB68" s="421"/>
      <c r="CC68" s="421"/>
      <c r="CD68" s="421"/>
      <c r="CE68" s="421"/>
      <c r="CF68" s="421"/>
      <c r="CG68" s="421"/>
      <c r="CH68" s="421"/>
      <c r="CI68" s="421"/>
      <c r="CJ68" s="421"/>
      <c r="CK68" s="421"/>
      <c r="CL68" s="421"/>
      <c r="CM68" s="421"/>
      <c r="CN68" s="421"/>
      <c r="CO68" s="421"/>
      <c r="CP68" s="421"/>
      <c r="CQ68" s="421"/>
      <c r="CR68" s="421"/>
      <c r="CS68" s="421"/>
      <c r="CT68" s="421"/>
      <c r="CU68" s="421"/>
      <c r="CV68" s="421"/>
      <c r="CW68" s="421"/>
      <c r="CX68" s="421"/>
      <c r="CY68" s="421"/>
      <c r="CZ68" s="421"/>
      <c r="DA68" s="421"/>
      <c r="DB68" s="421"/>
      <c r="DC68" s="421"/>
      <c r="DD68" s="421"/>
      <c r="DE68" s="421"/>
      <c r="DF68" s="421"/>
      <c r="DG68" s="421"/>
      <c r="DH68" s="421"/>
      <c r="DI68" s="421"/>
      <c r="DJ68" s="421"/>
      <c r="DK68" s="421"/>
      <c r="DL68" s="421"/>
      <c r="DM68" s="421"/>
      <c r="DN68" s="421"/>
      <c r="DO68" s="421"/>
      <c r="DP68" s="421"/>
      <c r="DQ68" s="421"/>
      <c r="DR68" s="421"/>
      <c r="DS68" s="421"/>
      <c r="DT68" s="421"/>
      <c r="DU68" s="421"/>
      <c r="DV68" s="421"/>
      <c r="DW68" s="421"/>
      <c r="DX68" s="421"/>
      <c r="DY68" s="421"/>
      <c r="DZ68" s="421"/>
      <c r="EA68" s="421"/>
      <c r="EB68" s="421"/>
      <c r="EC68" s="421"/>
      <c r="ED68" s="421"/>
      <c r="EE68" s="421"/>
      <c r="EF68" s="421"/>
      <c r="EG68" s="421"/>
      <c r="EH68" s="421"/>
      <c r="EI68" s="421"/>
      <c r="EJ68" s="421"/>
      <c r="EK68" s="421"/>
      <c r="EL68" s="421"/>
      <c r="EM68" s="421"/>
      <c r="EN68" s="421"/>
      <c r="EO68" s="421"/>
      <c r="EP68" s="421"/>
      <c r="EQ68" s="421"/>
      <c r="ER68" s="421"/>
      <c r="ES68" s="421"/>
      <c r="ET68" s="421"/>
      <c r="EU68" s="421"/>
      <c r="EV68" s="421"/>
      <c r="EW68" s="421"/>
      <c r="EX68" s="421"/>
      <c r="EY68" s="421"/>
      <c r="EZ68" s="421"/>
      <c r="FA68" s="421"/>
      <c r="FB68" s="421"/>
      <c r="FC68" s="421"/>
      <c r="FD68" s="421"/>
      <c r="FE68" s="421"/>
      <c r="FF68" s="421"/>
      <c r="FG68" s="421"/>
      <c r="FH68" s="421"/>
      <c r="FI68" s="421"/>
      <c r="FJ68" s="421"/>
      <c r="FK68" s="421"/>
      <c r="FL68" s="421"/>
      <c r="FM68" s="421"/>
      <c r="FN68" s="421"/>
      <c r="FO68" s="421"/>
      <c r="FP68" s="421"/>
      <c r="FQ68" s="421"/>
      <c r="FR68" s="421"/>
      <c r="FS68" s="421"/>
      <c r="FT68" s="421"/>
      <c r="FU68" s="421"/>
      <c r="FV68" s="421"/>
      <c r="FW68" s="421"/>
      <c r="FX68" s="421"/>
      <c r="FY68" s="421"/>
      <c r="FZ68" s="421"/>
      <c r="GA68" s="421"/>
      <c r="GB68" s="421"/>
      <c r="GC68" s="421"/>
      <c r="GD68" s="421"/>
      <c r="GE68" s="421"/>
      <c r="GF68" s="421"/>
      <c r="GG68" s="421"/>
      <c r="GH68" s="421"/>
      <c r="GI68" s="421"/>
      <c r="GJ68" s="421"/>
      <c r="GK68" s="421"/>
      <c r="GL68" s="421"/>
      <c r="GM68" s="421"/>
      <c r="GN68" s="421"/>
      <c r="GO68" s="421"/>
      <c r="GP68" s="421"/>
      <c r="GQ68" s="421"/>
      <c r="GR68" s="421"/>
      <c r="GS68" s="421"/>
      <c r="GT68" s="421"/>
      <c r="GU68" s="421"/>
      <c r="GV68" s="421"/>
      <c r="GW68" s="421"/>
      <c r="GX68" s="421"/>
      <c r="GY68" s="421"/>
      <c r="GZ68" s="421"/>
      <c r="HA68" s="421"/>
      <c r="HB68" s="421"/>
      <c r="HC68" s="421"/>
      <c r="HD68" s="421"/>
      <c r="HE68" s="421"/>
      <c r="HF68" s="421"/>
      <c r="HG68" s="421"/>
      <c r="HH68" s="421"/>
      <c r="HI68" s="421"/>
      <c r="HJ68" s="421"/>
      <c r="HK68" s="421"/>
      <c r="HL68" s="421"/>
      <c r="HM68" s="421"/>
      <c r="HN68" s="421"/>
      <c r="HO68" s="421"/>
    </row>
    <row r="69" spans="2:223" s="429" customFormat="1" ht="13.5" customHeight="1" x14ac:dyDescent="0.3">
      <c r="B69" s="425"/>
      <c r="C69" s="425" t="s">
        <v>635</v>
      </c>
      <c r="D69" s="425"/>
      <c r="E69" s="430">
        <f>F65*2%</f>
        <v>71154.039757758816</v>
      </c>
      <c r="F69" s="425"/>
      <c r="G69" s="421"/>
      <c r="H69" s="421"/>
      <c r="I69" s="421"/>
      <c r="J69" s="421"/>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c r="AJ69" s="421"/>
      <c r="AK69" s="421"/>
      <c r="AL69" s="421"/>
      <c r="AM69" s="421"/>
      <c r="AN69" s="421"/>
      <c r="AO69" s="421"/>
      <c r="AP69" s="421"/>
      <c r="AQ69" s="421"/>
      <c r="AR69" s="421"/>
      <c r="AS69" s="421"/>
      <c r="AT69" s="421"/>
      <c r="AU69" s="421"/>
      <c r="AV69" s="421"/>
      <c r="AW69" s="421"/>
      <c r="AX69" s="421"/>
      <c r="AY69" s="421"/>
      <c r="AZ69" s="421"/>
      <c r="BA69" s="421"/>
      <c r="BB69" s="421"/>
      <c r="BC69" s="421"/>
      <c r="BD69" s="421"/>
      <c r="BE69" s="421"/>
      <c r="BF69" s="421"/>
      <c r="BG69" s="421"/>
      <c r="BH69" s="421"/>
      <c r="BI69" s="421"/>
      <c r="BJ69" s="421"/>
      <c r="BK69" s="421"/>
      <c r="BL69" s="421"/>
      <c r="BM69" s="421"/>
      <c r="BN69" s="421"/>
      <c r="BO69" s="421"/>
      <c r="BP69" s="421"/>
      <c r="BQ69" s="421"/>
      <c r="BR69" s="421"/>
      <c r="BS69" s="421"/>
      <c r="BT69" s="421"/>
      <c r="BU69" s="421"/>
      <c r="BV69" s="421"/>
      <c r="BW69" s="421"/>
      <c r="BX69" s="421"/>
      <c r="BY69" s="421"/>
      <c r="BZ69" s="421"/>
      <c r="CA69" s="421"/>
      <c r="CB69" s="421"/>
      <c r="CC69" s="421"/>
      <c r="CD69" s="421"/>
      <c r="CE69" s="421"/>
      <c r="CF69" s="421"/>
      <c r="CG69" s="421"/>
      <c r="CH69" s="421"/>
      <c r="CI69" s="421"/>
      <c r="CJ69" s="421"/>
      <c r="CK69" s="421"/>
      <c r="CL69" s="421"/>
      <c r="CM69" s="421"/>
      <c r="CN69" s="421"/>
      <c r="CO69" s="421"/>
      <c r="CP69" s="421"/>
      <c r="CQ69" s="421"/>
      <c r="CR69" s="421"/>
      <c r="CS69" s="421"/>
      <c r="CT69" s="421"/>
      <c r="CU69" s="421"/>
      <c r="CV69" s="421"/>
      <c r="CW69" s="421"/>
      <c r="CX69" s="421"/>
      <c r="CY69" s="421"/>
      <c r="CZ69" s="421"/>
      <c r="DA69" s="421"/>
      <c r="DB69" s="421"/>
      <c r="DC69" s="421"/>
      <c r="DD69" s="421"/>
      <c r="DE69" s="421"/>
      <c r="DF69" s="421"/>
      <c r="DG69" s="421"/>
      <c r="DH69" s="421"/>
      <c r="DI69" s="421"/>
      <c r="DJ69" s="421"/>
      <c r="DK69" s="421"/>
      <c r="DL69" s="421"/>
      <c r="DM69" s="421"/>
      <c r="DN69" s="421"/>
      <c r="DO69" s="421"/>
      <c r="DP69" s="421"/>
      <c r="DQ69" s="421"/>
      <c r="DR69" s="421"/>
      <c r="DS69" s="421"/>
      <c r="DT69" s="421"/>
      <c r="DU69" s="421"/>
      <c r="DV69" s="421"/>
      <c r="DW69" s="421"/>
      <c r="DX69" s="421"/>
      <c r="DY69" s="421"/>
      <c r="DZ69" s="421"/>
      <c r="EA69" s="421"/>
      <c r="EB69" s="421"/>
      <c r="EC69" s="421"/>
      <c r="ED69" s="421"/>
      <c r="EE69" s="421"/>
      <c r="EF69" s="421"/>
      <c r="EG69" s="421"/>
      <c r="EH69" s="421"/>
      <c r="EI69" s="421"/>
      <c r="EJ69" s="421"/>
      <c r="EK69" s="421"/>
      <c r="EL69" s="421"/>
      <c r="EM69" s="421"/>
      <c r="EN69" s="421"/>
      <c r="EO69" s="421"/>
      <c r="EP69" s="421"/>
      <c r="EQ69" s="421"/>
      <c r="ER69" s="421"/>
      <c r="ES69" s="421"/>
      <c r="ET69" s="421"/>
      <c r="EU69" s="421"/>
      <c r="EV69" s="421"/>
      <c r="EW69" s="421"/>
      <c r="EX69" s="421"/>
      <c r="EY69" s="421"/>
      <c r="EZ69" s="421"/>
      <c r="FA69" s="421"/>
      <c r="FB69" s="421"/>
      <c r="FC69" s="421"/>
      <c r="FD69" s="421"/>
      <c r="FE69" s="421"/>
      <c r="FF69" s="421"/>
      <c r="FG69" s="421"/>
      <c r="FH69" s="421"/>
      <c r="FI69" s="421"/>
      <c r="FJ69" s="421"/>
      <c r="FK69" s="421"/>
      <c r="FL69" s="421"/>
      <c r="FM69" s="421"/>
      <c r="FN69" s="421"/>
      <c r="FO69" s="421"/>
      <c r="FP69" s="421"/>
      <c r="FQ69" s="421"/>
      <c r="FR69" s="421"/>
      <c r="FS69" s="421"/>
      <c r="FT69" s="421"/>
      <c r="FU69" s="421"/>
      <c r="FV69" s="421"/>
      <c r="FW69" s="421"/>
      <c r="FX69" s="421"/>
      <c r="FY69" s="421"/>
      <c r="FZ69" s="421"/>
      <c r="GA69" s="421"/>
      <c r="GB69" s="421"/>
      <c r="GC69" s="421"/>
      <c r="GD69" s="421"/>
      <c r="GE69" s="421"/>
      <c r="GF69" s="421"/>
      <c r="GG69" s="421"/>
      <c r="GH69" s="421"/>
      <c r="GI69" s="421"/>
      <c r="GJ69" s="421"/>
      <c r="GK69" s="421"/>
      <c r="GL69" s="421"/>
      <c r="GM69" s="421"/>
      <c r="GN69" s="421"/>
      <c r="GO69" s="421"/>
      <c r="GP69" s="421"/>
      <c r="GQ69" s="421"/>
      <c r="GR69" s="421"/>
      <c r="GS69" s="421"/>
      <c r="GT69" s="421"/>
      <c r="GU69" s="421"/>
      <c r="GV69" s="421"/>
      <c r="GW69" s="421"/>
      <c r="GX69" s="421"/>
      <c r="GY69" s="421"/>
      <c r="GZ69" s="421"/>
      <c r="HA69" s="421"/>
      <c r="HB69" s="421"/>
      <c r="HC69" s="421"/>
      <c r="HD69" s="421"/>
      <c r="HE69" s="421"/>
      <c r="HF69" s="421"/>
      <c r="HG69" s="421"/>
      <c r="HH69" s="421"/>
      <c r="HI69" s="421"/>
      <c r="HJ69" s="421"/>
      <c r="HK69" s="421"/>
      <c r="HL69" s="421"/>
      <c r="HM69" s="421"/>
      <c r="HN69" s="421"/>
      <c r="HO69" s="421"/>
    </row>
    <row r="70" spans="2:223" ht="13.5" customHeight="1" x14ac:dyDescent="0.3">
      <c r="B70" s="425"/>
      <c r="C70" s="425" t="s">
        <v>634</v>
      </c>
      <c r="D70" s="425"/>
      <c r="E70" s="426">
        <f>K68</f>
        <v>-81190639.76101166</v>
      </c>
      <c r="F70" s="426">
        <f>SUM(E69:E70)*0</f>
        <v>0</v>
      </c>
      <c r="H70" s="532"/>
      <c r="I70" s="533"/>
      <c r="K70" s="534"/>
    </row>
    <row r="71" spans="2:223" ht="13.5" customHeight="1" x14ac:dyDescent="0.3">
      <c r="B71" s="425"/>
      <c r="C71" s="425" t="s">
        <v>633</v>
      </c>
      <c r="D71" s="425"/>
      <c r="E71" s="425"/>
      <c r="F71" s="428">
        <f>F65+F70</f>
        <v>3557701.9878879408</v>
      </c>
      <c r="H71" s="532"/>
      <c r="I71" s="533"/>
      <c r="K71" s="534"/>
    </row>
    <row r="72" spans="2:223" ht="13.5" customHeight="1" x14ac:dyDescent="0.3">
      <c r="B72" s="425"/>
      <c r="C72" s="425"/>
      <c r="D72" s="425"/>
      <c r="E72" s="425"/>
      <c r="F72" s="428"/>
      <c r="H72" s="532"/>
      <c r="I72" s="533"/>
      <c r="K72" s="534"/>
    </row>
    <row r="73" spans="2:223" ht="13.5" customHeight="1" x14ac:dyDescent="0.3">
      <c r="B73" s="427" t="s">
        <v>632</v>
      </c>
      <c r="C73" s="425" t="s">
        <v>631</v>
      </c>
      <c r="D73" s="425"/>
      <c r="E73" s="425"/>
      <c r="F73" s="425"/>
      <c r="H73" s="532"/>
      <c r="I73" s="533"/>
      <c r="K73" s="534"/>
    </row>
    <row r="74" spans="2:223" ht="13.5" customHeight="1" x14ac:dyDescent="0.3">
      <c r="B74" s="427"/>
      <c r="C74" s="425" t="s">
        <v>630</v>
      </c>
      <c r="D74" s="425"/>
      <c r="E74" s="425"/>
      <c r="F74" s="425"/>
      <c r="K74" s="535"/>
    </row>
    <row r="75" spans="2:223" ht="13.5" customHeight="1" x14ac:dyDescent="0.3">
      <c r="B75" s="425"/>
      <c r="C75" s="425" t="s">
        <v>629</v>
      </c>
      <c r="D75" s="425"/>
      <c r="E75" s="425">
        <f>'TB BVS 31.3.25'!I52+'TB BVS 31.3.25'!I53+E46*0.1</f>
        <v>1611293142.8</v>
      </c>
      <c r="F75" s="425"/>
    </row>
    <row r="76" spans="2:223" ht="13.5" customHeight="1" x14ac:dyDescent="0.3">
      <c r="B76" s="425"/>
      <c r="C76" s="425" t="s">
        <v>628</v>
      </c>
      <c r="D76" s="425"/>
      <c r="E76" s="426"/>
      <c r="F76" s="425">
        <f>SUM(E74:E76)</f>
        <v>1611293142.8</v>
      </c>
    </row>
    <row r="77" spans="2:223" ht="13.5" customHeight="1" x14ac:dyDescent="0.3">
      <c r="B77" s="425"/>
      <c r="C77" s="425"/>
      <c r="D77" s="425"/>
      <c r="E77" s="426"/>
      <c r="F77" s="425"/>
    </row>
    <row r="78" spans="2:223" ht="13.5" customHeight="1" x14ac:dyDescent="0.3">
      <c r="B78" s="424"/>
      <c r="C78" s="424"/>
      <c r="D78" s="424"/>
      <c r="E78" s="424"/>
      <c r="F78" s="424">
        <f>F71-F76</f>
        <v>-1607735440.8121121</v>
      </c>
    </row>
    <row r="80" spans="2:223" x14ac:dyDescent="0.3">
      <c r="C80" s="423"/>
    </row>
    <row r="83" spans="3:5" hidden="1" x14ac:dyDescent="0.3">
      <c r="C83" s="475"/>
      <c r="D83" s="475"/>
      <c r="E83" s="485" t="s">
        <v>674</v>
      </c>
    </row>
    <row r="84" spans="3:5" hidden="1" x14ac:dyDescent="0.3">
      <c r="C84" s="476" t="s">
        <v>0</v>
      </c>
      <c r="D84" s="477" t="s">
        <v>675</v>
      </c>
      <c r="E84" s="478" t="s">
        <v>676</v>
      </c>
    </row>
    <row r="85" spans="3:5" hidden="1" x14ac:dyDescent="0.3">
      <c r="C85" s="479" t="s">
        <v>677</v>
      </c>
      <c r="D85" s="480">
        <v>-16656914.976153366</v>
      </c>
      <c r="E85" s="481">
        <v>-7940372.1518632798</v>
      </c>
    </row>
    <row r="86" spans="3:5" hidden="1" x14ac:dyDescent="0.3">
      <c r="C86" s="479"/>
      <c r="D86" s="482"/>
      <c r="E86" s="481"/>
    </row>
    <row r="87" spans="3:5" hidden="1" x14ac:dyDescent="0.3">
      <c r="C87" s="479" t="s">
        <v>678</v>
      </c>
      <c r="D87" s="480">
        <v>2204672.9728561738</v>
      </c>
      <c r="E87" s="481">
        <v>356064</v>
      </c>
    </row>
    <row r="88" spans="3:5" hidden="1" x14ac:dyDescent="0.3">
      <c r="C88" s="479" t="s">
        <v>679</v>
      </c>
      <c r="D88" s="480">
        <v>14144259.054815067</v>
      </c>
      <c r="E88" s="481">
        <v>7276273.6180890398</v>
      </c>
    </row>
    <row r="89" spans="3:5" hidden="1" x14ac:dyDescent="0.3">
      <c r="C89" s="479"/>
      <c r="D89" s="480"/>
      <c r="E89" s="481"/>
    </row>
    <row r="90" spans="3:5" hidden="1" x14ac:dyDescent="0.3">
      <c r="C90" s="479" t="s">
        <v>680</v>
      </c>
      <c r="D90" s="480"/>
      <c r="E90" s="481">
        <v>33600</v>
      </c>
    </row>
    <row r="91" spans="3:5" hidden="1" x14ac:dyDescent="0.3">
      <c r="C91" s="479" t="s">
        <v>681</v>
      </c>
      <c r="D91" s="480">
        <v>-1000</v>
      </c>
      <c r="E91" s="481">
        <v>0</v>
      </c>
    </row>
    <row r="92" spans="3:5" hidden="1" x14ac:dyDescent="0.3">
      <c r="C92" s="476" t="s">
        <v>682</v>
      </c>
      <c r="D92" s="483">
        <v>-308982.948482126</v>
      </c>
      <c r="E92" s="484">
        <v>-274434.5337742446</v>
      </c>
    </row>
    <row r="107" spans="7:223" s="422" customFormat="1" hidden="1" x14ac:dyDescent="0.3">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421"/>
      <c r="AH107" s="421"/>
      <c r="AI107" s="421"/>
      <c r="AJ107" s="421"/>
      <c r="AK107" s="421"/>
      <c r="AL107" s="421"/>
      <c r="AM107" s="421"/>
      <c r="AN107" s="421"/>
      <c r="AO107" s="421"/>
      <c r="AP107" s="421"/>
      <c r="AQ107" s="421"/>
      <c r="AR107" s="421"/>
      <c r="AS107" s="421"/>
      <c r="AT107" s="421"/>
      <c r="AU107" s="421"/>
      <c r="AV107" s="421"/>
      <c r="AW107" s="421"/>
      <c r="AX107" s="421"/>
      <c r="AY107" s="421"/>
      <c r="AZ107" s="421"/>
      <c r="BA107" s="421"/>
      <c r="BB107" s="421"/>
      <c r="BC107" s="421"/>
      <c r="BD107" s="421"/>
      <c r="BE107" s="421"/>
      <c r="BF107" s="421"/>
      <c r="BG107" s="421"/>
      <c r="BH107" s="421"/>
      <c r="BI107" s="421"/>
      <c r="BJ107" s="421"/>
      <c r="BK107" s="421"/>
      <c r="BL107" s="421"/>
      <c r="BM107" s="421"/>
      <c r="BN107" s="421"/>
      <c r="BO107" s="421"/>
      <c r="BP107" s="421"/>
      <c r="BQ107" s="421"/>
      <c r="BR107" s="421"/>
      <c r="BS107" s="421"/>
      <c r="BT107" s="421"/>
      <c r="BU107" s="421"/>
      <c r="BV107" s="421"/>
      <c r="BW107" s="421"/>
      <c r="BX107" s="421"/>
      <c r="BY107" s="421"/>
      <c r="BZ107" s="421"/>
      <c r="CA107" s="421"/>
      <c r="CB107" s="421"/>
      <c r="CC107" s="421"/>
      <c r="CD107" s="421"/>
      <c r="CE107" s="421"/>
      <c r="CF107" s="421"/>
      <c r="CG107" s="421"/>
      <c r="CH107" s="421"/>
      <c r="CI107" s="421"/>
      <c r="CJ107" s="421"/>
      <c r="CK107" s="421"/>
      <c r="CL107" s="421"/>
      <c r="CM107" s="421"/>
      <c r="CN107" s="421"/>
      <c r="CO107" s="421"/>
      <c r="CP107" s="421"/>
      <c r="CQ107" s="421"/>
      <c r="CR107" s="421"/>
      <c r="CS107" s="421"/>
      <c r="CT107" s="421"/>
      <c r="CU107" s="421"/>
      <c r="CV107" s="421"/>
      <c r="CW107" s="421"/>
      <c r="CX107" s="421"/>
      <c r="CY107" s="421"/>
      <c r="CZ107" s="421"/>
      <c r="DA107" s="421"/>
      <c r="DB107" s="421"/>
      <c r="DC107" s="421"/>
      <c r="DD107" s="421"/>
      <c r="DE107" s="421"/>
      <c r="DF107" s="421"/>
      <c r="DG107" s="421"/>
      <c r="DH107" s="421"/>
      <c r="DI107" s="421"/>
      <c r="DJ107" s="421"/>
      <c r="DK107" s="421"/>
      <c r="DL107" s="421"/>
      <c r="DM107" s="421"/>
      <c r="DN107" s="421"/>
      <c r="DO107" s="421"/>
      <c r="DP107" s="421"/>
      <c r="DQ107" s="421"/>
      <c r="DR107" s="421"/>
      <c r="DS107" s="421"/>
      <c r="DT107" s="421"/>
      <c r="DU107" s="421"/>
      <c r="DV107" s="421"/>
      <c r="DW107" s="421"/>
      <c r="DX107" s="421"/>
      <c r="DY107" s="421"/>
      <c r="DZ107" s="421"/>
      <c r="EA107" s="421"/>
      <c r="EB107" s="421"/>
      <c r="EC107" s="421"/>
      <c r="ED107" s="421"/>
      <c r="EE107" s="421"/>
      <c r="EF107" s="421"/>
      <c r="EG107" s="421"/>
      <c r="EH107" s="421"/>
      <c r="EI107" s="421"/>
      <c r="EJ107" s="421"/>
      <c r="EK107" s="421"/>
      <c r="EL107" s="421"/>
      <c r="EM107" s="421"/>
      <c r="EN107" s="421"/>
      <c r="EO107" s="421"/>
      <c r="EP107" s="421"/>
      <c r="EQ107" s="421"/>
      <c r="ER107" s="421"/>
      <c r="ES107" s="421"/>
      <c r="ET107" s="421"/>
      <c r="EU107" s="421"/>
      <c r="EV107" s="421"/>
      <c r="EW107" s="421"/>
      <c r="EX107" s="421"/>
      <c r="EY107" s="421"/>
      <c r="EZ107" s="421"/>
      <c r="FA107" s="421"/>
      <c r="FB107" s="421"/>
      <c r="FC107" s="421"/>
      <c r="FD107" s="421"/>
      <c r="FE107" s="421"/>
      <c r="FF107" s="421"/>
      <c r="FG107" s="421"/>
      <c r="FH107" s="421"/>
      <c r="FI107" s="421"/>
      <c r="FJ107" s="421"/>
      <c r="FK107" s="421"/>
      <c r="FL107" s="421"/>
      <c r="FM107" s="421"/>
      <c r="FN107" s="421"/>
      <c r="FO107" s="421"/>
      <c r="FP107" s="421"/>
      <c r="FQ107" s="421"/>
      <c r="FR107" s="421"/>
      <c r="FS107" s="421"/>
      <c r="FT107" s="421"/>
      <c r="FU107" s="421"/>
      <c r="FV107" s="421"/>
      <c r="FW107" s="421"/>
      <c r="FX107" s="421"/>
      <c r="FY107" s="421"/>
      <c r="FZ107" s="421"/>
      <c r="GA107" s="421"/>
      <c r="GB107" s="421"/>
      <c r="GC107" s="421"/>
      <c r="GD107" s="421"/>
      <c r="GE107" s="421"/>
      <c r="GF107" s="421"/>
      <c r="GG107" s="421"/>
      <c r="GH107" s="421"/>
      <c r="GI107" s="421"/>
      <c r="GJ107" s="421"/>
      <c r="GK107" s="421"/>
      <c r="GL107" s="421"/>
      <c r="GM107" s="421"/>
      <c r="GN107" s="421"/>
      <c r="GO107" s="421"/>
      <c r="GP107" s="421"/>
      <c r="GQ107" s="421"/>
      <c r="GR107" s="421"/>
      <c r="GS107" s="421"/>
      <c r="GT107" s="421"/>
      <c r="GU107" s="421"/>
      <c r="GV107" s="421"/>
      <c r="GW107" s="421"/>
      <c r="GX107" s="421"/>
      <c r="GY107" s="421"/>
      <c r="GZ107" s="421"/>
      <c r="HA107" s="421"/>
      <c r="HB107" s="421"/>
      <c r="HC107" s="421"/>
      <c r="HD107" s="421"/>
      <c r="HE107" s="421"/>
      <c r="HF107" s="421"/>
      <c r="HG107" s="421"/>
      <c r="HH107" s="421"/>
      <c r="HI107" s="421"/>
      <c r="HJ107" s="421"/>
      <c r="HK107" s="421"/>
      <c r="HL107" s="421"/>
      <c r="HM107" s="421"/>
      <c r="HN107" s="421"/>
      <c r="HO107" s="421"/>
    </row>
    <row r="108" spans="7:223" s="422" customFormat="1" hidden="1" x14ac:dyDescent="0.3">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c r="AJ108" s="421"/>
      <c r="AK108" s="421"/>
      <c r="AL108" s="421"/>
      <c r="AM108" s="421"/>
      <c r="AN108" s="421"/>
      <c r="AO108" s="421"/>
      <c r="AP108" s="421"/>
      <c r="AQ108" s="421"/>
      <c r="AR108" s="421"/>
      <c r="AS108" s="421"/>
      <c r="AT108" s="421"/>
      <c r="AU108" s="421"/>
      <c r="AV108" s="421"/>
      <c r="AW108" s="421"/>
      <c r="AX108" s="421"/>
      <c r="AY108" s="421"/>
      <c r="AZ108" s="421"/>
      <c r="BA108" s="421"/>
      <c r="BB108" s="421"/>
      <c r="BC108" s="421"/>
      <c r="BD108" s="421"/>
      <c r="BE108" s="421"/>
      <c r="BF108" s="421"/>
      <c r="BG108" s="421"/>
      <c r="BH108" s="421"/>
      <c r="BI108" s="421"/>
      <c r="BJ108" s="421"/>
      <c r="BK108" s="421"/>
      <c r="BL108" s="421"/>
      <c r="BM108" s="421"/>
      <c r="BN108" s="421"/>
      <c r="BO108" s="421"/>
      <c r="BP108" s="421"/>
      <c r="BQ108" s="421"/>
      <c r="BR108" s="421"/>
      <c r="BS108" s="421"/>
      <c r="BT108" s="421"/>
      <c r="BU108" s="421"/>
      <c r="BV108" s="421"/>
      <c r="BW108" s="421"/>
      <c r="BX108" s="421"/>
      <c r="BY108" s="421"/>
      <c r="BZ108" s="421"/>
      <c r="CA108" s="421"/>
      <c r="CB108" s="421"/>
      <c r="CC108" s="421"/>
      <c r="CD108" s="421"/>
      <c r="CE108" s="421"/>
      <c r="CF108" s="421"/>
      <c r="CG108" s="421"/>
      <c r="CH108" s="421"/>
      <c r="CI108" s="421"/>
      <c r="CJ108" s="421"/>
      <c r="CK108" s="421"/>
      <c r="CL108" s="421"/>
      <c r="CM108" s="421"/>
      <c r="CN108" s="421"/>
      <c r="CO108" s="421"/>
      <c r="CP108" s="421"/>
      <c r="CQ108" s="421"/>
      <c r="CR108" s="421"/>
      <c r="CS108" s="421"/>
      <c r="CT108" s="421"/>
      <c r="CU108" s="421"/>
      <c r="CV108" s="421"/>
      <c r="CW108" s="421"/>
      <c r="CX108" s="421"/>
      <c r="CY108" s="421"/>
      <c r="CZ108" s="421"/>
      <c r="DA108" s="421"/>
      <c r="DB108" s="421"/>
      <c r="DC108" s="421"/>
      <c r="DD108" s="421"/>
      <c r="DE108" s="421"/>
      <c r="DF108" s="421"/>
      <c r="DG108" s="421"/>
      <c r="DH108" s="421"/>
      <c r="DI108" s="421"/>
      <c r="DJ108" s="421"/>
      <c r="DK108" s="421"/>
      <c r="DL108" s="421"/>
      <c r="DM108" s="421"/>
      <c r="DN108" s="421"/>
      <c r="DO108" s="421"/>
      <c r="DP108" s="421"/>
      <c r="DQ108" s="421"/>
      <c r="DR108" s="421"/>
      <c r="DS108" s="421"/>
      <c r="DT108" s="421"/>
      <c r="DU108" s="421"/>
      <c r="DV108" s="421"/>
      <c r="DW108" s="421"/>
      <c r="DX108" s="421"/>
      <c r="DY108" s="421"/>
      <c r="DZ108" s="421"/>
      <c r="EA108" s="421"/>
      <c r="EB108" s="421"/>
      <c r="EC108" s="421"/>
      <c r="ED108" s="421"/>
      <c r="EE108" s="421"/>
      <c r="EF108" s="421"/>
      <c r="EG108" s="421"/>
      <c r="EH108" s="421"/>
      <c r="EI108" s="421"/>
      <c r="EJ108" s="421"/>
      <c r="EK108" s="421"/>
      <c r="EL108" s="421"/>
      <c r="EM108" s="421"/>
      <c r="EN108" s="421"/>
      <c r="EO108" s="421"/>
      <c r="EP108" s="421"/>
      <c r="EQ108" s="421"/>
      <c r="ER108" s="421"/>
      <c r="ES108" s="421"/>
      <c r="ET108" s="421"/>
      <c r="EU108" s="421"/>
      <c r="EV108" s="421"/>
      <c r="EW108" s="421"/>
      <c r="EX108" s="421"/>
      <c r="EY108" s="421"/>
      <c r="EZ108" s="421"/>
      <c r="FA108" s="421"/>
      <c r="FB108" s="421"/>
      <c r="FC108" s="421"/>
      <c r="FD108" s="421"/>
      <c r="FE108" s="421"/>
      <c r="FF108" s="421"/>
      <c r="FG108" s="421"/>
      <c r="FH108" s="421"/>
      <c r="FI108" s="421"/>
      <c r="FJ108" s="421"/>
      <c r="FK108" s="421"/>
      <c r="FL108" s="421"/>
      <c r="FM108" s="421"/>
      <c r="FN108" s="421"/>
      <c r="FO108" s="421"/>
      <c r="FP108" s="421"/>
      <c r="FQ108" s="421"/>
      <c r="FR108" s="421"/>
      <c r="FS108" s="421"/>
      <c r="FT108" s="421"/>
      <c r="FU108" s="421"/>
      <c r="FV108" s="421"/>
      <c r="FW108" s="421"/>
      <c r="FX108" s="421"/>
      <c r="FY108" s="421"/>
      <c r="FZ108" s="421"/>
      <c r="GA108" s="421"/>
      <c r="GB108" s="421"/>
      <c r="GC108" s="421"/>
      <c r="GD108" s="421"/>
      <c r="GE108" s="421"/>
      <c r="GF108" s="421"/>
      <c r="GG108" s="421"/>
      <c r="GH108" s="421"/>
      <c r="GI108" s="421"/>
      <c r="GJ108" s="421"/>
      <c r="GK108" s="421"/>
      <c r="GL108" s="421"/>
      <c r="GM108" s="421"/>
      <c r="GN108" s="421"/>
      <c r="GO108" s="421"/>
      <c r="GP108" s="421"/>
      <c r="GQ108" s="421"/>
      <c r="GR108" s="421"/>
      <c r="GS108" s="421"/>
      <c r="GT108" s="421"/>
      <c r="GU108" s="421"/>
      <c r="GV108" s="421"/>
      <c r="GW108" s="421"/>
      <c r="GX108" s="421"/>
      <c r="GY108" s="421"/>
      <c r="GZ108" s="421"/>
      <c r="HA108" s="421"/>
      <c r="HB108" s="421"/>
      <c r="HC108" s="421"/>
      <c r="HD108" s="421"/>
      <c r="HE108" s="421"/>
      <c r="HF108" s="421"/>
      <c r="HG108" s="421"/>
      <c r="HH108" s="421"/>
      <c r="HI108" s="421"/>
      <c r="HJ108" s="421"/>
      <c r="HK108" s="421"/>
      <c r="HL108" s="421"/>
      <c r="HM108" s="421"/>
      <c r="HN108" s="421"/>
      <c r="HO108" s="421"/>
    </row>
    <row r="109" spans="7:223" s="422" customFormat="1" hidden="1" x14ac:dyDescent="0.3">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c r="AJ109" s="421"/>
      <c r="AK109" s="421"/>
      <c r="AL109" s="421"/>
      <c r="AM109" s="421"/>
      <c r="AN109" s="421"/>
      <c r="AO109" s="421"/>
      <c r="AP109" s="421"/>
      <c r="AQ109" s="421"/>
      <c r="AR109" s="421"/>
      <c r="AS109" s="421"/>
      <c r="AT109" s="421"/>
      <c r="AU109" s="421"/>
      <c r="AV109" s="421"/>
      <c r="AW109" s="421"/>
      <c r="AX109" s="421"/>
      <c r="AY109" s="421"/>
      <c r="AZ109" s="421"/>
      <c r="BA109" s="421"/>
      <c r="BB109" s="421"/>
      <c r="BC109" s="421"/>
      <c r="BD109" s="421"/>
      <c r="BE109" s="421"/>
      <c r="BF109" s="421"/>
      <c r="BG109" s="421"/>
      <c r="BH109" s="421"/>
      <c r="BI109" s="421"/>
      <c r="BJ109" s="421"/>
      <c r="BK109" s="421"/>
      <c r="BL109" s="421"/>
      <c r="BM109" s="421"/>
      <c r="BN109" s="421"/>
      <c r="BO109" s="421"/>
      <c r="BP109" s="421"/>
      <c r="BQ109" s="421"/>
      <c r="BR109" s="421"/>
      <c r="BS109" s="421"/>
      <c r="BT109" s="421"/>
      <c r="BU109" s="421"/>
      <c r="BV109" s="421"/>
      <c r="BW109" s="421"/>
      <c r="BX109" s="421"/>
      <c r="BY109" s="421"/>
      <c r="BZ109" s="421"/>
      <c r="CA109" s="421"/>
      <c r="CB109" s="421"/>
      <c r="CC109" s="421"/>
      <c r="CD109" s="421"/>
      <c r="CE109" s="421"/>
      <c r="CF109" s="421"/>
      <c r="CG109" s="421"/>
      <c r="CH109" s="421"/>
      <c r="CI109" s="421"/>
      <c r="CJ109" s="421"/>
      <c r="CK109" s="421"/>
      <c r="CL109" s="421"/>
      <c r="CM109" s="421"/>
      <c r="CN109" s="421"/>
      <c r="CO109" s="421"/>
      <c r="CP109" s="421"/>
      <c r="CQ109" s="421"/>
      <c r="CR109" s="421"/>
      <c r="CS109" s="421"/>
      <c r="CT109" s="421"/>
      <c r="CU109" s="421"/>
      <c r="CV109" s="421"/>
      <c r="CW109" s="421"/>
      <c r="CX109" s="421"/>
      <c r="CY109" s="421"/>
      <c r="CZ109" s="421"/>
      <c r="DA109" s="421"/>
      <c r="DB109" s="421"/>
      <c r="DC109" s="421"/>
      <c r="DD109" s="421"/>
      <c r="DE109" s="421"/>
      <c r="DF109" s="421"/>
      <c r="DG109" s="421"/>
      <c r="DH109" s="421"/>
      <c r="DI109" s="421"/>
      <c r="DJ109" s="421"/>
      <c r="DK109" s="421"/>
      <c r="DL109" s="421"/>
      <c r="DM109" s="421"/>
      <c r="DN109" s="421"/>
      <c r="DO109" s="421"/>
      <c r="DP109" s="421"/>
      <c r="DQ109" s="421"/>
      <c r="DR109" s="421"/>
      <c r="DS109" s="421"/>
      <c r="DT109" s="421"/>
      <c r="DU109" s="421"/>
      <c r="DV109" s="421"/>
      <c r="DW109" s="421"/>
      <c r="DX109" s="421"/>
      <c r="DY109" s="421"/>
      <c r="DZ109" s="421"/>
      <c r="EA109" s="421"/>
      <c r="EB109" s="421"/>
      <c r="EC109" s="421"/>
      <c r="ED109" s="421"/>
      <c r="EE109" s="421"/>
      <c r="EF109" s="421"/>
      <c r="EG109" s="421"/>
      <c r="EH109" s="421"/>
      <c r="EI109" s="421"/>
      <c r="EJ109" s="421"/>
      <c r="EK109" s="421"/>
      <c r="EL109" s="421"/>
      <c r="EM109" s="421"/>
      <c r="EN109" s="421"/>
      <c r="EO109" s="421"/>
      <c r="EP109" s="421"/>
      <c r="EQ109" s="421"/>
      <c r="ER109" s="421"/>
      <c r="ES109" s="421"/>
      <c r="ET109" s="421"/>
      <c r="EU109" s="421"/>
      <c r="EV109" s="421"/>
      <c r="EW109" s="421"/>
      <c r="EX109" s="421"/>
      <c r="EY109" s="421"/>
      <c r="EZ109" s="421"/>
      <c r="FA109" s="421"/>
      <c r="FB109" s="421"/>
      <c r="FC109" s="421"/>
      <c r="FD109" s="421"/>
      <c r="FE109" s="421"/>
      <c r="FF109" s="421"/>
      <c r="FG109" s="421"/>
      <c r="FH109" s="421"/>
      <c r="FI109" s="421"/>
      <c r="FJ109" s="421"/>
      <c r="FK109" s="421"/>
      <c r="FL109" s="421"/>
      <c r="FM109" s="421"/>
      <c r="FN109" s="421"/>
      <c r="FO109" s="421"/>
      <c r="FP109" s="421"/>
      <c r="FQ109" s="421"/>
      <c r="FR109" s="421"/>
      <c r="FS109" s="421"/>
      <c r="FT109" s="421"/>
      <c r="FU109" s="421"/>
      <c r="FV109" s="421"/>
      <c r="FW109" s="421"/>
      <c r="FX109" s="421"/>
      <c r="FY109" s="421"/>
      <c r="FZ109" s="421"/>
      <c r="GA109" s="421"/>
      <c r="GB109" s="421"/>
      <c r="GC109" s="421"/>
      <c r="GD109" s="421"/>
      <c r="GE109" s="421"/>
      <c r="GF109" s="421"/>
      <c r="GG109" s="421"/>
      <c r="GH109" s="421"/>
      <c r="GI109" s="421"/>
      <c r="GJ109" s="421"/>
      <c r="GK109" s="421"/>
      <c r="GL109" s="421"/>
      <c r="GM109" s="421"/>
      <c r="GN109" s="421"/>
      <c r="GO109" s="421"/>
      <c r="GP109" s="421"/>
      <c r="GQ109" s="421"/>
      <c r="GR109" s="421"/>
      <c r="GS109" s="421"/>
      <c r="GT109" s="421"/>
      <c r="GU109" s="421"/>
      <c r="GV109" s="421"/>
      <c r="GW109" s="421"/>
      <c r="GX109" s="421"/>
      <c r="GY109" s="421"/>
      <c r="GZ109" s="421"/>
      <c r="HA109" s="421"/>
      <c r="HB109" s="421"/>
      <c r="HC109" s="421"/>
      <c r="HD109" s="421"/>
      <c r="HE109" s="421"/>
      <c r="HF109" s="421"/>
      <c r="HG109" s="421"/>
      <c r="HH109" s="421"/>
      <c r="HI109" s="421"/>
      <c r="HJ109" s="421"/>
      <c r="HK109" s="421"/>
      <c r="HL109" s="421"/>
      <c r="HM109" s="421"/>
      <c r="HN109" s="421"/>
      <c r="HO109" s="421"/>
    </row>
    <row r="110" spans="7:223" s="422" customFormat="1" hidden="1" x14ac:dyDescent="0.3">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1"/>
      <c r="AX110" s="421"/>
      <c r="AY110" s="421"/>
      <c r="AZ110" s="421"/>
      <c r="BA110" s="421"/>
      <c r="BB110" s="421"/>
      <c r="BC110" s="421"/>
      <c r="BD110" s="421"/>
      <c r="BE110" s="421"/>
      <c r="BF110" s="421"/>
      <c r="BG110" s="421"/>
      <c r="BH110" s="421"/>
      <c r="BI110" s="421"/>
      <c r="BJ110" s="421"/>
      <c r="BK110" s="421"/>
      <c r="BL110" s="421"/>
      <c r="BM110" s="421"/>
      <c r="BN110" s="421"/>
      <c r="BO110" s="421"/>
      <c r="BP110" s="421"/>
      <c r="BQ110" s="421"/>
      <c r="BR110" s="421"/>
      <c r="BS110" s="421"/>
      <c r="BT110" s="421"/>
      <c r="BU110" s="421"/>
      <c r="BV110" s="421"/>
      <c r="BW110" s="421"/>
      <c r="BX110" s="421"/>
      <c r="BY110" s="421"/>
      <c r="BZ110" s="421"/>
      <c r="CA110" s="421"/>
      <c r="CB110" s="421"/>
      <c r="CC110" s="421"/>
      <c r="CD110" s="421"/>
      <c r="CE110" s="421"/>
      <c r="CF110" s="421"/>
      <c r="CG110" s="421"/>
      <c r="CH110" s="421"/>
      <c r="CI110" s="421"/>
      <c r="CJ110" s="421"/>
      <c r="CK110" s="421"/>
      <c r="CL110" s="421"/>
      <c r="CM110" s="421"/>
      <c r="CN110" s="421"/>
      <c r="CO110" s="421"/>
      <c r="CP110" s="421"/>
      <c r="CQ110" s="421"/>
      <c r="CR110" s="421"/>
      <c r="CS110" s="421"/>
      <c r="CT110" s="421"/>
      <c r="CU110" s="421"/>
      <c r="CV110" s="421"/>
      <c r="CW110" s="421"/>
      <c r="CX110" s="421"/>
      <c r="CY110" s="421"/>
      <c r="CZ110" s="421"/>
      <c r="DA110" s="421"/>
      <c r="DB110" s="421"/>
      <c r="DC110" s="421"/>
      <c r="DD110" s="421"/>
      <c r="DE110" s="421"/>
      <c r="DF110" s="421"/>
      <c r="DG110" s="421"/>
      <c r="DH110" s="421"/>
      <c r="DI110" s="421"/>
      <c r="DJ110" s="421"/>
      <c r="DK110" s="421"/>
      <c r="DL110" s="421"/>
      <c r="DM110" s="421"/>
      <c r="DN110" s="421"/>
      <c r="DO110" s="421"/>
      <c r="DP110" s="421"/>
      <c r="DQ110" s="421"/>
      <c r="DR110" s="421"/>
      <c r="DS110" s="421"/>
      <c r="DT110" s="421"/>
      <c r="DU110" s="421"/>
      <c r="DV110" s="421"/>
      <c r="DW110" s="421"/>
      <c r="DX110" s="421"/>
      <c r="DY110" s="421"/>
      <c r="DZ110" s="421"/>
      <c r="EA110" s="421"/>
      <c r="EB110" s="421"/>
      <c r="EC110" s="421"/>
      <c r="ED110" s="421"/>
      <c r="EE110" s="421"/>
      <c r="EF110" s="421"/>
      <c r="EG110" s="421"/>
      <c r="EH110" s="421"/>
      <c r="EI110" s="421"/>
      <c r="EJ110" s="421"/>
      <c r="EK110" s="421"/>
      <c r="EL110" s="421"/>
      <c r="EM110" s="421"/>
      <c r="EN110" s="421"/>
      <c r="EO110" s="421"/>
      <c r="EP110" s="421"/>
      <c r="EQ110" s="421"/>
      <c r="ER110" s="421"/>
      <c r="ES110" s="421"/>
      <c r="ET110" s="421"/>
      <c r="EU110" s="421"/>
      <c r="EV110" s="421"/>
      <c r="EW110" s="421"/>
      <c r="EX110" s="421"/>
      <c r="EY110" s="421"/>
      <c r="EZ110" s="421"/>
      <c r="FA110" s="421"/>
      <c r="FB110" s="421"/>
      <c r="FC110" s="421"/>
      <c r="FD110" s="421"/>
      <c r="FE110" s="421"/>
      <c r="FF110" s="421"/>
      <c r="FG110" s="421"/>
      <c r="FH110" s="421"/>
      <c r="FI110" s="421"/>
      <c r="FJ110" s="421"/>
      <c r="FK110" s="421"/>
      <c r="FL110" s="421"/>
      <c r="FM110" s="421"/>
      <c r="FN110" s="421"/>
      <c r="FO110" s="421"/>
      <c r="FP110" s="421"/>
      <c r="FQ110" s="421"/>
      <c r="FR110" s="421"/>
      <c r="FS110" s="421"/>
      <c r="FT110" s="421"/>
      <c r="FU110" s="421"/>
      <c r="FV110" s="421"/>
      <c r="FW110" s="421"/>
      <c r="FX110" s="421"/>
      <c r="FY110" s="421"/>
      <c r="FZ110" s="421"/>
      <c r="GA110" s="421"/>
      <c r="GB110" s="421"/>
      <c r="GC110" s="421"/>
      <c r="GD110" s="421"/>
      <c r="GE110" s="421"/>
      <c r="GF110" s="421"/>
      <c r="GG110" s="421"/>
      <c r="GH110" s="421"/>
      <c r="GI110" s="421"/>
      <c r="GJ110" s="421"/>
      <c r="GK110" s="421"/>
      <c r="GL110" s="421"/>
      <c r="GM110" s="421"/>
      <c r="GN110" s="421"/>
      <c r="GO110" s="421"/>
      <c r="GP110" s="421"/>
      <c r="GQ110" s="421"/>
      <c r="GR110" s="421"/>
      <c r="GS110" s="421"/>
      <c r="GT110" s="421"/>
      <c r="GU110" s="421"/>
      <c r="GV110" s="421"/>
      <c r="GW110" s="421"/>
      <c r="GX110" s="421"/>
      <c r="GY110" s="421"/>
      <c r="GZ110" s="421"/>
      <c r="HA110" s="421"/>
      <c r="HB110" s="421"/>
      <c r="HC110" s="421"/>
      <c r="HD110" s="421"/>
      <c r="HE110" s="421"/>
      <c r="HF110" s="421"/>
      <c r="HG110" s="421"/>
      <c r="HH110" s="421"/>
      <c r="HI110" s="421"/>
      <c r="HJ110" s="421"/>
      <c r="HK110" s="421"/>
      <c r="HL110" s="421"/>
      <c r="HM110" s="421"/>
      <c r="HN110" s="421"/>
      <c r="HO110" s="421"/>
    </row>
    <row r="111" spans="7:223" s="422" customFormat="1" hidden="1" x14ac:dyDescent="0.3">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c r="AJ111" s="421"/>
      <c r="AK111" s="421"/>
      <c r="AL111" s="421"/>
      <c r="AM111" s="421"/>
      <c r="AN111" s="421"/>
      <c r="AO111" s="421"/>
      <c r="AP111" s="421"/>
      <c r="AQ111" s="421"/>
      <c r="AR111" s="421"/>
      <c r="AS111" s="421"/>
      <c r="AT111" s="421"/>
      <c r="AU111" s="421"/>
      <c r="AV111" s="421"/>
      <c r="AW111" s="421"/>
      <c r="AX111" s="421"/>
      <c r="AY111" s="421"/>
      <c r="AZ111" s="421"/>
      <c r="BA111" s="421"/>
      <c r="BB111" s="421"/>
      <c r="BC111" s="421"/>
      <c r="BD111" s="421"/>
      <c r="BE111" s="421"/>
      <c r="BF111" s="421"/>
      <c r="BG111" s="421"/>
      <c r="BH111" s="421"/>
      <c r="BI111" s="421"/>
      <c r="BJ111" s="421"/>
      <c r="BK111" s="421"/>
      <c r="BL111" s="421"/>
      <c r="BM111" s="421"/>
      <c r="BN111" s="421"/>
      <c r="BO111" s="421"/>
      <c r="BP111" s="421"/>
      <c r="BQ111" s="421"/>
      <c r="BR111" s="421"/>
      <c r="BS111" s="421"/>
      <c r="BT111" s="421"/>
      <c r="BU111" s="421"/>
      <c r="BV111" s="421"/>
      <c r="BW111" s="421"/>
      <c r="BX111" s="421"/>
      <c r="BY111" s="421"/>
      <c r="BZ111" s="421"/>
      <c r="CA111" s="421"/>
      <c r="CB111" s="421"/>
      <c r="CC111" s="421"/>
      <c r="CD111" s="421"/>
      <c r="CE111" s="421"/>
      <c r="CF111" s="421"/>
      <c r="CG111" s="421"/>
      <c r="CH111" s="421"/>
      <c r="CI111" s="421"/>
      <c r="CJ111" s="421"/>
      <c r="CK111" s="421"/>
      <c r="CL111" s="421"/>
      <c r="CM111" s="421"/>
      <c r="CN111" s="421"/>
      <c r="CO111" s="421"/>
      <c r="CP111" s="421"/>
      <c r="CQ111" s="421"/>
      <c r="CR111" s="421"/>
      <c r="CS111" s="421"/>
      <c r="CT111" s="421"/>
      <c r="CU111" s="421"/>
      <c r="CV111" s="421"/>
      <c r="CW111" s="421"/>
      <c r="CX111" s="421"/>
      <c r="CY111" s="421"/>
      <c r="CZ111" s="421"/>
      <c r="DA111" s="421"/>
      <c r="DB111" s="421"/>
      <c r="DC111" s="421"/>
      <c r="DD111" s="421"/>
      <c r="DE111" s="421"/>
      <c r="DF111" s="421"/>
      <c r="DG111" s="421"/>
      <c r="DH111" s="421"/>
      <c r="DI111" s="421"/>
      <c r="DJ111" s="421"/>
      <c r="DK111" s="421"/>
      <c r="DL111" s="421"/>
      <c r="DM111" s="421"/>
      <c r="DN111" s="421"/>
      <c r="DO111" s="421"/>
      <c r="DP111" s="421"/>
      <c r="DQ111" s="421"/>
      <c r="DR111" s="421"/>
      <c r="DS111" s="421"/>
      <c r="DT111" s="421"/>
      <c r="DU111" s="421"/>
      <c r="DV111" s="421"/>
      <c r="DW111" s="421"/>
      <c r="DX111" s="421"/>
      <c r="DY111" s="421"/>
      <c r="DZ111" s="421"/>
      <c r="EA111" s="421"/>
      <c r="EB111" s="421"/>
      <c r="EC111" s="421"/>
      <c r="ED111" s="421"/>
      <c r="EE111" s="421"/>
      <c r="EF111" s="421"/>
      <c r="EG111" s="421"/>
      <c r="EH111" s="421"/>
      <c r="EI111" s="421"/>
      <c r="EJ111" s="421"/>
      <c r="EK111" s="421"/>
      <c r="EL111" s="421"/>
      <c r="EM111" s="421"/>
      <c r="EN111" s="421"/>
      <c r="EO111" s="421"/>
      <c r="EP111" s="421"/>
      <c r="EQ111" s="421"/>
      <c r="ER111" s="421"/>
      <c r="ES111" s="421"/>
      <c r="ET111" s="421"/>
      <c r="EU111" s="421"/>
      <c r="EV111" s="421"/>
      <c r="EW111" s="421"/>
      <c r="EX111" s="421"/>
      <c r="EY111" s="421"/>
      <c r="EZ111" s="421"/>
      <c r="FA111" s="421"/>
      <c r="FB111" s="421"/>
      <c r="FC111" s="421"/>
      <c r="FD111" s="421"/>
      <c r="FE111" s="421"/>
      <c r="FF111" s="421"/>
      <c r="FG111" s="421"/>
      <c r="FH111" s="421"/>
      <c r="FI111" s="421"/>
      <c r="FJ111" s="421"/>
      <c r="FK111" s="421"/>
      <c r="FL111" s="421"/>
      <c r="FM111" s="421"/>
      <c r="FN111" s="421"/>
      <c r="FO111" s="421"/>
      <c r="FP111" s="421"/>
      <c r="FQ111" s="421"/>
      <c r="FR111" s="421"/>
      <c r="FS111" s="421"/>
      <c r="FT111" s="421"/>
      <c r="FU111" s="421"/>
      <c r="FV111" s="421"/>
      <c r="FW111" s="421"/>
      <c r="FX111" s="421"/>
      <c r="FY111" s="421"/>
      <c r="FZ111" s="421"/>
      <c r="GA111" s="421"/>
      <c r="GB111" s="421"/>
      <c r="GC111" s="421"/>
      <c r="GD111" s="421"/>
      <c r="GE111" s="421"/>
      <c r="GF111" s="421"/>
      <c r="GG111" s="421"/>
      <c r="GH111" s="421"/>
      <c r="GI111" s="421"/>
      <c r="GJ111" s="421"/>
      <c r="GK111" s="421"/>
      <c r="GL111" s="421"/>
      <c r="GM111" s="421"/>
      <c r="GN111" s="421"/>
      <c r="GO111" s="421"/>
      <c r="GP111" s="421"/>
      <c r="GQ111" s="421"/>
      <c r="GR111" s="421"/>
      <c r="GS111" s="421"/>
      <c r="GT111" s="421"/>
      <c r="GU111" s="421"/>
      <c r="GV111" s="421"/>
      <c r="GW111" s="421"/>
      <c r="GX111" s="421"/>
      <c r="GY111" s="421"/>
      <c r="GZ111" s="421"/>
      <c r="HA111" s="421"/>
      <c r="HB111" s="421"/>
      <c r="HC111" s="421"/>
      <c r="HD111" s="421"/>
      <c r="HE111" s="421"/>
      <c r="HF111" s="421"/>
      <c r="HG111" s="421"/>
      <c r="HH111" s="421"/>
      <c r="HI111" s="421"/>
      <c r="HJ111" s="421"/>
      <c r="HK111" s="421"/>
      <c r="HL111" s="421"/>
      <c r="HM111" s="421"/>
      <c r="HN111" s="421"/>
      <c r="HO111" s="421"/>
    </row>
    <row r="112" spans="7:223" s="422" customFormat="1" hidden="1" x14ac:dyDescent="0.3">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c r="AJ112" s="421"/>
      <c r="AK112" s="421"/>
      <c r="AL112" s="421"/>
      <c r="AM112" s="421"/>
      <c r="AN112" s="421"/>
      <c r="AO112" s="421"/>
      <c r="AP112" s="421"/>
      <c r="AQ112" s="421"/>
      <c r="AR112" s="421"/>
      <c r="AS112" s="421"/>
      <c r="AT112" s="421"/>
      <c r="AU112" s="421"/>
      <c r="AV112" s="421"/>
      <c r="AW112" s="421"/>
      <c r="AX112" s="421"/>
      <c r="AY112" s="421"/>
      <c r="AZ112" s="421"/>
      <c r="BA112" s="421"/>
      <c r="BB112" s="421"/>
      <c r="BC112" s="421"/>
      <c r="BD112" s="421"/>
      <c r="BE112" s="421"/>
      <c r="BF112" s="421"/>
      <c r="BG112" s="421"/>
      <c r="BH112" s="421"/>
      <c r="BI112" s="421"/>
      <c r="BJ112" s="421"/>
      <c r="BK112" s="421"/>
      <c r="BL112" s="421"/>
      <c r="BM112" s="421"/>
      <c r="BN112" s="421"/>
      <c r="BO112" s="421"/>
      <c r="BP112" s="421"/>
      <c r="BQ112" s="421"/>
      <c r="BR112" s="421"/>
      <c r="BS112" s="421"/>
      <c r="BT112" s="421"/>
      <c r="BU112" s="421"/>
      <c r="BV112" s="421"/>
      <c r="BW112" s="421"/>
      <c r="BX112" s="421"/>
      <c r="BY112" s="421"/>
      <c r="BZ112" s="421"/>
      <c r="CA112" s="421"/>
      <c r="CB112" s="421"/>
      <c r="CC112" s="421"/>
      <c r="CD112" s="421"/>
      <c r="CE112" s="421"/>
      <c r="CF112" s="421"/>
      <c r="CG112" s="421"/>
      <c r="CH112" s="421"/>
      <c r="CI112" s="421"/>
      <c r="CJ112" s="421"/>
      <c r="CK112" s="421"/>
      <c r="CL112" s="421"/>
      <c r="CM112" s="421"/>
      <c r="CN112" s="421"/>
      <c r="CO112" s="421"/>
      <c r="CP112" s="421"/>
      <c r="CQ112" s="421"/>
      <c r="CR112" s="421"/>
      <c r="CS112" s="421"/>
      <c r="CT112" s="421"/>
      <c r="CU112" s="421"/>
      <c r="CV112" s="421"/>
      <c r="CW112" s="421"/>
      <c r="CX112" s="421"/>
      <c r="CY112" s="421"/>
      <c r="CZ112" s="421"/>
      <c r="DA112" s="421"/>
      <c r="DB112" s="421"/>
      <c r="DC112" s="421"/>
      <c r="DD112" s="421"/>
      <c r="DE112" s="421"/>
      <c r="DF112" s="421"/>
      <c r="DG112" s="421"/>
      <c r="DH112" s="421"/>
      <c r="DI112" s="421"/>
      <c r="DJ112" s="421"/>
      <c r="DK112" s="421"/>
      <c r="DL112" s="421"/>
      <c r="DM112" s="421"/>
      <c r="DN112" s="421"/>
      <c r="DO112" s="421"/>
      <c r="DP112" s="421"/>
      <c r="DQ112" s="421"/>
      <c r="DR112" s="421"/>
      <c r="DS112" s="421"/>
      <c r="DT112" s="421"/>
      <c r="DU112" s="421"/>
      <c r="DV112" s="421"/>
      <c r="DW112" s="421"/>
      <c r="DX112" s="421"/>
      <c r="DY112" s="421"/>
      <c r="DZ112" s="421"/>
      <c r="EA112" s="421"/>
      <c r="EB112" s="421"/>
      <c r="EC112" s="421"/>
      <c r="ED112" s="421"/>
      <c r="EE112" s="421"/>
      <c r="EF112" s="421"/>
      <c r="EG112" s="421"/>
      <c r="EH112" s="421"/>
      <c r="EI112" s="421"/>
      <c r="EJ112" s="421"/>
      <c r="EK112" s="421"/>
      <c r="EL112" s="421"/>
      <c r="EM112" s="421"/>
      <c r="EN112" s="421"/>
      <c r="EO112" s="421"/>
      <c r="EP112" s="421"/>
      <c r="EQ112" s="421"/>
      <c r="ER112" s="421"/>
      <c r="ES112" s="421"/>
      <c r="ET112" s="421"/>
      <c r="EU112" s="421"/>
      <c r="EV112" s="421"/>
      <c r="EW112" s="421"/>
      <c r="EX112" s="421"/>
      <c r="EY112" s="421"/>
      <c r="EZ112" s="421"/>
      <c r="FA112" s="421"/>
      <c r="FB112" s="421"/>
      <c r="FC112" s="421"/>
      <c r="FD112" s="421"/>
      <c r="FE112" s="421"/>
      <c r="FF112" s="421"/>
      <c r="FG112" s="421"/>
      <c r="FH112" s="421"/>
      <c r="FI112" s="421"/>
      <c r="FJ112" s="421"/>
      <c r="FK112" s="421"/>
      <c r="FL112" s="421"/>
      <c r="FM112" s="421"/>
      <c r="FN112" s="421"/>
      <c r="FO112" s="421"/>
      <c r="FP112" s="421"/>
      <c r="FQ112" s="421"/>
      <c r="FR112" s="421"/>
      <c r="FS112" s="421"/>
      <c r="FT112" s="421"/>
      <c r="FU112" s="421"/>
      <c r="FV112" s="421"/>
      <c r="FW112" s="421"/>
      <c r="FX112" s="421"/>
      <c r="FY112" s="421"/>
      <c r="FZ112" s="421"/>
      <c r="GA112" s="421"/>
      <c r="GB112" s="421"/>
      <c r="GC112" s="421"/>
      <c r="GD112" s="421"/>
      <c r="GE112" s="421"/>
      <c r="GF112" s="421"/>
      <c r="GG112" s="421"/>
      <c r="GH112" s="421"/>
      <c r="GI112" s="421"/>
      <c r="GJ112" s="421"/>
      <c r="GK112" s="421"/>
      <c r="GL112" s="421"/>
      <c r="GM112" s="421"/>
      <c r="GN112" s="421"/>
      <c r="GO112" s="421"/>
      <c r="GP112" s="421"/>
      <c r="GQ112" s="421"/>
      <c r="GR112" s="421"/>
      <c r="GS112" s="421"/>
      <c r="GT112" s="421"/>
      <c r="GU112" s="421"/>
      <c r="GV112" s="421"/>
      <c r="GW112" s="421"/>
      <c r="GX112" s="421"/>
      <c r="GY112" s="421"/>
      <c r="GZ112" s="421"/>
      <c r="HA112" s="421"/>
      <c r="HB112" s="421"/>
      <c r="HC112" s="421"/>
      <c r="HD112" s="421"/>
      <c r="HE112" s="421"/>
      <c r="HF112" s="421"/>
      <c r="HG112" s="421"/>
      <c r="HH112" s="421"/>
      <c r="HI112" s="421"/>
      <c r="HJ112" s="421"/>
      <c r="HK112" s="421"/>
      <c r="HL112" s="421"/>
      <c r="HM112" s="421"/>
      <c r="HN112" s="421"/>
      <c r="HO112" s="421"/>
    </row>
    <row r="113" spans="7:223" s="422" customFormat="1" hidden="1" x14ac:dyDescent="0.3">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c r="AJ113" s="421"/>
      <c r="AK113" s="421"/>
      <c r="AL113" s="421"/>
      <c r="AM113" s="421"/>
      <c r="AN113" s="421"/>
      <c r="AO113" s="421"/>
      <c r="AP113" s="421"/>
      <c r="AQ113" s="421"/>
      <c r="AR113" s="421"/>
      <c r="AS113" s="421"/>
      <c r="AT113" s="421"/>
      <c r="AU113" s="421"/>
      <c r="AV113" s="421"/>
      <c r="AW113" s="421"/>
      <c r="AX113" s="421"/>
      <c r="AY113" s="421"/>
      <c r="AZ113" s="421"/>
      <c r="BA113" s="421"/>
      <c r="BB113" s="421"/>
      <c r="BC113" s="421"/>
      <c r="BD113" s="421"/>
      <c r="BE113" s="421"/>
      <c r="BF113" s="421"/>
      <c r="BG113" s="421"/>
      <c r="BH113" s="421"/>
      <c r="BI113" s="421"/>
      <c r="BJ113" s="421"/>
      <c r="BK113" s="421"/>
      <c r="BL113" s="421"/>
      <c r="BM113" s="421"/>
      <c r="BN113" s="421"/>
      <c r="BO113" s="421"/>
      <c r="BP113" s="421"/>
      <c r="BQ113" s="421"/>
      <c r="BR113" s="421"/>
      <c r="BS113" s="421"/>
      <c r="BT113" s="421"/>
      <c r="BU113" s="421"/>
      <c r="BV113" s="421"/>
      <c r="BW113" s="421"/>
      <c r="BX113" s="421"/>
      <c r="BY113" s="421"/>
      <c r="BZ113" s="421"/>
      <c r="CA113" s="421"/>
      <c r="CB113" s="421"/>
      <c r="CC113" s="421"/>
      <c r="CD113" s="421"/>
      <c r="CE113" s="421"/>
      <c r="CF113" s="421"/>
      <c r="CG113" s="421"/>
      <c r="CH113" s="421"/>
      <c r="CI113" s="421"/>
      <c r="CJ113" s="421"/>
      <c r="CK113" s="421"/>
      <c r="CL113" s="421"/>
      <c r="CM113" s="421"/>
      <c r="CN113" s="421"/>
      <c r="CO113" s="421"/>
      <c r="CP113" s="421"/>
      <c r="CQ113" s="421"/>
      <c r="CR113" s="421"/>
      <c r="CS113" s="421"/>
      <c r="CT113" s="421"/>
      <c r="CU113" s="421"/>
      <c r="CV113" s="421"/>
      <c r="CW113" s="421"/>
      <c r="CX113" s="421"/>
      <c r="CY113" s="421"/>
      <c r="CZ113" s="421"/>
      <c r="DA113" s="421"/>
      <c r="DB113" s="421"/>
      <c r="DC113" s="421"/>
      <c r="DD113" s="421"/>
      <c r="DE113" s="421"/>
      <c r="DF113" s="421"/>
      <c r="DG113" s="421"/>
      <c r="DH113" s="421"/>
      <c r="DI113" s="421"/>
      <c r="DJ113" s="421"/>
      <c r="DK113" s="421"/>
      <c r="DL113" s="421"/>
      <c r="DM113" s="421"/>
      <c r="DN113" s="421"/>
      <c r="DO113" s="421"/>
      <c r="DP113" s="421"/>
      <c r="DQ113" s="421"/>
      <c r="DR113" s="421"/>
      <c r="DS113" s="421"/>
      <c r="DT113" s="421"/>
      <c r="DU113" s="421"/>
      <c r="DV113" s="421"/>
      <c r="DW113" s="421"/>
      <c r="DX113" s="421"/>
      <c r="DY113" s="421"/>
      <c r="DZ113" s="421"/>
      <c r="EA113" s="421"/>
      <c r="EB113" s="421"/>
      <c r="EC113" s="421"/>
      <c r="ED113" s="421"/>
      <c r="EE113" s="421"/>
      <c r="EF113" s="421"/>
      <c r="EG113" s="421"/>
      <c r="EH113" s="421"/>
      <c r="EI113" s="421"/>
      <c r="EJ113" s="421"/>
      <c r="EK113" s="421"/>
      <c r="EL113" s="421"/>
      <c r="EM113" s="421"/>
      <c r="EN113" s="421"/>
      <c r="EO113" s="421"/>
      <c r="EP113" s="421"/>
      <c r="EQ113" s="421"/>
      <c r="ER113" s="421"/>
      <c r="ES113" s="421"/>
      <c r="ET113" s="421"/>
      <c r="EU113" s="421"/>
      <c r="EV113" s="421"/>
      <c r="EW113" s="421"/>
      <c r="EX113" s="421"/>
      <c r="EY113" s="421"/>
      <c r="EZ113" s="421"/>
      <c r="FA113" s="421"/>
      <c r="FB113" s="421"/>
      <c r="FC113" s="421"/>
      <c r="FD113" s="421"/>
      <c r="FE113" s="421"/>
      <c r="FF113" s="421"/>
      <c r="FG113" s="421"/>
      <c r="FH113" s="421"/>
      <c r="FI113" s="421"/>
      <c r="FJ113" s="421"/>
      <c r="FK113" s="421"/>
      <c r="FL113" s="421"/>
      <c r="FM113" s="421"/>
      <c r="FN113" s="421"/>
      <c r="FO113" s="421"/>
      <c r="FP113" s="421"/>
      <c r="FQ113" s="421"/>
      <c r="FR113" s="421"/>
      <c r="FS113" s="421"/>
      <c r="FT113" s="421"/>
      <c r="FU113" s="421"/>
      <c r="FV113" s="421"/>
      <c r="FW113" s="421"/>
      <c r="FX113" s="421"/>
      <c r="FY113" s="421"/>
      <c r="FZ113" s="421"/>
      <c r="GA113" s="421"/>
      <c r="GB113" s="421"/>
      <c r="GC113" s="421"/>
      <c r="GD113" s="421"/>
      <c r="GE113" s="421"/>
      <c r="GF113" s="421"/>
      <c r="GG113" s="421"/>
      <c r="GH113" s="421"/>
      <c r="GI113" s="421"/>
      <c r="GJ113" s="421"/>
      <c r="GK113" s="421"/>
      <c r="GL113" s="421"/>
      <c r="GM113" s="421"/>
      <c r="GN113" s="421"/>
      <c r="GO113" s="421"/>
      <c r="GP113" s="421"/>
      <c r="GQ113" s="421"/>
      <c r="GR113" s="421"/>
      <c r="GS113" s="421"/>
      <c r="GT113" s="421"/>
      <c r="GU113" s="421"/>
      <c r="GV113" s="421"/>
      <c r="GW113" s="421"/>
      <c r="GX113" s="421"/>
      <c r="GY113" s="421"/>
      <c r="GZ113" s="421"/>
      <c r="HA113" s="421"/>
      <c r="HB113" s="421"/>
      <c r="HC113" s="421"/>
      <c r="HD113" s="421"/>
      <c r="HE113" s="421"/>
      <c r="HF113" s="421"/>
      <c r="HG113" s="421"/>
      <c r="HH113" s="421"/>
      <c r="HI113" s="421"/>
      <c r="HJ113" s="421"/>
      <c r="HK113" s="421"/>
      <c r="HL113" s="421"/>
      <c r="HM113" s="421"/>
      <c r="HN113" s="421"/>
      <c r="HO113" s="421"/>
    </row>
    <row r="114" spans="7:223" s="422" customFormat="1" hidden="1" x14ac:dyDescent="0.3">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c r="AJ114" s="421"/>
      <c r="AK114" s="421"/>
      <c r="AL114" s="421"/>
      <c r="AM114" s="421"/>
      <c r="AN114" s="421"/>
      <c r="AO114" s="421"/>
      <c r="AP114" s="421"/>
      <c r="AQ114" s="421"/>
      <c r="AR114" s="421"/>
      <c r="AS114" s="421"/>
      <c r="AT114" s="421"/>
      <c r="AU114" s="421"/>
      <c r="AV114" s="421"/>
      <c r="AW114" s="421"/>
      <c r="AX114" s="421"/>
      <c r="AY114" s="421"/>
      <c r="AZ114" s="421"/>
      <c r="BA114" s="421"/>
      <c r="BB114" s="421"/>
      <c r="BC114" s="421"/>
      <c r="BD114" s="421"/>
      <c r="BE114" s="421"/>
      <c r="BF114" s="421"/>
      <c r="BG114" s="421"/>
      <c r="BH114" s="421"/>
      <c r="BI114" s="421"/>
      <c r="BJ114" s="421"/>
      <c r="BK114" s="421"/>
      <c r="BL114" s="421"/>
      <c r="BM114" s="421"/>
      <c r="BN114" s="421"/>
      <c r="BO114" s="421"/>
      <c r="BP114" s="421"/>
      <c r="BQ114" s="421"/>
      <c r="BR114" s="421"/>
      <c r="BS114" s="421"/>
      <c r="BT114" s="421"/>
      <c r="BU114" s="421"/>
      <c r="BV114" s="421"/>
      <c r="BW114" s="421"/>
      <c r="BX114" s="421"/>
      <c r="BY114" s="421"/>
      <c r="BZ114" s="421"/>
      <c r="CA114" s="421"/>
      <c r="CB114" s="421"/>
      <c r="CC114" s="421"/>
      <c r="CD114" s="421"/>
      <c r="CE114" s="421"/>
      <c r="CF114" s="421"/>
      <c r="CG114" s="421"/>
      <c r="CH114" s="421"/>
      <c r="CI114" s="421"/>
      <c r="CJ114" s="421"/>
      <c r="CK114" s="421"/>
      <c r="CL114" s="421"/>
      <c r="CM114" s="421"/>
      <c r="CN114" s="421"/>
      <c r="CO114" s="421"/>
      <c r="CP114" s="421"/>
      <c r="CQ114" s="421"/>
      <c r="CR114" s="421"/>
      <c r="CS114" s="421"/>
      <c r="CT114" s="421"/>
      <c r="CU114" s="421"/>
      <c r="CV114" s="421"/>
      <c r="CW114" s="421"/>
      <c r="CX114" s="421"/>
      <c r="CY114" s="421"/>
      <c r="CZ114" s="421"/>
      <c r="DA114" s="421"/>
      <c r="DB114" s="421"/>
      <c r="DC114" s="421"/>
      <c r="DD114" s="421"/>
      <c r="DE114" s="421"/>
      <c r="DF114" s="421"/>
      <c r="DG114" s="421"/>
      <c r="DH114" s="421"/>
      <c r="DI114" s="421"/>
      <c r="DJ114" s="421"/>
      <c r="DK114" s="421"/>
      <c r="DL114" s="421"/>
      <c r="DM114" s="421"/>
      <c r="DN114" s="421"/>
      <c r="DO114" s="421"/>
      <c r="DP114" s="421"/>
      <c r="DQ114" s="421"/>
      <c r="DR114" s="421"/>
      <c r="DS114" s="421"/>
      <c r="DT114" s="421"/>
      <c r="DU114" s="421"/>
      <c r="DV114" s="421"/>
      <c r="DW114" s="421"/>
      <c r="DX114" s="421"/>
      <c r="DY114" s="421"/>
      <c r="DZ114" s="421"/>
      <c r="EA114" s="421"/>
      <c r="EB114" s="421"/>
      <c r="EC114" s="421"/>
      <c r="ED114" s="421"/>
      <c r="EE114" s="421"/>
      <c r="EF114" s="421"/>
      <c r="EG114" s="421"/>
      <c r="EH114" s="421"/>
      <c r="EI114" s="421"/>
      <c r="EJ114" s="421"/>
      <c r="EK114" s="421"/>
      <c r="EL114" s="421"/>
      <c r="EM114" s="421"/>
      <c r="EN114" s="421"/>
      <c r="EO114" s="421"/>
      <c r="EP114" s="421"/>
      <c r="EQ114" s="421"/>
      <c r="ER114" s="421"/>
      <c r="ES114" s="421"/>
      <c r="ET114" s="421"/>
      <c r="EU114" s="421"/>
      <c r="EV114" s="421"/>
      <c r="EW114" s="421"/>
      <c r="EX114" s="421"/>
      <c r="EY114" s="421"/>
      <c r="EZ114" s="421"/>
      <c r="FA114" s="421"/>
      <c r="FB114" s="421"/>
      <c r="FC114" s="421"/>
      <c r="FD114" s="421"/>
      <c r="FE114" s="421"/>
      <c r="FF114" s="421"/>
      <c r="FG114" s="421"/>
      <c r="FH114" s="421"/>
      <c r="FI114" s="421"/>
      <c r="FJ114" s="421"/>
      <c r="FK114" s="421"/>
      <c r="FL114" s="421"/>
      <c r="FM114" s="421"/>
      <c r="FN114" s="421"/>
      <c r="FO114" s="421"/>
      <c r="FP114" s="421"/>
      <c r="FQ114" s="421"/>
      <c r="FR114" s="421"/>
      <c r="FS114" s="421"/>
      <c r="FT114" s="421"/>
      <c r="FU114" s="421"/>
      <c r="FV114" s="421"/>
      <c r="FW114" s="421"/>
      <c r="FX114" s="421"/>
      <c r="FY114" s="421"/>
      <c r="FZ114" s="421"/>
      <c r="GA114" s="421"/>
      <c r="GB114" s="421"/>
      <c r="GC114" s="421"/>
      <c r="GD114" s="421"/>
      <c r="GE114" s="421"/>
      <c r="GF114" s="421"/>
      <c r="GG114" s="421"/>
      <c r="GH114" s="421"/>
      <c r="GI114" s="421"/>
      <c r="GJ114" s="421"/>
      <c r="GK114" s="421"/>
      <c r="GL114" s="421"/>
      <c r="GM114" s="421"/>
      <c r="GN114" s="421"/>
      <c r="GO114" s="421"/>
      <c r="GP114" s="421"/>
      <c r="GQ114" s="421"/>
      <c r="GR114" s="421"/>
      <c r="GS114" s="421"/>
      <c r="GT114" s="421"/>
      <c r="GU114" s="421"/>
      <c r="GV114" s="421"/>
      <c r="GW114" s="421"/>
      <c r="GX114" s="421"/>
      <c r="GY114" s="421"/>
      <c r="GZ114" s="421"/>
      <c r="HA114" s="421"/>
      <c r="HB114" s="421"/>
      <c r="HC114" s="421"/>
      <c r="HD114" s="421"/>
      <c r="HE114" s="421"/>
      <c r="HF114" s="421"/>
      <c r="HG114" s="421"/>
      <c r="HH114" s="421"/>
      <c r="HI114" s="421"/>
      <c r="HJ114" s="421"/>
      <c r="HK114" s="421"/>
      <c r="HL114" s="421"/>
      <c r="HM114" s="421"/>
      <c r="HN114" s="421"/>
      <c r="HO114" s="421"/>
    </row>
    <row r="115" spans="7:223" s="422" customFormat="1" hidden="1" x14ac:dyDescent="0.3">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c r="AJ115" s="421"/>
      <c r="AK115" s="421"/>
      <c r="AL115" s="421"/>
      <c r="AM115" s="421"/>
      <c r="AN115" s="421"/>
      <c r="AO115" s="421"/>
      <c r="AP115" s="421"/>
      <c r="AQ115" s="421"/>
      <c r="AR115" s="421"/>
      <c r="AS115" s="421"/>
      <c r="AT115" s="421"/>
      <c r="AU115" s="421"/>
      <c r="AV115" s="421"/>
      <c r="AW115" s="421"/>
      <c r="AX115" s="421"/>
      <c r="AY115" s="421"/>
      <c r="AZ115" s="421"/>
      <c r="BA115" s="421"/>
      <c r="BB115" s="421"/>
      <c r="BC115" s="421"/>
      <c r="BD115" s="421"/>
      <c r="BE115" s="421"/>
      <c r="BF115" s="421"/>
      <c r="BG115" s="421"/>
      <c r="BH115" s="421"/>
      <c r="BI115" s="421"/>
      <c r="BJ115" s="421"/>
      <c r="BK115" s="421"/>
      <c r="BL115" s="421"/>
      <c r="BM115" s="421"/>
      <c r="BN115" s="421"/>
      <c r="BO115" s="421"/>
      <c r="BP115" s="421"/>
      <c r="BQ115" s="421"/>
      <c r="BR115" s="421"/>
      <c r="BS115" s="421"/>
      <c r="BT115" s="421"/>
      <c r="BU115" s="421"/>
      <c r="BV115" s="421"/>
      <c r="BW115" s="421"/>
      <c r="BX115" s="421"/>
      <c r="BY115" s="421"/>
      <c r="BZ115" s="421"/>
      <c r="CA115" s="421"/>
      <c r="CB115" s="421"/>
      <c r="CC115" s="421"/>
      <c r="CD115" s="421"/>
      <c r="CE115" s="421"/>
      <c r="CF115" s="421"/>
      <c r="CG115" s="421"/>
      <c r="CH115" s="421"/>
      <c r="CI115" s="421"/>
      <c r="CJ115" s="421"/>
      <c r="CK115" s="421"/>
      <c r="CL115" s="421"/>
      <c r="CM115" s="421"/>
      <c r="CN115" s="421"/>
      <c r="CO115" s="421"/>
      <c r="CP115" s="421"/>
      <c r="CQ115" s="421"/>
      <c r="CR115" s="421"/>
      <c r="CS115" s="421"/>
      <c r="CT115" s="421"/>
      <c r="CU115" s="421"/>
      <c r="CV115" s="421"/>
      <c r="CW115" s="421"/>
      <c r="CX115" s="421"/>
      <c r="CY115" s="421"/>
      <c r="CZ115" s="421"/>
      <c r="DA115" s="421"/>
      <c r="DB115" s="421"/>
      <c r="DC115" s="421"/>
      <c r="DD115" s="421"/>
      <c r="DE115" s="421"/>
      <c r="DF115" s="421"/>
      <c r="DG115" s="421"/>
      <c r="DH115" s="421"/>
      <c r="DI115" s="421"/>
      <c r="DJ115" s="421"/>
      <c r="DK115" s="421"/>
      <c r="DL115" s="421"/>
      <c r="DM115" s="421"/>
      <c r="DN115" s="421"/>
      <c r="DO115" s="421"/>
      <c r="DP115" s="421"/>
      <c r="DQ115" s="421"/>
      <c r="DR115" s="421"/>
      <c r="DS115" s="421"/>
      <c r="DT115" s="421"/>
      <c r="DU115" s="421"/>
      <c r="DV115" s="421"/>
      <c r="DW115" s="421"/>
      <c r="DX115" s="421"/>
      <c r="DY115" s="421"/>
      <c r="DZ115" s="421"/>
      <c r="EA115" s="421"/>
      <c r="EB115" s="421"/>
      <c r="EC115" s="421"/>
      <c r="ED115" s="421"/>
      <c r="EE115" s="421"/>
      <c r="EF115" s="421"/>
      <c r="EG115" s="421"/>
      <c r="EH115" s="421"/>
      <c r="EI115" s="421"/>
      <c r="EJ115" s="421"/>
      <c r="EK115" s="421"/>
      <c r="EL115" s="421"/>
      <c r="EM115" s="421"/>
      <c r="EN115" s="421"/>
      <c r="EO115" s="421"/>
      <c r="EP115" s="421"/>
      <c r="EQ115" s="421"/>
      <c r="ER115" s="421"/>
      <c r="ES115" s="421"/>
      <c r="ET115" s="421"/>
      <c r="EU115" s="421"/>
      <c r="EV115" s="421"/>
      <c r="EW115" s="421"/>
      <c r="EX115" s="421"/>
      <c r="EY115" s="421"/>
      <c r="EZ115" s="421"/>
      <c r="FA115" s="421"/>
      <c r="FB115" s="421"/>
      <c r="FC115" s="421"/>
      <c r="FD115" s="421"/>
      <c r="FE115" s="421"/>
      <c r="FF115" s="421"/>
      <c r="FG115" s="421"/>
      <c r="FH115" s="421"/>
      <c r="FI115" s="421"/>
      <c r="FJ115" s="421"/>
      <c r="FK115" s="421"/>
      <c r="FL115" s="421"/>
      <c r="FM115" s="421"/>
      <c r="FN115" s="421"/>
      <c r="FO115" s="421"/>
      <c r="FP115" s="421"/>
      <c r="FQ115" s="421"/>
      <c r="FR115" s="421"/>
      <c r="FS115" s="421"/>
      <c r="FT115" s="421"/>
      <c r="FU115" s="421"/>
      <c r="FV115" s="421"/>
      <c r="FW115" s="421"/>
      <c r="FX115" s="421"/>
      <c r="FY115" s="421"/>
      <c r="FZ115" s="421"/>
      <c r="GA115" s="421"/>
      <c r="GB115" s="421"/>
      <c r="GC115" s="421"/>
      <c r="GD115" s="421"/>
      <c r="GE115" s="421"/>
      <c r="GF115" s="421"/>
      <c r="GG115" s="421"/>
      <c r="GH115" s="421"/>
      <c r="GI115" s="421"/>
      <c r="GJ115" s="421"/>
      <c r="GK115" s="421"/>
      <c r="GL115" s="421"/>
      <c r="GM115" s="421"/>
      <c r="GN115" s="421"/>
      <c r="GO115" s="421"/>
      <c r="GP115" s="421"/>
      <c r="GQ115" s="421"/>
      <c r="GR115" s="421"/>
      <c r="GS115" s="421"/>
      <c r="GT115" s="421"/>
      <c r="GU115" s="421"/>
      <c r="GV115" s="421"/>
      <c r="GW115" s="421"/>
      <c r="GX115" s="421"/>
      <c r="GY115" s="421"/>
      <c r="GZ115" s="421"/>
      <c r="HA115" s="421"/>
      <c r="HB115" s="421"/>
      <c r="HC115" s="421"/>
      <c r="HD115" s="421"/>
      <c r="HE115" s="421"/>
      <c r="HF115" s="421"/>
      <c r="HG115" s="421"/>
      <c r="HH115" s="421"/>
      <c r="HI115" s="421"/>
      <c r="HJ115" s="421"/>
      <c r="HK115" s="421"/>
      <c r="HL115" s="421"/>
      <c r="HM115" s="421"/>
      <c r="HN115" s="421"/>
      <c r="HO115" s="421"/>
    </row>
    <row r="116" spans="7:223" s="422" customFormat="1" hidden="1" x14ac:dyDescent="0.3">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c r="AJ116" s="421"/>
      <c r="AK116" s="421"/>
      <c r="AL116" s="421"/>
      <c r="AM116" s="421"/>
      <c r="AN116" s="421"/>
      <c r="AO116" s="421"/>
      <c r="AP116" s="421"/>
      <c r="AQ116" s="421"/>
      <c r="AR116" s="421"/>
      <c r="AS116" s="421"/>
      <c r="AT116" s="421"/>
      <c r="AU116" s="421"/>
      <c r="AV116" s="421"/>
      <c r="AW116" s="421"/>
      <c r="AX116" s="421"/>
      <c r="AY116" s="421"/>
      <c r="AZ116" s="421"/>
      <c r="BA116" s="421"/>
      <c r="BB116" s="421"/>
      <c r="BC116" s="421"/>
      <c r="BD116" s="421"/>
      <c r="BE116" s="421"/>
      <c r="BF116" s="421"/>
      <c r="BG116" s="421"/>
      <c r="BH116" s="421"/>
      <c r="BI116" s="421"/>
      <c r="BJ116" s="421"/>
      <c r="BK116" s="421"/>
      <c r="BL116" s="421"/>
      <c r="BM116" s="421"/>
      <c r="BN116" s="421"/>
      <c r="BO116" s="421"/>
      <c r="BP116" s="421"/>
      <c r="BQ116" s="421"/>
      <c r="BR116" s="421"/>
      <c r="BS116" s="421"/>
      <c r="BT116" s="421"/>
      <c r="BU116" s="421"/>
      <c r="BV116" s="421"/>
      <c r="BW116" s="421"/>
      <c r="BX116" s="421"/>
      <c r="BY116" s="421"/>
      <c r="BZ116" s="421"/>
      <c r="CA116" s="421"/>
      <c r="CB116" s="421"/>
      <c r="CC116" s="421"/>
      <c r="CD116" s="421"/>
      <c r="CE116" s="421"/>
      <c r="CF116" s="421"/>
      <c r="CG116" s="421"/>
      <c r="CH116" s="421"/>
      <c r="CI116" s="421"/>
      <c r="CJ116" s="421"/>
      <c r="CK116" s="421"/>
      <c r="CL116" s="421"/>
      <c r="CM116" s="421"/>
      <c r="CN116" s="421"/>
      <c r="CO116" s="421"/>
      <c r="CP116" s="421"/>
      <c r="CQ116" s="421"/>
      <c r="CR116" s="421"/>
      <c r="CS116" s="421"/>
      <c r="CT116" s="421"/>
      <c r="CU116" s="421"/>
      <c r="CV116" s="421"/>
      <c r="CW116" s="421"/>
      <c r="CX116" s="421"/>
      <c r="CY116" s="421"/>
      <c r="CZ116" s="421"/>
      <c r="DA116" s="421"/>
      <c r="DB116" s="421"/>
      <c r="DC116" s="421"/>
      <c r="DD116" s="421"/>
      <c r="DE116" s="421"/>
      <c r="DF116" s="421"/>
      <c r="DG116" s="421"/>
      <c r="DH116" s="421"/>
      <c r="DI116" s="421"/>
      <c r="DJ116" s="421"/>
      <c r="DK116" s="421"/>
      <c r="DL116" s="421"/>
      <c r="DM116" s="421"/>
      <c r="DN116" s="421"/>
      <c r="DO116" s="421"/>
      <c r="DP116" s="421"/>
      <c r="DQ116" s="421"/>
      <c r="DR116" s="421"/>
      <c r="DS116" s="421"/>
      <c r="DT116" s="421"/>
      <c r="DU116" s="421"/>
      <c r="DV116" s="421"/>
      <c r="DW116" s="421"/>
      <c r="DX116" s="421"/>
      <c r="DY116" s="421"/>
      <c r="DZ116" s="421"/>
      <c r="EA116" s="421"/>
      <c r="EB116" s="421"/>
      <c r="EC116" s="421"/>
      <c r="ED116" s="421"/>
      <c r="EE116" s="421"/>
      <c r="EF116" s="421"/>
      <c r="EG116" s="421"/>
      <c r="EH116" s="421"/>
      <c r="EI116" s="421"/>
      <c r="EJ116" s="421"/>
      <c r="EK116" s="421"/>
      <c r="EL116" s="421"/>
      <c r="EM116" s="421"/>
      <c r="EN116" s="421"/>
      <c r="EO116" s="421"/>
      <c r="EP116" s="421"/>
      <c r="EQ116" s="421"/>
      <c r="ER116" s="421"/>
      <c r="ES116" s="421"/>
      <c r="ET116" s="421"/>
      <c r="EU116" s="421"/>
      <c r="EV116" s="421"/>
      <c r="EW116" s="421"/>
      <c r="EX116" s="421"/>
      <c r="EY116" s="421"/>
      <c r="EZ116" s="421"/>
      <c r="FA116" s="421"/>
      <c r="FB116" s="421"/>
      <c r="FC116" s="421"/>
      <c r="FD116" s="421"/>
      <c r="FE116" s="421"/>
      <c r="FF116" s="421"/>
      <c r="FG116" s="421"/>
      <c r="FH116" s="421"/>
      <c r="FI116" s="421"/>
      <c r="FJ116" s="421"/>
      <c r="FK116" s="421"/>
      <c r="FL116" s="421"/>
      <c r="FM116" s="421"/>
      <c r="FN116" s="421"/>
      <c r="FO116" s="421"/>
      <c r="FP116" s="421"/>
      <c r="FQ116" s="421"/>
      <c r="FR116" s="421"/>
      <c r="FS116" s="421"/>
      <c r="FT116" s="421"/>
      <c r="FU116" s="421"/>
      <c r="FV116" s="421"/>
      <c r="FW116" s="421"/>
      <c r="FX116" s="421"/>
      <c r="FY116" s="421"/>
      <c r="FZ116" s="421"/>
      <c r="GA116" s="421"/>
      <c r="GB116" s="421"/>
      <c r="GC116" s="421"/>
      <c r="GD116" s="421"/>
      <c r="GE116" s="421"/>
      <c r="GF116" s="421"/>
      <c r="GG116" s="421"/>
      <c r="GH116" s="421"/>
      <c r="GI116" s="421"/>
      <c r="GJ116" s="421"/>
      <c r="GK116" s="421"/>
      <c r="GL116" s="421"/>
      <c r="GM116" s="421"/>
      <c r="GN116" s="421"/>
      <c r="GO116" s="421"/>
      <c r="GP116" s="421"/>
      <c r="GQ116" s="421"/>
      <c r="GR116" s="421"/>
      <c r="GS116" s="421"/>
      <c r="GT116" s="421"/>
      <c r="GU116" s="421"/>
      <c r="GV116" s="421"/>
      <c r="GW116" s="421"/>
      <c r="GX116" s="421"/>
      <c r="GY116" s="421"/>
      <c r="GZ116" s="421"/>
      <c r="HA116" s="421"/>
      <c r="HB116" s="421"/>
      <c r="HC116" s="421"/>
      <c r="HD116" s="421"/>
      <c r="HE116" s="421"/>
      <c r="HF116" s="421"/>
      <c r="HG116" s="421"/>
      <c r="HH116" s="421"/>
      <c r="HI116" s="421"/>
      <c r="HJ116" s="421"/>
      <c r="HK116" s="421"/>
      <c r="HL116" s="421"/>
      <c r="HM116" s="421"/>
      <c r="HN116" s="421"/>
      <c r="HO116" s="421"/>
    </row>
    <row r="117" spans="7:223" s="422" customFormat="1" hidden="1" x14ac:dyDescent="0.3">
      <c r="G117" s="421"/>
      <c r="H117" s="421"/>
      <c r="I117" s="421"/>
      <c r="J117" s="421"/>
      <c r="K117" s="421"/>
      <c r="L117" s="421"/>
      <c r="M117" s="421"/>
      <c r="N117" s="421"/>
      <c r="O117" s="421"/>
      <c r="P117" s="421"/>
      <c r="Q117" s="421"/>
      <c r="R117" s="421"/>
      <c r="S117" s="421"/>
      <c r="T117" s="421"/>
      <c r="U117" s="421"/>
      <c r="V117" s="421"/>
      <c r="W117" s="421"/>
      <c r="X117" s="421"/>
      <c r="Y117" s="421"/>
      <c r="Z117" s="421"/>
      <c r="AA117" s="421"/>
      <c r="AB117" s="421"/>
      <c r="AC117" s="421"/>
      <c r="AD117" s="421"/>
      <c r="AE117" s="421"/>
      <c r="AF117" s="421"/>
      <c r="AG117" s="421"/>
      <c r="AH117" s="421"/>
      <c r="AI117" s="421"/>
      <c r="AJ117" s="421"/>
      <c r="AK117" s="421"/>
      <c r="AL117" s="421"/>
      <c r="AM117" s="421"/>
      <c r="AN117" s="421"/>
      <c r="AO117" s="421"/>
      <c r="AP117" s="421"/>
      <c r="AQ117" s="421"/>
      <c r="AR117" s="421"/>
      <c r="AS117" s="421"/>
      <c r="AT117" s="421"/>
      <c r="AU117" s="421"/>
      <c r="AV117" s="421"/>
      <c r="AW117" s="421"/>
      <c r="AX117" s="421"/>
      <c r="AY117" s="421"/>
      <c r="AZ117" s="421"/>
      <c r="BA117" s="421"/>
      <c r="BB117" s="421"/>
      <c r="BC117" s="421"/>
      <c r="BD117" s="421"/>
      <c r="BE117" s="421"/>
      <c r="BF117" s="421"/>
      <c r="BG117" s="421"/>
      <c r="BH117" s="421"/>
      <c r="BI117" s="421"/>
      <c r="BJ117" s="421"/>
      <c r="BK117" s="421"/>
      <c r="BL117" s="421"/>
      <c r="BM117" s="421"/>
      <c r="BN117" s="421"/>
      <c r="BO117" s="421"/>
      <c r="BP117" s="421"/>
      <c r="BQ117" s="421"/>
      <c r="BR117" s="421"/>
      <c r="BS117" s="421"/>
      <c r="BT117" s="421"/>
      <c r="BU117" s="421"/>
      <c r="BV117" s="421"/>
      <c r="BW117" s="421"/>
      <c r="BX117" s="421"/>
      <c r="BY117" s="421"/>
      <c r="BZ117" s="421"/>
      <c r="CA117" s="421"/>
      <c r="CB117" s="421"/>
      <c r="CC117" s="421"/>
      <c r="CD117" s="421"/>
      <c r="CE117" s="421"/>
      <c r="CF117" s="421"/>
      <c r="CG117" s="421"/>
      <c r="CH117" s="421"/>
      <c r="CI117" s="421"/>
      <c r="CJ117" s="421"/>
      <c r="CK117" s="421"/>
      <c r="CL117" s="421"/>
      <c r="CM117" s="421"/>
      <c r="CN117" s="421"/>
      <c r="CO117" s="421"/>
      <c r="CP117" s="421"/>
      <c r="CQ117" s="421"/>
      <c r="CR117" s="421"/>
      <c r="CS117" s="421"/>
      <c r="CT117" s="421"/>
      <c r="CU117" s="421"/>
      <c r="CV117" s="421"/>
      <c r="CW117" s="421"/>
      <c r="CX117" s="421"/>
      <c r="CY117" s="421"/>
      <c r="CZ117" s="421"/>
      <c r="DA117" s="421"/>
      <c r="DB117" s="421"/>
      <c r="DC117" s="421"/>
      <c r="DD117" s="421"/>
      <c r="DE117" s="421"/>
      <c r="DF117" s="421"/>
      <c r="DG117" s="421"/>
      <c r="DH117" s="421"/>
      <c r="DI117" s="421"/>
      <c r="DJ117" s="421"/>
      <c r="DK117" s="421"/>
      <c r="DL117" s="421"/>
      <c r="DM117" s="421"/>
      <c r="DN117" s="421"/>
      <c r="DO117" s="421"/>
      <c r="DP117" s="421"/>
      <c r="DQ117" s="421"/>
      <c r="DR117" s="421"/>
      <c r="DS117" s="421"/>
      <c r="DT117" s="421"/>
      <c r="DU117" s="421"/>
      <c r="DV117" s="421"/>
      <c r="DW117" s="421"/>
      <c r="DX117" s="421"/>
      <c r="DY117" s="421"/>
      <c r="DZ117" s="421"/>
      <c r="EA117" s="421"/>
      <c r="EB117" s="421"/>
      <c r="EC117" s="421"/>
      <c r="ED117" s="421"/>
      <c r="EE117" s="421"/>
      <c r="EF117" s="421"/>
      <c r="EG117" s="421"/>
      <c r="EH117" s="421"/>
      <c r="EI117" s="421"/>
      <c r="EJ117" s="421"/>
      <c r="EK117" s="421"/>
      <c r="EL117" s="421"/>
      <c r="EM117" s="421"/>
      <c r="EN117" s="421"/>
      <c r="EO117" s="421"/>
      <c r="EP117" s="421"/>
      <c r="EQ117" s="421"/>
      <c r="ER117" s="421"/>
      <c r="ES117" s="421"/>
      <c r="ET117" s="421"/>
      <c r="EU117" s="421"/>
      <c r="EV117" s="421"/>
      <c r="EW117" s="421"/>
      <c r="EX117" s="421"/>
      <c r="EY117" s="421"/>
      <c r="EZ117" s="421"/>
      <c r="FA117" s="421"/>
      <c r="FB117" s="421"/>
      <c r="FC117" s="421"/>
      <c r="FD117" s="421"/>
      <c r="FE117" s="421"/>
      <c r="FF117" s="421"/>
      <c r="FG117" s="421"/>
      <c r="FH117" s="421"/>
      <c r="FI117" s="421"/>
      <c r="FJ117" s="421"/>
      <c r="FK117" s="421"/>
      <c r="FL117" s="421"/>
      <c r="FM117" s="421"/>
      <c r="FN117" s="421"/>
      <c r="FO117" s="421"/>
      <c r="FP117" s="421"/>
      <c r="FQ117" s="421"/>
      <c r="FR117" s="421"/>
      <c r="FS117" s="421"/>
      <c r="FT117" s="421"/>
      <c r="FU117" s="421"/>
      <c r="FV117" s="421"/>
      <c r="FW117" s="421"/>
      <c r="FX117" s="421"/>
      <c r="FY117" s="421"/>
      <c r="FZ117" s="421"/>
      <c r="GA117" s="421"/>
      <c r="GB117" s="421"/>
      <c r="GC117" s="421"/>
      <c r="GD117" s="421"/>
      <c r="GE117" s="421"/>
      <c r="GF117" s="421"/>
      <c r="GG117" s="421"/>
      <c r="GH117" s="421"/>
      <c r="GI117" s="421"/>
      <c r="GJ117" s="421"/>
      <c r="GK117" s="421"/>
      <c r="GL117" s="421"/>
      <c r="GM117" s="421"/>
      <c r="GN117" s="421"/>
      <c r="GO117" s="421"/>
      <c r="GP117" s="421"/>
      <c r="GQ117" s="421"/>
      <c r="GR117" s="421"/>
      <c r="GS117" s="421"/>
      <c r="GT117" s="421"/>
      <c r="GU117" s="421"/>
      <c r="GV117" s="421"/>
      <c r="GW117" s="421"/>
      <c r="GX117" s="421"/>
      <c r="GY117" s="421"/>
      <c r="GZ117" s="421"/>
      <c r="HA117" s="421"/>
      <c r="HB117" s="421"/>
      <c r="HC117" s="421"/>
      <c r="HD117" s="421"/>
      <c r="HE117" s="421"/>
      <c r="HF117" s="421"/>
      <c r="HG117" s="421"/>
      <c r="HH117" s="421"/>
      <c r="HI117" s="421"/>
      <c r="HJ117" s="421"/>
      <c r="HK117" s="421"/>
      <c r="HL117" s="421"/>
      <c r="HM117" s="421"/>
      <c r="HN117" s="421"/>
      <c r="HO117" s="421"/>
    </row>
    <row r="118" spans="7:223" s="422" customFormat="1" hidden="1" x14ac:dyDescent="0.3">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c r="AJ118" s="421"/>
      <c r="AK118" s="421"/>
      <c r="AL118" s="421"/>
      <c r="AM118" s="421"/>
      <c r="AN118" s="421"/>
      <c r="AO118" s="421"/>
      <c r="AP118" s="421"/>
      <c r="AQ118" s="421"/>
      <c r="AR118" s="421"/>
      <c r="AS118" s="421"/>
      <c r="AT118" s="421"/>
      <c r="AU118" s="421"/>
      <c r="AV118" s="421"/>
      <c r="AW118" s="421"/>
      <c r="AX118" s="421"/>
      <c r="AY118" s="421"/>
      <c r="AZ118" s="421"/>
      <c r="BA118" s="421"/>
      <c r="BB118" s="421"/>
      <c r="BC118" s="421"/>
      <c r="BD118" s="421"/>
      <c r="BE118" s="421"/>
      <c r="BF118" s="421"/>
      <c r="BG118" s="421"/>
      <c r="BH118" s="421"/>
      <c r="BI118" s="421"/>
      <c r="BJ118" s="421"/>
      <c r="BK118" s="421"/>
      <c r="BL118" s="421"/>
      <c r="BM118" s="421"/>
      <c r="BN118" s="421"/>
      <c r="BO118" s="421"/>
      <c r="BP118" s="421"/>
      <c r="BQ118" s="421"/>
      <c r="BR118" s="421"/>
      <c r="BS118" s="421"/>
      <c r="BT118" s="421"/>
      <c r="BU118" s="421"/>
      <c r="BV118" s="421"/>
      <c r="BW118" s="421"/>
      <c r="BX118" s="421"/>
      <c r="BY118" s="421"/>
      <c r="BZ118" s="421"/>
      <c r="CA118" s="421"/>
      <c r="CB118" s="421"/>
      <c r="CC118" s="421"/>
      <c r="CD118" s="421"/>
      <c r="CE118" s="421"/>
      <c r="CF118" s="421"/>
      <c r="CG118" s="421"/>
      <c r="CH118" s="421"/>
      <c r="CI118" s="421"/>
      <c r="CJ118" s="421"/>
      <c r="CK118" s="421"/>
      <c r="CL118" s="421"/>
      <c r="CM118" s="421"/>
      <c r="CN118" s="421"/>
      <c r="CO118" s="421"/>
      <c r="CP118" s="421"/>
      <c r="CQ118" s="421"/>
      <c r="CR118" s="421"/>
      <c r="CS118" s="421"/>
      <c r="CT118" s="421"/>
      <c r="CU118" s="421"/>
      <c r="CV118" s="421"/>
      <c r="CW118" s="421"/>
      <c r="CX118" s="421"/>
      <c r="CY118" s="421"/>
      <c r="CZ118" s="421"/>
      <c r="DA118" s="421"/>
      <c r="DB118" s="421"/>
      <c r="DC118" s="421"/>
      <c r="DD118" s="421"/>
      <c r="DE118" s="421"/>
      <c r="DF118" s="421"/>
      <c r="DG118" s="421"/>
      <c r="DH118" s="421"/>
      <c r="DI118" s="421"/>
      <c r="DJ118" s="421"/>
      <c r="DK118" s="421"/>
      <c r="DL118" s="421"/>
      <c r="DM118" s="421"/>
      <c r="DN118" s="421"/>
      <c r="DO118" s="421"/>
      <c r="DP118" s="421"/>
      <c r="DQ118" s="421"/>
      <c r="DR118" s="421"/>
      <c r="DS118" s="421"/>
      <c r="DT118" s="421"/>
      <c r="DU118" s="421"/>
      <c r="DV118" s="421"/>
      <c r="DW118" s="421"/>
      <c r="DX118" s="421"/>
      <c r="DY118" s="421"/>
      <c r="DZ118" s="421"/>
      <c r="EA118" s="421"/>
      <c r="EB118" s="421"/>
      <c r="EC118" s="421"/>
      <c r="ED118" s="421"/>
      <c r="EE118" s="421"/>
      <c r="EF118" s="421"/>
      <c r="EG118" s="421"/>
      <c r="EH118" s="421"/>
      <c r="EI118" s="421"/>
      <c r="EJ118" s="421"/>
      <c r="EK118" s="421"/>
      <c r="EL118" s="421"/>
      <c r="EM118" s="421"/>
      <c r="EN118" s="421"/>
      <c r="EO118" s="421"/>
      <c r="EP118" s="421"/>
      <c r="EQ118" s="421"/>
      <c r="ER118" s="421"/>
      <c r="ES118" s="421"/>
      <c r="ET118" s="421"/>
      <c r="EU118" s="421"/>
      <c r="EV118" s="421"/>
      <c r="EW118" s="421"/>
      <c r="EX118" s="421"/>
      <c r="EY118" s="421"/>
      <c r="EZ118" s="421"/>
      <c r="FA118" s="421"/>
      <c r="FB118" s="421"/>
      <c r="FC118" s="421"/>
      <c r="FD118" s="421"/>
      <c r="FE118" s="421"/>
      <c r="FF118" s="421"/>
      <c r="FG118" s="421"/>
      <c r="FH118" s="421"/>
      <c r="FI118" s="421"/>
      <c r="FJ118" s="421"/>
      <c r="FK118" s="421"/>
      <c r="FL118" s="421"/>
      <c r="FM118" s="421"/>
      <c r="FN118" s="421"/>
      <c r="FO118" s="421"/>
      <c r="FP118" s="421"/>
      <c r="FQ118" s="421"/>
      <c r="FR118" s="421"/>
      <c r="FS118" s="421"/>
      <c r="FT118" s="421"/>
      <c r="FU118" s="421"/>
      <c r="FV118" s="421"/>
      <c r="FW118" s="421"/>
      <c r="FX118" s="421"/>
      <c r="FY118" s="421"/>
      <c r="FZ118" s="421"/>
      <c r="GA118" s="421"/>
      <c r="GB118" s="421"/>
      <c r="GC118" s="421"/>
      <c r="GD118" s="421"/>
      <c r="GE118" s="421"/>
      <c r="GF118" s="421"/>
      <c r="GG118" s="421"/>
      <c r="GH118" s="421"/>
      <c r="GI118" s="421"/>
      <c r="GJ118" s="421"/>
      <c r="GK118" s="421"/>
      <c r="GL118" s="421"/>
      <c r="GM118" s="421"/>
      <c r="GN118" s="421"/>
      <c r="GO118" s="421"/>
      <c r="GP118" s="421"/>
      <c r="GQ118" s="421"/>
      <c r="GR118" s="421"/>
      <c r="GS118" s="421"/>
      <c r="GT118" s="421"/>
      <c r="GU118" s="421"/>
      <c r="GV118" s="421"/>
      <c r="GW118" s="421"/>
      <c r="GX118" s="421"/>
      <c r="GY118" s="421"/>
      <c r="GZ118" s="421"/>
      <c r="HA118" s="421"/>
      <c r="HB118" s="421"/>
      <c r="HC118" s="421"/>
      <c r="HD118" s="421"/>
      <c r="HE118" s="421"/>
      <c r="HF118" s="421"/>
      <c r="HG118" s="421"/>
      <c r="HH118" s="421"/>
      <c r="HI118" s="421"/>
      <c r="HJ118" s="421"/>
      <c r="HK118" s="421"/>
      <c r="HL118" s="421"/>
      <c r="HM118" s="421"/>
      <c r="HN118" s="421"/>
      <c r="HO118" s="421"/>
    </row>
    <row r="119" spans="7:223" s="422" customFormat="1" hidden="1" x14ac:dyDescent="0.3">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c r="AJ119" s="421"/>
      <c r="AK119" s="421"/>
      <c r="AL119" s="421"/>
      <c r="AM119" s="421"/>
      <c r="AN119" s="421"/>
      <c r="AO119" s="421"/>
      <c r="AP119" s="421"/>
      <c r="AQ119" s="421"/>
      <c r="AR119" s="421"/>
      <c r="AS119" s="421"/>
      <c r="AT119" s="421"/>
      <c r="AU119" s="421"/>
      <c r="AV119" s="421"/>
      <c r="AW119" s="421"/>
      <c r="AX119" s="421"/>
      <c r="AY119" s="421"/>
      <c r="AZ119" s="421"/>
      <c r="BA119" s="421"/>
      <c r="BB119" s="421"/>
      <c r="BC119" s="421"/>
      <c r="BD119" s="421"/>
      <c r="BE119" s="421"/>
      <c r="BF119" s="421"/>
      <c r="BG119" s="421"/>
      <c r="BH119" s="421"/>
      <c r="BI119" s="421"/>
      <c r="BJ119" s="421"/>
      <c r="BK119" s="421"/>
      <c r="BL119" s="421"/>
      <c r="BM119" s="421"/>
      <c r="BN119" s="421"/>
      <c r="BO119" s="421"/>
      <c r="BP119" s="421"/>
      <c r="BQ119" s="421"/>
      <c r="BR119" s="421"/>
      <c r="BS119" s="421"/>
      <c r="BT119" s="421"/>
      <c r="BU119" s="421"/>
      <c r="BV119" s="421"/>
      <c r="BW119" s="421"/>
      <c r="BX119" s="421"/>
      <c r="BY119" s="421"/>
      <c r="BZ119" s="421"/>
      <c r="CA119" s="421"/>
      <c r="CB119" s="421"/>
      <c r="CC119" s="421"/>
      <c r="CD119" s="421"/>
      <c r="CE119" s="421"/>
      <c r="CF119" s="421"/>
      <c r="CG119" s="421"/>
      <c r="CH119" s="421"/>
      <c r="CI119" s="421"/>
      <c r="CJ119" s="421"/>
      <c r="CK119" s="421"/>
      <c r="CL119" s="421"/>
      <c r="CM119" s="421"/>
      <c r="CN119" s="421"/>
      <c r="CO119" s="421"/>
      <c r="CP119" s="421"/>
      <c r="CQ119" s="421"/>
      <c r="CR119" s="421"/>
      <c r="CS119" s="421"/>
      <c r="CT119" s="421"/>
      <c r="CU119" s="421"/>
      <c r="CV119" s="421"/>
      <c r="CW119" s="421"/>
      <c r="CX119" s="421"/>
      <c r="CY119" s="421"/>
      <c r="CZ119" s="421"/>
      <c r="DA119" s="421"/>
      <c r="DB119" s="421"/>
      <c r="DC119" s="421"/>
      <c r="DD119" s="421"/>
      <c r="DE119" s="421"/>
      <c r="DF119" s="421"/>
      <c r="DG119" s="421"/>
      <c r="DH119" s="421"/>
      <c r="DI119" s="421"/>
      <c r="DJ119" s="421"/>
      <c r="DK119" s="421"/>
      <c r="DL119" s="421"/>
      <c r="DM119" s="421"/>
      <c r="DN119" s="421"/>
      <c r="DO119" s="421"/>
      <c r="DP119" s="421"/>
      <c r="DQ119" s="421"/>
      <c r="DR119" s="421"/>
      <c r="DS119" s="421"/>
      <c r="DT119" s="421"/>
      <c r="DU119" s="421"/>
      <c r="DV119" s="421"/>
      <c r="DW119" s="421"/>
      <c r="DX119" s="421"/>
      <c r="DY119" s="421"/>
      <c r="DZ119" s="421"/>
      <c r="EA119" s="421"/>
      <c r="EB119" s="421"/>
      <c r="EC119" s="421"/>
      <c r="ED119" s="421"/>
      <c r="EE119" s="421"/>
      <c r="EF119" s="421"/>
      <c r="EG119" s="421"/>
      <c r="EH119" s="421"/>
      <c r="EI119" s="421"/>
      <c r="EJ119" s="421"/>
      <c r="EK119" s="421"/>
      <c r="EL119" s="421"/>
      <c r="EM119" s="421"/>
      <c r="EN119" s="421"/>
      <c r="EO119" s="421"/>
      <c r="EP119" s="421"/>
      <c r="EQ119" s="421"/>
      <c r="ER119" s="421"/>
      <c r="ES119" s="421"/>
      <c r="ET119" s="421"/>
      <c r="EU119" s="421"/>
      <c r="EV119" s="421"/>
      <c r="EW119" s="421"/>
      <c r="EX119" s="421"/>
      <c r="EY119" s="421"/>
      <c r="EZ119" s="421"/>
      <c r="FA119" s="421"/>
      <c r="FB119" s="421"/>
      <c r="FC119" s="421"/>
      <c r="FD119" s="421"/>
      <c r="FE119" s="421"/>
      <c r="FF119" s="421"/>
      <c r="FG119" s="421"/>
      <c r="FH119" s="421"/>
      <c r="FI119" s="421"/>
      <c r="FJ119" s="421"/>
      <c r="FK119" s="421"/>
      <c r="FL119" s="421"/>
      <c r="FM119" s="421"/>
      <c r="FN119" s="421"/>
      <c r="FO119" s="421"/>
      <c r="FP119" s="421"/>
      <c r="FQ119" s="421"/>
      <c r="FR119" s="421"/>
      <c r="FS119" s="421"/>
      <c r="FT119" s="421"/>
      <c r="FU119" s="421"/>
      <c r="FV119" s="421"/>
      <c r="FW119" s="421"/>
      <c r="FX119" s="421"/>
      <c r="FY119" s="421"/>
      <c r="FZ119" s="421"/>
      <c r="GA119" s="421"/>
      <c r="GB119" s="421"/>
      <c r="GC119" s="421"/>
      <c r="GD119" s="421"/>
      <c r="GE119" s="421"/>
      <c r="GF119" s="421"/>
      <c r="GG119" s="421"/>
      <c r="GH119" s="421"/>
      <c r="GI119" s="421"/>
      <c r="GJ119" s="421"/>
      <c r="GK119" s="421"/>
      <c r="GL119" s="421"/>
      <c r="GM119" s="421"/>
      <c r="GN119" s="421"/>
      <c r="GO119" s="421"/>
      <c r="GP119" s="421"/>
      <c r="GQ119" s="421"/>
      <c r="GR119" s="421"/>
      <c r="GS119" s="421"/>
      <c r="GT119" s="421"/>
      <c r="GU119" s="421"/>
      <c r="GV119" s="421"/>
      <c r="GW119" s="421"/>
      <c r="GX119" s="421"/>
      <c r="GY119" s="421"/>
      <c r="GZ119" s="421"/>
      <c r="HA119" s="421"/>
      <c r="HB119" s="421"/>
      <c r="HC119" s="421"/>
      <c r="HD119" s="421"/>
      <c r="HE119" s="421"/>
      <c r="HF119" s="421"/>
      <c r="HG119" s="421"/>
      <c r="HH119" s="421"/>
      <c r="HI119" s="421"/>
      <c r="HJ119" s="421"/>
      <c r="HK119" s="421"/>
      <c r="HL119" s="421"/>
      <c r="HM119" s="421"/>
      <c r="HN119" s="421"/>
      <c r="HO119" s="421"/>
    </row>
    <row r="120" spans="7:223" s="422" customFormat="1" hidden="1" x14ac:dyDescent="0.3">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c r="AJ120" s="421"/>
      <c r="AK120" s="421"/>
      <c r="AL120" s="421"/>
      <c r="AM120" s="421"/>
      <c r="AN120" s="421"/>
      <c r="AO120" s="421"/>
      <c r="AP120" s="421"/>
      <c r="AQ120" s="421"/>
      <c r="AR120" s="421"/>
      <c r="AS120" s="421"/>
      <c r="AT120" s="421"/>
      <c r="AU120" s="421"/>
      <c r="AV120" s="421"/>
      <c r="AW120" s="421"/>
      <c r="AX120" s="421"/>
      <c r="AY120" s="421"/>
      <c r="AZ120" s="421"/>
      <c r="BA120" s="421"/>
      <c r="BB120" s="421"/>
      <c r="BC120" s="421"/>
      <c r="BD120" s="421"/>
      <c r="BE120" s="421"/>
      <c r="BF120" s="421"/>
      <c r="BG120" s="421"/>
      <c r="BH120" s="421"/>
      <c r="BI120" s="421"/>
      <c r="BJ120" s="421"/>
      <c r="BK120" s="421"/>
      <c r="BL120" s="421"/>
      <c r="BM120" s="421"/>
      <c r="BN120" s="421"/>
      <c r="BO120" s="421"/>
      <c r="BP120" s="421"/>
      <c r="BQ120" s="421"/>
      <c r="BR120" s="421"/>
      <c r="BS120" s="421"/>
      <c r="BT120" s="421"/>
      <c r="BU120" s="421"/>
      <c r="BV120" s="421"/>
      <c r="BW120" s="421"/>
      <c r="BX120" s="421"/>
      <c r="BY120" s="421"/>
      <c r="BZ120" s="421"/>
      <c r="CA120" s="421"/>
      <c r="CB120" s="421"/>
      <c r="CC120" s="421"/>
      <c r="CD120" s="421"/>
      <c r="CE120" s="421"/>
      <c r="CF120" s="421"/>
      <c r="CG120" s="421"/>
      <c r="CH120" s="421"/>
      <c r="CI120" s="421"/>
      <c r="CJ120" s="421"/>
      <c r="CK120" s="421"/>
      <c r="CL120" s="421"/>
      <c r="CM120" s="421"/>
      <c r="CN120" s="421"/>
      <c r="CO120" s="421"/>
      <c r="CP120" s="421"/>
      <c r="CQ120" s="421"/>
      <c r="CR120" s="421"/>
      <c r="CS120" s="421"/>
      <c r="CT120" s="421"/>
      <c r="CU120" s="421"/>
      <c r="CV120" s="421"/>
      <c r="CW120" s="421"/>
      <c r="CX120" s="421"/>
      <c r="CY120" s="421"/>
      <c r="CZ120" s="421"/>
      <c r="DA120" s="421"/>
      <c r="DB120" s="421"/>
      <c r="DC120" s="421"/>
      <c r="DD120" s="421"/>
      <c r="DE120" s="421"/>
      <c r="DF120" s="421"/>
      <c r="DG120" s="421"/>
      <c r="DH120" s="421"/>
      <c r="DI120" s="421"/>
      <c r="DJ120" s="421"/>
      <c r="DK120" s="421"/>
      <c r="DL120" s="421"/>
      <c r="DM120" s="421"/>
      <c r="DN120" s="421"/>
      <c r="DO120" s="421"/>
      <c r="DP120" s="421"/>
      <c r="DQ120" s="421"/>
      <c r="DR120" s="421"/>
      <c r="DS120" s="421"/>
      <c r="DT120" s="421"/>
      <c r="DU120" s="421"/>
      <c r="DV120" s="421"/>
      <c r="DW120" s="421"/>
      <c r="DX120" s="421"/>
      <c r="DY120" s="421"/>
      <c r="DZ120" s="421"/>
      <c r="EA120" s="421"/>
      <c r="EB120" s="421"/>
      <c r="EC120" s="421"/>
      <c r="ED120" s="421"/>
      <c r="EE120" s="421"/>
      <c r="EF120" s="421"/>
      <c r="EG120" s="421"/>
      <c r="EH120" s="421"/>
      <c r="EI120" s="421"/>
      <c r="EJ120" s="421"/>
      <c r="EK120" s="421"/>
      <c r="EL120" s="421"/>
      <c r="EM120" s="421"/>
      <c r="EN120" s="421"/>
      <c r="EO120" s="421"/>
      <c r="EP120" s="421"/>
      <c r="EQ120" s="421"/>
      <c r="ER120" s="421"/>
      <c r="ES120" s="421"/>
      <c r="ET120" s="421"/>
      <c r="EU120" s="421"/>
      <c r="EV120" s="421"/>
      <c r="EW120" s="421"/>
      <c r="EX120" s="421"/>
      <c r="EY120" s="421"/>
      <c r="EZ120" s="421"/>
      <c r="FA120" s="421"/>
      <c r="FB120" s="421"/>
      <c r="FC120" s="421"/>
      <c r="FD120" s="421"/>
      <c r="FE120" s="421"/>
      <c r="FF120" s="421"/>
      <c r="FG120" s="421"/>
      <c r="FH120" s="421"/>
      <c r="FI120" s="421"/>
      <c r="FJ120" s="421"/>
      <c r="FK120" s="421"/>
      <c r="FL120" s="421"/>
      <c r="FM120" s="421"/>
      <c r="FN120" s="421"/>
      <c r="FO120" s="421"/>
      <c r="FP120" s="421"/>
      <c r="FQ120" s="421"/>
      <c r="FR120" s="421"/>
      <c r="FS120" s="421"/>
      <c r="FT120" s="421"/>
      <c r="FU120" s="421"/>
      <c r="FV120" s="421"/>
      <c r="FW120" s="421"/>
      <c r="FX120" s="421"/>
      <c r="FY120" s="421"/>
      <c r="FZ120" s="421"/>
      <c r="GA120" s="421"/>
      <c r="GB120" s="421"/>
      <c r="GC120" s="421"/>
      <c r="GD120" s="421"/>
      <c r="GE120" s="421"/>
      <c r="GF120" s="421"/>
      <c r="GG120" s="421"/>
      <c r="GH120" s="421"/>
      <c r="GI120" s="421"/>
      <c r="GJ120" s="421"/>
      <c r="GK120" s="421"/>
      <c r="GL120" s="421"/>
      <c r="GM120" s="421"/>
      <c r="GN120" s="421"/>
      <c r="GO120" s="421"/>
      <c r="GP120" s="421"/>
      <c r="GQ120" s="421"/>
      <c r="GR120" s="421"/>
      <c r="GS120" s="421"/>
      <c r="GT120" s="421"/>
      <c r="GU120" s="421"/>
      <c r="GV120" s="421"/>
      <c r="GW120" s="421"/>
      <c r="GX120" s="421"/>
      <c r="GY120" s="421"/>
      <c r="GZ120" s="421"/>
      <c r="HA120" s="421"/>
      <c r="HB120" s="421"/>
      <c r="HC120" s="421"/>
      <c r="HD120" s="421"/>
      <c r="HE120" s="421"/>
      <c r="HF120" s="421"/>
      <c r="HG120" s="421"/>
      <c r="HH120" s="421"/>
      <c r="HI120" s="421"/>
      <c r="HJ120" s="421"/>
      <c r="HK120" s="421"/>
      <c r="HL120" s="421"/>
      <c r="HM120" s="421"/>
      <c r="HN120" s="421"/>
      <c r="HO120" s="421"/>
    </row>
    <row r="121" spans="7:223" s="422" customFormat="1" hidden="1" x14ac:dyDescent="0.3">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c r="AJ121" s="421"/>
      <c r="AK121" s="421"/>
      <c r="AL121" s="421"/>
      <c r="AM121" s="421"/>
      <c r="AN121" s="421"/>
      <c r="AO121" s="421"/>
      <c r="AP121" s="421"/>
      <c r="AQ121" s="421"/>
      <c r="AR121" s="421"/>
      <c r="AS121" s="421"/>
      <c r="AT121" s="421"/>
      <c r="AU121" s="421"/>
      <c r="AV121" s="421"/>
      <c r="AW121" s="421"/>
      <c r="AX121" s="421"/>
      <c r="AY121" s="421"/>
      <c r="AZ121" s="421"/>
      <c r="BA121" s="421"/>
      <c r="BB121" s="421"/>
      <c r="BC121" s="421"/>
      <c r="BD121" s="421"/>
      <c r="BE121" s="421"/>
      <c r="BF121" s="421"/>
      <c r="BG121" s="421"/>
      <c r="BH121" s="421"/>
      <c r="BI121" s="421"/>
      <c r="BJ121" s="421"/>
      <c r="BK121" s="421"/>
      <c r="BL121" s="421"/>
      <c r="BM121" s="421"/>
      <c r="BN121" s="421"/>
      <c r="BO121" s="421"/>
      <c r="BP121" s="421"/>
      <c r="BQ121" s="421"/>
      <c r="BR121" s="421"/>
      <c r="BS121" s="421"/>
      <c r="BT121" s="421"/>
      <c r="BU121" s="421"/>
      <c r="BV121" s="421"/>
      <c r="BW121" s="421"/>
      <c r="BX121" s="421"/>
      <c r="BY121" s="421"/>
      <c r="BZ121" s="421"/>
      <c r="CA121" s="421"/>
      <c r="CB121" s="421"/>
      <c r="CC121" s="421"/>
      <c r="CD121" s="421"/>
      <c r="CE121" s="421"/>
      <c r="CF121" s="421"/>
      <c r="CG121" s="421"/>
      <c r="CH121" s="421"/>
      <c r="CI121" s="421"/>
      <c r="CJ121" s="421"/>
      <c r="CK121" s="421"/>
      <c r="CL121" s="421"/>
      <c r="CM121" s="421"/>
      <c r="CN121" s="421"/>
      <c r="CO121" s="421"/>
      <c r="CP121" s="421"/>
      <c r="CQ121" s="421"/>
      <c r="CR121" s="421"/>
      <c r="CS121" s="421"/>
      <c r="CT121" s="421"/>
      <c r="CU121" s="421"/>
      <c r="CV121" s="421"/>
      <c r="CW121" s="421"/>
      <c r="CX121" s="421"/>
      <c r="CY121" s="421"/>
      <c r="CZ121" s="421"/>
      <c r="DA121" s="421"/>
      <c r="DB121" s="421"/>
      <c r="DC121" s="421"/>
      <c r="DD121" s="421"/>
      <c r="DE121" s="421"/>
      <c r="DF121" s="421"/>
      <c r="DG121" s="421"/>
      <c r="DH121" s="421"/>
      <c r="DI121" s="421"/>
      <c r="DJ121" s="421"/>
      <c r="DK121" s="421"/>
      <c r="DL121" s="421"/>
      <c r="DM121" s="421"/>
      <c r="DN121" s="421"/>
      <c r="DO121" s="421"/>
      <c r="DP121" s="421"/>
      <c r="DQ121" s="421"/>
      <c r="DR121" s="421"/>
      <c r="DS121" s="421"/>
      <c r="DT121" s="421"/>
      <c r="DU121" s="421"/>
      <c r="DV121" s="421"/>
      <c r="DW121" s="421"/>
      <c r="DX121" s="421"/>
      <c r="DY121" s="421"/>
      <c r="DZ121" s="421"/>
      <c r="EA121" s="421"/>
      <c r="EB121" s="421"/>
      <c r="EC121" s="421"/>
      <c r="ED121" s="421"/>
      <c r="EE121" s="421"/>
      <c r="EF121" s="421"/>
      <c r="EG121" s="421"/>
      <c r="EH121" s="421"/>
      <c r="EI121" s="421"/>
      <c r="EJ121" s="421"/>
      <c r="EK121" s="421"/>
      <c r="EL121" s="421"/>
      <c r="EM121" s="421"/>
      <c r="EN121" s="421"/>
      <c r="EO121" s="421"/>
      <c r="EP121" s="421"/>
      <c r="EQ121" s="421"/>
      <c r="ER121" s="421"/>
      <c r="ES121" s="421"/>
      <c r="ET121" s="421"/>
      <c r="EU121" s="421"/>
      <c r="EV121" s="421"/>
      <c r="EW121" s="421"/>
      <c r="EX121" s="421"/>
      <c r="EY121" s="421"/>
      <c r="EZ121" s="421"/>
      <c r="FA121" s="421"/>
      <c r="FB121" s="421"/>
      <c r="FC121" s="421"/>
      <c r="FD121" s="421"/>
      <c r="FE121" s="421"/>
      <c r="FF121" s="421"/>
      <c r="FG121" s="421"/>
      <c r="FH121" s="421"/>
      <c r="FI121" s="421"/>
      <c r="FJ121" s="421"/>
      <c r="FK121" s="421"/>
      <c r="FL121" s="421"/>
      <c r="FM121" s="421"/>
      <c r="FN121" s="421"/>
      <c r="FO121" s="421"/>
      <c r="FP121" s="421"/>
      <c r="FQ121" s="421"/>
      <c r="FR121" s="421"/>
      <c r="FS121" s="421"/>
      <c r="FT121" s="421"/>
      <c r="FU121" s="421"/>
      <c r="FV121" s="421"/>
      <c r="FW121" s="421"/>
      <c r="FX121" s="421"/>
      <c r="FY121" s="421"/>
      <c r="FZ121" s="421"/>
      <c r="GA121" s="421"/>
      <c r="GB121" s="421"/>
      <c r="GC121" s="421"/>
      <c r="GD121" s="421"/>
      <c r="GE121" s="421"/>
      <c r="GF121" s="421"/>
      <c r="GG121" s="421"/>
      <c r="GH121" s="421"/>
      <c r="GI121" s="421"/>
      <c r="GJ121" s="421"/>
      <c r="GK121" s="421"/>
      <c r="GL121" s="421"/>
      <c r="GM121" s="421"/>
      <c r="GN121" s="421"/>
      <c r="GO121" s="421"/>
      <c r="GP121" s="421"/>
      <c r="GQ121" s="421"/>
      <c r="GR121" s="421"/>
      <c r="GS121" s="421"/>
      <c r="GT121" s="421"/>
      <c r="GU121" s="421"/>
      <c r="GV121" s="421"/>
      <c r="GW121" s="421"/>
      <c r="GX121" s="421"/>
      <c r="GY121" s="421"/>
      <c r="GZ121" s="421"/>
      <c r="HA121" s="421"/>
      <c r="HB121" s="421"/>
      <c r="HC121" s="421"/>
      <c r="HD121" s="421"/>
      <c r="HE121" s="421"/>
      <c r="HF121" s="421"/>
      <c r="HG121" s="421"/>
      <c r="HH121" s="421"/>
      <c r="HI121" s="421"/>
      <c r="HJ121" s="421"/>
      <c r="HK121" s="421"/>
      <c r="HL121" s="421"/>
      <c r="HM121" s="421"/>
      <c r="HN121" s="421"/>
      <c r="HO121" s="421"/>
    </row>
    <row r="122" spans="7:223" s="422" customFormat="1" hidden="1" x14ac:dyDescent="0.3">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c r="AJ122" s="421"/>
      <c r="AK122" s="421"/>
      <c r="AL122" s="421"/>
      <c r="AM122" s="421"/>
      <c r="AN122" s="421"/>
      <c r="AO122" s="421"/>
      <c r="AP122" s="421"/>
      <c r="AQ122" s="421"/>
      <c r="AR122" s="421"/>
      <c r="AS122" s="421"/>
      <c r="AT122" s="421"/>
      <c r="AU122" s="421"/>
      <c r="AV122" s="421"/>
      <c r="AW122" s="421"/>
      <c r="AX122" s="421"/>
      <c r="AY122" s="421"/>
      <c r="AZ122" s="421"/>
      <c r="BA122" s="421"/>
      <c r="BB122" s="421"/>
      <c r="BC122" s="421"/>
      <c r="BD122" s="421"/>
      <c r="BE122" s="421"/>
      <c r="BF122" s="421"/>
      <c r="BG122" s="421"/>
      <c r="BH122" s="421"/>
      <c r="BI122" s="421"/>
      <c r="BJ122" s="421"/>
      <c r="BK122" s="421"/>
      <c r="BL122" s="421"/>
      <c r="BM122" s="421"/>
      <c r="BN122" s="421"/>
      <c r="BO122" s="421"/>
      <c r="BP122" s="421"/>
      <c r="BQ122" s="421"/>
      <c r="BR122" s="421"/>
      <c r="BS122" s="421"/>
      <c r="BT122" s="421"/>
      <c r="BU122" s="421"/>
      <c r="BV122" s="421"/>
      <c r="BW122" s="421"/>
      <c r="BX122" s="421"/>
      <c r="BY122" s="421"/>
      <c r="BZ122" s="421"/>
      <c r="CA122" s="421"/>
      <c r="CB122" s="421"/>
      <c r="CC122" s="421"/>
      <c r="CD122" s="421"/>
      <c r="CE122" s="421"/>
      <c r="CF122" s="421"/>
      <c r="CG122" s="421"/>
      <c r="CH122" s="421"/>
      <c r="CI122" s="421"/>
      <c r="CJ122" s="421"/>
      <c r="CK122" s="421"/>
      <c r="CL122" s="421"/>
      <c r="CM122" s="421"/>
      <c r="CN122" s="421"/>
      <c r="CO122" s="421"/>
      <c r="CP122" s="421"/>
      <c r="CQ122" s="421"/>
      <c r="CR122" s="421"/>
      <c r="CS122" s="421"/>
      <c r="CT122" s="421"/>
      <c r="CU122" s="421"/>
      <c r="CV122" s="421"/>
      <c r="CW122" s="421"/>
      <c r="CX122" s="421"/>
      <c r="CY122" s="421"/>
      <c r="CZ122" s="421"/>
      <c r="DA122" s="421"/>
      <c r="DB122" s="421"/>
      <c r="DC122" s="421"/>
      <c r="DD122" s="421"/>
      <c r="DE122" s="421"/>
      <c r="DF122" s="421"/>
      <c r="DG122" s="421"/>
      <c r="DH122" s="421"/>
      <c r="DI122" s="421"/>
      <c r="DJ122" s="421"/>
      <c r="DK122" s="421"/>
      <c r="DL122" s="421"/>
      <c r="DM122" s="421"/>
      <c r="DN122" s="421"/>
      <c r="DO122" s="421"/>
      <c r="DP122" s="421"/>
      <c r="DQ122" s="421"/>
      <c r="DR122" s="421"/>
      <c r="DS122" s="421"/>
      <c r="DT122" s="421"/>
      <c r="DU122" s="421"/>
      <c r="DV122" s="421"/>
      <c r="DW122" s="421"/>
      <c r="DX122" s="421"/>
      <c r="DY122" s="421"/>
      <c r="DZ122" s="421"/>
      <c r="EA122" s="421"/>
      <c r="EB122" s="421"/>
      <c r="EC122" s="421"/>
      <c r="ED122" s="421"/>
      <c r="EE122" s="421"/>
      <c r="EF122" s="421"/>
      <c r="EG122" s="421"/>
      <c r="EH122" s="421"/>
      <c r="EI122" s="421"/>
      <c r="EJ122" s="421"/>
      <c r="EK122" s="421"/>
      <c r="EL122" s="421"/>
      <c r="EM122" s="421"/>
      <c r="EN122" s="421"/>
      <c r="EO122" s="421"/>
      <c r="EP122" s="421"/>
      <c r="EQ122" s="421"/>
      <c r="ER122" s="421"/>
      <c r="ES122" s="421"/>
      <c r="ET122" s="421"/>
      <c r="EU122" s="421"/>
      <c r="EV122" s="421"/>
      <c r="EW122" s="421"/>
      <c r="EX122" s="421"/>
      <c r="EY122" s="421"/>
      <c r="EZ122" s="421"/>
      <c r="FA122" s="421"/>
      <c r="FB122" s="421"/>
      <c r="FC122" s="421"/>
      <c r="FD122" s="421"/>
      <c r="FE122" s="421"/>
      <c r="FF122" s="421"/>
      <c r="FG122" s="421"/>
      <c r="FH122" s="421"/>
      <c r="FI122" s="421"/>
      <c r="FJ122" s="421"/>
      <c r="FK122" s="421"/>
      <c r="FL122" s="421"/>
      <c r="FM122" s="421"/>
      <c r="FN122" s="421"/>
      <c r="FO122" s="421"/>
      <c r="FP122" s="421"/>
      <c r="FQ122" s="421"/>
      <c r="FR122" s="421"/>
      <c r="FS122" s="421"/>
      <c r="FT122" s="421"/>
      <c r="FU122" s="421"/>
      <c r="FV122" s="421"/>
      <c r="FW122" s="421"/>
      <c r="FX122" s="421"/>
      <c r="FY122" s="421"/>
      <c r="FZ122" s="421"/>
      <c r="GA122" s="421"/>
      <c r="GB122" s="421"/>
      <c r="GC122" s="421"/>
      <c r="GD122" s="421"/>
      <c r="GE122" s="421"/>
      <c r="GF122" s="421"/>
      <c r="GG122" s="421"/>
      <c r="GH122" s="421"/>
      <c r="GI122" s="421"/>
      <c r="GJ122" s="421"/>
      <c r="GK122" s="421"/>
      <c r="GL122" s="421"/>
      <c r="GM122" s="421"/>
      <c r="GN122" s="421"/>
      <c r="GO122" s="421"/>
      <c r="GP122" s="421"/>
      <c r="GQ122" s="421"/>
      <c r="GR122" s="421"/>
      <c r="GS122" s="421"/>
      <c r="GT122" s="421"/>
      <c r="GU122" s="421"/>
      <c r="GV122" s="421"/>
      <c r="GW122" s="421"/>
      <c r="GX122" s="421"/>
      <c r="GY122" s="421"/>
      <c r="GZ122" s="421"/>
      <c r="HA122" s="421"/>
      <c r="HB122" s="421"/>
      <c r="HC122" s="421"/>
      <c r="HD122" s="421"/>
      <c r="HE122" s="421"/>
      <c r="HF122" s="421"/>
      <c r="HG122" s="421"/>
      <c r="HH122" s="421"/>
      <c r="HI122" s="421"/>
      <c r="HJ122" s="421"/>
      <c r="HK122" s="421"/>
      <c r="HL122" s="421"/>
      <c r="HM122" s="421"/>
      <c r="HN122" s="421"/>
      <c r="HO122" s="421"/>
    </row>
    <row r="123" spans="7:223" s="422" customFormat="1" hidden="1" x14ac:dyDescent="0.3">
      <c r="G123" s="421"/>
      <c r="H123" s="421"/>
      <c r="I123" s="421"/>
      <c r="J123" s="421"/>
      <c r="K123" s="421"/>
      <c r="L123" s="421"/>
      <c r="M123" s="421"/>
      <c r="N123" s="421"/>
      <c r="O123" s="421"/>
      <c r="P123" s="421"/>
      <c r="Q123" s="421"/>
      <c r="R123" s="421"/>
      <c r="S123" s="421"/>
      <c r="T123" s="421"/>
      <c r="U123" s="421"/>
      <c r="V123" s="421"/>
      <c r="W123" s="421"/>
      <c r="X123" s="421"/>
      <c r="Y123" s="421"/>
      <c r="Z123" s="421"/>
      <c r="AA123" s="421"/>
      <c r="AB123" s="421"/>
      <c r="AC123" s="421"/>
      <c r="AD123" s="421"/>
      <c r="AE123" s="421"/>
      <c r="AF123" s="421"/>
      <c r="AG123" s="421"/>
      <c r="AH123" s="421"/>
      <c r="AI123" s="421"/>
      <c r="AJ123" s="421"/>
      <c r="AK123" s="421"/>
      <c r="AL123" s="421"/>
      <c r="AM123" s="421"/>
      <c r="AN123" s="421"/>
      <c r="AO123" s="421"/>
      <c r="AP123" s="421"/>
      <c r="AQ123" s="421"/>
      <c r="AR123" s="421"/>
      <c r="AS123" s="421"/>
      <c r="AT123" s="421"/>
      <c r="AU123" s="421"/>
      <c r="AV123" s="421"/>
      <c r="AW123" s="421"/>
      <c r="AX123" s="421"/>
      <c r="AY123" s="421"/>
      <c r="AZ123" s="421"/>
      <c r="BA123" s="421"/>
      <c r="BB123" s="421"/>
      <c r="BC123" s="421"/>
      <c r="BD123" s="421"/>
      <c r="BE123" s="421"/>
      <c r="BF123" s="421"/>
      <c r="BG123" s="421"/>
      <c r="BH123" s="421"/>
      <c r="BI123" s="421"/>
      <c r="BJ123" s="421"/>
      <c r="BK123" s="421"/>
      <c r="BL123" s="421"/>
      <c r="BM123" s="421"/>
      <c r="BN123" s="421"/>
      <c r="BO123" s="421"/>
      <c r="BP123" s="421"/>
      <c r="BQ123" s="421"/>
      <c r="BR123" s="421"/>
      <c r="BS123" s="421"/>
      <c r="BT123" s="421"/>
      <c r="BU123" s="421"/>
      <c r="BV123" s="421"/>
      <c r="BW123" s="421"/>
      <c r="BX123" s="421"/>
      <c r="BY123" s="421"/>
      <c r="BZ123" s="421"/>
      <c r="CA123" s="421"/>
      <c r="CB123" s="421"/>
      <c r="CC123" s="421"/>
      <c r="CD123" s="421"/>
      <c r="CE123" s="421"/>
      <c r="CF123" s="421"/>
      <c r="CG123" s="421"/>
      <c r="CH123" s="421"/>
      <c r="CI123" s="421"/>
      <c r="CJ123" s="421"/>
      <c r="CK123" s="421"/>
      <c r="CL123" s="421"/>
      <c r="CM123" s="421"/>
      <c r="CN123" s="421"/>
      <c r="CO123" s="421"/>
      <c r="CP123" s="421"/>
      <c r="CQ123" s="421"/>
      <c r="CR123" s="421"/>
      <c r="CS123" s="421"/>
      <c r="CT123" s="421"/>
      <c r="CU123" s="421"/>
      <c r="CV123" s="421"/>
      <c r="CW123" s="421"/>
      <c r="CX123" s="421"/>
      <c r="CY123" s="421"/>
      <c r="CZ123" s="421"/>
      <c r="DA123" s="421"/>
      <c r="DB123" s="421"/>
      <c r="DC123" s="421"/>
      <c r="DD123" s="421"/>
      <c r="DE123" s="421"/>
      <c r="DF123" s="421"/>
      <c r="DG123" s="421"/>
      <c r="DH123" s="421"/>
      <c r="DI123" s="421"/>
      <c r="DJ123" s="421"/>
      <c r="DK123" s="421"/>
      <c r="DL123" s="421"/>
      <c r="DM123" s="421"/>
      <c r="DN123" s="421"/>
      <c r="DO123" s="421"/>
      <c r="DP123" s="421"/>
      <c r="DQ123" s="421"/>
      <c r="DR123" s="421"/>
      <c r="DS123" s="421"/>
      <c r="DT123" s="421"/>
      <c r="DU123" s="421"/>
      <c r="DV123" s="421"/>
      <c r="DW123" s="421"/>
      <c r="DX123" s="421"/>
      <c r="DY123" s="421"/>
      <c r="DZ123" s="421"/>
      <c r="EA123" s="421"/>
      <c r="EB123" s="421"/>
      <c r="EC123" s="421"/>
      <c r="ED123" s="421"/>
      <c r="EE123" s="421"/>
      <c r="EF123" s="421"/>
      <c r="EG123" s="421"/>
      <c r="EH123" s="421"/>
      <c r="EI123" s="421"/>
      <c r="EJ123" s="421"/>
      <c r="EK123" s="421"/>
      <c r="EL123" s="421"/>
      <c r="EM123" s="421"/>
      <c r="EN123" s="421"/>
      <c r="EO123" s="421"/>
      <c r="EP123" s="421"/>
      <c r="EQ123" s="421"/>
      <c r="ER123" s="421"/>
      <c r="ES123" s="421"/>
      <c r="ET123" s="421"/>
      <c r="EU123" s="421"/>
      <c r="EV123" s="421"/>
      <c r="EW123" s="421"/>
      <c r="EX123" s="421"/>
      <c r="EY123" s="421"/>
      <c r="EZ123" s="421"/>
      <c r="FA123" s="421"/>
      <c r="FB123" s="421"/>
      <c r="FC123" s="421"/>
      <c r="FD123" s="421"/>
      <c r="FE123" s="421"/>
      <c r="FF123" s="421"/>
      <c r="FG123" s="421"/>
      <c r="FH123" s="421"/>
      <c r="FI123" s="421"/>
      <c r="FJ123" s="421"/>
      <c r="FK123" s="421"/>
      <c r="FL123" s="421"/>
      <c r="FM123" s="421"/>
      <c r="FN123" s="421"/>
      <c r="FO123" s="421"/>
      <c r="FP123" s="421"/>
      <c r="FQ123" s="421"/>
      <c r="FR123" s="421"/>
      <c r="FS123" s="421"/>
      <c r="FT123" s="421"/>
      <c r="FU123" s="421"/>
      <c r="FV123" s="421"/>
      <c r="FW123" s="421"/>
      <c r="FX123" s="421"/>
      <c r="FY123" s="421"/>
      <c r="FZ123" s="421"/>
      <c r="GA123" s="421"/>
      <c r="GB123" s="421"/>
      <c r="GC123" s="421"/>
      <c r="GD123" s="421"/>
      <c r="GE123" s="421"/>
      <c r="GF123" s="421"/>
      <c r="GG123" s="421"/>
      <c r="GH123" s="421"/>
      <c r="GI123" s="421"/>
      <c r="GJ123" s="421"/>
      <c r="GK123" s="421"/>
      <c r="GL123" s="421"/>
      <c r="GM123" s="421"/>
      <c r="GN123" s="421"/>
      <c r="GO123" s="421"/>
      <c r="GP123" s="421"/>
      <c r="GQ123" s="421"/>
      <c r="GR123" s="421"/>
      <c r="GS123" s="421"/>
      <c r="GT123" s="421"/>
      <c r="GU123" s="421"/>
      <c r="GV123" s="421"/>
      <c r="GW123" s="421"/>
      <c r="GX123" s="421"/>
      <c r="GY123" s="421"/>
      <c r="GZ123" s="421"/>
      <c r="HA123" s="421"/>
      <c r="HB123" s="421"/>
      <c r="HC123" s="421"/>
      <c r="HD123" s="421"/>
      <c r="HE123" s="421"/>
      <c r="HF123" s="421"/>
      <c r="HG123" s="421"/>
      <c r="HH123" s="421"/>
      <c r="HI123" s="421"/>
      <c r="HJ123" s="421"/>
      <c r="HK123" s="421"/>
      <c r="HL123" s="421"/>
      <c r="HM123" s="421"/>
      <c r="HN123" s="421"/>
      <c r="HO123" s="421"/>
    </row>
    <row r="124" spans="7:223" s="422" customFormat="1" hidden="1" x14ac:dyDescent="0.3">
      <c r="G124" s="421"/>
      <c r="H124" s="421"/>
      <c r="I124" s="421"/>
      <c r="J124" s="421"/>
      <c r="K124" s="421"/>
      <c r="L124" s="421"/>
      <c r="M124" s="421"/>
      <c r="N124" s="421"/>
      <c r="O124" s="421"/>
      <c r="P124" s="421"/>
      <c r="Q124" s="421"/>
      <c r="R124" s="421"/>
      <c r="S124" s="421"/>
      <c r="T124" s="421"/>
      <c r="U124" s="421"/>
      <c r="V124" s="421"/>
      <c r="W124" s="421"/>
      <c r="X124" s="421"/>
      <c r="Y124" s="421"/>
      <c r="Z124" s="421"/>
      <c r="AA124" s="421"/>
      <c r="AB124" s="421"/>
      <c r="AC124" s="421"/>
      <c r="AD124" s="421"/>
      <c r="AE124" s="421"/>
      <c r="AF124" s="421"/>
      <c r="AG124" s="421"/>
      <c r="AH124" s="421"/>
      <c r="AI124" s="421"/>
      <c r="AJ124" s="421"/>
      <c r="AK124" s="421"/>
      <c r="AL124" s="421"/>
      <c r="AM124" s="421"/>
      <c r="AN124" s="421"/>
      <c r="AO124" s="421"/>
      <c r="AP124" s="421"/>
      <c r="AQ124" s="421"/>
      <c r="AR124" s="421"/>
      <c r="AS124" s="421"/>
      <c r="AT124" s="421"/>
      <c r="AU124" s="421"/>
      <c r="AV124" s="421"/>
      <c r="AW124" s="421"/>
      <c r="AX124" s="421"/>
      <c r="AY124" s="421"/>
      <c r="AZ124" s="421"/>
      <c r="BA124" s="421"/>
      <c r="BB124" s="421"/>
      <c r="BC124" s="421"/>
      <c r="BD124" s="421"/>
      <c r="BE124" s="421"/>
      <c r="BF124" s="421"/>
      <c r="BG124" s="421"/>
      <c r="BH124" s="421"/>
      <c r="BI124" s="421"/>
      <c r="BJ124" s="421"/>
      <c r="BK124" s="421"/>
      <c r="BL124" s="421"/>
      <c r="BM124" s="421"/>
      <c r="BN124" s="421"/>
      <c r="BO124" s="421"/>
      <c r="BP124" s="421"/>
      <c r="BQ124" s="421"/>
      <c r="BR124" s="421"/>
      <c r="BS124" s="421"/>
      <c r="BT124" s="421"/>
      <c r="BU124" s="421"/>
      <c r="BV124" s="421"/>
      <c r="BW124" s="421"/>
      <c r="BX124" s="421"/>
      <c r="BY124" s="421"/>
      <c r="BZ124" s="421"/>
      <c r="CA124" s="421"/>
      <c r="CB124" s="421"/>
      <c r="CC124" s="421"/>
      <c r="CD124" s="421"/>
      <c r="CE124" s="421"/>
      <c r="CF124" s="421"/>
      <c r="CG124" s="421"/>
      <c r="CH124" s="421"/>
      <c r="CI124" s="421"/>
      <c r="CJ124" s="421"/>
      <c r="CK124" s="421"/>
      <c r="CL124" s="421"/>
      <c r="CM124" s="421"/>
      <c r="CN124" s="421"/>
      <c r="CO124" s="421"/>
      <c r="CP124" s="421"/>
      <c r="CQ124" s="421"/>
      <c r="CR124" s="421"/>
      <c r="CS124" s="421"/>
      <c r="CT124" s="421"/>
      <c r="CU124" s="421"/>
      <c r="CV124" s="421"/>
      <c r="CW124" s="421"/>
      <c r="CX124" s="421"/>
      <c r="CY124" s="421"/>
      <c r="CZ124" s="421"/>
      <c r="DA124" s="421"/>
      <c r="DB124" s="421"/>
      <c r="DC124" s="421"/>
      <c r="DD124" s="421"/>
      <c r="DE124" s="421"/>
      <c r="DF124" s="421"/>
      <c r="DG124" s="421"/>
      <c r="DH124" s="421"/>
      <c r="DI124" s="421"/>
      <c r="DJ124" s="421"/>
      <c r="DK124" s="421"/>
      <c r="DL124" s="421"/>
      <c r="DM124" s="421"/>
      <c r="DN124" s="421"/>
      <c r="DO124" s="421"/>
      <c r="DP124" s="421"/>
      <c r="DQ124" s="421"/>
      <c r="DR124" s="421"/>
      <c r="DS124" s="421"/>
      <c r="DT124" s="421"/>
      <c r="DU124" s="421"/>
      <c r="DV124" s="421"/>
      <c r="DW124" s="421"/>
      <c r="DX124" s="421"/>
      <c r="DY124" s="421"/>
      <c r="DZ124" s="421"/>
      <c r="EA124" s="421"/>
      <c r="EB124" s="421"/>
      <c r="EC124" s="421"/>
      <c r="ED124" s="421"/>
      <c r="EE124" s="421"/>
      <c r="EF124" s="421"/>
      <c r="EG124" s="421"/>
      <c r="EH124" s="421"/>
      <c r="EI124" s="421"/>
      <c r="EJ124" s="421"/>
      <c r="EK124" s="421"/>
      <c r="EL124" s="421"/>
      <c r="EM124" s="421"/>
      <c r="EN124" s="421"/>
      <c r="EO124" s="421"/>
      <c r="EP124" s="421"/>
      <c r="EQ124" s="421"/>
      <c r="ER124" s="421"/>
      <c r="ES124" s="421"/>
      <c r="ET124" s="421"/>
      <c r="EU124" s="421"/>
      <c r="EV124" s="421"/>
      <c r="EW124" s="421"/>
      <c r="EX124" s="421"/>
      <c r="EY124" s="421"/>
      <c r="EZ124" s="421"/>
      <c r="FA124" s="421"/>
      <c r="FB124" s="421"/>
      <c r="FC124" s="421"/>
      <c r="FD124" s="421"/>
      <c r="FE124" s="421"/>
      <c r="FF124" s="421"/>
      <c r="FG124" s="421"/>
      <c r="FH124" s="421"/>
      <c r="FI124" s="421"/>
      <c r="FJ124" s="421"/>
      <c r="FK124" s="421"/>
      <c r="FL124" s="421"/>
      <c r="FM124" s="421"/>
      <c r="FN124" s="421"/>
      <c r="FO124" s="421"/>
      <c r="FP124" s="421"/>
      <c r="FQ124" s="421"/>
      <c r="FR124" s="421"/>
      <c r="FS124" s="421"/>
      <c r="FT124" s="421"/>
      <c r="FU124" s="421"/>
      <c r="FV124" s="421"/>
      <c r="FW124" s="421"/>
      <c r="FX124" s="421"/>
      <c r="FY124" s="421"/>
      <c r="FZ124" s="421"/>
      <c r="GA124" s="421"/>
      <c r="GB124" s="421"/>
      <c r="GC124" s="421"/>
      <c r="GD124" s="421"/>
      <c r="GE124" s="421"/>
      <c r="GF124" s="421"/>
      <c r="GG124" s="421"/>
      <c r="GH124" s="421"/>
      <c r="GI124" s="421"/>
      <c r="GJ124" s="421"/>
      <c r="GK124" s="421"/>
      <c r="GL124" s="421"/>
      <c r="GM124" s="421"/>
      <c r="GN124" s="421"/>
      <c r="GO124" s="421"/>
      <c r="GP124" s="421"/>
      <c r="GQ124" s="421"/>
      <c r="GR124" s="421"/>
      <c r="GS124" s="421"/>
      <c r="GT124" s="421"/>
      <c r="GU124" s="421"/>
      <c r="GV124" s="421"/>
      <c r="GW124" s="421"/>
      <c r="GX124" s="421"/>
      <c r="GY124" s="421"/>
      <c r="GZ124" s="421"/>
      <c r="HA124" s="421"/>
      <c r="HB124" s="421"/>
      <c r="HC124" s="421"/>
      <c r="HD124" s="421"/>
      <c r="HE124" s="421"/>
      <c r="HF124" s="421"/>
      <c r="HG124" s="421"/>
      <c r="HH124" s="421"/>
      <c r="HI124" s="421"/>
      <c r="HJ124" s="421"/>
      <c r="HK124" s="421"/>
      <c r="HL124" s="421"/>
      <c r="HM124" s="421"/>
      <c r="HN124" s="421"/>
      <c r="HO124" s="421"/>
    </row>
    <row r="125" spans="7:223" s="422" customFormat="1" hidden="1" x14ac:dyDescent="0.3">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c r="AJ125" s="421"/>
      <c r="AK125" s="421"/>
      <c r="AL125" s="421"/>
      <c r="AM125" s="421"/>
      <c r="AN125" s="421"/>
      <c r="AO125" s="421"/>
      <c r="AP125" s="421"/>
      <c r="AQ125" s="421"/>
      <c r="AR125" s="421"/>
      <c r="AS125" s="421"/>
      <c r="AT125" s="421"/>
      <c r="AU125" s="421"/>
      <c r="AV125" s="421"/>
      <c r="AW125" s="421"/>
      <c r="AX125" s="421"/>
      <c r="AY125" s="421"/>
      <c r="AZ125" s="421"/>
      <c r="BA125" s="421"/>
      <c r="BB125" s="421"/>
      <c r="BC125" s="421"/>
      <c r="BD125" s="421"/>
      <c r="BE125" s="421"/>
      <c r="BF125" s="421"/>
      <c r="BG125" s="421"/>
      <c r="BH125" s="421"/>
      <c r="BI125" s="421"/>
      <c r="BJ125" s="421"/>
      <c r="BK125" s="421"/>
      <c r="BL125" s="421"/>
      <c r="BM125" s="421"/>
      <c r="BN125" s="421"/>
      <c r="BO125" s="421"/>
      <c r="BP125" s="421"/>
      <c r="BQ125" s="421"/>
      <c r="BR125" s="421"/>
      <c r="BS125" s="421"/>
      <c r="BT125" s="421"/>
      <c r="BU125" s="421"/>
      <c r="BV125" s="421"/>
      <c r="BW125" s="421"/>
      <c r="BX125" s="421"/>
      <c r="BY125" s="421"/>
      <c r="BZ125" s="421"/>
      <c r="CA125" s="421"/>
      <c r="CB125" s="421"/>
      <c r="CC125" s="421"/>
      <c r="CD125" s="421"/>
      <c r="CE125" s="421"/>
      <c r="CF125" s="421"/>
      <c r="CG125" s="421"/>
      <c r="CH125" s="421"/>
      <c r="CI125" s="421"/>
      <c r="CJ125" s="421"/>
      <c r="CK125" s="421"/>
      <c r="CL125" s="421"/>
      <c r="CM125" s="421"/>
      <c r="CN125" s="421"/>
      <c r="CO125" s="421"/>
      <c r="CP125" s="421"/>
      <c r="CQ125" s="421"/>
      <c r="CR125" s="421"/>
      <c r="CS125" s="421"/>
      <c r="CT125" s="421"/>
      <c r="CU125" s="421"/>
      <c r="CV125" s="421"/>
      <c r="CW125" s="421"/>
      <c r="CX125" s="421"/>
      <c r="CY125" s="421"/>
      <c r="CZ125" s="421"/>
      <c r="DA125" s="421"/>
      <c r="DB125" s="421"/>
      <c r="DC125" s="421"/>
      <c r="DD125" s="421"/>
      <c r="DE125" s="421"/>
      <c r="DF125" s="421"/>
      <c r="DG125" s="421"/>
      <c r="DH125" s="421"/>
      <c r="DI125" s="421"/>
      <c r="DJ125" s="421"/>
      <c r="DK125" s="421"/>
      <c r="DL125" s="421"/>
      <c r="DM125" s="421"/>
      <c r="DN125" s="421"/>
      <c r="DO125" s="421"/>
      <c r="DP125" s="421"/>
      <c r="DQ125" s="421"/>
      <c r="DR125" s="421"/>
      <c r="DS125" s="421"/>
      <c r="DT125" s="421"/>
      <c r="DU125" s="421"/>
      <c r="DV125" s="421"/>
      <c r="DW125" s="421"/>
      <c r="DX125" s="421"/>
      <c r="DY125" s="421"/>
      <c r="DZ125" s="421"/>
      <c r="EA125" s="421"/>
      <c r="EB125" s="421"/>
      <c r="EC125" s="421"/>
      <c r="ED125" s="421"/>
      <c r="EE125" s="421"/>
      <c r="EF125" s="421"/>
      <c r="EG125" s="421"/>
      <c r="EH125" s="421"/>
      <c r="EI125" s="421"/>
      <c r="EJ125" s="421"/>
      <c r="EK125" s="421"/>
      <c r="EL125" s="421"/>
      <c r="EM125" s="421"/>
      <c r="EN125" s="421"/>
      <c r="EO125" s="421"/>
      <c r="EP125" s="421"/>
      <c r="EQ125" s="421"/>
      <c r="ER125" s="421"/>
      <c r="ES125" s="421"/>
      <c r="ET125" s="421"/>
      <c r="EU125" s="421"/>
      <c r="EV125" s="421"/>
      <c r="EW125" s="421"/>
      <c r="EX125" s="421"/>
      <c r="EY125" s="421"/>
      <c r="EZ125" s="421"/>
      <c r="FA125" s="421"/>
      <c r="FB125" s="421"/>
      <c r="FC125" s="421"/>
      <c r="FD125" s="421"/>
      <c r="FE125" s="421"/>
      <c r="FF125" s="421"/>
      <c r="FG125" s="421"/>
      <c r="FH125" s="421"/>
      <c r="FI125" s="421"/>
      <c r="FJ125" s="421"/>
      <c r="FK125" s="421"/>
      <c r="FL125" s="421"/>
      <c r="FM125" s="421"/>
      <c r="FN125" s="421"/>
      <c r="FO125" s="421"/>
      <c r="FP125" s="421"/>
      <c r="FQ125" s="421"/>
      <c r="FR125" s="421"/>
      <c r="FS125" s="421"/>
      <c r="FT125" s="421"/>
      <c r="FU125" s="421"/>
      <c r="FV125" s="421"/>
      <c r="FW125" s="421"/>
      <c r="FX125" s="421"/>
      <c r="FY125" s="421"/>
      <c r="FZ125" s="421"/>
      <c r="GA125" s="421"/>
      <c r="GB125" s="421"/>
      <c r="GC125" s="421"/>
      <c r="GD125" s="421"/>
      <c r="GE125" s="421"/>
      <c r="GF125" s="421"/>
      <c r="GG125" s="421"/>
      <c r="GH125" s="421"/>
      <c r="GI125" s="421"/>
      <c r="GJ125" s="421"/>
      <c r="GK125" s="421"/>
      <c r="GL125" s="421"/>
      <c r="GM125" s="421"/>
      <c r="GN125" s="421"/>
      <c r="GO125" s="421"/>
      <c r="GP125" s="421"/>
      <c r="GQ125" s="421"/>
      <c r="GR125" s="421"/>
      <c r="GS125" s="421"/>
      <c r="GT125" s="421"/>
      <c r="GU125" s="421"/>
      <c r="GV125" s="421"/>
      <c r="GW125" s="421"/>
      <c r="GX125" s="421"/>
      <c r="GY125" s="421"/>
      <c r="GZ125" s="421"/>
      <c r="HA125" s="421"/>
      <c r="HB125" s="421"/>
      <c r="HC125" s="421"/>
      <c r="HD125" s="421"/>
      <c r="HE125" s="421"/>
      <c r="HF125" s="421"/>
      <c r="HG125" s="421"/>
      <c r="HH125" s="421"/>
      <c r="HI125" s="421"/>
      <c r="HJ125" s="421"/>
      <c r="HK125" s="421"/>
      <c r="HL125" s="421"/>
      <c r="HM125" s="421"/>
      <c r="HN125" s="421"/>
      <c r="HO125" s="421"/>
    </row>
    <row r="126" spans="7:223" s="422" customFormat="1" hidden="1" x14ac:dyDescent="0.3">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c r="AJ126" s="421"/>
      <c r="AK126" s="421"/>
      <c r="AL126" s="421"/>
      <c r="AM126" s="421"/>
      <c r="AN126" s="421"/>
      <c r="AO126" s="421"/>
      <c r="AP126" s="421"/>
      <c r="AQ126" s="421"/>
      <c r="AR126" s="421"/>
      <c r="AS126" s="421"/>
      <c r="AT126" s="421"/>
      <c r="AU126" s="421"/>
      <c r="AV126" s="421"/>
      <c r="AW126" s="421"/>
      <c r="AX126" s="421"/>
      <c r="AY126" s="421"/>
      <c r="AZ126" s="421"/>
      <c r="BA126" s="421"/>
      <c r="BB126" s="421"/>
      <c r="BC126" s="421"/>
      <c r="BD126" s="421"/>
      <c r="BE126" s="421"/>
      <c r="BF126" s="421"/>
      <c r="BG126" s="421"/>
      <c r="BH126" s="421"/>
      <c r="BI126" s="421"/>
      <c r="BJ126" s="421"/>
      <c r="BK126" s="421"/>
      <c r="BL126" s="421"/>
      <c r="BM126" s="421"/>
      <c r="BN126" s="421"/>
      <c r="BO126" s="421"/>
      <c r="BP126" s="421"/>
      <c r="BQ126" s="421"/>
      <c r="BR126" s="421"/>
      <c r="BS126" s="421"/>
      <c r="BT126" s="421"/>
      <c r="BU126" s="421"/>
      <c r="BV126" s="421"/>
      <c r="BW126" s="421"/>
      <c r="BX126" s="421"/>
      <c r="BY126" s="421"/>
      <c r="BZ126" s="421"/>
      <c r="CA126" s="421"/>
      <c r="CB126" s="421"/>
      <c r="CC126" s="421"/>
      <c r="CD126" s="421"/>
      <c r="CE126" s="421"/>
      <c r="CF126" s="421"/>
      <c r="CG126" s="421"/>
      <c r="CH126" s="421"/>
      <c r="CI126" s="421"/>
      <c r="CJ126" s="421"/>
      <c r="CK126" s="421"/>
      <c r="CL126" s="421"/>
      <c r="CM126" s="421"/>
      <c r="CN126" s="421"/>
      <c r="CO126" s="421"/>
      <c r="CP126" s="421"/>
      <c r="CQ126" s="421"/>
      <c r="CR126" s="421"/>
      <c r="CS126" s="421"/>
      <c r="CT126" s="421"/>
      <c r="CU126" s="421"/>
      <c r="CV126" s="421"/>
      <c r="CW126" s="421"/>
      <c r="CX126" s="421"/>
      <c r="CY126" s="421"/>
      <c r="CZ126" s="421"/>
      <c r="DA126" s="421"/>
      <c r="DB126" s="421"/>
      <c r="DC126" s="421"/>
      <c r="DD126" s="421"/>
      <c r="DE126" s="421"/>
      <c r="DF126" s="421"/>
      <c r="DG126" s="421"/>
      <c r="DH126" s="421"/>
      <c r="DI126" s="421"/>
      <c r="DJ126" s="421"/>
      <c r="DK126" s="421"/>
      <c r="DL126" s="421"/>
      <c r="DM126" s="421"/>
      <c r="DN126" s="421"/>
      <c r="DO126" s="421"/>
      <c r="DP126" s="421"/>
      <c r="DQ126" s="421"/>
      <c r="DR126" s="421"/>
      <c r="DS126" s="421"/>
      <c r="DT126" s="421"/>
      <c r="DU126" s="421"/>
      <c r="DV126" s="421"/>
      <c r="DW126" s="421"/>
      <c r="DX126" s="421"/>
      <c r="DY126" s="421"/>
      <c r="DZ126" s="421"/>
      <c r="EA126" s="421"/>
      <c r="EB126" s="421"/>
      <c r="EC126" s="421"/>
      <c r="ED126" s="421"/>
      <c r="EE126" s="421"/>
      <c r="EF126" s="421"/>
      <c r="EG126" s="421"/>
      <c r="EH126" s="421"/>
      <c r="EI126" s="421"/>
      <c r="EJ126" s="421"/>
      <c r="EK126" s="421"/>
      <c r="EL126" s="421"/>
      <c r="EM126" s="421"/>
      <c r="EN126" s="421"/>
      <c r="EO126" s="421"/>
      <c r="EP126" s="421"/>
      <c r="EQ126" s="421"/>
      <c r="ER126" s="421"/>
      <c r="ES126" s="421"/>
      <c r="ET126" s="421"/>
      <c r="EU126" s="421"/>
      <c r="EV126" s="421"/>
      <c r="EW126" s="421"/>
      <c r="EX126" s="421"/>
      <c r="EY126" s="421"/>
      <c r="EZ126" s="421"/>
      <c r="FA126" s="421"/>
      <c r="FB126" s="421"/>
      <c r="FC126" s="421"/>
      <c r="FD126" s="421"/>
      <c r="FE126" s="421"/>
      <c r="FF126" s="421"/>
      <c r="FG126" s="421"/>
      <c r="FH126" s="421"/>
      <c r="FI126" s="421"/>
      <c r="FJ126" s="421"/>
      <c r="FK126" s="421"/>
      <c r="FL126" s="421"/>
      <c r="FM126" s="421"/>
      <c r="FN126" s="421"/>
      <c r="FO126" s="421"/>
      <c r="FP126" s="421"/>
      <c r="FQ126" s="421"/>
      <c r="FR126" s="421"/>
      <c r="FS126" s="421"/>
      <c r="FT126" s="421"/>
      <c r="FU126" s="421"/>
      <c r="FV126" s="421"/>
      <c r="FW126" s="421"/>
      <c r="FX126" s="421"/>
      <c r="FY126" s="421"/>
      <c r="FZ126" s="421"/>
      <c r="GA126" s="421"/>
      <c r="GB126" s="421"/>
      <c r="GC126" s="421"/>
      <c r="GD126" s="421"/>
      <c r="GE126" s="421"/>
      <c r="GF126" s="421"/>
      <c r="GG126" s="421"/>
      <c r="GH126" s="421"/>
      <c r="GI126" s="421"/>
      <c r="GJ126" s="421"/>
      <c r="GK126" s="421"/>
      <c r="GL126" s="421"/>
      <c r="GM126" s="421"/>
      <c r="GN126" s="421"/>
      <c r="GO126" s="421"/>
      <c r="GP126" s="421"/>
      <c r="GQ126" s="421"/>
      <c r="GR126" s="421"/>
      <c r="GS126" s="421"/>
      <c r="GT126" s="421"/>
      <c r="GU126" s="421"/>
      <c r="GV126" s="421"/>
      <c r="GW126" s="421"/>
      <c r="GX126" s="421"/>
      <c r="GY126" s="421"/>
      <c r="GZ126" s="421"/>
      <c r="HA126" s="421"/>
      <c r="HB126" s="421"/>
      <c r="HC126" s="421"/>
      <c r="HD126" s="421"/>
      <c r="HE126" s="421"/>
      <c r="HF126" s="421"/>
      <c r="HG126" s="421"/>
      <c r="HH126" s="421"/>
      <c r="HI126" s="421"/>
      <c r="HJ126" s="421"/>
      <c r="HK126" s="421"/>
      <c r="HL126" s="421"/>
      <c r="HM126" s="421"/>
      <c r="HN126" s="421"/>
      <c r="HO126" s="421"/>
    </row>
    <row r="127" spans="7:223" s="422" customFormat="1" hidden="1" x14ac:dyDescent="0.3">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c r="AJ127" s="421"/>
      <c r="AK127" s="421"/>
      <c r="AL127" s="421"/>
      <c r="AM127" s="421"/>
      <c r="AN127" s="421"/>
      <c r="AO127" s="421"/>
      <c r="AP127" s="421"/>
      <c r="AQ127" s="421"/>
      <c r="AR127" s="421"/>
      <c r="AS127" s="421"/>
      <c r="AT127" s="421"/>
      <c r="AU127" s="421"/>
      <c r="AV127" s="421"/>
      <c r="AW127" s="421"/>
      <c r="AX127" s="421"/>
      <c r="AY127" s="421"/>
      <c r="AZ127" s="421"/>
      <c r="BA127" s="421"/>
      <c r="BB127" s="421"/>
      <c r="BC127" s="421"/>
      <c r="BD127" s="421"/>
      <c r="BE127" s="421"/>
      <c r="BF127" s="421"/>
      <c r="BG127" s="421"/>
      <c r="BH127" s="421"/>
      <c r="BI127" s="421"/>
      <c r="BJ127" s="421"/>
      <c r="BK127" s="421"/>
      <c r="BL127" s="421"/>
      <c r="BM127" s="421"/>
      <c r="BN127" s="421"/>
      <c r="BO127" s="421"/>
      <c r="BP127" s="421"/>
      <c r="BQ127" s="421"/>
      <c r="BR127" s="421"/>
      <c r="BS127" s="421"/>
      <c r="BT127" s="421"/>
      <c r="BU127" s="421"/>
      <c r="BV127" s="421"/>
      <c r="BW127" s="421"/>
      <c r="BX127" s="421"/>
      <c r="BY127" s="421"/>
      <c r="BZ127" s="421"/>
      <c r="CA127" s="421"/>
      <c r="CB127" s="421"/>
      <c r="CC127" s="421"/>
      <c r="CD127" s="421"/>
      <c r="CE127" s="421"/>
      <c r="CF127" s="421"/>
      <c r="CG127" s="421"/>
      <c r="CH127" s="421"/>
      <c r="CI127" s="421"/>
      <c r="CJ127" s="421"/>
      <c r="CK127" s="421"/>
      <c r="CL127" s="421"/>
      <c r="CM127" s="421"/>
      <c r="CN127" s="421"/>
      <c r="CO127" s="421"/>
      <c r="CP127" s="421"/>
      <c r="CQ127" s="421"/>
      <c r="CR127" s="421"/>
      <c r="CS127" s="421"/>
      <c r="CT127" s="421"/>
      <c r="CU127" s="421"/>
      <c r="CV127" s="421"/>
      <c r="CW127" s="421"/>
      <c r="CX127" s="421"/>
      <c r="CY127" s="421"/>
      <c r="CZ127" s="421"/>
      <c r="DA127" s="421"/>
      <c r="DB127" s="421"/>
      <c r="DC127" s="421"/>
      <c r="DD127" s="421"/>
      <c r="DE127" s="421"/>
      <c r="DF127" s="421"/>
      <c r="DG127" s="421"/>
      <c r="DH127" s="421"/>
      <c r="DI127" s="421"/>
      <c r="DJ127" s="421"/>
      <c r="DK127" s="421"/>
      <c r="DL127" s="421"/>
      <c r="DM127" s="421"/>
      <c r="DN127" s="421"/>
      <c r="DO127" s="421"/>
      <c r="DP127" s="421"/>
      <c r="DQ127" s="421"/>
      <c r="DR127" s="421"/>
      <c r="DS127" s="421"/>
      <c r="DT127" s="421"/>
      <c r="DU127" s="421"/>
      <c r="DV127" s="421"/>
      <c r="DW127" s="421"/>
      <c r="DX127" s="421"/>
      <c r="DY127" s="421"/>
      <c r="DZ127" s="421"/>
      <c r="EA127" s="421"/>
      <c r="EB127" s="421"/>
      <c r="EC127" s="421"/>
      <c r="ED127" s="421"/>
      <c r="EE127" s="421"/>
      <c r="EF127" s="421"/>
      <c r="EG127" s="421"/>
      <c r="EH127" s="421"/>
      <c r="EI127" s="421"/>
      <c r="EJ127" s="421"/>
      <c r="EK127" s="421"/>
      <c r="EL127" s="421"/>
      <c r="EM127" s="421"/>
      <c r="EN127" s="421"/>
      <c r="EO127" s="421"/>
      <c r="EP127" s="421"/>
      <c r="EQ127" s="421"/>
      <c r="ER127" s="421"/>
      <c r="ES127" s="421"/>
      <c r="ET127" s="421"/>
      <c r="EU127" s="421"/>
      <c r="EV127" s="421"/>
      <c r="EW127" s="421"/>
      <c r="EX127" s="421"/>
      <c r="EY127" s="421"/>
      <c r="EZ127" s="421"/>
      <c r="FA127" s="421"/>
      <c r="FB127" s="421"/>
      <c r="FC127" s="421"/>
      <c r="FD127" s="421"/>
      <c r="FE127" s="421"/>
      <c r="FF127" s="421"/>
      <c r="FG127" s="421"/>
      <c r="FH127" s="421"/>
      <c r="FI127" s="421"/>
      <c r="FJ127" s="421"/>
      <c r="FK127" s="421"/>
      <c r="FL127" s="421"/>
      <c r="FM127" s="421"/>
      <c r="FN127" s="421"/>
      <c r="FO127" s="421"/>
      <c r="FP127" s="421"/>
      <c r="FQ127" s="421"/>
      <c r="FR127" s="421"/>
      <c r="FS127" s="421"/>
      <c r="FT127" s="421"/>
      <c r="FU127" s="421"/>
      <c r="FV127" s="421"/>
      <c r="FW127" s="421"/>
      <c r="FX127" s="421"/>
      <c r="FY127" s="421"/>
      <c r="FZ127" s="421"/>
      <c r="GA127" s="421"/>
      <c r="GB127" s="421"/>
      <c r="GC127" s="421"/>
      <c r="GD127" s="421"/>
      <c r="GE127" s="421"/>
      <c r="GF127" s="421"/>
      <c r="GG127" s="421"/>
      <c r="GH127" s="421"/>
      <c r="GI127" s="421"/>
      <c r="GJ127" s="421"/>
      <c r="GK127" s="421"/>
      <c r="GL127" s="421"/>
      <c r="GM127" s="421"/>
      <c r="GN127" s="421"/>
      <c r="GO127" s="421"/>
      <c r="GP127" s="421"/>
      <c r="GQ127" s="421"/>
      <c r="GR127" s="421"/>
      <c r="GS127" s="421"/>
      <c r="GT127" s="421"/>
      <c r="GU127" s="421"/>
      <c r="GV127" s="421"/>
      <c r="GW127" s="421"/>
      <c r="GX127" s="421"/>
      <c r="GY127" s="421"/>
      <c r="GZ127" s="421"/>
      <c r="HA127" s="421"/>
      <c r="HB127" s="421"/>
      <c r="HC127" s="421"/>
      <c r="HD127" s="421"/>
      <c r="HE127" s="421"/>
      <c r="HF127" s="421"/>
      <c r="HG127" s="421"/>
      <c r="HH127" s="421"/>
      <c r="HI127" s="421"/>
      <c r="HJ127" s="421"/>
      <c r="HK127" s="421"/>
      <c r="HL127" s="421"/>
      <c r="HM127" s="421"/>
      <c r="HN127" s="421"/>
      <c r="HO127" s="421"/>
    </row>
    <row r="128" spans="7:223" s="422" customFormat="1" hidden="1" x14ac:dyDescent="0.3">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c r="AJ128" s="421"/>
      <c r="AK128" s="421"/>
      <c r="AL128" s="421"/>
      <c r="AM128" s="421"/>
      <c r="AN128" s="421"/>
      <c r="AO128" s="421"/>
      <c r="AP128" s="421"/>
      <c r="AQ128" s="421"/>
      <c r="AR128" s="421"/>
      <c r="AS128" s="421"/>
      <c r="AT128" s="421"/>
      <c r="AU128" s="421"/>
      <c r="AV128" s="421"/>
      <c r="AW128" s="421"/>
      <c r="AX128" s="421"/>
      <c r="AY128" s="421"/>
      <c r="AZ128" s="421"/>
      <c r="BA128" s="421"/>
      <c r="BB128" s="421"/>
      <c r="BC128" s="421"/>
      <c r="BD128" s="421"/>
      <c r="BE128" s="421"/>
      <c r="BF128" s="421"/>
      <c r="BG128" s="421"/>
      <c r="BH128" s="421"/>
      <c r="BI128" s="421"/>
      <c r="BJ128" s="421"/>
      <c r="BK128" s="421"/>
      <c r="BL128" s="421"/>
      <c r="BM128" s="421"/>
      <c r="BN128" s="421"/>
      <c r="BO128" s="421"/>
      <c r="BP128" s="421"/>
      <c r="BQ128" s="421"/>
      <c r="BR128" s="421"/>
      <c r="BS128" s="421"/>
      <c r="BT128" s="421"/>
      <c r="BU128" s="421"/>
      <c r="BV128" s="421"/>
      <c r="BW128" s="421"/>
      <c r="BX128" s="421"/>
      <c r="BY128" s="421"/>
      <c r="BZ128" s="421"/>
      <c r="CA128" s="421"/>
      <c r="CB128" s="421"/>
      <c r="CC128" s="421"/>
      <c r="CD128" s="421"/>
      <c r="CE128" s="421"/>
      <c r="CF128" s="421"/>
      <c r="CG128" s="421"/>
      <c r="CH128" s="421"/>
      <c r="CI128" s="421"/>
      <c r="CJ128" s="421"/>
      <c r="CK128" s="421"/>
      <c r="CL128" s="421"/>
      <c r="CM128" s="421"/>
      <c r="CN128" s="421"/>
      <c r="CO128" s="421"/>
      <c r="CP128" s="421"/>
      <c r="CQ128" s="421"/>
      <c r="CR128" s="421"/>
      <c r="CS128" s="421"/>
      <c r="CT128" s="421"/>
      <c r="CU128" s="421"/>
      <c r="CV128" s="421"/>
      <c r="CW128" s="421"/>
      <c r="CX128" s="421"/>
      <c r="CY128" s="421"/>
      <c r="CZ128" s="421"/>
      <c r="DA128" s="421"/>
      <c r="DB128" s="421"/>
      <c r="DC128" s="421"/>
      <c r="DD128" s="421"/>
      <c r="DE128" s="421"/>
      <c r="DF128" s="421"/>
      <c r="DG128" s="421"/>
      <c r="DH128" s="421"/>
      <c r="DI128" s="421"/>
      <c r="DJ128" s="421"/>
      <c r="DK128" s="421"/>
      <c r="DL128" s="421"/>
      <c r="DM128" s="421"/>
      <c r="DN128" s="421"/>
      <c r="DO128" s="421"/>
      <c r="DP128" s="421"/>
      <c r="DQ128" s="421"/>
      <c r="DR128" s="421"/>
      <c r="DS128" s="421"/>
      <c r="DT128" s="421"/>
      <c r="DU128" s="421"/>
      <c r="DV128" s="421"/>
      <c r="DW128" s="421"/>
      <c r="DX128" s="421"/>
      <c r="DY128" s="421"/>
      <c r="DZ128" s="421"/>
      <c r="EA128" s="421"/>
      <c r="EB128" s="421"/>
      <c r="EC128" s="421"/>
      <c r="ED128" s="421"/>
      <c r="EE128" s="421"/>
      <c r="EF128" s="421"/>
      <c r="EG128" s="421"/>
      <c r="EH128" s="421"/>
      <c r="EI128" s="421"/>
      <c r="EJ128" s="421"/>
      <c r="EK128" s="421"/>
      <c r="EL128" s="421"/>
      <c r="EM128" s="421"/>
      <c r="EN128" s="421"/>
      <c r="EO128" s="421"/>
      <c r="EP128" s="421"/>
      <c r="EQ128" s="421"/>
      <c r="ER128" s="421"/>
      <c r="ES128" s="421"/>
      <c r="ET128" s="421"/>
      <c r="EU128" s="421"/>
      <c r="EV128" s="421"/>
      <c r="EW128" s="421"/>
      <c r="EX128" s="421"/>
      <c r="EY128" s="421"/>
      <c r="EZ128" s="421"/>
      <c r="FA128" s="421"/>
      <c r="FB128" s="421"/>
      <c r="FC128" s="421"/>
      <c r="FD128" s="421"/>
      <c r="FE128" s="421"/>
      <c r="FF128" s="421"/>
      <c r="FG128" s="421"/>
      <c r="FH128" s="421"/>
      <c r="FI128" s="421"/>
      <c r="FJ128" s="421"/>
      <c r="FK128" s="421"/>
      <c r="FL128" s="421"/>
      <c r="FM128" s="421"/>
      <c r="FN128" s="421"/>
      <c r="FO128" s="421"/>
      <c r="FP128" s="421"/>
      <c r="FQ128" s="421"/>
      <c r="FR128" s="421"/>
      <c r="FS128" s="421"/>
      <c r="FT128" s="421"/>
      <c r="FU128" s="421"/>
      <c r="FV128" s="421"/>
      <c r="FW128" s="421"/>
      <c r="FX128" s="421"/>
      <c r="FY128" s="421"/>
      <c r="FZ128" s="421"/>
      <c r="GA128" s="421"/>
      <c r="GB128" s="421"/>
      <c r="GC128" s="421"/>
      <c r="GD128" s="421"/>
      <c r="GE128" s="421"/>
      <c r="GF128" s="421"/>
      <c r="GG128" s="421"/>
      <c r="GH128" s="421"/>
      <c r="GI128" s="421"/>
      <c r="GJ128" s="421"/>
      <c r="GK128" s="421"/>
      <c r="GL128" s="421"/>
      <c r="GM128" s="421"/>
      <c r="GN128" s="421"/>
      <c r="GO128" s="421"/>
      <c r="GP128" s="421"/>
      <c r="GQ128" s="421"/>
      <c r="GR128" s="421"/>
      <c r="GS128" s="421"/>
      <c r="GT128" s="421"/>
      <c r="GU128" s="421"/>
      <c r="GV128" s="421"/>
      <c r="GW128" s="421"/>
      <c r="GX128" s="421"/>
      <c r="GY128" s="421"/>
      <c r="GZ128" s="421"/>
      <c r="HA128" s="421"/>
      <c r="HB128" s="421"/>
      <c r="HC128" s="421"/>
      <c r="HD128" s="421"/>
      <c r="HE128" s="421"/>
      <c r="HF128" s="421"/>
      <c r="HG128" s="421"/>
      <c r="HH128" s="421"/>
      <c r="HI128" s="421"/>
      <c r="HJ128" s="421"/>
      <c r="HK128" s="421"/>
      <c r="HL128" s="421"/>
      <c r="HM128" s="421"/>
      <c r="HN128" s="421"/>
      <c r="HO128" s="421"/>
    </row>
    <row r="129" spans="7:223" s="422" customFormat="1" hidden="1" x14ac:dyDescent="0.3">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c r="AJ129" s="421"/>
      <c r="AK129" s="421"/>
      <c r="AL129" s="421"/>
      <c r="AM129" s="421"/>
      <c r="AN129" s="421"/>
      <c r="AO129" s="421"/>
      <c r="AP129" s="421"/>
      <c r="AQ129" s="421"/>
      <c r="AR129" s="421"/>
      <c r="AS129" s="421"/>
      <c r="AT129" s="421"/>
      <c r="AU129" s="421"/>
      <c r="AV129" s="421"/>
      <c r="AW129" s="421"/>
      <c r="AX129" s="421"/>
      <c r="AY129" s="421"/>
      <c r="AZ129" s="421"/>
      <c r="BA129" s="421"/>
      <c r="BB129" s="421"/>
      <c r="BC129" s="421"/>
      <c r="BD129" s="421"/>
      <c r="BE129" s="421"/>
      <c r="BF129" s="421"/>
      <c r="BG129" s="421"/>
      <c r="BH129" s="421"/>
      <c r="BI129" s="421"/>
      <c r="BJ129" s="421"/>
      <c r="BK129" s="421"/>
      <c r="BL129" s="421"/>
      <c r="BM129" s="421"/>
      <c r="BN129" s="421"/>
      <c r="BO129" s="421"/>
      <c r="BP129" s="421"/>
      <c r="BQ129" s="421"/>
      <c r="BR129" s="421"/>
      <c r="BS129" s="421"/>
      <c r="BT129" s="421"/>
      <c r="BU129" s="421"/>
      <c r="BV129" s="421"/>
      <c r="BW129" s="421"/>
      <c r="BX129" s="421"/>
      <c r="BY129" s="421"/>
      <c r="BZ129" s="421"/>
      <c r="CA129" s="421"/>
      <c r="CB129" s="421"/>
      <c r="CC129" s="421"/>
      <c r="CD129" s="421"/>
      <c r="CE129" s="421"/>
      <c r="CF129" s="421"/>
      <c r="CG129" s="421"/>
      <c r="CH129" s="421"/>
      <c r="CI129" s="421"/>
      <c r="CJ129" s="421"/>
      <c r="CK129" s="421"/>
      <c r="CL129" s="421"/>
      <c r="CM129" s="421"/>
      <c r="CN129" s="421"/>
      <c r="CO129" s="421"/>
      <c r="CP129" s="421"/>
      <c r="CQ129" s="421"/>
      <c r="CR129" s="421"/>
      <c r="CS129" s="421"/>
      <c r="CT129" s="421"/>
      <c r="CU129" s="421"/>
      <c r="CV129" s="421"/>
      <c r="CW129" s="421"/>
      <c r="CX129" s="421"/>
      <c r="CY129" s="421"/>
      <c r="CZ129" s="421"/>
      <c r="DA129" s="421"/>
      <c r="DB129" s="421"/>
      <c r="DC129" s="421"/>
      <c r="DD129" s="421"/>
      <c r="DE129" s="421"/>
      <c r="DF129" s="421"/>
      <c r="DG129" s="421"/>
      <c r="DH129" s="421"/>
      <c r="DI129" s="421"/>
      <c r="DJ129" s="421"/>
      <c r="DK129" s="421"/>
      <c r="DL129" s="421"/>
      <c r="DM129" s="421"/>
      <c r="DN129" s="421"/>
      <c r="DO129" s="421"/>
      <c r="DP129" s="421"/>
      <c r="DQ129" s="421"/>
      <c r="DR129" s="421"/>
      <c r="DS129" s="421"/>
      <c r="DT129" s="421"/>
      <c r="DU129" s="421"/>
      <c r="DV129" s="421"/>
      <c r="DW129" s="421"/>
      <c r="DX129" s="421"/>
      <c r="DY129" s="421"/>
      <c r="DZ129" s="421"/>
      <c r="EA129" s="421"/>
      <c r="EB129" s="421"/>
      <c r="EC129" s="421"/>
      <c r="ED129" s="421"/>
      <c r="EE129" s="421"/>
      <c r="EF129" s="421"/>
      <c r="EG129" s="421"/>
      <c r="EH129" s="421"/>
      <c r="EI129" s="421"/>
      <c r="EJ129" s="421"/>
      <c r="EK129" s="421"/>
      <c r="EL129" s="421"/>
      <c r="EM129" s="421"/>
      <c r="EN129" s="421"/>
      <c r="EO129" s="421"/>
      <c r="EP129" s="421"/>
      <c r="EQ129" s="421"/>
      <c r="ER129" s="421"/>
      <c r="ES129" s="421"/>
      <c r="ET129" s="421"/>
      <c r="EU129" s="421"/>
      <c r="EV129" s="421"/>
      <c r="EW129" s="421"/>
      <c r="EX129" s="421"/>
      <c r="EY129" s="421"/>
      <c r="EZ129" s="421"/>
      <c r="FA129" s="421"/>
      <c r="FB129" s="421"/>
      <c r="FC129" s="421"/>
      <c r="FD129" s="421"/>
      <c r="FE129" s="421"/>
      <c r="FF129" s="421"/>
      <c r="FG129" s="421"/>
      <c r="FH129" s="421"/>
      <c r="FI129" s="421"/>
      <c r="FJ129" s="421"/>
      <c r="FK129" s="421"/>
      <c r="FL129" s="421"/>
      <c r="FM129" s="421"/>
      <c r="FN129" s="421"/>
      <c r="FO129" s="421"/>
      <c r="FP129" s="421"/>
      <c r="FQ129" s="421"/>
      <c r="FR129" s="421"/>
      <c r="FS129" s="421"/>
      <c r="FT129" s="421"/>
      <c r="FU129" s="421"/>
      <c r="FV129" s="421"/>
      <c r="FW129" s="421"/>
      <c r="FX129" s="421"/>
      <c r="FY129" s="421"/>
      <c r="FZ129" s="421"/>
      <c r="GA129" s="421"/>
      <c r="GB129" s="421"/>
      <c r="GC129" s="421"/>
      <c r="GD129" s="421"/>
      <c r="GE129" s="421"/>
      <c r="GF129" s="421"/>
      <c r="GG129" s="421"/>
      <c r="GH129" s="421"/>
      <c r="GI129" s="421"/>
      <c r="GJ129" s="421"/>
      <c r="GK129" s="421"/>
      <c r="GL129" s="421"/>
      <c r="GM129" s="421"/>
      <c r="GN129" s="421"/>
      <c r="GO129" s="421"/>
      <c r="GP129" s="421"/>
      <c r="GQ129" s="421"/>
      <c r="GR129" s="421"/>
      <c r="GS129" s="421"/>
      <c r="GT129" s="421"/>
      <c r="GU129" s="421"/>
      <c r="GV129" s="421"/>
      <c r="GW129" s="421"/>
      <c r="GX129" s="421"/>
      <c r="GY129" s="421"/>
      <c r="GZ129" s="421"/>
      <c r="HA129" s="421"/>
      <c r="HB129" s="421"/>
      <c r="HC129" s="421"/>
      <c r="HD129" s="421"/>
      <c r="HE129" s="421"/>
      <c r="HF129" s="421"/>
      <c r="HG129" s="421"/>
      <c r="HH129" s="421"/>
      <c r="HI129" s="421"/>
      <c r="HJ129" s="421"/>
      <c r="HK129" s="421"/>
      <c r="HL129" s="421"/>
      <c r="HM129" s="421"/>
      <c r="HN129" s="421"/>
      <c r="HO129" s="421"/>
    </row>
    <row r="130" spans="7:223" s="422" customFormat="1" hidden="1" x14ac:dyDescent="0.3">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c r="AJ130" s="421"/>
      <c r="AK130" s="421"/>
      <c r="AL130" s="421"/>
      <c r="AM130" s="421"/>
      <c r="AN130" s="421"/>
      <c r="AO130" s="421"/>
      <c r="AP130" s="421"/>
      <c r="AQ130" s="421"/>
      <c r="AR130" s="421"/>
      <c r="AS130" s="421"/>
      <c r="AT130" s="421"/>
      <c r="AU130" s="421"/>
      <c r="AV130" s="421"/>
      <c r="AW130" s="421"/>
      <c r="AX130" s="421"/>
      <c r="AY130" s="421"/>
      <c r="AZ130" s="421"/>
      <c r="BA130" s="421"/>
      <c r="BB130" s="421"/>
      <c r="BC130" s="421"/>
      <c r="BD130" s="421"/>
      <c r="BE130" s="421"/>
      <c r="BF130" s="421"/>
      <c r="BG130" s="421"/>
      <c r="BH130" s="421"/>
      <c r="BI130" s="421"/>
      <c r="BJ130" s="421"/>
      <c r="BK130" s="421"/>
      <c r="BL130" s="421"/>
      <c r="BM130" s="421"/>
      <c r="BN130" s="421"/>
      <c r="BO130" s="421"/>
      <c r="BP130" s="421"/>
      <c r="BQ130" s="421"/>
      <c r="BR130" s="421"/>
      <c r="BS130" s="421"/>
      <c r="BT130" s="421"/>
      <c r="BU130" s="421"/>
      <c r="BV130" s="421"/>
      <c r="BW130" s="421"/>
      <c r="BX130" s="421"/>
      <c r="BY130" s="421"/>
      <c r="BZ130" s="421"/>
      <c r="CA130" s="421"/>
      <c r="CB130" s="421"/>
      <c r="CC130" s="421"/>
      <c r="CD130" s="421"/>
      <c r="CE130" s="421"/>
      <c r="CF130" s="421"/>
      <c r="CG130" s="421"/>
      <c r="CH130" s="421"/>
      <c r="CI130" s="421"/>
      <c r="CJ130" s="421"/>
      <c r="CK130" s="421"/>
      <c r="CL130" s="421"/>
      <c r="CM130" s="421"/>
      <c r="CN130" s="421"/>
      <c r="CO130" s="421"/>
      <c r="CP130" s="421"/>
      <c r="CQ130" s="421"/>
      <c r="CR130" s="421"/>
      <c r="CS130" s="421"/>
      <c r="CT130" s="421"/>
      <c r="CU130" s="421"/>
      <c r="CV130" s="421"/>
      <c r="CW130" s="421"/>
      <c r="CX130" s="421"/>
      <c r="CY130" s="421"/>
      <c r="CZ130" s="421"/>
      <c r="DA130" s="421"/>
      <c r="DB130" s="421"/>
      <c r="DC130" s="421"/>
      <c r="DD130" s="421"/>
      <c r="DE130" s="421"/>
      <c r="DF130" s="421"/>
      <c r="DG130" s="421"/>
      <c r="DH130" s="421"/>
      <c r="DI130" s="421"/>
      <c r="DJ130" s="421"/>
      <c r="DK130" s="421"/>
      <c r="DL130" s="421"/>
      <c r="DM130" s="421"/>
      <c r="DN130" s="421"/>
      <c r="DO130" s="421"/>
      <c r="DP130" s="421"/>
      <c r="DQ130" s="421"/>
      <c r="DR130" s="421"/>
      <c r="DS130" s="421"/>
      <c r="DT130" s="421"/>
      <c r="DU130" s="421"/>
      <c r="DV130" s="421"/>
      <c r="DW130" s="421"/>
      <c r="DX130" s="421"/>
      <c r="DY130" s="421"/>
      <c r="DZ130" s="421"/>
      <c r="EA130" s="421"/>
      <c r="EB130" s="421"/>
      <c r="EC130" s="421"/>
      <c r="ED130" s="421"/>
      <c r="EE130" s="421"/>
      <c r="EF130" s="421"/>
      <c r="EG130" s="421"/>
      <c r="EH130" s="421"/>
      <c r="EI130" s="421"/>
      <c r="EJ130" s="421"/>
      <c r="EK130" s="421"/>
      <c r="EL130" s="421"/>
      <c r="EM130" s="421"/>
      <c r="EN130" s="421"/>
      <c r="EO130" s="421"/>
      <c r="EP130" s="421"/>
      <c r="EQ130" s="421"/>
      <c r="ER130" s="421"/>
      <c r="ES130" s="421"/>
      <c r="ET130" s="421"/>
      <c r="EU130" s="421"/>
      <c r="EV130" s="421"/>
      <c r="EW130" s="421"/>
      <c r="EX130" s="421"/>
      <c r="EY130" s="421"/>
      <c r="EZ130" s="421"/>
      <c r="FA130" s="421"/>
      <c r="FB130" s="421"/>
      <c r="FC130" s="421"/>
      <c r="FD130" s="421"/>
      <c r="FE130" s="421"/>
      <c r="FF130" s="421"/>
      <c r="FG130" s="421"/>
      <c r="FH130" s="421"/>
      <c r="FI130" s="421"/>
      <c r="FJ130" s="421"/>
      <c r="FK130" s="421"/>
      <c r="FL130" s="421"/>
      <c r="FM130" s="421"/>
      <c r="FN130" s="421"/>
      <c r="FO130" s="421"/>
      <c r="FP130" s="421"/>
      <c r="FQ130" s="421"/>
      <c r="FR130" s="421"/>
      <c r="FS130" s="421"/>
      <c r="FT130" s="421"/>
      <c r="FU130" s="421"/>
      <c r="FV130" s="421"/>
      <c r="FW130" s="421"/>
      <c r="FX130" s="421"/>
      <c r="FY130" s="421"/>
      <c r="FZ130" s="421"/>
      <c r="GA130" s="421"/>
      <c r="GB130" s="421"/>
      <c r="GC130" s="421"/>
      <c r="GD130" s="421"/>
      <c r="GE130" s="421"/>
      <c r="GF130" s="421"/>
      <c r="GG130" s="421"/>
      <c r="GH130" s="421"/>
      <c r="GI130" s="421"/>
      <c r="GJ130" s="421"/>
      <c r="GK130" s="421"/>
      <c r="GL130" s="421"/>
      <c r="GM130" s="421"/>
      <c r="GN130" s="421"/>
      <c r="GO130" s="421"/>
      <c r="GP130" s="421"/>
      <c r="GQ130" s="421"/>
      <c r="GR130" s="421"/>
      <c r="GS130" s="421"/>
      <c r="GT130" s="421"/>
      <c r="GU130" s="421"/>
      <c r="GV130" s="421"/>
      <c r="GW130" s="421"/>
      <c r="GX130" s="421"/>
      <c r="GY130" s="421"/>
      <c r="GZ130" s="421"/>
      <c r="HA130" s="421"/>
      <c r="HB130" s="421"/>
      <c r="HC130" s="421"/>
      <c r="HD130" s="421"/>
      <c r="HE130" s="421"/>
      <c r="HF130" s="421"/>
      <c r="HG130" s="421"/>
      <c r="HH130" s="421"/>
      <c r="HI130" s="421"/>
      <c r="HJ130" s="421"/>
      <c r="HK130" s="421"/>
      <c r="HL130" s="421"/>
      <c r="HM130" s="421"/>
      <c r="HN130" s="421"/>
      <c r="HO130" s="421"/>
    </row>
    <row r="131" spans="7:223" s="422" customFormat="1" hidden="1" x14ac:dyDescent="0.3">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c r="AJ131" s="421"/>
      <c r="AK131" s="421"/>
      <c r="AL131" s="421"/>
      <c r="AM131" s="421"/>
      <c r="AN131" s="421"/>
      <c r="AO131" s="421"/>
      <c r="AP131" s="421"/>
      <c r="AQ131" s="421"/>
      <c r="AR131" s="421"/>
      <c r="AS131" s="421"/>
      <c r="AT131" s="421"/>
      <c r="AU131" s="421"/>
      <c r="AV131" s="421"/>
      <c r="AW131" s="421"/>
      <c r="AX131" s="421"/>
      <c r="AY131" s="421"/>
      <c r="AZ131" s="421"/>
      <c r="BA131" s="421"/>
      <c r="BB131" s="421"/>
      <c r="BC131" s="421"/>
      <c r="BD131" s="421"/>
      <c r="BE131" s="421"/>
      <c r="BF131" s="421"/>
      <c r="BG131" s="421"/>
      <c r="BH131" s="421"/>
      <c r="BI131" s="421"/>
      <c r="BJ131" s="421"/>
      <c r="BK131" s="421"/>
      <c r="BL131" s="421"/>
      <c r="BM131" s="421"/>
      <c r="BN131" s="421"/>
      <c r="BO131" s="421"/>
      <c r="BP131" s="421"/>
      <c r="BQ131" s="421"/>
      <c r="BR131" s="421"/>
      <c r="BS131" s="421"/>
      <c r="BT131" s="421"/>
      <c r="BU131" s="421"/>
      <c r="BV131" s="421"/>
      <c r="BW131" s="421"/>
      <c r="BX131" s="421"/>
      <c r="BY131" s="421"/>
      <c r="BZ131" s="421"/>
      <c r="CA131" s="421"/>
      <c r="CB131" s="421"/>
      <c r="CC131" s="421"/>
      <c r="CD131" s="421"/>
      <c r="CE131" s="421"/>
      <c r="CF131" s="421"/>
      <c r="CG131" s="421"/>
      <c r="CH131" s="421"/>
      <c r="CI131" s="421"/>
      <c r="CJ131" s="421"/>
      <c r="CK131" s="421"/>
      <c r="CL131" s="421"/>
      <c r="CM131" s="421"/>
      <c r="CN131" s="421"/>
      <c r="CO131" s="421"/>
      <c r="CP131" s="421"/>
      <c r="CQ131" s="421"/>
      <c r="CR131" s="421"/>
      <c r="CS131" s="421"/>
      <c r="CT131" s="421"/>
      <c r="CU131" s="421"/>
      <c r="CV131" s="421"/>
      <c r="CW131" s="421"/>
      <c r="CX131" s="421"/>
      <c r="CY131" s="421"/>
      <c r="CZ131" s="421"/>
      <c r="DA131" s="421"/>
      <c r="DB131" s="421"/>
      <c r="DC131" s="421"/>
      <c r="DD131" s="421"/>
      <c r="DE131" s="421"/>
      <c r="DF131" s="421"/>
      <c r="DG131" s="421"/>
      <c r="DH131" s="421"/>
      <c r="DI131" s="421"/>
      <c r="DJ131" s="421"/>
      <c r="DK131" s="421"/>
      <c r="DL131" s="421"/>
      <c r="DM131" s="421"/>
      <c r="DN131" s="421"/>
      <c r="DO131" s="421"/>
      <c r="DP131" s="421"/>
      <c r="DQ131" s="421"/>
      <c r="DR131" s="421"/>
      <c r="DS131" s="421"/>
      <c r="DT131" s="421"/>
      <c r="DU131" s="421"/>
      <c r="DV131" s="421"/>
      <c r="DW131" s="421"/>
      <c r="DX131" s="421"/>
      <c r="DY131" s="421"/>
      <c r="DZ131" s="421"/>
      <c r="EA131" s="421"/>
      <c r="EB131" s="421"/>
      <c r="EC131" s="421"/>
      <c r="ED131" s="421"/>
      <c r="EE131" s="421"/>
      <c r="EF131" s="421"/>
      <c r="EG131" s="421"/>
      <c r="EH131" s="421"/>
      <c r="EI131" s="421"/>
      <c r="EJ131" s="421"/>
      <c r="EK131" s="421"/>
      <c r="EL131" s="421"/>
      <c r="EM131" s="421"/>
      <c r="EN131" s="421"/>
      <c r="EO131" s="421"/>
      <c r="EP131" s="421"/>
      <c r="EQ131" s="421"/>
      <c r="ER131" s="421"/>
      <c r="ES131" s="421"/>
      <c r="ET131" s="421"/>
      <c r="EU131" s="421"/>
      <c r="EV131" s="421"/>
      <c r="EW131" s="421"/>
      <c r="EX131" s="421"/>
      <c r="EY131" s="421"/>
      <c r="EZ131" s="421"/>
      <c r="FA131" s="421"/>
      <c r="FB131" s="421"/>
      <c r="FC131" s="421"/>
      <c r="FD131" s="421"/>
      <c r="FE131" s="421"/>
      <c r="FF131" s="421"/>
      <c r="FG131" s="421"/>
      <c r="FH131" s="421"/>
      <c r="FI131" s="421"/>
      <c r="FJ131" s="421"/>
      <c r="FK131" s="421"/>
      <c r="FL131" s="421"/>
      <c r="FM131" s="421"/>
      <c r="FN131" s="421"/>
      <c r="FO131" s="421"/>
      <c r="FP131" s="421"/>
      <c r="FQ131" s="421"/>
      <c r="FR131" s="421"/>
      <c r="FS131" s="421"/>
      <c r="FT131" s="421"/>
      <c r="FU131" s="421"/>
      <c r="FV131" s="421"/>
      <c r="FW131" s="421"/>
      <c r="FX131" s="421"/>
      <c r="FY131" s="421"/>
      <c r="FZ131" s="421"/>
      <c r="GA131" s="421"/>
      <c r="GB131" s="421"/>
      <c r="GC131" s="421"/>
      <c r="GD131" s="421"/>
      <c r="GE131" s="421"/>
      <c r="GF131" s="421"/>
      <c r="GG131" s="421"/>
      <c r="GH131" s="421"/>
      <c r="GI131" s="421"/>
      <c r="GJ131" s="421"/>
      <c r="GK131" s="421"/>
      <c r="GL131" s="421"/>
      <c r="GM131" s="421"/>
      <c r="GN131" s="421"/>
      <c r="GO131" s="421"/>
      <c r="GP131" s="421"/>
      <c r="GQ131" s="421"/>
      <c r="GR131" s="421"/>
      <c r="GS131" s="421"/>
      <c r="GT131" s="421"/>
      <c r="GU131" s="421"/>
      <c r="GV131" s="421"/>
      <c r="GW131" s="421"/>
      <c r="GX131" s="421"/>
      <c r="GY131" s="421"/>
      <c r="GZ131" s="421"/>
      <c r="HA131" s="421"/>
      <c r="HB131" s="421"/>
      <c r="HC131" s="421"/>
      <c r="HD131" s="421"/>
      <c r="HE131" s="421"/>
      <c r="HF131" s="421"/>
      <c r="HG131" s="421"/>
      <c r="HH131" s="421"/>
      <c r="HI131" s="421"/>
      <c r="HJ131" s="421"/>
      <c r="HK131" s="421"/>
      <c r="HL131" s="421"/>
      <c r="HM131" s="421"/>
      <c r="HN131" s="421"/>
      <c r="HO131" s="421"/>
    </row>
    <row r="132" spans="7:223" s="422" customFormat="1" hidden="1" x14ac:dyDescent="0.3">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c r="AJ132" s="421"/>
      <c r="AK132" s="421"/>
      <c r="AL132" s="421"/>
      <c r="AM132" s="421"/>
      <c r="AN132" s="421"/>
      <c r="AO132" s="421"/>
      <c r="AP132" s="421"/>
      <c r="AQ132" s="421"/>
      <c r="AR132" s="421"/>
      <c r="AS132" s="421"/>
      <c r="AT132" s="421"/>
      <c r="AU132" s="421"/>
      <c r="AV132" s="421"/>
      <c r="AW132" s="421"/>
      <c r="AX132" s="421"/>
      <c r="AY132" s="421"/>
      <c r="AZ132" s="421"/>
      <c r="BA132" s="421"/>
      <c r="BB132" s="421"/>
      <c r="BC132" s="421"/>
      <c r="BD132" s="421"/>
      <c r="BE132" s="421"/>
      <c r="BF132" s="421"/>
      <c r="BG132" s="421"/>
      <c r="BH132" s="421"/>
      <c r="BI132" s="421"/>
      <c r="BJ132" s="421"/>
      <c r="BK132" s="421"/>
      <c r="BL132" s="421"/>
      <c r="BM132" s="421"/>
      <c r="BN132" s="421"/>
      <c r="BO132" s="421"/>
      <c r="BP132" s="421"/>
      <c r="BQ132" s="421"/>
      <c r="BR132" s="421"/>
      <c r="BS132" s="421"/>
      <c r="BT132" s="421"/>
      <c r="BU132" s="421"/>
      <c r="BV132" s="421"/>
      <c r="BW132" s="421"/>
      <c r="BX132" s="421"/>
      <c r="BY132" s="421"/>
      <c r="BZ132" s="421"/>
      <c r="CA132" s="421"/>
      <c r="CB132" s="421"/>
      <c r="CC132" s="421"/>
      <c r="CD132" s="421"/>
      <c r="CE132" s="421"/>
      <c r="CF132" s="421"/>
      <c r="CG132" s="421"/>
      <c r="CH132" s="421"/>
      <c r="CI132" s="421"/>
      <c r="CJ132" s="421"/>
      <c r="CK132" s="421"/>
      <c r="CL132" s="421"/>
      <c r="CM132" s="421"/>
      <c r="CN132" s="421"/>
      <c r="CO132" s="421"/>
      <c r="CP132" s="421"/>
      <c r="CQ132" s="421"/>
      <c r="CR132" s="421"/>
      <c r="CS132" s="421"/>
      <c r="CT132" s="421"/>
      <c r="CU132" s="421"/>
      <c r="CV132" s="421"/>
      <c r="CW132" s="421"/>
      <c r="CX132" s="421"/>
      <c r="CY132" s="421"/>
      <c r="CZ132" s="421"/>
      <c r="DA132" s="421"/>
      <c r="DB132" s="421"/>
      <c r="DC132" s="421"/>
      <c r="DD132" s="421"/>
      <c r="DE132" s="421"/>
      <c r="DF132" s="421"/>
      <c r="DG132" s="421"/>
      <c r="DH132" s="421"/>
      <c r="DI132" s="421"/>
      <c r="DJ132" s="421"/>
      <c r="DK132" s="421"/>
      <c r="DL132" s="421"/>
      <c r="DM132" s="421"/>
      <c r="DN132" s="421"/>
      <c r="DO132" s="421"/>
      <c r="DP132" s="421"/>
      <c r="DQ132" s="421"/>
      <c r="DR132" s="421"/>
      <c r="DS132" s="421"/>
      <c r="DT132" s="421"/>
      <c r="DU132" s="421"/>
      <c r="DV132" s="421"/>
      <c r="DW132" s="421"/>
      <c r="DX132" s="421"/>
      <c r="DY132" s="421"/>
      <c r="DZ132" s="421"/>
      <c r="EA132" s="421"/>
      <c r="EB132" s="421"/>
      <c r="EC132" s="421"/>
      <c r="ED132" s="421"/>
      <c r="EE132" s="421"/>
      <c r="EF132" s="421"/>
      <c r="EG132" s="421"/>
      <c r="EH132" s="421"/>
      <c r="EI132" s="421"/>
      <c r="EJ132" s="421"/>
      <c r="EK132" s="421"/>
      <c r="EL132" s="421"/>
      <c r="EM132" s="421"/>
      <c r="EN132" s="421"/>
      <c r="EO132" s="421"/>
      <c r="EP132" s="421"/>
      <c r="EQ132" s="421"/>
      <c r="ER132" s="421"/>
      <c r="ES132" s="421"/>
      <c r="ET132" s="421"/>
      <c r="EU132" s="421"/>
      <c r="EV132" s="421"/>
      <c r="EW132" s="421"/>
      <c r="EX132" s="421"/>
      <c r="EY132" s="421"/>
      <c r="EZ132" s="421"/>
      <c r="FA132" s="421"/>
      <c r="FB132" s="421"/>
      <c r="FC132" s="421"/>
      <c r="FD132" s="421"/>
      <c r="FE132" s="421"/>
      <c r="FF132" s="421"/>
      <c r="FG132" s="421"/>
      <c r="FH132" s="421"/>
      <c r="FI132" s="421"/>
      <c r="FJ132" s="421"/>
      <c r="FK132" s="421"/>
      <c r="FL132" s="421"/>
      <c r="FM132" s="421"/>
      <c r="FN132" s="421"/>
      <c r="FO132" s="421"/>
      <c r="FP132" s="421"/>
      <c r="FQ132" s="421"/>
      <c r="FR132" s="421"/>
      <c r="FS132" s="421"/>
      <c r="FT132" s="421"/>
      <c r="FU132" s="421"/>
      <c r="FV132" s="421"/>
      <c r="FW132" s="421"/>
      <c r="FX132" s="421"/>
      <c r="FY132" s="421"/>
      <c r="FZ132" s="421"/>
      <c r="GA132" s="421"/>
      <c r="GB132" s="421"/>
      <c r="GC132" s="421"/>
      <c r="GD132" s="421"/>
      <c r="GE132" s="421"/>
      <c r="GF132" s="421"/>
      <c r="GG132" s="421"/>
      <c r="GH132" s="421"/>
      <c r="GI132" s="421"/>
      <c r="GJ132" s="421"/>
      <c r="GK132" s="421"/>
      <c r="GL132" s="421"/>
      <c r="GM132" s="421"/>
      <c r="GN132" s="421"/>
      <c r="GO132" s="421"/>
      <c r="GP132" s="421"/>
      <c r="GQ132" s="421"/>
      <c r="GR132" s="421"/>
      <c r="GS132" s="421"/>
      <c r="GT132" s="421"/>
      <c r="GU132" s="421"/>
      <c r="GV132" s="421"/>
      <c r="GW132" s="421"/>
      <c r="GX132" s="421"/>
      <c r="GY132" s="421"/>
      <c r="GZ132" s="421"/>
      <c r="HA132" s="421"/>
      <c r="HB132" s="421"/>
      <c r="HC132" s="421"/>
      <c r="HD132" s="421"/>
      <c r="HE132" s="421"/>
      <c r="HF132" s="421"/>
      <c r="HG132" s="421"/>
      <c r="HH132" s="421"/>
      <c r="HI132" s="421"/>
      <c r="HJ132" s="421"/>
      <c r="HK132" s="421"/>
      <c r="HL132" s="421"/>
      <c r="HM132" s="421"/>
      <c r="HN132" s="421"/>
      <c r="HO132" s="421"/>
    </row>
    <row r="133" spans="7:223" s="422" customFormat="1" hidden="1" x14ac:dyDescent="0.3">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c r="AJ133" s="421"/>
      <c r="AK133" s="421"/>
      <c r="AL133" s="421"/>
      <c r="AM133" s="421"/>
      <c r="AN133" s="421"/>
      <c r="AO133" s="421"/>
      <c r="AP133" s="421"/>
      <c r="AQ133" s="421"/>
      <c r="AR133" s="421"/>
      <c r="AS133" s="421"/>
      <c r="AT133" s="421"/>
      <c r="AU133" s="421"/>
      <c r="AV133" s="421"/>
      <c r="AW133" s="421"/>
      <c r="AX133" s="421"/>
      <c r="AY133" s="421"/>
      <c r="AZ133" s="421"/>
      <c r="BA133" s="421"/>
      <c r="BB133" s="421"/>
      <c r="BC133" s="421"/>
      <c r="BD133" s="421"/>
      <c r="BE133" s="421"/>
      <c r="BF133" s="421"/>
      <c r="BG133" s="421"/>
      <c r="BH133" s="421"/>
      <c r="BI133" s="421"/>
      <c r="BJ133" s="421"/>
      <c r="BK133" s="421"/>
      <c r="BL133" s="421"/>
      <c r="BM133" s="421"/>
      <c r="BN133" s="421"/>
      <c r="BO133" s="421"/>
      <c r="BP133" s="421"/>
      <c r="BQ133" s="421"/>
      <c r="BR133" s="421"/>
      <c r="BS133" s="421"/>
      <c r="BT133" s="421"/>
      <c r="BU133" s="421"/>
      <c r="BV133" s="421"/>
      <c r="BW133" s="421"/>
      <c r="BX133" s="421"/>
      <c r="BY133" s="421"/>
      <c r="BZ133" s="421"/>
      <c r="CA133" s="421"/>
      <c r="CB133" s="421"/>
      <c r="CC133" s="421"/>
      <c r="CD133" s="421"/>
      <c r="CE133" s="421"/>
      <c r="CF133" s="421"/>
      <c r="CG133" s="421"/>
      <c r="CH133" s="421"/>
      <c r="CI133" s="421"/>
      <c r="CJ133" s="421"/>
      <c r="CK133" s="421"/>
      <c r="CL133" s="421"/>
      <c r="CM133" s="421"/>
      <c r="CN133" s="421"/>
      <c r="CO133" s="421"/>
      <c r="CP133" s="421"/>
      <c r="CQ133" s="421"/>
      <c r="CR133" s="421"/>
      <c r="CS133" s="421"/>
      <c r="CT133" s="421"/>
      <c r="CU133" s="421"/>
      <c r="CV133" s="421"/>
      <c r="CW133" s="421"/>
      <c r="CX133" s="421"/>
      <c r="CY133" s="421"/>
      <c r="CZ133" s="421"/>
      <c r="DA133" s="421"/>
      <c r="DB133" s="421"/>
      <c r="DC133" s="421"/>
      <c r="DD133" s="421"/>
      <c r="DE133" s="421"/>
      <c r="DF133" s="421"/>
      <c r="DG133" s="421"/>
      <c r="DH133" s="421"/>
      <c r="DI133" s="421"/>
      <c r="DJ133" s="421"/>
      <c r="DK133" s="421"/>
      <c r="DL133" s="421"/>
      <c r="DM133" s="421"/>
      <c r="DN133" s="421"/>
      <c r="DO133" s="421"/>
      <c r="DP133" s="421"/>
      <c r="DQ133" s="421"/>
      <c r="DR133" s="421"/>
      <c r="DS133" s="421"/>
      <c r="DT133" s="421"/>
      <c r="DU133" s="421"/>
      <c r="DV133" s="421"/>
      <c r="DW133" s="421"/>
      <c r="DX133" s="421"/>
      <c r="DY133" s="421"/>
      <c r="DZ133" s="421"/>
      <c r="EA133" s="421"/>
      <c r="EB133" s="421"/>
      <c r="EC133" s="421"/>
      <c r="ED133" s="421"/>
      <c r="EE133" s="421"/>
      <c r="EF133" s="421"/>
      <c r="EG133" s="421"/>
      <c r="EH133" s="421"/>
      <c r="EI133" s="421"/>
      <c r="EJ133" s="421"/>
      <c r="EK133" s="421"/>
      <c r="EL133" s="421"/>
      <c r="EM133" s="421"/>
      <c r="EN133" s="421"/>
      <c r="EO133" s="421"/>
      <c r="EP133" s="421"/>
      <c r="EQ133" s="421"/>
      <c r="ER133" s="421"/>
      <c r="ES133" s="421"/>
      <c r="ET133" s="421"/>
      <c r="EU133" s="421"/>
      <c r="EV133" s="421"/>
      <c r="EW133" s="421"/>
      <c r="EX133" s="421"/>
      <c r="EY133" s="421"/>
      <c r="EZ133" s="421"/>
      <c r="FA133" s="421"/>
      <c r="FB133" s="421"/>
      <c r="FC133" s="421"/>
      <c r="FD133" s="421"/>
      <c r="FE133" s="421"/>
      <c r="FF133" s="421"/>
      <c r="FG133" s="421"/>
      <c r="FH133" s="421"/>
      <c r="FI133" s="421"/>
      <c r="FJ133" s="421"/>
      <c r="FK133" s="421"/>
      <c r="FL133" s="421"/>
      <c r="FM133" s="421"/>
      <c r="FN133" s="421"/>
      <c r="FO133" s="421"/>
      <c r="FP133" s="421"/>
      <c r="FQ133" s="421"/>
      <c r="FR133" s="421"/>
      <c r="FS133" s="421"/>
      <c r="FT133" s="421"/>
      <c r="FU133" s="421"/>
      <c r="FV133" s="421"/>
      <c r="FW133" s="421"/>
      <c r="FX133" s="421"/>
      <c r="FY133" s="421"/>
      <c r="FZ133" s="421"/>
      <c r="GA133" s="421"/>
      <c r="GB133" s="421"/>
      <c r="GC133" s="421"/>
      <c r="GD133" s="421"/>
      <c r="GE133" s="421"/>
      <c r="GF133" s="421"/>
      <c r="GG133" s="421"/>
      <c r="GH133" s="421"/>
      <c r="GI133" s="421"/>
      <c r="GJ133" s="421"/>
      <c r="GK133" s="421"/>
      <c r="GL133" s="421"/>
      <c r="GM133" s="421"/>
      <c r="GN133" s="421"/>
      <c r="GO133" s="421"/>
      <c r="GP133" s="421"/>
      <c r="GQ133" s="421"/>
      <c r="GR133" s="421"/>
      <c r="GS133" s="421"/>
      <c r="GT133" s="421"/>
      <c r="GU133" s="421"/>
      <c r="GV133" s="421"/>
      <c r="GW133" s="421"/>
      <c r="GX133" s="421"/>
      <c r="GY133" s="421"/>
      <c r="GZ133" s="421"/>
      <c r="HA133" s="421"/>
      <c r="HB133" s="421"/>
      <c r="HC133" s="421"/>
      <c r="HD133" s="421"/>
      <c r="HE133" s="421"/>
      <c r="HF133" s="421"/>
      <c r="HG133" s="421"/>
      <c r="HH133" s="421"/>
      <c r="HI133" s="421"/>
      <c r="HJ133" s="421"/>
      <c r="HK133" s="421"/>
      <c r="HL133" s="421"/>
      <c r="HM133" s="421"/>
      <c r="HN133" s="421"/>
      <c r="HO133" s="421"/>
    </row>
    <row r="134" spans="7:223" s="422" customFormat="1" hidden="1" x14ac:dyDescent="0.3">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c r="AJ134" s="421"/>
      <c r="AK134" s="421"/>
      <c r="AL134" s="421"/>
      <c r="AM134" s="421"/>
      <c r="AN134" s="421"/>
      <c r="AO134" s="421"/>
      <c r="AP134" s="421"/>
      <c r="AQ134" s="421"/>
      <c r="AR134" s="421"/>
      <c r="AS134" s="421"/>
      <c r="AT134" s="421"/>
      <c r="AU134" s="421"/>
      <c r="AV134" s="421"/>
      <c r="AW134" s="421"/>
      <c r="AX134" s="421"/>
      <c r="AY134" s="421"/>
      <c r="AZ134" s="421"/>
      <c r="BA134" s="421"/>
      <c r="BB134" s="421"/>
      <c r="BC134" s="421"/>
      <c r="BD134" s="421"/>
      <c r="BE134" s="421"/>
      <c r="BF134" s="421"/>
      <c r="BG134" s="421"/>
      <c r="BH134" s="421"/>
      <c r="BI134" s="421"/>
      <c r="BJ134" s="421"/>
      <c r="BK134" s="421"/>
      <c r="BL134" s="421"/>
      <c r="BM134" s="421"/>
      <c r="BN134" s="421"/>
      <c r="BO134" s="421"/>
      <c r="BP134" s="421"/>
      <c r="BQ134" s="421"/>
      <c r="BR134" s="421"/>
      <c r="BS134" s="421"/>
      <c r="BT134" s="421"/>
      <c r="BU134" s="421"/>
      <c r="BV134" s="421"/>
      <c r="BW134" s="421"/>
      <c r="BX134" s="421"/>
      <c r="BY134" s="421"/>
      <c r="BZ134" s="421"/>
      <c r="CA134" s="421"/>
      <c r="CB134" s="421"/>
      <c r="CC134" s="421"/>
      <c r="CD134" s="421"/>
      <c r="CE134" s="421"/>
      <c r="CF134" s="421"/>
      <c r="CG134" s="421"/>
      <c r="CH134" s="421"/>
      <c r="CI134" s="421"/>
      <c r="CJ134" s="421"/>
      <c r="CK134" s="421"/>
      <c r="CL134" s="421"/>
      <c r="CM134" s="421"/>
      <c r="CN134" s="421"/>
      <c r="CO134" s="421"/>
      <c r="CP134" s="421"/>
      <c r="CQ134" s="421"/>
      <c r="CR134" s="421"/>
      <c r="CS134" s="421"/>
      <c r="CT134" s="421"/>
      <c r="CU134" s="421"/>
      <c r="CV134" s="421"/>
      <c r="CW134" s="421"/>
      <c r="CX134" s="421"/>
      <c r="CY134" s="421"/>
      <c r="CZ134" s="421"/>
      <c r="DA134" s="421"/>
      <c r="DB134" s="421"/>
      <c r="DC134" s="421"/>
      <c r="DD134" s="421"/>
      <c r="DE134" s="421"/>
      <c r="DF134" s="421"/>
      <c r="DG134" s="421"/>
      <c r="DH134" s="421"/>
      <c r="DI134" s="421"/>
      <c r="DJ134" s="421"/>
      <c r="DK134" s="421"/>
      <c r="DL134" s="421"/>
      <c r="DM134" s="421"/>
      <c r="DN134" s="421"/>
      <c r="DO134" s="421"/>
      <c r="DP134" s="421"/>
      <c r="DQ134" s="421"/>
      <c r="DR134" s="421"/>
      <c r="DS134" s="421"/>
      <c r="DT134" s="421"/>
      <c r="DU134" s="421"/>
      <c r="DV134" s="421"/>
      <c r="DW134" s="421"/>
      <c r="DX134" s="421"/>
      <c r="DY134" s="421"/>
      <c r="DZ134" s="421"/>
      <c r="EA134" s="421"/>
      <c r="EB134" s="421"/>
      <c r="EC134" s="421"/>
      <c r="ED134" s="421"/>
      <c r="EE134" s="421"/>
      <c r="EF134" s="421"/>
      <c r="EG134" s="421"/>
      <c r="EH134" s="421"/>
      <c r="EI134" s="421"/>
      <c r="EJ134" s="421"/>
      <c r="EK134" s="421"/>
      <c r="EL134" s="421"/>
      <c r="EM134" s="421"/>
      <c r="EN134" s="421"/>
      <c r="EO134" s="421"/>
      <c r="EP134" s="421"/>
      <c r="EQ134" s="421"/>
      <c r="ER134" s="421"/>
      <c r="ES134" s="421"/>
      <c r="ET134" s="421"/>
      <c r="EU134" s="421"/>
      <c r="EV134" s="421"/>
      <c r="EW134" s="421"/>
      <c r="EX134" s="421"/>
      <c r="EY134" s="421"/>
      <c r="EZ134" s="421"/>
      <c r="FA134" s="421"/>
      <c r="FB134" s="421"/>
      <c r="FC134" s="421"/>
      <c r="FD134" s="421"/>
      <c r="FE134" s="421"/>
      <c r="FF134" s="421"/>
      <c r="FG134" s="421"/>
      <c r="FH134" s="421"/>
      <c r="FI134" s="421"/>
      <c r="FJ134" s="421"/>
      <c r="FK134" s="421"/>
      <c r="FL134" s="421"/>
      <c r="FM134" s="421"/>
      <c r="FN134" s="421"/>
      <c r="FO134" s="421"/>
      <c r="FP134" s="421"/>
      <c r="FQ134" s="421"/>
      <c r="FR134" s="421"/>
      <c r="FS134" s="421"/>
      <c r="FT134" s="421"/>
      <c r="FU134" s="421"/>
      <c r="FV134" s="421"/>
      <c r="FW134" s="421"/>
      <c r="FX134" s="421"/>
      <c r="FY134" s="421"/>
      <c r="FZ134" s="421"/>
      <c r="GA134" s="421"/>
      <c r="GB134" s="421"/>
      <c r="GC134" s="421"/>
      <c r="GD134" s="421"/>
      <c r="GE134" s="421"/>
      <c r="GF134" s="421"/>
      <c r="GG134" s="421"/>
      <c r="GH134" s="421"/>
      <c r="GI134" s="421"/>
      <c r="GJ134" s="421"/>
      <c r="GK134" s="421"/>
      <c r="GL134" s="421"/>
      <c r="GM134" s="421"/>
      <c r="GN134" s="421"/>
      <c r="GO134" s="421"/>
      <c r="GP134" s="421"/>
      <c r="GQ134" s="421"/>
      <c r="GR134" s="421"/>
      <c r="GS134" s="421"/>
      <c r="GT134" s="421"/>
      <c r="GU134" s="421"/>
      <c r="GV134" s="421"/>
      <c r="GW134" s="421"/>
      <c r="GX134" s="421"/>
      <c r="GY134" s="421"/>
      <c r="GZ134" s="421"/>
      <c r="HA134" s="421"/>
      <c r="HB134" s="421"/>
      <c r="HC134" s="421"/>
      <c r="HD134" s="421"/>
      <c r="HE134" s="421"/>
      <c r="HF134" s="421"/>
      <c r="HG134" s="421"/>
      <c r="HH134" s="421"/>
      <c r="HI134" s="421"/>
      <c r="HJ134" s="421"/>
      <c r="HK134" s="421"/>
      <c r="HL134" s="421"/>
      <c r="HM134" s="421"/>
      <c r="HN134" s="421"/>
      <c r="HO134" s="421"/>
    </row>
    <row r="135" spans="7:223" s="422" customFormat="1" hidden="1" x14ac:dyDescent="0.3">
      <c r="G135" s="421"/>
      <c r="H135" s="421"/>
      <c r="I135" s="421"/>
      <c r="J135" s="421"/>
      <c r="K135" s="421"/>
      <c r="L135" s="421"/>
      <c r="M135" s="421"/>
      <c r="N135" s="421"/>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c r="AJ135" s="421"/>
      <c r="AK135" s="421"/>
      <c r="AL135" s="421"/>
      <c r="AM135" s="421"/>
      <c r="AN135" s="421"/>
      <c r="AO135" s="421"/>
      <c r="AP135" s="421"/>
      <c r="AQ135" s="421"/>
      <c r="AR135" s="421"/>
      <c r="AS135" s="421"/>
      <c r="AT135" s="421"/>
      <c r="AU135" s="421"/>
      <c r="AV135" s="421"/>
      <c r="AW135" s="421"/>
      <c r="AX135" s="421"/>
      <c r="AY135" s="421"/>
      <c r="AZ135" s="421"/>
      <c r="BA135" s="421"/>
      <c r="BB135" s="421"/>
      <c r="BC135" s="421"/>
      <c r="BD135" s="421"/>
      <c r="BE135" s="421"/>
      <c r="BF135" s="421"/>
      <c r="BG135" s="421"/>
      <c r="BH135" s="421"/>
      <c r="BI135" s="421"/>
      <c r="BJ135" s="421"/>
      <c r="BK135" s="421"/>
      <c r="BL135" s="421"/>
      <c r="BM135" s="421"/>
      <c r="BN135" s="421"/>
      <c r="BO135" s="421"/>
      <c r="BP135" s="421"/>
      <c r="BQ135" s="421"/>
      <c r="BR135" s="421"/>
      <c r="BS135" s="421"/>
      <c r="BT135" s="421"/>
      <c r="BU135" s="421"/>
      <c r="BV135" s="421"/>
      <c r="BW135" s="421"/>
      <c r="BX135" s="421"/>
      <c r="BY135" s="421"/>
      <c r="BZ135" s="421"/>
      <c r="CA135" s="421"/>
      <c r="CB135" s="421"/>
      <c r="CC135" s="421"/>
      <c r="CD135" s="421"/>
      <c r="CE135" s="421"/>
      <c r="CF135" s="421"/>
      <c r="CG135" s="421"/>
      <c r="CH135" s="421"/>
      <c r="CI135" s="421"/>
      <c r="CJ135" s="421"/>
      <c r="CK135" s="421"/>
      <c r="CL135" s="421"/>
      <c r="CM135" s="421"/>
      <c r="CN135" s="421"/>
      <c r="CO135" s="421"/>
      <c r="CP135" s="421"/>
      <c r="CQ135" s="421"/>
      <c r="CR135" s="421"/>
      <c r="CS135" s="421"/>
      <c r="CT135" s="421"/>
      <c r="CU135" s="421"/>
      <c r="CV135" s="421"/>
      <c r="CW135" s="421"/>
      <c r="CX135" s="421"/>
      <c r="CY135" s="421"/>
      <c r="CZ135" s="421"/>
      <c r="DA135" s="421"/>
      <c r="DB135" s="421"/>
      <c r="DC135" s="421"/>
      <c r="DD135" s="421"/>
      <c r="DE135" s="421"/>
      <c r="DF135" s="421"/>
      <c r="DG135" s="421"/>
      <c r="DH135" s="421"/>
      <c r="DI135" s="421"/>
      <c r="DJ135" s="421"/>
      <c r="DK135" s="421"/>
      <c r="DL135" s="421"/>
      <c r="DM135" s="421"/>
      <c r="DN135" s="421"/>
      <c r="DO135" s="421"/>
      <c r="DP135" s="421"/>
      <c r="DQ135" s="421"/>
      <c r="DR135" s="421"/>
      <c r="DS135" s="421"/>
      <c r="DT135" s="421"/>
      <c r="DU135" s="421"/>
      <c r="DV135" s="421"/>
      <c r="DW135" s="421"/>
      <c r="DX135" s="421"/>
      <c r="DY135" s="421"/>
      <c r="DZ135" s="421"/>
      <c r="EA135" s="421"/>
      <c r="EB135" s="421"/>
      <c r="EC135" s="421"/>
      <c r="ED135" s="421"/>
      <c r="EE135" s="421"/>
      <c r="EF135" s="421"/>
      <c r="EG135" s="421"/>
      <c r="EH135" s="421"/>
      <c r="EI135" s="421"/>
      <c r="EJ135" s="421"/>
      <c r="EK135" s="421"/>
      <c r="EL135" s="421"/>
      <c r="EM135" s="421"/>
      <c r="EN135" s="421"/>
      <c r="EO135" s="421"/>
      <c r="EP135" s="421"/>
      <c r="EQ135" s="421"/>
      <c r="ER135" s="421"/>
      <c r="ES135" s="421"/>
      <c r="ET135" s="421"/>
      <c r="EU135" s="421"/>
      <c r="EV135" s="421"/>
      <c r="EW135" s="421"/>
      <c r="EX135" s="421"/>
      <c r="EY135" s="421"/>
      <c r="EZ135" s="421"/>
      <c r="FA135" s="421"/>
      <c r="FB135" s="421"/>
      <c r="FC135" s="421"/>
      <c r="FD135" s="421"/>
      <c r="FE135" s="421"/>
      <c r="FF135" s="421"/>
      <c r="FG135" s="421"/>
      <c r="FH135" s="421"/>
      <c r="FI135" s="421"/>
      <c r="FJ135" s="421"/>
      <c r="FK135" s="421"/>
      <c r="FL135" s="421"/>
      <c r="FM135" s="421"/>
      <c r="FN135" s="421"/>
      <c r="FO135" s="421"/>
      <c r="FP135" s="421"/>
      <c r="FQ135" s="421"/>
      <c r="FR135" s="421"/>
      <c r="FS135" s="421"/>
      <c r="FT135" s="421"/>
      <c r="FU135" s="421"/>
      <c r="FV135" s="421"/>
      <c r="FW135" s="421"/>
      <c r="FX135" s="421"/>
      <c r="FY135" s="421"/>
      <c r="FZ135" s="421"/>
      <c r="GA135" s="421"/>
      <c r="GB135" s="421"/>
      <c r="GC135" s="421"/>
      <c r="GD135" s="421"/>
      <c r="GE135" s="421"/>
      <c r="GF135" s="421"/>
      <c r="GG135" s="421"/>
      <c r="GH135" s="421"/>
      <c r="GI135" s="421"/>
      <c r="GJ135" s="421"/>
      <c r="GK135" s="421"/>
      <c r="GL135" s="421"/>
      <c r="GM135" s="421"/>
      <c r="GN135" s="421"/>
      <c r="GO135" s="421"/>
      <c r="GP135" s="421"/>
      <c r="GQ135" s="421"/>
      <c r="GR135" s="421"/>
      <c r="GS135" s="421"/>
      <c r="GT135" s="421"/>
      <c r="GU135" s="421"/>
      <c r="GV135" s="421"/>
      <c r="GW135" s="421"/>
      <c r="GX135" s="421"/>
      <c r="GY135" s="421"/>
      <c r="GZ135" s="421"/>
      <c r="HA135" s="421"/>
      <c r="HB135" s="421"/>
      <c r="HC135" s="421"/>
      <c r="HD135" s="421"/>
      <c r="HE135" s="421"/>
      <c r="HF135" s="421"/>
      <c r="HG135" s="421"/>
      <c r="HH135" s="421"/>
      <c r="HI135" s="421"/>
      <c r="HJ135" s="421"/>
      <c r="HK135" s="421"/>
      <c r="HL135" s="421"/>
      <c r="HM135" s="421"/>
      <c r="HN135" s="421"/>
      <c r="HO135" s="421"/>
    </row>
    <row r="136" spans="7:223" s="422" customFormat="1" hidden="1" x14ac:dyDescent="0.3">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c r="AJ136" s="421"/>
      <c r="AK136" s="421"/>
      <c r="AL136" s="421"/>
      <c r="AM136" s="421"/>
      <c r="AN136" s="421"/>
      <c r="AO136" s="421"/>
      <c r="AP136" s="421"/>
      <c r="AQ136" s="421"/>
      <c r="AR136" s="421"/>
      <c r="AS136" s="421"/>
      <c r="AT136" s="421"/>
      <c r="AU136" s="421"/>
      <c r="AV136" s="421"/>
      <c r="AW136" s="421"/>
      <c r="AX136" s="421"/>
      <c r="AY136" s="421"/>
      <c r="AZ136" s="421"/>
      <c r="BA136" s="421"/>
      <c r="BB136" s="421"/>
      <c r="BC136" s="421"/>
      <c r="BD136" s="421"/>
      <c r="BE136" s="421"/>
      <c r="BF136" s="421"/>
      <c r="BG136" s="421"/>
      <c r="BH136" s="421"/>
      <c r="BI136" s="421"/>
      <c r="BJ136" s="421"/>
      <c r="BK136" s="421"/>
      <c r="BL136" s="421"/>
      <c r="BM136" s="421"/>
      <c r="BN136" s="421"/>
      <c r="BO136" s="421"/>
      <c r="BP136" s="421"/>
      <c r="BQ136" s="421"/>
      <c r="BR136" s="421"/>
      <c r="BS136" s="421"/>
      <c r="BT136" s="421"/>
      <c r="BU136" s="421"/>
      <c r="BV136" s="421"/>
      <c r="BW136" s="421"/>
      <c r="BX136" s="421"/>
      <c r="BY136" s="421"/>
      <c r="BZ136" s="421"/>
      <c r="CA136" s="421"/>
      <c r="CB136" s="421"/>
      <c r="CC136" s="421"/>
      <c r="CD136" s="421"/>
      <c r="CE136" s="421"/>
      <c r="CF136" s="421"/>
      <c r="CG136" s="421"/>
      <c r="CH136" s="421"/>
      <c r="CI136" s="421"/>
      <c r="CJ136" s="421"/>
      <c r="CK136" s="421"/>
      <c r="CL136" s="421"/>
      <c r="CM136" s="421"/>
      <c r="CN136" s="421"/>
      <c r="CO136" s="421"/>
      <c r="CP136" s="421"/>
      <c r="CQ136" s="421"/>
      <c r="CR136" s="421"/>
      <c r="CS136" s="421"/>
      <c r="CT136" s="421"/>
      <c r="CU136" s="421"/>
      <c r="CV136" s="421"/>
      <c r="CW136" s="421"/>
      <c r="CX136" s="421"/>
      <c r="CY136" s="421"/>
      <c r="CZ136" s="421"/>
      <c r="DA136" s="421"/>
      <c r="DB136" s="421"/>
      <c r="DC136" s="421"/>
      <c r="DD136" s="421"/>
      <c r="DE136" s="421"/>
      <c r="DF136" s="421"/>
      <c r="DG136" s="421"/>
      <c r="DH136" s="421"/>
      <c r="DI136" s="421"/>
      <c r="DJ136" s="421"/>
      <c r="DK136" s="421"/>
      <c r="DL136" s="421"/>
      <c r="DM136" s="421"/>
      <c r="DN136" s="421"/>
      <c r="DO136" s="421"/>
      <c r="DP136" s="421"/>
      <c r="DQ136" s="421"/>
      <c r="DR136" s="421"/>
      <c r="DS136" s="421"/>
      <c r="DT136" s="421"/>
      <c r="DU136" s="421"/>
      <c r="DV136" s="421"/>
      <c r="DW136" s="421"/>
      <c r="DX136" s="421"/>
      <c r="DY136" s="421"/>
      <c r="DZ136" s="421"/>
      <c r="EA136" s="421"/>
      <c r="EB136" s="421"/>
      <c r="EC136" s="421"/>
      <c r="ED136" s="421"/>
      <c r="EE136" s="421"/>
      <c r="EF136" s="421"/>
      <c r="EG136" s="421"/>
      <c r="EH136" s="421"/>
      <c r="EI136" s="421"/>
      <c r="EJ136" s="421"/>
      <c r="EK136" s="421"/>
      <c r="EL136" s="421"/>
      <c r="EM136" s="421"/>
      <c r="EN136" s="421"/>
      <c r="EO136" s="421"/>
      <c r="EP136" s="421"/>
      <c r="EQ136" s="421"/>
      <c r="ER136" s="421"/>
      <c r="ES136" s="421"/>
      <c r="ET136" s="421"/>
      <c r="EU136" s="421"/>
      <c r="EV136" s="421"/>
      <c r="EW136" s="421"/>
      <c r="EX136" s="421"/>
      <c r="EY136" s="421"/>
      <c r="EZ136" s="421"/>
      <c r="FA136" s="421"/>
      <c r="FB136" s="421"/>
      <c r="FC136" s="421"/>
      <c r="FD136" s="421"/>
      <c r="FE136" s="421"/>
      <c r="FF136" s="421"/>
      <c r="FG136" s="421"/>
      <c r="FH136" s="421"/>
      <c r="FI136" s="421"/>
      <c r="FJ136" s="421"/>
      <c r="FK136" s="421"/>
      <c r="FL136" s="421"/>
      <c r="FM136" s="421"/>
      <c r="FN136" s="421"/>
      <c r="FO136" s="421"/>
      <c r="FP136" s="421"/>
      <c r="FQ136" s="421"/>
      <c r="FR136" s="421"/>
      <c r="FS136" s="421"/>
      <c r="FT136" s="421"/>
      <c r="FU136" s="421"/>
      <c r="FV136" s="421"/>
      <c r="FW136" s="421"/>
      <c r="FX136" s="421"/>
      <c r="FY136" s="421"/>
      <c r="FZ136" s="421"/>
      <c r="GA136" s="421"/>
      <c r="GB136" s="421"/>
      <c r="GC136" s="421"/>
      <c r="GD136" s="421"/>
      <c r="GE136" s="421"/>
      <c r="GF136" s="421"/>
      <c r="GG136" s="421"/>
      <c r="GH136" s="421"/>
      <c r="GI136" s="421"/>
      <c r="GJ136" s="421"/>
      <c r="GK136" s="421"/>
      <c r="GL136" s="421"/>
      <c r="GM136" s="421"/>
      <c r="GN136" s="421"/>
      <c r="GO136" s="421"/>
      <c r="GP136" s="421"/>
      <c r="GQ136" s="421"/>
      <c r="GR136" s="421"/>
      <c r="GS136" s="421"/>
      <c r="GT136" s="421"/>
      <c r="GU136" s="421"/>
      <c r="GV136" s="421"/>
      <c r="GW136" s="421"/>
      <c r="GX136" s="421"/>
      <c r="GY136" s="421"/>
      <c r="GZ136" s="421"/>
      <c r="HA136" s="421"/>
      <c r="HB136" s="421"/>
      <c r="HC136" s="421"/>
      <c r="HD136" s="421"/>
      <c r="HE136" s="421"/>
      <c r="HF136" s="421"/>
      <c r="HG136" s="421"/>
      <c r="HH136" s="421"/>
      <c r="HI136" s="421"/>
      <c r="HJ136" s="421"/>
      <c r="HK136" s="421"/>
      <c r="HL136" s="421"/>
      <c r="HM136" s="421"/>
      <c r="HN136" s="421"/>
      <c r="HO136" s="421"/>
    </row>
    <row r="137" spans="7:223" s="422" customFormat="1" hidden="1" x14ac:dyDescent="0.3">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c r="AJ137" s="421"/>
      <c r="AK137" s="421"/>
      <c r="AL137" s="421"/>
      <c r="AM137" s="421"/>
      <c r="AN137" s="421"/>
      <c r="AO137" s="421"/>
      <c r="AP137" s="421"/>
      <c r="AQ137" s="421"/>
      <c r="AR137" s="421"/>
      <c r="AS137" s="421"/>
      <c r="AT137" s="421"/>
      <c r="AU137" s="421"/>
      <c r="AV137" s="421"/>
      <c r="AW137" s="421"/>
      <c r="AX137" s="421"/>
      <c r="AY137" s="421"/>
      <c r="AZ137" s="421"/>
      <c r="BA137" s="421"/>
      <c r="BB137" s="421"/>
      <c r="BC137" s="421"/>
      <c r="BD137" s="421"/>
      <c r="BE137" s="421"/>
      <c r="BF137" s="421"/>
      <c r="BG137" s="421"/>
      <c r="BH137" s="421"/>
      <c r="BI137" s="421"/>
      <c r="BJ137" s="421"/>
      <c r="BK137" s="421"/>
      <c r="BL137" s="421"/>
      <c r="BM137" s="421"/>
      <c r="BN137" s="421"/>
      <c r="BO137" s="421"/>
      <c r="BP137" s="421"/>
      <c r="BQ137" s="421"/>
      <c r="BR137" s="421"/>
      <c r="BS137" s="421"/>
      <c r="BT137" s="421"/>
      <c r="BU137" s="421"/>
      <c r="BV137" s="421"/>
      <c r="BW137" s="421"/>
      <c r="BX137" s="421"/>
      <c r="BY137" s="421"/>
      <c r="BZ137" s="421"/>
      <c r="CA137" s="421"/>
      <c r="CB137" s="421"/>
      <c r="CC137" s="421"/>
      <c r="CD137" s="421"/>
      <c r="CE137" s="421"/>
      <c r="CF137" s="421"/>
      <c r="CG137" s="421"/>
      <c r="CH137" s="421"/>
      <c r="CI137" s="421"/>
      <c r="CJ137" s="421"/>
      <c r="CK137" s="421"/>
      <c r="CL137" s="421"/>
      <c r="CM137" s="421"/>
      <c r="CN137" s="421"/>
      <c r="CO137" s="421"/>
      <c r="CP137" s="421"/>
      <c r="CQ137" s="421"/>
      <c r="CR137" s="421"/>
      <c r="CS137" s="421"/>
      <c r="CT137" s="421"/>
      <c r="CU137" s="421"/>
      <c r="CV137" s="421"/>
      <c r="CW137" s="421"/>
      <c r="CX137" s="421"/>
      <c r="CY137" s="421"/>
      <c r="CZ137" s="421"/>
      <c r="DA137" s="421"/>
      <c r="DB137" s="421"/>
      <c r="DC137" s="421"/>
      <c r="DD137" s="421"/>
      <c r="DE137" s="421"/>
      <c r="DF137" s="421"/>
      <c r="DG137" s="421"/>
      <c r="DH137" s="421"/>
      <c r="DI137" s="421"/>
      <c r="DJ137" s="421"/>
      <c r="DK137" s="421"/>
      <c r="DL137" s="421"/>
      <c r="DM137" s="421"/>
      <c r="DN137" s="421"/>
      <c r="DO137" s="421"/>
      <c r="DP137" s="421"/>
      <c r="DQ137" s="421"/>
      <c r="DR137" s="421"/>
      <c r="DS137" s="421"/>
      <c r="DT137" s="421"/>
      <c r="DU137" s="421"/>
      <c r="DV137" s="421"/>
      <c r="DW137" s="421"/>
      <c r="DX137" s="421"/>
      <c r="DY137" s="421"/>
      <c r="DZ137" s="421"/>
      <c r="EA137" s="421"/>
      <c r="EB137" s="421"/>
      <c r="EC137" s="421"/>
      <c r="ED137" s="421"/>
      <c r="EE137" s="421"/>
      <c r="EF137" s="421"/>
      <c r="EG137" s="421"/>
      <c r="EH137" s="421"/>
      <c r="EI137" s="421"/>
      <c r="EJ137" s="421"/>
      <c r="EK137" s="421"/>
      <c r="EL137" s="421"/>
      <c r="EM137" s="421"/>
      <c r="EN137" s="421"/>
      <c r="EO137" s="421"/>
      <c r="EP137" s="421"/>
      <c r="EQ137" s="421"/>
      <c r="ER137" s="421"/>
      <c r="ES137" s="421"/>
      <c r="ET137" s="421"/>
      <c r="EU137" s="421"/>
      <c r="EV137" s="421"/>
      <c r="EW137" s="421"/>
      <c r="EX137" s="421"/>
      <c r="EY137" s="421"/>
      <c r="EZ137" s="421"/>
      <c r="FA137" s="421"/>
      <c r="FB137" s="421"/>
      <c r="FC137" s="421"/>
      <c r="FD137" s="421"/>
      <c r="FE137" s="421"/>
      <c r="FF137" s="421"/>
      <c r="FG137" s="421"/>
      <c r="FH137" s="421"/>
      <c r="FI137" s="421"/>
      <c r="FJ137" s="421"/>
      <c r="FK137" s="421"/>
      <c r="FL137" s="421"/>
      <c r="FM137" s="421"/>
      <c r="FN137" s="421"/>
      <c r="FO137" s="421"/>
      <c r="FP137" s="421"/>
      <c r="FQ137" s="421"/>
      <c r="FR137" s="421"/>
      <c r="FS137" s="421"/>
      <c r="FT137" s="421"/>
      <c r="FU137" s="421"/>
      <c r="FV137" s="421"/>
      <c r="FW137" s="421"/>
      <c r="FX137" s="421"/>
      <c r="FY137" s="421"/>
      <c r="FZ137" s="421"/>
      <c r="GA137" s="421"/>
      <c r="GB137" s="421"/>
      <c r="GC137" s="421"/>
      <c r="GD137" s="421"/>
      <c r="GE137" s="421"/>
      <c r="GF137" s="421"/>
      <c r="GG137" s="421"/>
      <c r="GH137" s="421"/>
      <c r="GI137" s="421"/>
      <c r="GJ137" s="421"/>
      <c r="GK137" s="421"/>
      <c r="GL137" s="421"/>
      <c r="GM137" s="421"/>
      <c r="GN137" s="421"/>
      <c r="GO137" s="421"/>
      <c r="GP137" s="421"/>
      <c r="GQ137" s="421"/>
      <c r="GR137" s="421"/>
      <c r="GS137" s="421"/>
      <c r="GT137" s="421"/>
      <c r="GU137" s="421"/>
      <c r="GV137" s="421"/>
      <c r="GW137" s="421"/>
      <c r="GX137" s="421"/>
      <c r="GY137" s="421"/>
      <c r="GZ137" s="421"/>
      <c r="HA137" s="421"/>
      <c r="HB137" s="421"/>
      <c r="HC137" s="421"/>
      <c r="HD137" s="421"/>
      <c r="HE137" s="421"/>
      <c r="HF137" s="421"/>
      <c r="HG137" s="421"/>
      <c r="HH137" s="421"/>
      <c r="HI137" s="421"/>
      <c r="HJ137" s="421"/>
      <c r="HK137" s="421"/>
      <c r="HL137" s="421"/>
      <c r="HM137" s="421"/>
      <c r="HN137" s="421"/>
      <c r="HO137" s="421"/>
    </row>
    <row r="138" spans="7:223" s="422" customFormat="1" hidden="1" x14ac:dyDescent="0.3">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c r="AJ138" s="421"/>
      <c r="AK138" s="421"/>
      <c r="AL138" s="421"/>
      <c r="AM138" s="421"/>
      <c r="AN138" s="421"/>
      <c r="AO138" s="421"/>
      <c r="AP138" s="421"/>
      <c r="AQ138" s="421"/>
      <c r="AR138" s="421"/>
      <c r="AS138" s="421"/>
      <c r="AT138" s="421"/>
      <c r="AU138" s="421"/>
      <c r="AV138" s="421"/>
      <c r="AW138" s="421"/>
      <c r="AX138" s="421"/>
      <c r="AY138" s="421"/>
      <c r="AZ138" s="421"/>
      <c r="BA138" s="421"/>
      <c r="BB138" s="421"/>
      <c r="BC138" s="421"/>
      <c r="BD138" s="421"/>
      <c r="BE138" s="421"/>
      <c r="BF138" s="421"/>
      <c r="BG138" s="421"/>
      <c r="BH138" s="421"/>
      <c r="BI138" s="421"/>
      <c r="BJ138" s="421"/>
      <c r="BK138" s="421"/>
      <c r="BL138" s="421"/>
      <c r="BM138" s="421"/>
      <c r="BN138" s="421"/>
      <c r="BO138" s="421"/>
      <c r="BP138" s="421"/>
      <c r="BQ138" s="421"/>
      <c r="BR138" s="421"/>
      <c r="BS138" s="421"/>
      <c r="BT138" s="421"/>
      <c r="BU138" s="421"/>
      <c r="BV138" s="421"/>
      <c r="BW138" s="421"/>
      <c r="BX138" s="421"/>
      <c r="BY138" s="421"/>
      <c r="BZ138" s="421"/>
      <c r="CA138" s="421"/>
      <c r="CB138" s="421"/>
      <c r="CC138" s="421"/>
      <c r="CD138" s="421"/>
      <c r="CE138" s="421"/>
      <c r="CF138" s="421"/>
      <c r="CG138" s="421"/>
      <c r="CH138" s="421"/>
      <c r="CI138" s="421"/>
      <c r="CJ138" s="421"/>
      <c r="CK138" s="421"/>
      <c r="CL138" s="421"/>
      <c r="CM138" s="421"/>
      <c r="CN138" s="421"/>
      <c r="CO138" s="421"/>
      <c r="CP138" s="421"/>
      <c r="CQ138" s="421"/>
      <c r="CR138" s="421"/>
      <c r="CS138" s="421"/>
      <c r="CT138" s="421"/>
      <c r="CU138" s="421"/>
      <c r="CV138" s="421"/>
      <c r="CW138" s="421"/>
      <c r="CX138" s="421"/>
      <c r="CY138" s="421"/>
      <c r="CZ138" s="421"/>
      <c r="DA138" s="421"/>
      <c r="DB138" s="421"/>
      <c r="DC138" s="421"/>
      <c r="DD138" s="421"/>
      <c r="DE138" s="421"/>
      <c r="DF138" s="421"/>
      <c r="DG138" s="421"/>
      <c r="DH138" s="421"/>
      <c r="DI138" s="421"/>
      <c r="DJ138" s="421"/>
      <c r="DK138" s="421"/>
      <c r="DL138" s="421"/>
      <c r="DM138" s="421"/>
      <c r="DN138" s="421"/>
      <c r="DO138" s="421"/>
      <c r="DP138" s="421"/>
      <c r="DQ138" s="421"/>
      <c r="DR138" s="421"/>
      <c r="DS138" s="421"/>
      <c r="DT138" s="421"/>
      <c r="DU138" s="421"/>
      <c r="DV138" s="421"/>
      <c r="DW138" s="421"/>
      <c r="DX138" s="421"/>
      <c r="DY138" s="421"/>
      <c r="DZ138" s="421"/>
      <c r="EA138" s="421"/>
      <c r="EB138" s="421"/>
      <c r="EC138" s="421"/>
      <c r="ED138" s="421"/>
      <c r="EE138" s="421"/>
      <c r="EF138" s="421"/>
      <c r="EG138" s="421"/>
      <c r="EH138" s="421"/>
      <c r="EI138" s="421"/>
      <c r="EJ138" s="421"/>
      <c r="EK138" s="421"/>
      <c r="EL138" s="421"/>
      <c r="EM138" s="421"/>
      <c r="EN138" s="421"/>
      <c r="EO138" s="421"/>
      <c r="EP138" s="421"/>
      <c r="EQ138" s="421"/>
      <c r="ER138" s="421"/>
      <c r="ES138" s="421"/>
      <c r="ET138" s="421"/>
      <c r="EU138" s="421"/>
      <c r="EV138" s="421"/>
      <c r="EW138" s="421"/>
      <c r="EX138" s="421"/>
      <c r="EY138" s="421"/>
      <c r="EZ138" s="421"/>
      <c r="FA138" s="421"/>
      <c r="FB138" s="421"/>
      <c r="FC138" s="421"/>
      <c r="FD138" s="421"/>
      <c r="FE138" s="421"/>
      <c r="FF138" s="421"/>
      <c r="FG138" s="421"/>
      <c r="FH138" s="421"/>
      <c r="FI138" s="421"/>
      <c r="FJ138" s="421"/>
      <c r="FK138" s="421"/>
      <c r="FL138" s="421"/>
      <c r="FM138" s="421"/>
      <c r="FN138" s="421"/>
      <c r="FO138" s="421"/>
      <c r="FP138" s="421"/>
      <c r="FQ138" s="421"/>
      <c r="FR138" s="421"/>
      <c r="FS138" s="421"/>
      <c r="FT138" s="421"/>
      <c r="FU138" s="421"/>
      <c r="FV138" s="421"/>
      <c r="FW138" s="421"/>
      <c r="FX138" s="421"/>
      <c r="FY138" s="421"/>
      <c r="FZ138" s="421"/>
      <c r="GA138" s="421"/>
      <c r="GB138" s="421"/>
      <c r="GC138" s="421"/>
      <c r="GD138" s="421"/>
      <c r="GE138" s="421"/>
      <c r="GF138" s="421"/>
      <c r="GG138" s="421"/>
      <c r="GH138" s="421"/>
      <c r="GI138" s="421"/>
      <c r="GJ138" s="421"/>
      <c r="GK138" s="421"/>
      <c r="GL138" s="421"/>
      <c r="GM138" s="421"/>
      <c r="GN138" s="421"/>
      <c r="GO138" s="421"/>
      <c r="GP138" s="421"/>
      <c r="GQ138" s="421"/>
      <c r="GR138" s="421"/>
      <c r="GS138" s="421"/>
      <c r="GT138" s="421"/>
      <c r="GU138" s="421"/>
      <c r="GV138" s="421"/>
      <c r="GW138" s="421"/>
      <c r="GX138" s="421"/>
      <c r="GY138" s="421"/>
      <c r="GZ138" s="421"/>
      <c r="HA138" s="421"/>
      <c r="HB138" s="421"/>
      <c r="HC138" s="421"/>
      <c r="HD138" s="421"/>
      <c r="HE138" s="421"/>
      <c r="HF138" s="421"/>
      <c r="HG138" s="421"/>
      <c r="HH138" s="421"/>
      <c r="HI138" s="421"/>
      <c r="HJ138" s="421"/>
      <c r="HK138" s="421"/>
      <c r="HL138" s="421"/>
      <c r="HM138" s="421"/>
      <c r="HN138" s="421"/>
      <c r="HO138" s="421"/>
    </row>
    <row r="139" spans="7:223" s="422" customFormat="1" hidden="1" x14ac:dyDescent="0.3">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c r="AJ139" s="421"/>
      <c r="AK139" s="421"/>
      <c r="AL139" s="421"/>
      <c r="AM139" s="421"/>
      <c r="AN139" s="421"/>
      <c r="AO139" s="421"/>
      <c r="AP139" s="421"/>
      <c r="AQ139" s="421"/>
      <c r="AR139" s="421"/>
      <c r="AS139" s="421"/>
      <c r="AT139" s="421"/>
      <c r="AU139" s="421"/>
      <c r="AV139" s="421"/>
      <c r="AW139" s="421"/>
      <c r="AX139" s="421"/>
      <c r="AY139" s="421"/>
      <c r="AZ139" s="421"/>
      <c r="BA139" s="421"/>
      <c r="BB139" s="421"/>
      <c r="BC139" s="421"/>
      <c r="BD139" s="421"/>
      <c r="BE139" s="421"/>
      <c r="BF139" s="421"/>
      <c r="BG139" s="421"/>
      <c r="BH139" s="421"/>
      <c r="BI139" s="421"/>
      <c r="BJ139" s="421"/>
      <c r="BK139" s="421"/>
      <c r="BL139" s="421"/>
      <c r="BM139" s="421"/>
      <c r="BN139" s="421"/>
      <c r="BO139" s="421"/>
      <c r="BP139" s="421"/>
      <c r="BQ139" s="421"/>
      <c r="BR139" s="421"/>
      <c r="BS139" s="421"/>
      <c r="BT139" s="421"/>
      <c r="BU139" s="421"/>
      <c r="BV139" s="421"/>
      <c r="BW139" s="421"/>
      <c r="BX139" s="421"/>
      <c r="BY139" s="421"/>
      <c r="BZ139" s="421"/>
      <c r="CA139" s="421"/>
      <c r="CB139" s="421"/>
      <c r="CC139" s="421"/>
      <c r="CD139" s="421"/>
      <c r="CE139" s="421"/>
      <c r="CF139" s="421"/>
      <c r="CG139" s="421"/>
      <c r="CH139" s="421"/>
      <c r="CI139" s="421"/>
      <c r="CJ139" s="421"/>
      <c r="CK139" s="421"/>
      <c r="CL139" s="421"/>
      <c r="CM139" s="421"/>
      <c r="CN139" s="421"/>
      <c r="CO139" s="421"/>
      <c r="CP139" s="421"/>
      <c r="CQ139" s="421"/>
      <c r="CR139" s="421"/>
      <c r="CS139" s="421"/>
      <c r="CT139" s="421"/>
      <c r="CU139" s="421"/>
      <c r="CV139" s="421"/>
      <c r="CW139" s="421"/>
      <c r="CX139" s="421"/>
      <c r="CY139" s="421"/>
      <c r="CZ139" s="421"/>
      <c r="DA139" s="421"/>
      <c r="DB139" s="421"/>
      <c r="DC139" s="421"/>
      <c r="DD139" s="421"/>
      <c r="DE139" s="421"/>
      <c r="DF139" s="421"/>
      <c r="DG139" s="421"/>
      <c r="DH139" s="421"/>
      <c r="DI139" s="421"/>
      <c r="DJ139" s="421"/>
      <c r="DK139" s="421"/>
      <c r="DL139" s="421"/>
      <c r="DM139" s="421"/>
      <c r="DN139" s="421"/>
      <c r="DO139" s="421"/>
      <c r="DP139" s="421"/>
      <c r="DQ139" s="421"/>
      <c r="DR139" s="421"/>
      <c r="DS139" s="421"/>
      <c r="DT139" s="421"/>
      <c r="DU139" s="421"/>
      <c r="DV139" s="421"/>
      <c r="DW139" s="421"/>
      <c r="DX139" s="421"/>
      <c r="DY139" s="421"/>
      <c r="DZ139" s="421"/>
      <c r="EA139" s="421"/>
      <c r="EB139" s="421"/>
      <c r="EC139" s="421"/>
      <c r="ED139" s="421"/>
      <c r="EE139" s="421"/>
      <c r="EF139" s="421"/>
      <c r="EG139" s="421"/>
      <c r="EH139" s="421"/>
      <c r="EI139" s="421"/>
      <c r="EJ139" s="421"/>
      <c r="EK139" s="421"/>
      <c r="EL139" s="421"/>
      <c r="EM139" s="421"/>
      <c r="EN139" s="421"/>
      <c r="EO139" s="421"/>
      <c r="EP139" s="421"/>
      <c r="EQ139" s="421"/>
      <c r="ER139" s="421"/>
      <c r="ES139" s="421"/>
      <c r="ET139" s="421"/>
      <c r="EU139" s="421"/>
      <c r="EV139" s="421"/>
      <c r="EW139" s="421"/>
      <c r="EX139" s="421"/>
      <c r="EY139" s="421"/>
      <c r="EZ139" s="421"/>
      <c r="FA139" s="421"/>
      <c r="FB139" s="421"/>
      <c r="FC139" s="421"/>
      <c r="FD139" s="421"/>
      <c r="FE139" s="421"/>
      <c r="FF139" s="421"/>
      <c r="FG139" s="421"/>
      <c r="FH139" s="421"/>
      <c r="FI139" s="421"/>
      <c r="FJ139" s="421"/>
      <c r="FK139" s="421"/>
      <c r="FL139" s="421"/>
      <c r="FM139" s="421"/>
      <c r="FN139" s="421"/>
      <c r="FO139" s="421"/>
      <c r="FP139" s="421"/>
      <c r="FQ139" s="421"/>
      <c r="FR139" s="421"/>
      <c r="FS139" s="421"/>
      <c r="FT139" s="421"/>
      <c r="FU139" s="421"/>
      <c r="FV139" s="421"/>
      <c r="FW139" s="421"/>
      <c r="FX139" s="421"/>
      <c r="FY139" s="421"/>
      <c r="FZ139" s="421"/>
      <c r="GA139" s="421"/>
      <c r="GB139" s="421"/>
      <c r="GC139" s="421"/>
      <c r="GD139" s="421"/>
      <c r="GE139" s="421"/>
      <c r="GF139" s="421"/>
      <c r="GG139" s="421"/>
      <c r="GH139" s="421"/>
      <c r="GI139" s="421"/>
      <c r="GJ139" s="421"/>
      <c r="GK139" s="421"/>
      <c r="GL139" s="421"/>
      <c r="GM139" s="421"/>
      <c r="GN139" s="421"/>
      <c r="GO139" s="421"/>
      <c r="GP139" s="421"/>
      <c r="GQ139" s="421"/>
      <c r="GR139" s="421"/>
      <c r="GS139" s="421"/>
      <c r="GT139" s="421"/>
      <c r="GU139" s="421"/>
      <c r="GV139" s="421"/>
      <c r="GW139" s="421"/>
      <c r="GX139" s="421"/>
      <c r="GY139" s="421"/>
      <c r="GZ139" s="421"/>
      <c r="HA139" s="421"/>
      <c r="HB139" s="421"/>
      <c r="HC139" s="421"/>
      <c r="HD139" s="421"/>
      <c r="HE139" s="421"/>
      <c r="HF139" s="421"/>
      <c r="HG139" s="421"/>
      <c r="HH139" s="421"/>
      <c r="HI139" s="421"/>
      <c r="HJ139" s="421"/>
      <c r="HK139" s="421"/>
      <c r="HL139" s="421"/>
      <c r="HM139" s="421"/>
      <c r="HN139" s="421"/>
      <c r="HO139" s="421"/>
    </row>
    <row r="140" spans="7:223" s="422" customFormat="1" hidden="1" x14ac:dyDescent="0.3">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c r="AJ140" s="421"/>
      <c r="AK140" s="421"/>
      <c r="AL140" s="421"/>
      <c r="AM140" s="421"/>
      <c r="AN140" s="421"/>
      <c r="AO140" s="421"/>
      <c r="AP140" s="421"/>
      <c r="AQ140" s="421"/>
      <c r="AR140" s="421"/>
      <c r="AS140" s="421"/>
      <c r="AT140" s="421"/>
      <c r="AU140" s="421"/>
      <c r="AV140" s="421"/>
      <c r="AW140" s="421"/>
      <c r="AX140" s="421"/>
      <c r="AY140" s="421"/>
      <c r="AZ140" s="421"/>
      <c r="BA140" s="421"/>
      <c r="BB140" s="421"/>
      <c r="BC140" s="421"/>
      <c r="BD140" s="421"/>
      <c r="BE140" s="421"/>
      <c r="BF140" s="421"/>
      <c r="BG140" s="421"/>
      <c r="BH140" s="421"/>
      <c r="BI140" s="421"/>
      <c r="BJ140" s="421"/>
      <c r="BK140" s="421"/>
      <c r="BL140" s="421"/>
      <c r="BM140" s="421"/>
      <c r="BN140" s="421"/>
      <c r="BO140" s="421"/>
      <c r="BP140" s="421"/>
      <c r="BQ140" s="421"/>
      <c r="BR140" s="421"/>
      <c r="BS140" s="421"/>
      <c r="BT140" s="421"/>
      <c r="BU140" s="421"/>
      <c r="BV140" s="421"/>
      <c r="BW140" s="421"/>
      <c r="BX140" s="421"/>
      <c r="BY140" s="421"/>
      <c r="BZ140" s="421"/>
      <c r="CA140" s="421"/>
      <c r="CB140" s="421"/>
      <c r="CC140" s="421"/>
      <c r="CD140" s="421"/>
      <c r="CE140" s="421"/>
      <c r="CF140" s="421"/>
      <c r="CG140" s="421"/>
      <c r="CH140" s="421"/>
      <c r="CI140" s="421"/>
      <c r="CJ140" s="421"/>
      <c r="CK140" s="421"/>
      <c r="CL140" s="421"/>
      <c r="CM140" s="421"/>
      <c r="CN140" s="421"/>
      <c r="CO140" s="421"/>
      <c r="CP140" s="421"/>
      <c r="CQ140" s="421"/>
      <c r="CR140" s="421"/>
      <c r="CS140" s="421"/>
      <c r="CT140" s="421"/>
      <c r="CU140" s="421"/>
      <c r="CV140" s="421"/>
      <c r="CW140" s="421"/>
      <c r="CX140" s="421"/>
      <c r="CY140" s="421"/>
      <c r="CZ140" s="421"/>
      <c r="DA140" s="421"/>
      <c r="DB140" s="421"/>
      <c r="DC140" s="421"/>
      <c r="DD140" s="421"/>
      <c r="DE140" s="421"/>
      <c r="DF140" s="421"/>
      <c r="DG140" s="421"/>
      <c r="DH140" s="421"/>
      <c r="DI140" s="421"/>
      <c r="DJ140" s="421"/>
      <c r="DK140" s="421"/>
      <c r="DL140" s="421"/>
      <c r="DM140" s="421"/>
      <c r="DN140" s="421"/>
      <c r="DO140" s="421"/>
      <c r="DP140" s="421"/>
      <c r="DQ140" s="421"/>
      <c r="DR140" s="421"/>
      <c r="DS140" s="421"/>
      <c r="DT140" s="421"/>
      <c r="DU140" s="421"/>
      <c r="DV140" s="421"/>
      <c r="DW140" s="421"/>
      <c r="DX140" s="421"/>
      <c r="DY140" s="421"/>
      <c r="DZ140" s="421"/>
      <c r="EA140" s="421"/>
      <c r="EB140" s="421"/>
      <c r="EC140" s="421"/>
      <c r="ED140" s="421"/>
      <c r="EE140" s="421"/>
      <c r="EF140" s="421"/>
      <c r="EG140" s="421"/>
      <c r="EH140" s="421"/>
      <c r="EI140" s="421"/>
      <c r="EJ140" s="421"/>
      <c r="EK140" s="421"/>
      <c r="EL140" s="421"/>
      <c r="EM140" s="421"/>
      <c r="EN140" s="421"/>
      <c r="EO140" s="421"/>
      <c r="EP140" s="421"/>
      <c r="EQ140" s="421"/>
      <c r="ER140" s="421"/>
      <c r="ES140" s="421"/>
      <c r="ET140" s="421"/>
      <c r="EU140" s="421"/>
      <c r="EV140" s="421"/>
      <c r="EW140" s="421"/>
      <c r="EX140" s="421"/>
      <c r="EY140" s="421"/>
      <c r="EZ140" s="421"/>
      <c r="FA140" s="421"/>
      <c r="FB140" s="421"/>
      <c r="FC140" s="421"/>
      <c r="FD140" s="421"/>
      <c r="FE140" s="421"/>
      <c r="FF140" s="421"/>
      <c r="FG140" s="421"/>
      <c r="FH140" s="421"/>
      <c r="FI140" s="421"/>
      <c r="FJ140" s="421"/>
      <c r="FK140" s="421"/>
      <c r="FL140" s="421"/>
      <c r="FM140" s="421"/>
      <c r="FN140" s="421"/>
      <c r="FO140" s="421"/>
      <c r="FP140" s="421"/>
      <c r="FQ140" s="421"/>
      <c r="FR140" s="421"/>
      <c r="FS140" s="421"/>
      <c r="FT140" s="421"/>
      <c r="FU140" s="421"/>
      <c r="FV140" s="421"/>
      <c r="FW140" s="421"/>
      <c r="FX140" s="421"/>
      <c r="FY140" s="421"/>
      <c r="FZ140" s="421"/>
      <c r="GA140" s="421"/>
      <c r="GB140" s="421"/>
      <c r="GC140" s="421"/>
      <c r="GD140" s="421"/>
      <c r="GE140" s="421"/>
      <c r="GF140" s="421"/>
      <c r="GG140" s="421"/>
      <c r="GH140" s="421"/>
      <c r="GI140" s="421"/>
      <c r="GJ140" s="421"/>
      <c r="GK140" s="421"/>
      <c r="GL140" s="421"/>
      <c r="GM140" s="421"/>
      <c r="GN140" s="421"/>
      <c r="GO140" s="421"/>
      <c r="GP140" s="421"/>
      <c r="GQ140" s="421"/>
      <c r="GR140" s="421"/>
      <c r="GS140" s="421"/>
      <c r="GT140" s="421"/>
      <c r="GU140" s="421"/>
      <c r="GV140" s="421"/>
      <c r="GW140" s="421"/>
      <c r="GX140" s="421"/>
      <c r="GY140" s="421"/>
      <c r="GZ140" s="421"/>
      <c r="HA140" s="421"/>
      <c r="HB140" s="421"/>
      <c r="HC140" s="421"/>
      <c r="HD140" s="421"/>
      <c r="HE140" s="421"/>
      <c r="HF140" s="421"/>
      <c r="HG140" s="421"/>
      <c r="HH140" s="421"/>
      <c r="HI140" s="421"/>
      <c r="HJ140" s="421"/>
      <c r="HK140" s="421"/>
      <c r="HL140" s="421"/>
      <c r="HM140" s="421"/>
      <c r="HN140" s="421"/>
      <c r="HO140" s="421"/>
    </row>
    <row r="141" spans="7:223" s="422" customFormat="1" hidden="1" x14ac:dyDescent="0.3">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c r="AJ141" s="421"/>
      <c r="AK141" s="421"/>
      <c r="AL141" s="421"/>
      <c r="AM141" s="421"/>
      <c r="AN141" s="421"/>
      <c r="AO141" s="421"/>
      <c r="AP141" s="421"/>
      <c r="AQ141" s="421"/>
      <c r="AR141" s="421"/>
      <c r="AS141" s="421"/>
      <c r="AT141" s="421"/>
      <c r="AU141" s="421"/>
      <c r="AV141" s="421"/>
      <c r="AW141" s="421"/>
      <c r="AX141" s="421"/>
      <c r="AY141" s="421"/>
      <c r="AZ141" s="421"/>
      <c r="BA141" s="421"/>
      <c r="BB141" s="421"/>
      <c r="BC141" s="421"/>
      <c r="BD141" s="421"/>
      <c r="BE141" s="421"/>
      <c r="BF141" s="421"/>
      <c r="BG141" s="421"/>
      <c r="BH141" s="421"/>
      <c r="BI141" s="421"/>
      <c r="BJ141" s="421"/>
      <c r="BK141" s="421"/>
      <c r="BL141" s="421"/>
      <c r="BM141" s="421"/>
      <c r="BN141" s="421"/>
      <c r="BO141" s="421"/>
      <c r="BP141" s="421"/>
      <c r="BQ141" s="421"/>
      <c r="BR141" s="421"/>
      <c r="BS141" s="421"/>
      <c r="BT141" s="421"/>
      <c r="BU141" s="421"/>
      <c r="BV141" s="421"/>
      <c r="BW141" s="421"/>
      <c r="BX141" s="421"/>
      <c r="BY141" s="421"/>
      <c r="BZ141" s="421"/>
      <c r="CA141" s="421"/>
      <c r="CB141" s="421"/>
      <c r="CC141" s="421"/>
      <c r="CD141" s="421"/>
      <c r="CE141" s="421"/>
      <c r="CF141" s="421"/>
      <c r="CG141" s="421"/>
      <c r="CH141" s="421"/>
      <c r="CI141" s="421"/>
      <c r="CJ141" s="421"/>
      <c r="CK141" s="421"/>
      <c r="CL141" s="421"/>
      <c r="CM141" s="421"/>
      <c r="CN141" s="421"/>
      <c r="CO141" s="421"/>
      <c r="CP141" s="421"/>
      <c r="CQ141" s="421"/>
      <c r="CR141" s="421"/>
      <c r="CS141" s="421"/>
      <c r="CT141" s="421"/>
      <c r="CU141" s="421"/>
      <c r="CV141" s="421"/>
      <c r="CW141" s="421"/>
      <c r="CX141" s="421"/>
      <c r="CY141" s="421"/>
      <c r="CZ141" s="421"/>
      <c r="DA141" s="421"/>
      <c r="DB141" s="421"/>
      <c r="DC141" s="421"/>
      <c r="DD141" s="421"/>
      <c r="DE141" s="421"/>
      <c r="DF141" s="421"/>
      <c r="DG141" s="421"/>
      <c r="DH141" s="421"/>
      <c r="DI141" s="421"/>
      <c r="DJ141" s="421"/>
      <c r="DK141" s="421"/>
      <c r="DL141" s="421"/>
      <c r="DM141" s="421"/>
      <c r="DN141" s="421"/>
      <c r="DO141" s="421"/>
      <c r="DP141" s="421"/>
      <c r="DQ141" s="421"/>
      <c r="DR141" s="421"/>
      <c r="DS141" s="421"/>
      <c r="DT141" s="421"/>
      <c r="DU141" s="421"/>
      <c r="DV141" s="421"/>
      <c r="DW141" s="421"/>
      <c r="DX141" s="421"/>
      <c r="DY141" s="421"/>
      <c r="DZ141" s="421"/>
      <c r="EA141" s="421"/>
      <c r="EB141" s="421"/>
      <c r="EC141" s="421"/>
      <c r="ED141" s="421"/>
      <c r="EE141" s="421"/>
      <c r="EF141" s="421"/>
      <c r="EG141" s="421"/>
      <c r="EH141" s="421"/>
      <c r="EI141" s="421"/>
      <c r="EJ141" s="421"/>
      <c r="EK141" s="421"/>
      <c r="EL141" s="421"/>
      <c r="EM141" s="421"/>
      <c r="EN141" s="421"/>
      <c r="EO141" s="421"/>
      <c r="EP141" s="421"/>
      <c r="EQ141" s="421"/>
      <c r="ER141" s="421"/>
      <c r="ES141" s="421"/>
      <c r="ET141" s="421"/>
      <c r="EU141" s="421"/>
      <c r="EV141" s="421"/>
      <c r="EW141" s="421"/>
      <c r="EX141" s="421"/>
      <c r="EY141" s="421"/>
      <c r="EZ141" s="421"/>
      <c r="FA141" s="421"/>
      <c r="FB141" s="421"/>
      <c r="FC141" s="421"/>
      <c r="FD141" s="421"/>
      <c r="FE141" s="421"/>
      <c r="FF141" s="421"/>
      <c r="FG141" s="421"/>
      <c r="FH141" s="421"/>
      <c r="FI141" s="421"/>
      <c r="FJ141" s="421"/>
      <c r="FK141" s="421"/>
      <c r="FL141" s="421"/>
      <c r="FM141" s="421"/>
      <c r="FN141" s="421"/>
      <c r="FO141" s="421"/>
      <c r="FP141" s="421"/>
      <c r="FQ141" s="421"/>
      <c r="FR141" s="421"/>
      <c r="FS141" s="421"/>
      <c r="FT141" s="421"/>
      <c r="FU141" s="421"/>
      <c r="FV141" s="421"/>
      <c r="FW141" s="421"/>
      <c r="FX141" s="421"/>
      <c r="FY141" s="421"/>
      <c r="FZ141" s="421"/>
      <c r="GA141" s="421"/>
      <c r="GB141" s="421"/>
      <c r="GC141" s="421"/>
      <c r="GD141" s="421"/>
      <c r="GE141" s="421"/>
      <c r="GF141" s="421"/>
      <c r="GG141" s="421"/>
      <c r="GH141" s="421"/>
      <c r="GI141" s="421"/>
      <c r="GJ141" s="421"/>
      <c r="GK141" s="421"/>
      <c r="GL141" s="421"/>
      <c r="GM141" s="421"/>
      <c r="GN141" s="421"/>
      <c r="GO141" s="421"/>
      <c r="GP141" s="421"/>
      <c r="GQ141" s="421"/>
      <c r="GR141" s="421"/>
      <c r="GS141" s="421"/>
      <c r="GT141" s="421"/>
      <c r="GU141" s="421"/>
      <c r="GV141" s="421"/>
      <c r="GW141" s="421"/>
      <c r="GX141" s="421"/>
      <c r="GY141" s="421"/>
      <c r="GZ141" s="421"/>
      <c r="HA141" s="421"/>
      <c r="HB141" s="421"/>
      <c r="HC141" s="421"/>
      <c r="HD141" s="421"/>
      <c r="HE141" s="421"/>
      <c r="HF141" s="421"/>
      <c r="HG141" s="421"/>
      <c r="HH141" s="421"/>
      <c r="HI141" s="421"/>
      <c r="HJ141" s="421"/>
      <c r="HK141" s="421"/>
      <c r="HL141" s="421"/>
      <c r="HM141" s="421"/>
      <c r="HN141" s="421"/>
      <c r="HO141" s="421"/>
    </row>
    <row r="142" spans="7:223" s="422" customFormat="1" hidden="1" x14ac:dyDescent="0.3">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c r="AJ142" s="421"/>
      <c r="AK142" s="421"/>
      <c r="AL142" s="421"/>
      <c r="AM142" s="421"/>
      <c r="AN142" s="421"/>
      <c r="AO142" s="421"/>
      <c r="AP142" s="421"/>
      <c r="AQ142" s="421"/>
      <c r="AR142" s="421"/>
      <c r="AS142" s="421"/>
      <c r="AT142" s="421"/>
      <c r="AU142" s="421"/>
      <c r="AV142" s="421"/>
      <c r="AW142" s="421"/>
      <c r="AX142" s="421"/>
      <c r="AY142" s="421"/>
      <c r="AZ142" s="421"/>
      <c r="BA142" s="421"/>
      <c r="BB142" s="421"/>
      <c r="BC142" s="421"/>
      <c r="BD142" s="421"/>
      <c r="BE142" s="421"/>
      <c r="BF142" s="421"/>
      <c r="BG142" s="421"/>
      <c r="BH142" s="421"/>
      <c r="BI142" s="421"/>
      <c r="BJ142" s="421"/>
      <c r="BK142" s="421"/>
      <c r="BL142" s="421"/>
      <c r="BM142" s="421"/>
      <c r="BN142" s="421"/>
      <c r="BO142" s="421"/>
      <c r="BP142" s="421"/>
      <c r="BQ142" s="421"/>
      <c r="BR142" s="421"/>
      <c r="BS142" s="421"/>
      <c r="BT142" s="421"/>
      <c r="BU142" s="421"/>
      <c r="BV142" s="421"/>
      <c r="BW142" s="421"/>
      <c r="BX142" s="421"/>
      <c r="BY142" s="421"/>
      <c r="BZ142" s="421"/>
      <c r="CA142" s="421"/>
      <c r="CB142" s="421"/>
      <c r="CC142" s="421"/>
      <c r="CD142" s="421"/>
      <c r="CE142" s="421"/>
      <c r="CF142" s="421"/>
      <c r="CG142" s="421"/>
      <c r="CH142" s="421"/>
      <c r="CI142" s="421"/>
      <c r="CJ142" s="421"/>
      <c r="CK142" s="421"/>
      <c r="CL142" s="421"/>
      <c r="CM142" s="421"/>
      <c r="CN142" s="421"/>
      <c r="CO142" s="421"/>
      <c r="CP142" s="421"/>
      <c r="CQ142" s="421"/>
      <c r="CR142" s="421"/>
      <c r="CS142" s="421"/>
      <c r="CT142" s="421"/>
      <c r="CU142" s="421"/>
      <c r="CV142" s="421"/>
      <c r="CW142" s="421"/>
      <c r="CX142" s="421"/>
      <c r="CY142" s="421"/>
      <c r="CZ142" s="421"/>
      <c r="DA142" s="421"/>
      <c r="DB142" s="421"/>
      <c r="DC142" s="421"/>
      <c r="DD142" s="421"/>
      <c r="DE142" s="421"/>
      <c r="DF142" s="421"/>
      <c r="DG142" s="421"/>
      <c r="DH142" s="421"/>
      <c r="DI142" s="421"/>
      <c r="DJ142" s="421"/>
      <c r="DK142" s="421"/>
      <c r="DL142" s="421"/>
      <c r="DM142" s="421"/>
      <c r="DN142" s="421"/>
      <c r="DO142" s="421"/>
      <c r="DP142" s="421"/>
      <c r="DQ142" s="421"/>
      <c r="DR142" s="421"/>
      <c r="DS142" s="421"/>
      <c r="DT142" s="421"/>
      <c r="DU142" s="421"/>
      <c r="DV142" s="421"/>
      <c r="DW142" s="421"/>
      <c r="DX142" s="421"/>
      <c r="DY142" s="421"/>
      <c r="DZ142" s="421"/>
      <c r="EA142" s="421"/>
      <c r="EB142" s="421"/>
      <c r="EC142" s="421"/>
      <c r="ED142" s="421"/>
      <c r="EE142" s="421"/>
      <c r="EF142" s="421"/>
      <c r="EG142" s="421"/>
      <c r="EH142" s="421"/>
      <c r="EI142" s="421"/>
      <c r="EJ142" s="421"/>
      <c r="EK142" s="421"/>
      <c r="EL142" s="421"/>
      <c r="EM142" s="421"/>
      <c r="EN142" s="421"/>
      <c r="EO142" s="421"/>
      <c r="EP142" s="421"/>
      <c r="EQ142" s="421"/>
      <c r="ER142" s="421"/>
      <c r="ES142" s="421"/>
      <c r="ET142" s="421"/>
      <c r="EU142" s="421"/>
      <c r="EV142" s="421"/>
      <c r="EW142" s="421"/>
      <c r="EX142" s="421"/>
      <c r="EY142" s="421"/>
      <c r="EZ142" s="421"/>
      <c r="FA142" s="421"/>
      <c r="FB142" s="421"/>
      <c r="FC142" s="421"/>
      <c r="FD142" s="421"/>
      <c r="FE142" s="421"/>
      <c r="FF142" s="421"/>
      <c r="FG142" s="421"/>
      <c r="FH142" s="421"/>
      <c r="FI142" s="421"/>
      <c r="FJ142" s="421"/>
      <c r="FK142" s="421"/>
      <c r="FL142" s="421"/>
      <c r="FM142" s="421"/>
      <c r="FN142" s="421"/>
      <c r="FO142" s="421"/>
      <c r="FP142" s="421"/>
      <c r="FQ142" s="421"/>
      <c r="FR142" s="421"/>
      <c r="FS142" s="421"/>
      <c r="FT142" s="421"/>
      <c r="FU142" s="421"/>
      <c r="FV142" s="421"/>
      <c r="FW142" s="421"/>
      <c r="FX142" s="421"/>
      <c r="FY142" s="421"/>
      <c r="FZ142" s="421"/>
      <c r="GA142" s="421"/>
      <c r="GB142" s="421"/>
      <c r="GC142" s="421"/>
      <c r="GD142" s="421"/>
      <c r="GE142" s="421"/>
      <c r="GF142" s="421"/>
      <c r="GG142" s="421"/>
      <c r="GH142" s="421"/>
      <c r="GI142" s="421"/>
      <c r="GJ142" s="421"/>
      <c r="GK142" s="421"/>
      <c r="GL142" s="421"/>
      <c r="GM142" s="421"/>
      <c r="GN142" s="421"/>
      <c r="GO142" s="421"/>
      <c r="GP142" s="421"/>
      <c r="GQ142" s="421"/>
      <c r="GR142" s="421"/>
      <c r="GS142" s="421"/>
      <c r="GT142" s="421"/>
      <c r="GU142" s="421"/>
      <c r="GV142" s="421"/>
      <c r="GW142" s="421"/>
      <c r="GX142" s="421"/>
      <c r="GY142" s="421"/>
      <c r="GZ142" s="421"/>
      <c r="HA142" s="421"/>
      <c r="HB142" s="421"/>
      <c r="HC142" s="421"/>
      <c r="HD142" s="421"/>
      <c r="HE142" s="421"/>
      <c r="HF142" s="421"/>
      <c r="HG142" s="421"/>
      <c r="HH142" s="421"/>
      <c r="HI142" s="421"/>
      <c r="HJ142" s="421"/>
      <c r="HK142" s="421"/>
      <c r="HL142" s="421"/>
      <c r="HM142" s="421"/>
      <c r="HN142" s="421"/>
      <c r="HO142" s="421"/>
    </row>
    <row r="143" spans="7:223" s="422" customFormat="1" hidden="1" x14ac:dyDescent="0.3">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c r="AJ143" s="421"/>
      <c r="AK143" s="421"/>
      <c r="AL143" s="421"/>
      <c r="AM143" s="421"/>
      <c r="AN143" s="421"/>
      <c r="AO143" s="421"/>
      <c r="AP143" s="421"/>
      <c r="AQ143" s="421"/>
      <c r="AR143" s="421"/>
      <c r="AS143" s="421"/>
      <c r="AT143" s="421"/>
      <c r="AU143" s="421"/>
      <c r="AV143" s="421"/>
      <c r="AW143" s="421"/>
      <c r="AX143" s="421"/>
      <c r="AY143" s="421"/>
      <c r="AZ143" s="421"/>
      <c r="BA143" s="421"/>
      <c r="BB143" s="421"/>
      <c r="BC143" s="421"/>
      <c r="BD143" s="421"/>
      <c r="BE143" s="421"/>
      <c r="BF143" s="421"/>
      <c r="BG143" s="421"/>
      <c r="BH143" s="421"/>
      <c r="BI143" s="421"/>
      <c r="BJ143" s="421"/>
      <c r="BK143" s="421"/>
      <c r="BL143" s="421"/>
      <c r="BM143" s="421"/>
      <c r="BN143" s="421"/>
      <c r="BO143" s="421"/>
      <c r="BP143" s="421"/>
      <c r="BQ143" s="421"/>
      <c r="BR143" s="421"/>
      <c r="BS143" s="421"/>
      <c r="BT143" s="421"/>
      <c r="BU143" s="421"/>
      <c r="BV143" s="421"/>
      <c r="BW143" s="421"/>
      <c r="BX143" s="421"/>
      <c r="BY143" s="421"/>
      <c r="BZ143" s="421"/>
      <c r="CA143" s="421"/>
      <c r="CB143" s="421"/>
      <c r="CC143" s="421"/>
      <c r="CD143" s="421"/>
      <c r="CE143" s="421"/>
      <c r="CF143" s="421"/>
      <c r="CG143" s="421"/>
      <c r="CH143" s="421"/>
      <c r="CI143" s="421"/>
      <c r="CJ143" s="421"/>
      <c r="CK143" s="421"/>
      <c r="CL143" s="421"/>
      <c r="CM143" s="421"/>
      <c r="CN143" s="421"/>
      <c r="CO143" s="421"/>
      <c r="CP143" s="421"/>
      <c r="CQ143" s="421"/>
      <c r="CR143" s="421"/>
      <c r="CS143" s="421"/>
      <c r="CT143" s="421"/>
      <c r="CU143" s="421"/>
      <c r="CV143" s="421"/>
      <c r="CW143" s="421"/>
      <c r="CX143" s="421"/>
      <c r="CY143" s="421"/>
      <c r="CZ143" s="421"/>
      <c r="DA143" s="421"/>
      <c r="DB143" s="421"/>
      <c r="DC143" s="421"/>
      <c r="DD143" s="421"/>
      <c r="DE143" s="421"/>
      <c r="DF143" s="421"/>
      <c r="DG143" s="421"/>
      <c r="DH143" s="421"/>
      <c r="DI143" s="421"/>
      <c r="DJ143" s="421"/>
      <c r="DK143" s="421"/>
      <c r="DL143" s="421"/>
      <c r="DM143" s="421"/>
      <c r="DN143" s="421"/>
      <c r="DO143" s="421"/>
      <c r="DP143" s="421"/>
      <c r="DQ143" s="421"/>
      <c r="DR143" s="421"/>
      <c r="DS143" s="421"/>
      <c r="DT143" s="421"/>
      <c r="DU143" s="421"/>
      <c r="DV143" s="421"/>
      <c r="DW143" s="421"/>
      <c r="DX143" s="421"/>
      <c r="DY143" s="421"/>
      <c r="DZ143" s="421"/>
      <c r="EA143" s="421"/>
      <c r="EB143" s="421"/>
      <c r="EC143" s="421"/>
      <c r="ED143" s="421"/>
      <c r="EE143" s="421"/>
      <c r="EF143" s="421"/>
      <c r="EG143" s="421"/>
      <c r="EH143" s="421"/>
      <c r="EI143" s="421"/>
      <c r="EJ143" s="421"/>
      <c r="EK143" s="421"/>
      <c r="EL143" s="421"/>
      <c r="EM143" s="421"/>
      <c r="EN143" s="421"/>
      <c r="EO143" s="421"/>
      <c r="EP143" s="421"/>
      <c r="EQ143" s="421"/>
      <c r="ER143" s="421"/>
      <c r="ES143" s="421"/>
      <c r="ET143" s="421"/>
      <c r="EU143" s="421"/>
      <c r="EV143" s="421"/>
      <c r="EW143" s="421"/>
      <c r="EX143" s="421"/>
      <c r="EY143" s="421"/>
      <c r="EZ143" s="421"/>
      <c r="FA143" s="421"/>
      <c r="FB143" s="421"/>
      <c r="FC143" s="421"/>
      <c r="FD143" s="421"/>
      <c r="FE143" s="421"/>
      <c r="FF143" s="421"/>
      <c r="FG143" s="421"/>
      <c r="FH143" s="421"/>
      <c r="FI143" s="421"/>
      <c r="FJ143" s="421"/>
      <c r="FK143" s="421"/>
      <c r="FL143" s="421"/>
      <c r="FM143" s="421"/>
      <c r="FN143" s="421"/>
      <c r="FO143" s="421"/>
      <c r="FP143" s="421"/>
      <c r="FQ143" s="421"/>
      <c r="FR143" s="421"/>
      <c r="FS143" s="421"/>
      <c r="FT143" s="421"/>
      <c r="FU143" s="421"/>
      <c r="FV143" s="421"/>
      <c r="FW143" s="421"/>
      <c r="FX143" s="421"/>
      <c r="FY143" s="421"/>
      <c r="FZ143" s="421"/>
      <c r="GA143" s="421"/>
      <c r="GB143" s="421"/>
      <c r="GC143" s="421"/>
      <c r="GD143" s="421"/>
      <c r="GE143" s="421"/>
      <c r="GF143" s="421"/>
      <c r="GG143" s="421"/>
      <c r="GH143" s="421"/>
      <c r="GI143" s="421"/>
      <c r="GJ143" s="421"/>
      <c r="GK143" s="421"/>
      <c r="GL143" s="421"/>
      <c r="GM143" s="421"/>
      <c r="GN143" s="421"/>
      <c r="GO143" s="421"/>
      <c r="GP143" s="421"/>
      <c r="GQ143" s="421"/>
      <c r="GR143" s="421"/>
      <c r="GS143" s="421"/>
      <c r="GT143" s="421"/>
      <c r="GU143" s="421"/>
      <c r="GV143" s="421"/>
      <c r="GW143" s="421"/>
      <c r="GX143" s="421"/>
      <c r="GY143" s="421"/>
      <c r="GZ143" s="421"/>
      <c r="HA143" s="421"/>
      <c r="HB143" s="421"/>
      <c r="HC143" s="421"/>
      <c r="HD143" s="421"/>
      <c r="HE143" s="421"/>
      <c r="HF143" s="421"/>
      <c r="HG143" s="421"/>
      <c r="HH143" s="421"/>
      <c r="HI143" s="421"/>
      <c r="HJ143" s="421"/>
      <c r="HK143" s="421"/>
      <c r="HL143" s="421"/>
      <c r="HM143" s="421"/>
      <c r="HN143" s="421"/>
      <c r="HO143" s="421"/>
    </row>
    <row r="144" spans="7:223" s="422" customFormat="1" hidden="1" x14ac:dyDescent="0.3">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c r="AJ144" s="421"/>
      <c r="AK144" s="421"/>
      <c r="AL144" s="421"/>
      <c r="AM144" s="421"/>
      <c r="AN144" s="421"/>
      <c r="AO144" s="421"/>
      <c r="AP144" s="421"/>
      <c r="AQ144" s="421"/>
      <c r="AR144" s="421"/>
      <c r="AS144" s="421"/>
      <c r="AT144" s="421"/>
      <c r="AU144" s="421"/>
      <c r="AV144" s="421"/>
      <c r="AW144" s="421"/>
      <c r="AX144" s="421"/>
      <c r="AY144" s="421"/>
      <c r="AZ144" s="421"/>
      <c r="BA144" s="421"/>
      <c r="BB144" s="421"/>
      <c r="BC144" s="421"/>
      <c r="BD144" s="421"/>
      <c r="BE144" s="421"/>
      <c r="BF144" s="421"/>
      <c r="BG144" s="421"/>
      <c r="BH144" s="421"/>
      <c r="BI144" s="421"/>
      <c r="BJ144" s="421"/>
      <c r="BK144" s="421"/>
      <c r="BL144" s="421"/>
      <c r="BM144" s="421"/>
      <c r="BN144" s="421"/>
      <c r="BO144" s="421"/>
      <c r="BP144" s="421"/>
      <c r="BQ144" s="421"/>
      <c r="BR144" s="421"/>
      <c r="BS144" s="421"/>
      <c r="BT144" s="421"/>
      <c r="BU144" s="421"/>
      <c r="BV144" s="421"/>
      <c r="BW144" s="421"/>
      <c r="BX144" s="421"/>
      <c r="BY144" s="421"/>
      <c r="BZ144" s="421"/>
      <c r="CA144" s="421"/>
      <c r="CB144" s="421"/>
      <c r="CC144" s="421"/>
      <c r="CD144" s="421"/>
      <c r="CE144" s="421"/>
      <c r="CF144" s="421"/>
      <c r="CG144" s="421"/>
      <c r="CH144" s="421"/>
      <c r="CI144" s="421"/>
      <c r="CJ144" s="421"/>
      <c r="CK144" s="421"/>
      <c r="CL144" s="421"/>
      <c r="CM144" s="421"/>
      <c r="CN144" s="421"/>
      <c r="CO144" s="421"/>
      <c r="CP144" s="421"/>
      <c r="CQ144" s="421"/>
      <c r="CR144" s="421"/>
      <c r="CS144" s="421"/>
      <c r="CT144" s="421"/>
      <c r="CU144" s="421"/>
      <c r="CV144" s="421"/>
      <c r="CW144" s="421"/>
      <c r="CX144" s="421"/>
      <c r="CY144" s="421"/>
      <c r="CZ144" s="421"/>
      <c r="DA144" s="421"/>
      <c r="DB144" s="421"/>
      <c r="DC144" s="421"/>
      <c r="DD144" s="421"/>
      <c r="DE144" s="421"/>
      <c r="DF144" s="421"/>
      <c r="DG144" s="421"/>
      <c r="DH144" s="421"/>
      <c r="DI144" s="421"/>
      <c r="DJ144" s="421"/>
      <c r="DK144" s="421"/>
      <c r="DL144" s="421"/>
      <c r="DM144" s="421"/>
      <c r="DN144" s="421"/>
      <c r="DO144" s="421"/>
      <c r="DP144" s="421"/>
      <c r="DQ144" s="421"/>
      <c r="DR144" s="421"/>
      <c r="DS144" s="421"/>
      <c r="DT144" s="421"/>
      <c r="DU144" s="421"/>
      <c r="DV144" s="421"/>
      <c r="DW144" s="421"/>
      <c r="DX144" s="421"/>
      <c r="DY144" s="421"/>
      <c r="DZ144" s="421"/>
      <c r="EA144" s="421"/>
      <c r="EB144" s="421"/>
      <c r="EC144" s="421"/>
      <c r="ED144" s="421"/>
      <c r="EE144" s="421"/>
      <c r="EF144" s="421"/>
      <c r="EG144" s="421"/>
      <c r="EH144" s="421"/>
      <c r="EI144" s="421"/>
      <c r="EJ144" s="421"/>
      <c r="EK144" s="421"/>
      <c r="EL144" s="421"/>
      <c r="EM144" s="421"/>
      <c r="EN144" s="421"/>
      <c r="EO144" s="421"/>
      <c r="EP144" s="421"/>
      <c r="EQ144" s="421"/>
      <c r="ER144" s="421"/>
      <c r="ES144" s="421"/>
      <c r="ET144" s="421"/>
      <c r="EU144" s="421"/>
      <c r="EV144" s="421"/>
      <c r="EW144" s="421"/>
      <c r="EX144" s="421"/>
      <c r="EY144" s="421"/>
      <c r="EZ144" s="421"/>
      <c r="FA144" s="421"/>
      <c r="FB144" s="421"/>
      <c r="FC144" s="421"/>
      <c r="FD144" s="421"/>
      <c r="FE144" s="421"/>
      <c r="FF144" s="421"/>
      <c r="FG144" s="421"/>
      <c r="FH144" s="421"/>
      <c r="FI144" s="421"/>
      <c r="FJ144" s="421"/>
      <c r="FK144" s="421"/>
      <c r="FL144" s="421"/>
      <c r="FM144" s="421"/>
      <c r="FN144" s="421"/>
      <c r="FO144" s="421"/>
      <c r="FP144" s="421"/>
      <c r="FQ144" s="421"/>
      <c r="FR144" s="421"/>
      <c r="FS144" s="421"/>
      <c r="FT144" s="421"/>
      <c r="FU144" s="421"/>
      <c r="FV144" s="421"/>
      <c r="FW144" s="421"/>
      <c r="FX144" s="421"/>
      <c r="FY144" s="421"/>
      <c r="FZ144" s="421"/>
      <c r="GA144" s="421"/>
      <c r="GB144" s="421"/>
      <c r="GC144" s="421"/>
      <c r="GD144" s="421"/>
      <c r="GE144" s="421"/>
      <c r="GF144" s="421"/>
      <c r="GG144" s="421"/>
      <c r="GH144" s="421"/>
      <c r="GI144" s="421"/>
      <c r="GJ144" s="421"/>
      <c r="GK144" s="421"/>
      <c r="GL144" s="421"/>
      <c r="GM144" s="421"/>
      <c r="GN144" s="421"/>
      <c r="GO144" s="421"/>
      <c r="GP144" s="421"/>
      <c r="GQ144" s="421"/>
      <c r="GR144" s="421"/>
      <c r="GS144" s="421"/>
      <c r="GT144" s="421"/>
      <c r="GU144" s="421"/>
      <c r="GV144" s="421"/>
      <c r="GW144" s="421"/>
      <c r="GX144" s="421"/>
      <c r="GY144" s="421"/>
      <c r="GZ144" s="421"/>
      <c r="HA144" s="421"/>
      <c r="HB144" s="421"/>
      <c r="HC144" s="421"/>
      <c r="HD144" s="421"/>
      <c r="HE144" s="421"/>
      <c r="HF144" s="421"/>
      <c r="HG144" s="421"/>
      <c r="HH144" s="421"/>
      <c r="HI144" s="421"/>
      <c r="HJ144" s="421"/>
      <c r="HK144" s="421"/>
      <c r="HL144" s="421"/>
      <c r="HM144" s="421"/>
      <c r="HN144" s="421"/>
      <c r="HO144" s="421"/>
    </row>
    <row r="145" spans="7:223" s="422" customFormat="1" hidden="1" x14ac:dyDescent="0.3">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c r="AJ145" s="421"/>
      <c r="AK145" s="421"/>
      <c r="AL145" s="421"/>
      <c r="AM145" s="421"/>
      <c r="AN145" s="421"/>
      <c r="AO145" s="421"/>
      <c r="AP145" s="421"/>
      <c r="AQ145" s="421"/>
      <c r="AR145" s="421"/>
      <c r="AS145" s="421"/>
      <c r="AT145" s="421"/>
      <c r="AU145" s="421"/>
      <c r="AV145" s="421"/>
      <c r="AW145" s="421"/>
      <c r="AX145" s="421"/>
      <c r="AY145" s="421"/>
      <c r="AZ145" s="421"/>
      <c r="BA145" s="421"/>
      <c r="BB145" s="421"/>
      <c r="BC145" s="421"/>
      <c r="BD145" s="421"/>
      <c r="BE145" s="421"/>
      <c r="BF145" s="421"/>
      <c r="BG145" s="421"/>
      <c r="BH145" s="421"/>
      <c r="BI145" s="421"/>
      <c r="BJ145" s="421"/>
      <c r="BK145" s="421"/>
      <c r="BL145" s="421"/>
      <c r="BM145" s="421"/>
      <c r="BN145" s="421"/>
      <c r="BO145" s="421"/>
      <c r="BP145" s="421"/>
      <c r="BQ145" s="421"/>
      <c r="BR145" s="421"/>
      <c r="BS145" s="421"/>
      <c r="BT145" s="421"/>
      <c r="BU145" s="421"/>
      <c r="BV145" s="421"/>
      <c r="BW145" s="421"/>
      <c r="BX145" s="421"/>
      <c r="BY145" s="421"/>
      <c r="BZ145" s="421"/>
      <c r="CA145" s="421"/>
      <c r="CB145" s="421"/>
      <c r="CC145" s="421"/>
      <c r="CD145" s="421"/>
      <c r="CE145" s="421"/>
      <c r="CF145" s="421"/>
      <c r="CG145" s="421"/>
      <c r="CH145" s="421"/>
      <c r="CI145" s="421"/>
      <c r="CJ145" s="421"/>
      <c r="CK145" s="421"/>
      <c r="CL145" s="421"/>
      <c r="CM145" s="421"/>
      <c r="CN145" s="421"/>
      <c r="CO145" s="421"/>
      <c r="CP145" s="421"/>
      <c r="CQ145" s="421"/>
      <c r="CR145" s="421"/>
      <c r="CS145" s="421"/>
      <c r="CT145" s="421"/>
      <c r="CU145" s="421"/>
      <c r="CV145" s="421"/>
      <c r="CW145" s="421"/>
      <c r="CX145" s="421"/>
      <c r="CY145" s="421"/>
      <c r="CZ145" s="421"/>
      <c r="DA145" s="421"/>
      <c r="DB145" s="421"/>
      <c r="DC145" s="421"/>
      <c r="DD145" s="421"/>
      <c r="DE145" s="421"/>
      <c r="DF145" s="421"/>
      <c r="DG145" s="421"/>
      <c r="DH145" s="421"/>
      <c r="DI145" s="421"/>
      <c r="DJ145" s="421"/>
      <c r="DK145" s="421"/>
      <c r="DL145" s="421"/>
      <c r="DM145" s="421"/>
      <c r="DN145" s="421"/>
      <c r="DO145" s="421"/>
      <c r="DP145" s="421"/>
      <c r="DQ145" s="421"/>
      <c r="DR145" s="421"/>
      <c r="DS145" s="421"/>
      <c r="DT145" s="421"/>
      <c r="DU145" s="421"/>
      <c r="DV145" s="421"/>
      <c r="DW145" s="421"/>
      <c r="DX145" s="421"/>
      <c r="DY145" s="421"/>
      <c r="DZ145" s="421"/>
      <c r="EA145" s="421"/>
      <c r="EB145" s="421"/>
      <c r="EC145" s="421"/>
      <c r="ED145" s="421"/>
      <c r="EE145" s="421"/>
      <c r="EF145" s="421"/>
      <c r="EG145" s="421"/>
      <c r="EH145" s="421"/>
      <c r="EI145" s="421"/>
      <c r="EJ145" s="421"/>
      <c r="EK145" s="421"/>
      <c r="EL145" s="421"/>
      <c r="EM145" s="421"/>
      <c r="EN145" s="421"/>
      <c r="EO145" s="421"/>
      <c r="EP145" s="421"/>
      <c r="EQ145" s="421"/>
      <c r="ER145" s="421"/>
      <c r="ES145" s="421"/>
      <c r="ET145" s="421"/>
      <c r="EU145" s="421"/>
      <c r="EV145" s="421"/>
      <c r="EW145" s="421"/>
      <c r="EX145" s="421"/>
      <c r="EY145" s="421"/>
      <c r="EZ145" s="421"/>
      <c r="FA145" s="421"/>
      <c r="FB145" s="421"/>
      <c r="FC145" s="421"/>
      <c r="FD145" s="421"/>
      <c r="FE145" s="421"/>
      <c r="FF145" s="421"/>
      <c r="FG145" s="421"/>
      <c r="FH145" s="421"/>
      <c r="FI145" s="421"/>
      <c r="FJ145" s="421"/>
      <c r="FK145" s="421"/>
      <c r="FL145" s="421"/>
      <c r="FM145" s="421"/>
      <c r="FN145" s="421"/>
      <c r="FO145" s="421"/>
      <c r="FP145" s="421"/>
      <c r="FQ145" s="421"/>
      <c r="FR145" s="421"/>
      <c r="FS145" s="421"/>
      <c r="FT145" s="421"/>
      <c r="FU145" s="421"/>
      <c r="FV145" s="421"/>
      <c r="FW145" s="421"/>
      <c r="FX145" s="421"/>
      <c r="FY145" s="421"/>
      <c r="FZ145" s="421"/>
      <c r="GA145" s="421"/>
      <c r="GB145" s="421"/>
      <c r="GC145" s="421"/>
      <c r="GD145" s="421"/>
      <c r="GE145" s="421"/>
      <c r="GF145" s="421"/>
      <c r="GG145" s="421"/>
      <c r="GH145" s="421"/>
      <c r="GI145" s="421"/>
      <c r="GJ145" s="421"/>
      <c r="GK145" s="421"/>
      <c r="GL145" s="421"/>
      <c r="GM145" s="421"/>
      <c r="GN145" s="421"/>
      <c r="GO145" s="421"/>
      <c r="GP145" s="421"/>
      <c r="GQ145" s="421"/>
      <c r="GR145" s="421"/>
      <c r="GS145" s="421"/>
      <c r="GT145" s="421"/>
      <c r="GU145" s="421"/>
      <c r="GV145" s="421"/>
      <c r="GW145" s="421"/>
      <c r="GX145" s="421"/>
      <c r="GY145" s="421"/>
      <c r="GZ145" s="421"/>
      <c r="HA145" s="421"/>
      <c r="HB145" s="421"/>
      <c r="HC145" s="421"/>
      <c r="HD145" s="421"/>
      <c r="HE145" s="421"/>
      <c r="HF145" s="421"/>
      <c r="HG145" s="421"/>
      <c r="HH145" s="421"/>
      <c r="HI145" s="421"/>
      <c r="HJ145" s="421"/>
      <c r="HK145" s="421"/>
      <c r="HL145" s="421"/>
      <c r="HM145" s="421"/>
      <c r="HN145" s="421"/>
      <c r="HO145" s="421"/>
    </row>
    <row r="146" spans="7:223" s="422" customFormat="1" hidden="1" x14ac:dyDescent="0.3">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c r="AJ146" s="421"/>
      <c r="AK146" s="421"/>
      <c r="AL146" s="421"/>
      <c r="AM146" s="421"/>
      <c r="AN146" s="421"/>
      <c r="AO146" s="421"/>
      <c r="AP146" s="421"/>
      <c r="AQ146" s="421"/>
      <c r="AR146" s="421"/>
      <c r="AS146" s="421"/>
      <c r="AT146" s="421"/>
      <c r="AU146" s="421"/>
      <c r="AV146" s="421"/>
      <c r="AW146" s="421"/>
      <c r="AX146" s="421"/>
      <c r="AY146" s="421"/>
      <c r="AZ146" s="421"/>
      <c r="BA146" s="421"/>
      <c r="BB146" s="421"/>
      <c r="BC146" s="421"/>
      <c r="BD146" s="421"/>
      <c r="BE146" s="421"/>
      <c r="BF146" s="421"/>
      <c r="BG146" s="421"/>
      <c r="BH146" s="421"/>
      <c r="BI146" s="421"/>
      <c r="BJ146" s="421"/>
      <c r="BK146" s="421"/>
      <c r="BL146" s="421"/>
      <c r="BM146" s="421"/>
      <c r="BN146" s="421"/>
      <c r="BO146" s="421"/>
      <c r="BP146" s="421"/>
      <c r="BQ146" s="421"/>
      <c r="BR146" s="421"/>
      <c r="BS146" s="421"/>
      <c r="BT146" s="421"/>
      <c r="BU146" s="421"/>
      <c r="BV146" s="421"/>
      <c r="BW146" s="421"/>
      <c r="BX146" s="421"/>
      <c r="BY146" s="421"/>
      <c r="BZ146" s="421"/>
      <c r="CA146" s="421"/>
      <c r="CB146" s="421"/>
      <c r="CC146" s="421"/>
      <c r="CD146" s="421"/>
      <c r="CE146" s="421"/>
      <c r="CF146" s="421"/>
      <c r="CG146" s="421"/>
      <c r="CH146" s="421"/>
      <c r="CI146" s="421"/>
      <c r="CJ146" s="421"/>
      <c r="CK146" s="421"/>
      <c r="CL146" s="421"/>
      <c r="CM146" s="421"/>
      <c r="CN146" s="421"/>
      <c r="CO146" s="421"/>
      <c r="CP146" s="421"/>
      <c r="CQ146" s="421"/>
      <c r="CR146" s="421"/>
      <c r="CS146" s="421"/>
      <c r="CT146" s="421"/>
      <c r="CU146" s="421"/>
      <c r="CV146" s="421"/>
      <c r="CW146" s="421"/>
      <c r="CX146" s="421"/>
      <c r="CY146" s="421"/>
      <c r="CZ146" s="421"/>
      <c r="DA146" s="421"/>
      <c r="DB146" s="421"/>
      <c r="DC146" s="421"/>
      <c r="DD146" s="421"/>
      <c r="DE146" s="421"/>
      <c r="DF146" s="421"/>
      <c r="DG146" s="421"/>
      <c r="DH146" s="421"/>
      <c r="DI146" s="421"/>
      <c r="DJ146" s="421"/>
      <c r="DK146" s="421"/>
      <c r="DL146" s="421"/>
      <c r="DM146" s="421"/>
      <c r="DN146" s="421"/>
      <c r="DO146" s="421"/>
      <c r="DP146" s="421"/>
      <c r="DQ146" s="421"/>
      <c r="DR146" s="421"/>
      <c r="DS146" s="421"/>
      <c r="DT146" s="421"/>
      <c r="DU146" s="421"/>
      <c r="DV146" s="421"/>
      <c r="DW146" s="421"/>
      <c r="DX146" s="421"/>
      <c r="DY146" s="421"/>
      <c r="DZ146" s="421"/>
      <c r="EA146" s="421"/>
      <c r="EB146" s="421"/>
      <c r="EC146" s="421"/>
      <c r="ED146" s="421"/>
      <c r="EE146" s="421"/>
      <c r="EF146" s="421"/>
      <c r="EG146" s="421"/>
      <c r="EH146" s="421"/>
      <c r="EI146" s="421"/>
      <c r="EJ146" s="421"/>
      <c r="EK146" s="421"/>
      <c r="EL146" s="421"/>
      <c r="EM146" s="421"/>
      <c r="EN146" s="421"/>
      <c r="EO146" s="421"/>
      <c r="EP146" s="421"/>
      <c r="EQ146" s="421"/>
      <c r="ER146" s="421"/>
      <c r="ES146" s="421"/>
      <c r="ET146" s="421"/>
      <c r="EU146" s="421"/>
      <c r="EV146" s="421"/>
      <c r="EW146" s="421"/>
      <c r="EX146" s="421"/>
      <c r="EY146" s="421"/>
      <c r="EZ146" s="421"/>
      <c r="FA146" s="421"/>
      <c r="FB146" s="421"/>
      <c r="FC146" s="421"/>
      <c r="FD146" s="421"/>
      <c r="FE146" s="421"/>
      <c r="FF146" s="421"/>
      <c r="FG146" s="421"/>
      <c r="FH146" s="421"/>
      <c r="FI146" s="421"/>
      <c r="FJ146" s="421"/>
      <c r="FK146" s="421"/>
      <c r="FL146" s="421"/>
      <c r="FM146" s="421"/>
      <c r="FN146" s="421"/>
      <c r="FO146" s="421"/>
      <c r="FP146" s="421"/>
      <c r="FQ146" s="421"/>
      <c r="FR146" s="421"/>
      <c r="FS146" s="421"/>
      <c r="FT146" s="421"/>
      <c r="FU146" s="421"/>
      <c r="FV146" s="421"/>
      <c r="FW146" s="421"/>
      <c r="FX146" s="421"/>
      <c r="FY146" s="421"/>
      <c r="FZ146" s="421"/>
      <c r="GA146" s="421"/>
      <c r="GB146" s="421"/>
      <c r="GC146" s="421"/>
      <c r="GD146" s="421"/>
      <c r="GE146" s="421"/>
      <c r="GF146" s="421"/>
      <c r="GG146" s="421"/>
      <c r="GH146" s="421"/>
      <c r="GI146" s="421"/>
      <c r="GJ146" s="421"/>
      <c r="GK146" s="421"/>
      <c r="GL146" s="421"/>
      <c r="GM146" s="421"/>
      <c r="GN146" s="421"/>
      <c r="GO146" s="421"/>
      <c r="GP146" s="421"/>
      <c r="GQ146" s="421"/>
      <c r="GR146" s="421"/>
      <c r="GS146" s="421"/>
      <c r="GT146" s="421"/>
      <c r="GU146" s="421"/>
      <c r="GV146" s="421"/>
      <c r="GW146" s="421"/>
      <c r="GX146" s="421"/>
      <c r="GY146" s="421"/>
      <c r="GZ146" s="421"/>
      <c r="HA146" s="421"/>
      <c r="HB146" s="421"/>
      <c r="HC146" s="421"/>
      <c r="HD146" s="421"/>
      <c r="HE146" s="421"/>
      <c r="HF146" s="421"/>
      <c r="HG146" s="421"/>
      <c r="HH146" s="421"/>
      <c r="HI146" s="421"/>
      <c r="HJ146" s="421"/>
      <c r="HK146" s="421"/>
      <c r="HL146" s="421"/>
      <c r="HM146" s="421"/>
      <c r="HN146" s="421"/>
      <c r="HO146" s="421"/>
    </row>
    <row r="147" spans="7:223" s="422" customFormat="1" hidden="1" x14ac:dyDescent="0.3">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c r="AJ147" s="421"/>
      <c r="AK147" s="421"/>
      <c r="AL147" s="421"/>
      <c r="AM147" s="421"/>
      <c r="AN147" s="421"/>
      <c r="AO147" s="421"/>
      <c r="AP147" s="421"/>
      <c r="AQ147" s="421"/>
      <c r="AR147" s="421"/>
      <c r="AS147" s="421"/>
      <c r="AT147" s="421"/>
      <c r="AU147" s="421"/>
      <c r="AV147" s="421"/>
      <c r="AW147" s="421"/>
      <c r="AX147" s="421"/>
      <c r="AY147" s="421"/>
      <c r="AZ147" s="421"/>
      <c r="BA147" s="421"/>
      <c r="BB147" s="421"/>
      <c r="BC147" s="421"/>
      <c r="BD147" s="421"/>
      <c r="BE147" s="421"/>
      <c r="BF147" s="421"/>
      <c r="BG147" s="421"/>
      <c r="BH147" s="421"/>
      <c r="BI147" s="421"/>
      <c r="BJ147" s="421"/>
      <c r="BK147" s="421"/>
      <c r="BL147" s="421"/>
      <c r="BM147" s="421"/>
      <c r="BN147" s="421"/>
      <c r="BO147" s="421"/>
      <c r="BP147" s="421"/>
      <c r="BQ147" s="421"/>
      <c r="BR147" s="421"/>
      <c r="BS147" s="421"/>
      <c r="BT147" s="421"/>
      <c r="BU147" s="421"/>
      <c r="BV147" s="421"/>
      <c r="BW147" s="421"/>
      <c r="BX147" s="421"/>
      <c r="BY147" s="421"/>
      <c r="BZ147" s="421"/>
      <c r="CA147" s="421"/>
      <c r="CB147" s="421"/>
      <c r="CC147" s="421"/>
      <c r="CD147" s="421"/>
      <c r="CE147" s="421"/>
      <c r="CF147" s="421"/>
      <c r="CG147" s="421"/>
      <c r="CH147" s="421"/>
      <c r="CI147" s="421"/>
      <c r="CJ147" s="421"/>
      <c r="CK147" s="421"/>
      <c r="CL147" s="421"/>
      <c r="CM147" s="421"/>
      <c r="CN147" s="421"/>
      <c r="CO147" s="421"/>
      <c r="CP147" s="421"/>
      <c r="CQ147" s="421"/>
      <c r="CR147" s="421"/>
      <c r="CS147" s="421"/>
      <c r="CT147" s="421"/>
      <c r="CU147" s="421"/>
      <c r="CV147" s="421"/>
      <c r="CW147" s="421"/>
      <c r="CX147" s="421"/>
      <c r="CY147" s="421"/>
      <c r="CZ147" s="421"/>
      <c r="DA147" s="421"/>
      <c r="DB147" s="421"/>
      <c r="DC147" s="421"/>
      <c r="DD147" s="421"/>
      <c r="DE147" s="421"/>
      <c r="DF147" s="421"/>
      <c r="DG147" s="421"/>
      <c r="DH147" s="421"/>
      <c r="DI147" s="421"/>
      <c r="DJ147" s="421"/>
      <c r="DK147" s="421"/>
      <c r="DL147" s="421"/>
      <c r="DM147" s="421"/>
      <c r="DN147" s="421"/>
      <c r="DO147" s="421"/>
      <c r="DP147" s="421"/>
      <c r="DQ147" s="421"/>
      <c r="DR147" s="421"/>
      <c r="DS147" s="421"/>
      <c r="DT147" s="421"/>
      <c r="DU147" s="421"/>
      <c r="DV147" s="421"/>
      <c r="DW147" s="421"/>
      <c r="DX147" s="421"/>
      <c r="DY147" s="421"/>
      <c r="DZ147" s="421"/>
      <c r="EA147" s="421"/>
      <c r="EB147" s="421"/>
      <c r="EC147" s="421"/>
      <c r="ED147" s="421"/>
      <c r="EE147" s="421"/>
      <c r="EF147" s="421"/>
      <c r="EG147" s="421"/>
      <c r="EH147" s="421"/>
      <c r="EI147" s="421"/>
      <c r="EJ147" s="421"/>
      <c r="EK147" s="421"/>
      <c r="EL147" s="421"/>
      <c r="EM147" s="421"/>
      <c r="EN147" s="421"/>
      <c r="EO147" s="421"/>
      <c r="EP147" s="421"/>
      <c r="EQ147" s="421"/>
      <c r="ER147" s="421"/>
      <c r="ES147" s="421"/>
      <c r="ET147" s="421"/>
      <c r="EU147" s="421"/>
      <c r="EV147" s="421"/>
      <c r="EW147" s="421"/>
      <c r="EX147" s="421"/>
      <c r="EY147" s="421"/>
      <c r="EZ147" s="421"/>
      <c r="FA147" s="421"/>
      <c r="FB147" s="421"/>
      <c r="FC147" s="421"/>
      <c r="FD147" s="421"/>
      <c r="FE147" s="421"/>
      <c r="FF147" s="421"/>
      <c r="FG147" s="421"/>
      <c r="FH147" s="421"/>
      <c r="FI147" s="421"/>
      <c r="FJ147" s="421"/>
      <c r="FK147" s="421"/>
      <c r="FL147" s="421"/>
      <c r="FM147" s="421"/>
      <c r="FN147" s="421"/>
      <c r="FO147" s="421"/>
      <c r="FP147" s="421"/>
      <c r="FQ147" s="421"/>
      <c r="FR147" s="421"/>
      <c r="FS147" s="421"/>
      <c r="FT147" s="421"/>
      <c r="FU147" s="421"/>
      <c r="FV147" s="421"/>
      <c r="FW147" s="421"/>
      <c r="FX147" s="421"/>
      <c r="FY147" s="421"/>
      <c r="FZ147" s="421"/>
      <c r="GA147" s="421"/>
      <c r="GB147" s="421"/>
      <c r="GC147" s="421"/>
      <c r="GD147" s="421"/>
      <c r="GE147" s="421"/>
      <c r="GF147" s="421"/>
      <c r="GG147" s="421"/>
      <c r="GH147" s="421"/>
      <c r="GI147" s="421"/>
      <c r="GJ147" s="421"/>
      <c r="GK147" s="421"/>
      <c r="GL147" s="421"/>
      <c r="GM147" s="421"/>
      <c r="GN147" s="421"/>
      <c r="GO147" s="421"/>
      <c r="GP147" s="421"/>
      <c r="GQ147" s="421"/>
      <c r="GR147" s="421"/>
      <c r="GS147" s="421"/>
      <c r="GT147" s="421"/>
      <c r="GU147" s="421"/>
      <c r="GV147" s="421"/>
      <c r="GW147" s="421"/>
      <c r="GX147" s="421"/>
      <c r="GY147" s="421"/>
      <c r="GZ147" s="421"/>
      <c r="HA147" s="421"/>
      <c r="HB147" s="421"/>
      <c r="HC147" s="421"/>
      <c r="HD147" s="421"/>
      <c r="HE147" s="421"/>
      <c r="HF147" s="421"/>
      <c r="HG147" s="421"/>
      <c r="HH147" s="421"/>
      <c r="HI147" s="421"/>
      <c r="HJ147" s="421"/>
      <c r="HK147" s="421"/>
      <c r="HL147" s="421"/>
      <c r="HM147" s="421"/>
      <c r="HN147" s="421"/>
      <c r="HO147" s="421"/>
    </row>
    <row r="148" spans="7:223" s="422" customFormat="1" hidden="1" x14ac:dyDescent="0.3">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c r="AJ148" s="421"/>
      <c r="AK148" s="421"/>
      <c r="AL148" s="421"/>
      <c r="AM148" s="421"/>
      <c r="AN148" s="421"/>
      <c r="AO148" s="421"/>
      <c r="AP148" s="421"/>
      <c r="AQ148" s="421"/>
      <c r="AR148" s="421"/>
      <c r="AS148" s="421"/>
      <c r="AT148" s="421"/>
      <c r="AU148" s="421"/>
      <c r="AV148" s="421"/>
      <c r="AW148" s="421"/>
      <c r="AX148" s="421"/>
      <c r="AY148" s="421"/>
      <c r="AZ148" s="421"/>
      <c r="BA148" s="421"/>
      <c r="BB148" s="421"/>
      <c r="BC148" s="421"/>
      <c r="BD148" s="421"/>
      <c r="BE148" s="421"/>
      <c r="BF148" s="421"/>
      <c r="BG148" s="421"/>
      <c r="BH148" s="421"/>
      <c r="BI148" s="421"/>
      <c r="BJ148" s="421"/>
      <c r="BK148" s="421"/>
      <c r="BL148" s="421"/>
      <c r="BM148" s="421"/>
      <c r="BN148" s="421"/>
      <c r="BO148" s="421"/>
      <c r="BP148" s="421"/>
      <c r="BQ148" s="421"/>
      <c r="BR148" s="421"/>
      <c r="BS148" s="421"/>
      <c r="BT148" s="421"/>
      <c r="BU148" s="421"/>
      <c r="BV148" s="421"/>
      <c r="BW148" s="421"/>
      <c r="BX148" s="421"/>
      <c r="BY148" s="421"/>
      <c r="BZ148" s="421"/>
      <c r="CA148" s="421"/>
      <c r="CB148" s="421"/>
      <c r="CC148" s="421"/>
      <c r="CD148" s="421"/>
      <c r="CE148" s="421"/>
      <c r="CF148" s="421"/>
      <c r="CG148" s="421"/>
      <c r="CH148" s="421"/>
      <c r="CI148" s="421"/>
      <c r="CJ148" s="421"/>
      <c r="CK148" s="421"/>
      <c r="CL148" s="421"/>
      <c r="CM148" s="421"/>
      <c r="CN148" s="421"/>
      <c r="CO148" s="421"/>
      <c r="CP148" s="421"/>
      <c r="CQ148" s="421"/>
      <c r="CR148" s="421"/>
      <c r="CS148" s="421"/>
      <c r="CT148" s="421"/>
      <c r="CU148" s="421"/>
      <c r="CV148" s="421"/>
      <c r="CW148" s="421"/>
      <c r="CX148" s="421"/>
      <c r="CY148" s="421"/>
      <c r="CZ148" s="421"/>
      <c r="DA148" s="421"/>
      <c r="DB148" s="421"/>
      <c r="DC148" s="421"/>
      <c r="DD148" s="421"/>
      <c r="DE148" s="421"/>
      <c r="DF148" s="421"/>
      <c r="DG148" s="421"/>
      <c r="DH148" s="421"/>
      <c r="DI148" s="421"/>
      <c r="DJ148" s="421"/>
      <c r="DK148" s="421"/>
      <c r="DL148" s="421"/>
      <c r="DM148" s="421"/>
      <c r="DN148" s="421"/>
      <c r="DO148" s="421"/>
      <c r="DP148" s="421"/>
      <c r="DQ148" s="421"/>
      <c r="DR148" s="421"/>
      <c r="DS148" s="421"/>
      <c r="DT148" s="421"/>
      <c r="DU148" s="421"/>
      <c r="DV148" s="421"/>
      <c r="DW148" s="421"/>
      <c r="DX148" s="421"/>
      <c r="DY148" s="421"/>
      <c r="DZ148" s="421"/>
      <c r="EA148" s="421"/>
      <c r="EB148" s="421"/>
      <c r="EC148" s="421"/>
      <c r="ED148" s="421"/>
      <c r="EE148" s="421"/>
      <c r="EF148" s="421"/>
      <c r="EG148" s="421"/>
      <c r="EH148" s="421"/>
      <c r="EI148" s="421"/>
      <c r="EJ148" s="421"/>
      <c r="EK148" s="421"/>
      <c r="EL148" s="421"/>
      <c r="EM148" s="421"/>
      <c r="EN148" s="421"/>
      <c r="EO148" s="421"/>
      <c r="EP148" s="421"/>
      <c r="EQ148" s="421"/>
      <c r="ER148" s="421"/>
      <c r="ES148" s="421"/>
      <c r="ET148" s="421"/>
      <c r="EU148" s="421"/>
      <c r="EV148" s="421"/>
      <c r="EW148" s="421"/>
      <c r="EX148" s="421"/>
      <c r="EY148" s="421"/>
      <c r="EZ148" s="421"/>
      <c r="FA148" s="421"/>
      <c r="FB148" s="421"/>
      <c r="FC148" s="421"/>
      <c r="FD148" s="421"/>
      <c r="FE148" s="421"/>
      <c r="FF148" s="421"/>
      <c r="FG148" s="421"/>
      <c r="FH148" s="421"/>
      <c r="FI148" s="421"/>
      <c r="FJ148" s="421"/>
      <c r="FK148" s="421"/>
      <c r="FL148" s="421"/>
      <c r="FM148" s="421"/>
      <c r="FN148" s="421"/>
      <c r="FO148" s="421"/>
      <c r="FP148" s="421"/>
      <c r="FQ148" s="421"/>
      <c r="FR148" s="421"/>
      <c r="FS148" s="421"/>
      <c r="FT148" s="421"/>
      <c r="FU148" s="421"/>
      <c r="FV148" s="421"/>
      <c r="FW148" s="421"/>
      <c r="FX148" s="421"/>
      <c r="FY148" s="421"/>
      <c r="FZ148" s="421"/>
      <c r="GA148" s="421"/>
      <c r="GB148" s="421"/>
      <c r="GC148" s="421"/>
      <c r="GD148" s="421"/>
      <c r="GE148" s="421"/>
      <c r="GF148" s="421"/>
      <c r="GG148" s="421"/>
      <c r="GH148" s="421"/>
      <c r="GI148" s="421"/>
      <c r="GJ148" s="421"/>
      <c r="GK148" s="421"/>
      <c r="GL148" s="421"/>
      <c r="GM148" s="421"/>
      <c r="GN148" s="421"/>
      <c r="GO148" s="421"/>
      <c r="GP148" s="421"/>
      <c r="GQ148" s="421"/>
      <c r="GR148" s="421"/>
      <c r="GS148" s="421"/>
      <c r="GT148" s="421"/>
      <c r="GU148" s="421"/>
      <c r="GV148" s="421"/>
      <c r="GW148" s="421"/>
      <c r="GX148" s="421"/>
      <c r="GY148" s="421"/>
      <c r="GZ148" s="421"/>
      <c r="HA148" s="421"/>
      <c r="HB148" s="421"/>
      <c r="HC148" s="421"/>
      <c r="HD148" s="421"/>
      <c r="HE148" s="421"/>
      <c r="HF148" s="421"/>
      <c r="HG148" s="421"/>
      <c r="HH148" s="421"/>
      <c r="HI148" s="421"/>
      <c r="HJ148" s="421"/>
      <c r="HK148" s="421"/>
      <c r="HL148" s="421"/>
      <c r="HM148" s="421"/>
      <c r="HN148" s="421"/>
      <c r="HO148" s="421"/>
    </row>
    <row r="149" spans="7:223" s="422" customFormat="1" hidden="1" x14ac:dyDescent="0.3">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c r="AJ149" s="421"/>
      <c r="AK149" s="421"/>
      <c r="AL149" s="421"/>
      <c r="AM149" s="421"/>
      <c r="AN149" s="421"/>
      <c r="AO149" s="421"/>
      <c r="AP149" s="421"/>
      <c r="AQ149" s="421"/>
      <c r="AR149" s="421"/>
      <c r="AS149" s="421"/>
      <c r="AT149" s="421"/>
      <c r="AU149" s="421"/>
      <c r="AV149" s="421"/>
      <c r="AW149" s="421"/>
      <c r="AX149" s="421"/>
      <c r="AY149" s="421"/>
      <c r="AZ149" s="421"/>
      <c r="BA149" s="421"/>
      <c r="BB149" s="421"/>
      <c r="BC149" s="421"/>
      <c r="BD149" s="421"/>
      <c r="BE149" s="421"/>
      <c r="BF149" s="421"/>
      <c r="BG149" s="421"/>
      <c r="BH149" s="421"/>
      <c r="BI149" s="421"/>
      <c r="BJ149" s="421"/>
      <c r="BK149" s="421"/>
      <c r="BL149" s="421"/>
      <c r="BM149" s="421"/>
      <c r="BN149" s="421"/>
      <c r="BO149" s="421"/>
      <c r="BP149" s="421"/>
      <c r="BQ149" s="421"/>
      <c r="BR149" s="421"/>
      <c r="BS149" s="421"/>
      <c r="BT149" s="421"/>
      <c r="BU149" s="421"/>
      <c r="BV149" s="421"/>
      <c r="BW149" s="421"/>
      <c r="BX149" s="421"/>
      <c r="BY149" s="421"/>
      <c r="BZ149" s="421"/>
      <c r="CA149" s="421"/>
      <c r="CB149" s="421"/>
      <c r="CC149" s="421"/>
      <c r="CD149" s="421"/>
      <c r="CE149" s="421"/>
      <c r="CF149" s="421"/>
      <c r="CG149" s="421"/>
      <c r="CH149" s="421"/>
      <c r="CI149" s="421"/>
      <c r="CJ149" s="421"/>
      <c r="CK149" s="421"/>
      <c r="CL149" s="421"/>
      <c r="CM149" s="421"/>
      <c r="CN149" s="421"/>
      <c r="CO149" s="421"/>
      <c r="CP149" s="421"/>
      <c r="CQ149" s="421"/>
      <c r="CR149" s="421"/>
      <c r="CS149" s="421"/>
      <c r="CT149" s="421"/>
      <c r="CU149" s="421"/>
      <c r="CV149" s="421"/>
      <c r="CW149" s="421"/>
      <c r="CX149" s="421"/>
      <c r="CY149" s="421"/>
      <c r="CZ149" s="421"/>
      <c r="DA149" s="421"/>
      <c r="DB149" s="421"/>
      <c r="DC149" s="421"/>
      <c r="DD149" s="421"/>
      <c r="DE149" s="421"/>
      <c r="DF149" s="421"/>
      <c r="DG149" s="421"/>
      <c r="DH149" s="421"/>
      <c r="DI149" s="421"/>
      <c r="DJ149" s="421"/>
      <c r="DK149" s="421"/>
      <c r="DL149" s="421"/>
      <c r="DM149" s="421"/>
      <c r="DN149" s="421"/>
      <c r="DO149" s="421"/>
      <c r="DP149" s="421"/>
      <c r="DQ149" s="421"/>
      <c r="DR149" s="421"/>
      <c r="DS149" s="421"/>
      <c r="DT149" s="421"/>
      <c r="DU149" s="421"/>
      <c r="DV149" s="421"/>
      <c r="DW149" s="421"/>
      <c r="DX149" s="421"/>
      <c r="DY149" s="421"/>
      <c r="DZ149" s="421"/>
      <c r="EA149" s="421"/>
      <c r="EB149" s="421"/>
      <c r="EC149" s="421"/>
      <c r="ED149" s="421"/>
      <c r="EE149" s="421"/>
      <c r="EF149" s="421"/>
      <c r="EG149" s="421"/>
      <c r="EH149" s="421"/>
      <c r="EI149" s="421"/>
      <c r="EJ149" s="421"/>
      <c r="EK149" s="421"/>
      <c r="EL149" s="421"/>
      <c r="EM149" s="421"/>
      <c r="EN149" s="421"/>
      <c r="EO149" s="421"/>
      <c r="EP149" s="421"/>
      <c r="EQ149" s="421"/>
      <c r="ER149" s="421"/>
      <c r="ES149" s="421"/>
      <c r="ET149" s="421"/>
      <c r="EU149" s="421"/>
      <c r="EV149" s="421"/>
      <c r="EW149" s="421"/>
      <c r="EX149" s="421"/>
      <c r="EY149" s="421"/>
      <c r="EZ149" s="421"/>
      <c r="FA149" s="421"/>
      <c r="FB149" s="421"/>
      <c r="FC149" s="421"/>
      <c r="FD149" s="421"/>
      <c r="FE149" s="421"/>
      <c r="FF149" s="421"/>
      <c r="FG149" s="421"/>
      <c r="FH149" s="421"/>
      <c r="FI149" s="421"/>
      <c r="FJ149" s="421"/>
      <c r="FK149" s="421"/>
      <c r="FL149" s="421"/>
      <c r="FM149" s="421"/>
      <c r="FN149" s="421"/>
      <c r="FO149" s="421"/>
      <c r="FP149" s="421"/>
      <c r="FQ149" s="421"/>
      <c r="FR149" s="421"/>
      <c r="FS149" s="421"/>
      <c r="FT149" s="421"/>
      <c r="FU149" s="421"/>
      <c r="FV149" s="421"/>
      <c r="FW149" s="421"/>
      <c r="FX149" s="421"/>
      <c r="FY149" s="421"/>
      <c r="FZ149" s="421"/>
      <c r="GA149" s="421"/>
      <c r="GB149" s="421"/>
      <c r="GC149" s="421"/>
      <c r="GD149" s="421"/>
      <c r="GE149" s="421"/>
      <c r="GF149" s="421"/>
      <c r="GG149" s="421"/>
      <c r="GH149" s="421"/>
      <c r="GI149" s="421"/>
      <c r="GJ149" s="421"/>
      <c r="GK149" s="421"/>
      <c r="GL149" s="421"/>
      <c r="GM149" s="421"/>
      <c r="GN149" s="421"/>
      <c r="GO149" s="421"/>
      <c r="GP149" s="421"/>
      <c r="GQ149" s="421"/>
      <c r="GR149" s="421"/>
      <c r="GS149" s="421"/>
      <c r="GT149" s="421"/>
      <c r="GU149" s="421"/>
      <c r="GV149" s="421"/>
      <c r="GW149" s="421"/>
      <c r="GX149" s="421"/>
      <c r="GY149" s="421"/>
      <c r="GZ149" s="421"/>
      <c r="HA149" s="421"/>
      <c r="HB149" s="421"/>
      <c r="HC149" s="421"/>
      <c r="HD149" s="421"/>
      <c r="HE149" s="421"/>
      <c r="HF149" s="421"/>
      <c r="HG149" s="421"/>
      <c r="HH149" s="421"/>
      <c r="HI149" s="421"/>
      <c r="HJ149" s="421"/>
      <c r="HK149" s="421"/>
      <c r="HL149" s="421"/>
      <c r="HM149" s="421"/>
      <c r="HN149" s="421"/>
      <c r="HO149" s="421"/>
    </row>
    <row r="150" spans="7:223" s="422" customFormat="1" hidden="1" x14ac:dyDescent="0.3">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c r="AJ150" s="421"/>
      <c r="AK150" s="421"/>
      <c r="AL150" s="421"/>
      <c r="AM150" s="421"/>
      <c r="AN150" s="421"/>
      <c r="AO150" s="421"/>
      <c r="AP150" s="421"/>
      <c r="AQ150" s="421"/>
      <c r="AR150" s="421"/>
      <c r="AS150" s="421"/>
      <c r="AT150" s="421"/>
      <c r="AU150" s="421"/>
      <c r="AV150" s="421"/>
      <c r="AW150" s="421"/>
      <c r="AX150" s="421"/>
      <c r="AY150" s="421"/>
      <c r="AZ150" s="421"/>
      <c r="BA150" s="421"/>
      <c r="BB150" s="421"/>
      <c r="BC150" s="421"/>
      <c r="BD150" s="421"/>
      <c r="BE150" s="421"/>
      <c r="BF150" s="421"/>
      <c r="BG150" s="421"/>
      <c r="BH150" s="421"/>
      <c r="BI150" s="421"/>
      <c r="BJ150" s="421"/>
      <c r="BK150" s="421"/>
      <c r="BL150" s="421"/>
      <c r="BM150" s="421"/>
      <c r="BN150" s="421"/>
      <c r="BO150" s="421"/>
      <c r="BP150" s="421"/>
      <c r="BQ150" s="421"/>
      <c r="BR150" s="421"/>
      <c r="BS150" s="421"/>
      <c r="BT150" s="421"/>
      <c r="BU150" s="421"/>
      <c r="BV150" s="421"/>
      <c r="BW150" s="421"/>
      <c r="BX150" s="421"/>
      <c r="BY150" s="421"/>
      <c r="BZ150" s="421"/>
      <c r="CA150" s="421"/>
      <c r="CB150" s="421"/>
      <c r="CC150" s="421"/>
      <c r="CD150" s="421"/>
      <c r="CE150" s="421"/>
      <c r="CF150" s="421"/>
      <c r="CG150" s="421"/>
      <c r="CH150" s="421"/>
      <c r="CI150" s="421"/>
      <c r="CJ150" s="421"/>
      <c r="CK150" s="421"/>
      <c r="CL150" s="421"/>
      <c r="CM150" s="421"/>
      <c r="CN150" s="421"/>
      <c r="CO150" s="421"/>
      <c r="CP150" s="421"/>
      <c r="CQ150" s="421"/>
      <c r="CR150" s="421"/>
      <c r="CS150" s="421"/>
      <c r="CT150" s="421"/>
      <c r="CU150" s="421"/>
      <c r="CV150" s="421"/>
      <c r="CW150" s="421"/>
      <c r="CX150" s="421"/>
      <c r="CY150" s="421"/>
      <c r="CZ150" s="421"/>
      <c r="DA150" s="421"/>
      <c r="DB150" s="421"/>
      <c r="DC150" s="421"/>
      <c r="DD150" s="421"/>
      <c r="DE150" s="421"/>
      <c r="DF150" s="421"/>
      <c r="DG150" s="421"/>
      <c r="DH150" s="421"/>
      <c r="DI150" s="421"/>
      <c r="DJ150" s="421"/>
      <c r="DK150" s="421"/>
      <c r="DL150" s="421"/>
      <c r="DM150" s="421"/>
      <c r="DN150" s="421"/>
      <c r="DO150" s="421"/>
      <c r="DP150" s="421"/>
      <c r="DQ150" s="421"/>
      <c r="DR150" s="421"/>
      <c r="DS150" s="421"/>
      <c r="DT150" s="421"/>
      <c r="DU150" s="421"/>
      <c r="DV150" s="421"/>
      <c r="DW150" s="421"/>
      <c r="DX150" s="421"/>
      <c r="DY150" s="421"/>
      <c r="DZ150" s="421"/>
      <c r="EA150" s="421"/>
      <c r="EB150" s="421"/>
      <c r="EC150" s="421"/>
      <c r="ED150" s="421"/>
      <c r="EE150" s="421"/>
      <c r="EF150" s="421"/>
      <c r="EG150" s="421"/>
      <c r="EH150" s="421"/>
      <c r="EI150" s="421"/>
      <c r="EJ150" s="421"/>
      <c r="EK150" s="421"/>
      <c r="EL150" s="421"/>
      <c r="EM150" s="421"/>
      <c r="EN150" s="421"/>
      <c r="EO150" s="421"/>
      <c r="EP150" s="421"/>
      <c r="EQ150" s="421"/>
      <c r="ER150" s="421"/>
      <c r="ES150" s="421"/>
      <c r="ET150" s="421"/>
      <c r="EU150" s="421"/>
      <c r="EV150" s="421"/>
      <c r="EW150" s="421"/>
      <c r="EX150" s="421"/>
      <c r="EY150" s="421"/>
      <c r="EZ150" s="421"/>
      <c r="FA150" s="421"/>
      <c r="FB150" s="421"/>
      <c r="FC150" s="421"/>
      <c r="FD150" s="421"/>
      <c r="FE150" s="421"/>
      <c r="FF150" s="421"/>
      <c r="FG150" s="421"/>
      <c r="FH150" s="421"/>
      <c r="FI150" s="421"/>
      <c r="FJ150" s="421"/>
      <c r="FK150" s="421"/>
      <c r="FL150" s="421"/>
      <c r="FM150" s="421"/>
      <c r="FN150" s="421"/>
      <c r="FO150" s="421"/>
      <c r="FP150" s="421"/>
      <c r="FQ150" s="421"/>
      <c r="FR150" s="421"/>
      <c r="FS150" s="421"/>
      <c r="FT150" s="421"/>
      <c r="FU150" s="421"/>
      <c r="FV150" s="421"/>
      <c r="FW150" s="421"/>
      <c r="FX150" s="421"/>
      <c r="FY150" s="421"/>
      <c r="FZ150" s="421"/>
      <c r="GA150" s="421"/>
      <c r="GB150" s="421"/>
      <c r="GC150" s="421"/>
      <c r="GD150" s="421"/>
      <c r="GE150" s="421"/>
      <c r="GF150" s="421"/>
      <c r="GG150" s="421"/>
      <c r="GH150" s="421"/>
      <c r="GI150" s="421"/>
      <c r="GJ150" s="421"/>
      <c r="GK150" s="421"/>
      <c r="GL150" s="421"/>
      <c r="GM150" s="421"/>
      <c r="GN150" s="421"/>
      <c r="GO150" s="421"/>
      <c r="GP150" s="421"/>
      <c r="GQ150" s="421"/>
      <c r="GR150" s="421"/>
      <c r="GS150" s="421"/>
      <c r="GT150" s="421"/>
      <c r="GU150" s="421"/>
      <c r="GV150" s="421"/>
      <c r="GW150" s="421"/>
      <c r="GX150" s="421"/>
      <c r="GY150" s="421"/>
      <c r="GZ150" s="421"/>
      <c r="HA150" s="421"/>
      <c r="HB150" s="421"/>
      <c r="HC150" s="421"/>
      <c r="HD150" s="421"/>
      <c r="HE150" s="421"/>
      <c r="HF150" s="421"/>
      <c r="HG150" s="421"/>
      <c r="HH150" s="421"/>
      <c r="HI150" s="421"/>
      <c r="HJ150" s="421"/>
      <c r="HK150" s="421"/>
      <c r="HL150" s="421"/>
      <c r="HM150" s="421"/>
      <c r="HN150" s="421"/>
      <c r="HO150" s="421"/>
    </row>
    <row r="151" spans="7:223" s="422" customFormat="1" hidden="1" x14ac:dyDescent="0.3">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c r="AJ151" s="421"/>
      <c r="AK151" s="421"/>
      <c r="AL151" s="421"/>
      <c r="AM151" s="421"/>
      <c r="AN151" s="421"/>
      <c r="AO151" s="421"/>
      <c r="AP151" s="421"/>
      <c r="AQ151" s="421"/>
      <c r="AR151" s="421"/>
      <c r="AS151" s="421"/>
      <c r="AT151" s="421"/>
      <c r="AU151" s="421"/>
      <c r="AV151" s="421"/>
      <c r="AW151" s="421"/>
      <c r="AX151" s="421"/>
      <c r="AY151" s="421"/>
      <c r="AZ151" s="421"/>
      <c r="BA151" s="421"/>
      <c r="BB151" s="421"/>
      <c r="BC151" s="421"/>
      <c r="BD151" s="421"/>
      <c r="BE151" s="421"/>
      <c r="BF151" s="421"/>
      <c r="BG151" s="421"/>
      <c r="BH151" s="421"/>
      <c r="BI151" s="421"/>
      <c r="BJ151" s="421"/>
      <c r="BK151" s="421"/>
      <c r="BL151" s="421"/>
      <c r="BM151" s="421"/>
      <c r="BN151" s="421"/>
      <c r="BO151" s="421"/>
      <c r="BP151" s="421"/>
      <c r="BQ151" s="421"/>
      <c r="BR151" s="421"/>
      <c r="BS151" s="421"/>
      <c r="BT151" s="421"/>
      <c r="BU151" s="421"/>
      <c r="BV151" s="421"/>
      <c r="BW151" s="421"/>
      <c r="BX151" s="421"/>
      <c r="BY151" s="421"/>
      <c r="BZ151" s="421"/>
      <c r="CA151" s="421"/>
      <c r="CB151" s="421"/>
      <c r="CC151" s="421"/>
      <c r="CD151" s="421"/>
      <c r="CE151" s="421"/>
      <c r="CF151" s="421"/>
      <c r="CG151" s="421"/>
      <c r="CH151" s="421"/>
      <c r="CI151" s="421"/>
      <c r="CJ151" s="421"/>
      <c r="CK151" s="421"/>
      <c r="CL151" s="421"/>
      <c r="CM151" s="421"/>
      <c r="CN151" s="421"/>
      <c r="CO151" s="421"/>
      <c r="CP151" s="421"/>
      <c r="CQ151" s="421"/>
      <c r="CR151" s="421"/>
      <c r="CS151" s="421"/>
      <c r="CT151" s="421"/>
      <c r="CU151" s="421"/>
      <c r="CV151" s="421"/>
      <c r="CW151" s="421"/>
      <c r="CX151" s="421"/>
      <c r="CY151" s="421"/>
      <c r="CZ151" s="421"/>
      <c r="DA151" s="421"/>
      <c r="DB151" s="421"/>
      <c r="DC151" s="421"/>
      <c r="DD151" s="421"/>
      <c r="DE151" s="421"/>
      <c r="DF151" s="421"/>
      <c r="DG151" s="421"/>
      <c r="DH151" s="421"/>
      <c r="DI151" s="421"/>
      <c r="DJ151" s="421"/>
      <c r="DK151" s="421"/>
      <c r="DL151" s="421"/>
      <c r="DM151" s="421"/>
      <c r="DN151" s="421"/>
      <c r="DO151" s="421"/>
      <c r="DP151" s="421"/>
      <c r="DQ151" s="421"/>
      <c r="DR151" s="421"/>
      <c r="DS151" s="421"/>
      <c r="DT151" s="421"/>
      <c r="DU151" s="421"/>
      <c r="DV151" s="421"/>
      <c r="DW151" s="421"/>
      <c r="DX151" s="421"/>
      <c r="DY151" s="421"/>
      <c r="DZ151" s="421"/>
      <c r="EA151" s="421"/>
      <c r="EB151" s="421"/>
      <c r="EC151" s="421"/>
      <c r="ED151" s="421"/>
      <c r="EE151" s="421"/>
      <c r="EF151" s="421"/>
      <c r="EG151" s="421"/>
      <c r="EH151" s="421"/>
      <c r="EI151" s="421"/>
      <c r="EJ151" s="421"/>
      <c r="EK151" s="421"/>
      <c r="EL151" s="421"/>
      <c r="EM151" s="421"/>
      <c r="EN151" s="421"/>
      <c r="EO151" s="421"/>
      <c r="EP151" s="421"/>
      <c r="EQ151" s="421"/>
      <c r="ER151" s="421"/>
      <c r="ES151" s="421"/>
      <c r="ET151" s="421"/>
      <c r="EU151" s="421"/>
      <c r="EV151" s="421"/>
      <c r="EW151" s="421"/>
      <c r="EX151" s="421"/>
      <c r="EY151" s="421"/>
      <c r="EZ151" s="421"/>
      <c r="FA151" s="421"/>
      <c r="FB151" s="421"/>
      <c r="FC151" s="421"/>
      <c r="FD151" s="421"/>
      <c r="FE151" s="421"/>
      <c r="FF151" s="421"/>
      <c r="FG151" s="421"/>
      <c r="FH151" s="421"/>
      <c r="FI151" s="421"/>
      <c r="FJ151" s="421"/>
      <c r="FK151" s="421"/>
      <c r="FL151" s="421"/>
      <c r="FM151" s="421"/>
      <c r="FN151" s="421"/>
      <c r="FO151" s="421"/>
      <c r="FP151" s="421"/>
      <c r="FQ151" s="421"/>
      <c r="FR151" s="421"/>
      <c r="FS151" s="421"/>
      <c r="FT151" s="421"/>
      <c r="FU151" s="421"/>
      <c r="FV151" s="421"/>
      <c r="FW151" s="421"/>
      <c r="FX151" s="421"/>
      <c r="FY151" s="421"/>
      <c r="FZ151" s="421"/>
      <c r="GA151" s="421"/>
      <c r="GB151" s="421"/>
      <c r="GC151" s="421"/>
      <c r="GD151" s="421"/>
      <c r="GE151" s="421"/>
      <c r="GF151" s="421"/>
      <c r="GG151" s="421"/>
      <c r="GH151" s="421"/>
      <c r="GI151" s="421"/>
      <c r="GJ151" s="421"/>
      <c r="GK151" s="421"/>
      <c r="GL151" s="421"/>
      <c r="GM151" s="421"/>
      <c r="GN151" s="421"/>
      <c r="GO151" s="421"/>
      <c r="GP151" s="421"/>
      <c r="GQ151" s="421"/>
      <c r="GR151" s="421"/>
      <c r="GS151" s="421"/>
      <c r="GT151" s="421"/>
      <c r="GU151" s="421"/>
      <c r="GV151" s="421"/>
      <c r="GW151" s="421"/>
      <c r="GX151" s="421"/>
      <c r="GY151" s="421"/>
      <c r="GZ151" s="421"/>
      <c r="HA151" s="421"/>
      <c r="HB151" s="421"/>
      <c r="HC151" s="421"/>
      <c r="HD151" s="421"/>
      <c r="HE151" s="421"/>
      <c r="HF151" s="421"/>
      <c r="HG151" s="421"/>
      <c r="HH151" s="421"/>
      <c r="HI151" s="421"/>
      <c r="HJ151" s="421"/>
      <c r="HK151" s="421"/>
      <c r="HL151" s="421"/>
      <c r="HM151" s="421"/>
      <c r="HN151" s="421"/>
      <c r="HO151" s="421"/>
    </row>
    <row r="152" spans="7:223" s="422" customFormat="1" hidden="1" x14ac:dyDescent="0.3">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c r="AJ152" s="421"/>
      <c r="AK152" s="421"/>
      <c r="AL152" s="421"/>
      <c r="AM152" s="421"/>
      <c r="AN152" s="421"/>
      <c r="AO152" s="421"/>
      <c r="AP152" s="421"/>
      <c r="AQ152" s="421"/>
      <c r="AR152" s="421"/>
      <c r="AS152" s="421"/>
      <c r="AT152" s="421"/>
      <c r="AU152" s="421"/>
      <c r="AV152" s="421"/>
      <c r="AW152" s="421"/>
      <c r="AX152" s="421"/>
      <c r="AY152" s="421"/>
      <c r="AZ152" s="421"/>
      <c r="BA152" s="421"/>
      <c r="BB152" s="421"/>
      <c r="BC152" s="421"/>
      <c r="BD152" s="421"/>
      <c r="BE152" s="421"/>
      <c r="BF152" s="421"/>
      <c r="BG152" s="421"/>
      <c r="BH152" s="421"/>
      <c r="BI152" s="421"/>
      <c r="BJ152" s="421"/>
      <c r="BK152" s="421"/>
      <c r="BL152" s="421"/>
      <c r="BM152" s="421"/>
      <c r="BN152" s="421"/>
      <c r="BO152" s="421"/>
      <c r="BP152" s="421"/>
      <c r="BQ152" s="421"/>
      <c r="BR152" s="421"/>
      <c r="BS152" s="421"/>
      <c r="BT152" s="421"/>
      <c r="BU152" s="421"/>
      <c r="BV152" s="421"/>
      <c r="BW152" s="421"/>
      <c r="BX152" s="421"/>
      <c r="BY152" s="421"/>
      <c r="BZ152" s="421"/>
      <c r="CA152" s="421"/>
      <c r="CB152" s="421"/>
      <c r="CC152" s="421"/>
      <c r="CD152" s="421"/>
      <c r="CE152" s="421"/>
      <c r="CF152" s="421"/>
      <c r="CG152" s="421"/>
      <c r="CH152" s="421"/>
      <c r="CI152" s="421"/>
      <c r="CJ152" s="421"/>
      <c r="CK152" s="421"/>
      <c r="CL152" s="421"/>
      <c r="CM152" s="421"/>
      <c r="CN152" s="421"/>
      <c r="CO152" s="421"/>
      <c r="CP152" s="421"/>
      <c r="CQ152" s="421"/>
      <c r="CR152" s="421"/>
      <c r="CS152" s="421"/>
      <c r="CT152" s="421"/>
      <c r="CU152" s="421"/>
      <c r="CV152" s="421"/>
      <c r="CW152" s="421"/>
      <c r="CX152" s="421"/>
      <c r="CY152" s="421"/>
      <c r="CZ152" s="421"/>
      <c r="DA152" s="421"/>
      <c r="DB152" s="421"/>
      <c r="DC152" s="421"/>
      <c r="DD152" s="421"/>
      <c r="DE152" s="421"/>
      <c r="DF152" s="421"/>
      <c r="DG152" s="421"/>
      <c r="DH152" s="421"/>
      <c r="DI152" s="421"/>
      <c r="DJ152" s="421"/>
      <c r="DK152" s="421"/>
      <c r="DL152" s="421"/>
      <c r="DM152" s="421"/>
      <c r="DN152" s="421"/>
      <c r="DO152" s="421"/>
      <c r="DP152" s="421"/>
      <c r="DQ152" s="421"/>
      <c r="DR152" s="421"/>
      <c r="DS152" s="421"/>
      <c r="DT152" s="421"/>
      <c r="DU152" s="421"/>
      <c r="DV152" s="421"/>
      <c r="DW152" s="421"/>
      <c r="DX152" s="421"/>
      <c r="DY152" s="421"/>
      <c r="DZ152" s="421"/>
      <c r="EA152" s="421"/>
      <c r="EB152" s="421"/>
      <c r="EC152" s="421"/>
      <c r="ED152" s="421"/>
      <c r="EE152" s="421"/>
      <c r="EF152" s="421"/>
      <c r="EG152" s="421"/>
      <c r="EH152" s="421"/>
      <c r="EI152" s="421"/>
      <c r="EJ152" s="421"/>
      <c r="EK152" s="421"/>
      <c r="EL152" s="421"/>
      <c r="EM152" s="421"/>
      <c r="EN152" s="421"/>
      <c r="EO152" s="421"/>
      <c r="EP152" s="421"/>
      <c r="EQ152" s="421"/>
      <c r="ER152" s="421"/>
      <c r="ES152" s="421"/>
      <c r="ET152" s="421"/>
      <c r="EU152" s="421"/>
      <c r="EV152" s="421"/>
      <c r="EW152" s="421"/>
      <c r="EX152" s="421"/>
      <c r="EY152" s="421"/>
      <c r="EZ152" s="421"/>
      <c r="FA152" s="421"/>
      <c r="FB152" s="421"/>
      <c r="FC152" s="421"/>
      <c r="FD152" s="421"/>
      <c r="FE152" s="421"/>
      <c r="FF152" s="421"/>
      <c r="FG152" s="421"/>
      <c r="FH152" s="421"/>
      <c r="FI152" s="421"/>
      <c r="FJ152" s="421"/>
      <c r="FK152" s="421"/>
      <c r="FL152" s="421"/>
      <c r="FM152" s="421"/>
      <c r="FN152" s="421"/>
      <c r="FO152" s="421"/>
      <c r="FP152" s="421"/>
      <c r="FQ152" s="421"/>
      <c r="FR152" s="421"/>
      <c r="FS152" s="421"/>
      <c r="FT152" s="421"/>
      <c r="FU152" s="421"/>
      <c r="FV152" s="421"/>
      <c r="FW152" s="421"/>
      <c r="FX152" s="421"/>
      <c r="FY152" s="421"/>
      <c r="FZ152" s="421"/>
      <c r="GA152" s="421"/>
      <c r="GB152" s="421"/>
      <c r="GC152" s="421"/>
      <c r="GD152" s="421"/>
      <c r="GE152" s="421"/>
      <c r="GF152" s="421"/>
      <c r="GG152" s="421"/>
      <c r="GH152" s="421"/>
      <c r="GI152" s="421"/>
      <c r="GJ152" s="421"/>
      <c r="GK152" s="421"/>
      <c r="GL152" s="421"/>
      <c r="GM152" s="421"/>
      <c r="GN152" s="421"/>
      <c r="GO152" s="421"/>
      <c r="GP152" s="421"/>
      <c r="GQ152" s="421"/>
      <c r="GR152" s="421"/>
      <c r="GS152" s="421"/>
      <c r="GT152" s="421"/>
      <c r="GU152" s="421"/>
      <c r="GV152" s="421"/>
      <c r="GW152" s="421"/>
      <c r="GX152" s="421"/>
      <c r="GY152" s="421"/>
      <c r="GZ152" s="421"/>
      <c r="HA152" s="421"/>
      <c r="HB152" s="421"/>
      <c r="HC152" s="421"/>
      <c r="HD152" s="421"/>
      <c r="HE152" s="421"/>
      <c r="HF152" s="421"/>
      <c r="HG152" s="421"/>
      <c r="HH152" s="421"/>
      <c r="HI152" s="421"/>
      <c r="HJ152" s="421"/>
      <c r="HK152" s="421"/>
      <c r="HL152" s="421"/>
      <c r="HM152" s="421"/>
      <c r="HN152" s="421"/>
      <c r="HO152" s="421"/>
    </row>
    <row r="153" spans="7:223" s="422" customFormat="1" hidden="1" x14ac:dyDescent="0.3">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c r="AJ153" s="421"/>
      <c r="AK153" s="421"/>
      <c r="AL153" s="421"/>
      <c r="AM153" s="421"/>
      <c r="AN153" s="421"/>
      <c r="AO153" s="421"/>
      <c r="AP153" s="421"/>
      <c r="AQ153" s="421"/>
      <c r="AR153" s="421"/>
      <c r="AS153" s="421"/>
      <c r="AT153" s="421"/>
      <c r="AU153" s="421"/>
      <c r="AV153" s="421"/>
      <c r="AW153" s="421"/>
      <c r="AX153" s="421"/>
      <c r="AY153" s="421"/>
      <c r="AZ153" s="421"/>
      <c r="BA153" s="421"/>
      <c r="BB153" s="421"/>
      <c r="BC153" s="421"/>
      <c r="BD153" s="421"/>
      <c r="BE153" s="421"/>
      <c r="BF153" s="421"/>
      <c r="BG153" s="421"/>
      <c r="BH153" s="421"/>
      <c r="BI153" s="421"/>
      <c r="BJ153" s="421"/>
      <c r="BK153" s="421"/>
      <c r="BL153" s="421"/>
      <c r="BM153" s="421"/>
      <c r="BN153" s="421"/>
      <c r="BO153" s="421"/>
      <c r="BP153" s="421"/>
      <c r="BQ153" s="421"/>
      <c r="BR153" s="421"/>
      <c r="BS153" s="421"/>
      <c r="BT153" s="421"/>
      <c r="BU153" s="421"/>
      <c r="BV153" s="421"/>
      <c r="BW153" s="421"/>
      <c r="BX153" s="421"/>
      <c r="BY153" s="421"/>
      <c r="BZ153" s="421"/>
      <c r="CA153" s="421"/>
      <c r="CB153" s="421"/>
      <c r="CC153" s="421"/>
      <c r="CD153" s="421"/>
      <c r="CE153" s="421"/>
      <c r="CF153" s="421"/>
      <c r="CG153" s="421"/>
      <c r="CH153" s="421"/>
      <c r="CI153" s="421"/>
      <c r="CJ153" s="421"/>
      <c r="CK153" s="421"/>
      <c r="CL153" s="421"/>
      <c r="CM153" s="421"/>
      <c r="CN153" s="421"/>
      <c r="CO153" s="421"/>
      <c r="CP153" s="421"/>
      <c r="CQ153" s="421"/>
      <c r="CR153" s="421"/>
      <c r="CS153" s="421"/>
      <c r="CT153" s="421"/>
      <c r="CU153" s="421"/>
      <c r="CV153" s="421"/>
      <c r="CW153" s="421"/>
      <c r="CX153" s="421"/>
      <c r="CY153" s="421"/>
      <c r="CZ153" s="421"/>
      <c r="DA153" s="421"/>
      <c r="DB153" s="421"/>
      <c r="DC153" s="421"/>
      <c r="DD153" s="421"/>
      <c r="DE153" s="421"/>
      <c r="DF153" s="421"/>
      <c r="DG153" s="421"/>
      <c r="DH153" s="421"/>
      <c r="DI153" s="421"/>
      <c r="DJ153" s="421"/>
      <c r="DK153" s="421"/>
      <c r="DL153" s="421"/>
      <c r="DM153" s="421"/>
      <c r="DN153" s="421"/>
      <c r="DO153" s="421"/>
      <c r="DP153" s="421"/>
      <c r="DQ153" s="421"/>
      <c r="DR153" s="421"/>
      <c r="DS153" s="421"/>
      <c r="DT153" s="421"/>
      <c r="DU153" s="421"/>
      <c r="DV153" s="421"/>
      <c r="DW153" s="421"/>
      <c r="DX153" s="421"/>
      <c r="DY153" s="421"/>
      <c r="DZ153" s="421"/>
      <c r="EA153" s="421"/>
      <c r="EB153" s="421"/>
      <c r="EC153" s="421"/>
      <c r="ED153" s="421"/>
      <c r="EE153" s="421"/>
      <c r="EF153" s="421"/>
      <c r="EG153" s="421"/>
      <c r="EH153" s="421"/>
      <c r="EI153" s="421"/>
      <c r="EJ153" s="421"/>
      <c r="EK153" s="421"/>
      <c r="EL153" s="421"/>
      <c r="EM153" s="421"/>
      <c r="EN153" s="421"/>
      <c r="EO153" s="421"/>
      <c r="EP153" s="421"/>
      <c r="EQ153" s="421"/>
      <c r="ER153" s="421"/>
      <c r="ES153" s="421"/>
      <c r="ET153" s="421"/>
      <c r="EU153" s="421"/>
      <c r="EV153" s="421"/>
      <c r="EW153" s="421"/>
      <c r="EX153" s="421"/>
      <c r="EY153" s="421"/>
      <c r="EZ153" s="421"/>
      <c r="FA153" s="421"/>
      <c r="FB153" s="421"/>
      <c r="FC153" s="421"/>
      <c r="FD153" s="421"/>
      <c r="FE153" s="421"/>
      <c r="FF153" s="421"/>
      <c r="FG153" s="421"/>
      <c r="FH153" s="421"/>
      <c r="FI153" s="421"/>
      <c r="FJ153" s="421"/>
      <c r="FK153" s="421"/>
      <c r="FL153" s="421"/>
      <c r="FM153" s="421"/>
      <c r="FN153" s="421"/>
      <c r="FO153" s="421"/>
      <c r="FP153" s="421"/>
      <c r="FQ153" s="421"/>
      <c r="FR153" s="421"/>
      <c r="FS153" s="421"/>
      <c r="FT153" s="421"/>
      <c r="FU153" s="421"/>
      <c r="FV153" s="421"/>
      <c r="FW153" s="421"/>
      <c r="FX153" s="421"/>
      <c r="FY153" s="421"/>
      <c r="FZ153" s="421"/>
      <c r="GA153" s="421"/>
      <c r="GB153" s="421"/>
      <c r="GC153" s="421"/>
      <c r="GD153" s="421"/>
      <c r="GE153" s="421"/>
      <c r="GF153" s="421"/>
      <c r="GG153" s="421"/>
      <c r="GH153" s="421"/>
      <c r="GI153" s="421"/>
      <c r="GJ153" s="421"/>
      <c r="GK153" s="421"/>
      <c r="GL153" s="421"/>
      <c r="GM153" s="421"/>
      <c r="GN153" s="421"/>
      <c r="GO153" s="421"/>
      <c r="GP153" s="421"/>
      <c r="GQ153" s="421"/>
      <c r="GR153" s="421"/>
      <c r="GS153" s="421"/>
      <c r="GT153" s="421"/>
      <c r="GU153" s="421"/>
      <c r="GV153" s="421"/>
      <c r="GW153" s="421"/>
      <c r="GX153" s="421"/>
      <c r="GY153" s="421"/>
      <c r="GZ153" s="421"/>
      <c r="HA153" s="421"/>
      <c r="HB153" s="421"/>
      <c r="HC153" s="421"/>
      <c r="HD153" s="421"/>
      <c r="HE153" s="421"/>
      <c r="HF153" s="421"/>
      <c r="HG153" s="421"/>
      <c r="HH153" s="421"/>
      <c r="HI153" s="421"/>
      <c r="HJ153" s="421"/>
      <c r="HK153" s="421"/>
      <c r="HL153" s="421"/>
      <c r="HM153" s="421"/>
      <c r="HN153" s="421"/>
      <c r="HO153" s="421"/>
    </row>
    <row r="154" spans="7:223" hidden="1" x14ac:dyDescent="0.3"/>
    <row r="155" spans="7:223" hidden="1" x14ac:dyDescent="0.3"/>
    <row r="156" spans="7:223" hidden="1" x14ac:dyDescent="0.3"/>
    <row r="157" spans="7:223" hidden="1" x14ac:dyDescent="0.3"/>
    <row r="158" spans="7:223" hidden="1" x14ac:dyDescent="0.3"/>
    <row r="159" spans="7:223" hidden="1" x14ac:dyDescent="0.3"/>
    <row r="160" spans="7:223" s="422" customFormat="1" hidden="1" x14ac:dyDescent="0.3">
      <c r="G160" s="421"/>
      <c r="H160" s="421"/>
      <c r="I160" s="421"/>
      <c r="J160" s="421"/>
      <c r="K160" s="421"/>
      <c r="L160" s="421"/>
      <c r="M160" s="421"/>
      <c r="N160" s="421"/>
      <c r="O160" s="421"/>
      <c r="P160" s="421"/>
      <c r="Q160" s="421"/>
      <c r="R160" s="421"/>
      <c r="S160" s="421"/>
      <c r="T160" s="421"/>
      <c r="U160" s="421"/>
      <c r="V160" s="421"/>
      <c r="W160" s="421"/>
      <c r="X160" s="421"/>
      <c r="Y160" s="421"/>
      <c r="Z160" s="421"/>
      <c r="AA160" s="421"/>
      <c r="AB160" s="421"/>
      <c r="AC160" s="421"/>
      <c r="AD160" s="421"/>
      <c r="AE160" s="421"/>
      <c r="AF160" s="421"/>
      <c r="AG160" s="421"/>
      <c r="AH160" s="421"/>
      <c r="AI160" s="421"/>
      <c r="AJ160" s="421"/>
      <c r="AK160" s="421"/>
      <c r="AL160" s="421"/>
      <c r="AM160" s="421"/>
      <c r="AN160" s="421"/>
      <c r="AO160" s="421"/>
      <c r="AP160" s="421"/>
      <c r="AQ160" s="421"/>
      <c r="AR160" s="421"/>
      <c r="AS160" s="421"/>
      <c r="AT160" s="421"/>
      <c r="AU160" s="421"/>
      <c r="AV160" s="421"/>
      <c r="AW160" s="421"/>
      <c r="AX160" s="421"/>
      <c r="AY160" s="421"/>
      <c r="AZ160" s="421"/>
      <c r="BA160" s="421"/>
      <c r="BB160" s="421"/>
      <c r="BC160" s="421"/>
      <c r="BD160" s="421"/>
      <c r="BE160" s="421"/>
      <c r="BF160" s="421"/>
      <c r="BG160" s="421"/>
      <c r="BH160" s="421"/>
      <c r="BI160" s="421"/>
      <c r="BJ160" s="421"/>
      <c r="BK160" s="421"/>
      <c r="BL160" s="421"/>
      <c r="BM160" s="421"/>
      <c r="BN160" s="421"/>
      <c r="BO160" s="421"/>
      <c r="BP160" s="421"/>
      <c r="BQ160" s="421"/>
      <c r="BR160" s="421"/>
      <c r="BS160" s="421"/>
      <c r="BT160" s="421"/>
      <c r="BU160" s="421"/>
      <c r="BV160" s="421"/>
      <c r="BW160" s="421"/>
      <c r="BX160" s="421"/>
      <c r="BY160" s="421"/>
      <c r="BZ160" s="421"/>
      <c r="CA160" s="421"/>
      <c r="CB160" s="421"/>
      <c r="CC160" s="421"/>
      <c r="CD160" s="421"/>
      <c r="CE160" s="421"/>
      <c r="CF160" s="421"/>
      <c r="CG160" s="421"/>
      <c r="CH160" s="421"/>
      <c r="CI160" s="421"/>
      <c r="CJ160" s="421"/>
      <c r="CK160" s="421"/>
      <c r="CL160" s="421"/>
      <c r="CM160" s="421"/>
      <c r="CN160" s="421"/>
      <c r="CO160" s="421"/>
      <c r="CP160" s="421"/>
      <c r="CQ160" s="421"/>
      <c r="CR160" s="421"/>
      <c r="CS160" s="421"/>
      <c r="CT160" s="421"/>
      <c r="CU160" s="421"/>
      <c r="CV160" s="421"/>
      <c r="CW160" s="421"/>
      <c r="CX160" s="421"/>
      <c r="CY160" s="421"/>
      <c r="CZ160" s="421"/>
      <c r="DA160" s="421"/>
      <c r="DB160" s="421"/>
      <c r="DC160" s="421"/>
      <c r="DD160" s="421"/>
      <c r="DE160" s="421"/>
      <c r="DF160" s="421"/>
      <c r="DG160" s="421"/>
      <c r="DH160" s="421"/>
      <c r="DI160" s="421"/>
      <c r="DJ160" s="421"/>
      <c r="DK160" s="421"/>
      <c r="DL160" s="421"/>
      <c r="DM160" s="421"/>
      <c r="DN160" s="421"/>
      <c r="DO160" s="421"/>
      <c r="DP160" s="421"/>
      <c r="DQ160" s="421"/>
      <c r="DR160" s="421"/>
      <c r="DS160" s="421"/>
      <c r="DT160" s="421"/>
      <c r="DU160" s="421"/>
      <c r="DV160" s="421"/>
      <c r="DW160" s="421"/>
      <c r="DX160" s="421"/>
      <c r="DY160" s="421"/>
      <c r="DZ160" s="421"/>
      <c r="EA160" s="421"/>
      <c r="EB160" s="421"/>
      <c r="EC160" s="421"/>
      <c r="ED160" s="421"/>
      <c r="EE160" s="421"/>
      <c r="EF160" s="421"/>
      <c r="EG160" s="421"/>
      <c r="EH160" s="421"/>
      <c r="EI160" s="421"/>
      <c r="EJ160" s="421"/>
      <c r="EK160" s="421"/>
      <c r="EL160" s="421"/>
      <c r="EM160" s="421"/>
      <c r="EN160" s="421"/>
      <c r="EO160" s="421"/>
      <c r="EP160" s="421"/>
      <c r="EQ160" s="421"/>
      <c r="ER160" s="421"/>
      <c r="ES160" s="421"/>
      <c r="ET160" s="421"/>
      <c r="EU160" s="421"/>
      <c r="EV160" s="421"/>
      <c r="EW160" s="421"/>
      <c r="EX160" s="421"/>
      <c r="EY160" s="421"/>
      <c r="EZ160" s="421"/>
      <c r="FA160" s="421"/>
      <c r="FB160" s="421"/>
      <c r="FC160" s="421"/>
      <c r="FD160" s="421"/>
      <c r="FE160" s="421"/>
      <c r="FF160" s="421"/>
      <c r="FG160" s="421"/>
      <c r="FH160" s="421"/>
      <c r="FI160" s="421"/>
      <c r="FJ160" s="421"/>
      <c r="FK160" s="421"/>
      <c r="FL160" s="421"/>
      <c r="FM160" s="421"/>
      <c r="FN160" s="421"/>
      <c r="FO160" s="421"/>
      <c r="FP160" s="421"/>
      <c r="FQ160" s="421"/>
      <c r="FR160" s="421"/>
      <c r="FS160" s="421"/>
      <c r="FT160" s="421"/>
      <c r="FU160" s="421"/>
      <c r="FV160" s="421"/>
      <c r="FW160" s="421"/>
      <c r="FX160" s="421"/>
      <c r="FY160" s="421"/>
      <c r="FZ160" s="421"/>
      <c r="GA160" s="421"/>
      <c r="GB160" s="421"/>
      <c r="GC160" s="421"/>
      <c r="GD160" s="421"/>
      <c r="GE160" s="421"/>
      <c r="GF160" s="421"/>
      <c r="GG160" s="421"/>
      <c r="GH160" s="421"/>
      <c r="GI160" s="421"/>
      <c r="GJ160" s="421"/>
      <c r="GK160" s="421"/>
      <c r="GL160" s="421"/>
      <c r="GM160" s="421"/>
      <c r="GN160" s="421"/>
      <c r="GO160" s="421"/>
      <c r="GP160" s="421"/>
      <c r="GQ160" s="421"/>
      <c r="GR160" s="421"/>
      <c r="GS160" s="421"/>
      <c r="GT160" s="421"/>
      <c r="GU160" s="421"/>
      <c r="GV160" s="421"/>
      <c r="GW160" s="421"/>
      <c r="GX160" s="421"/>
      <c r="GY160" s="421"/>
      <c r="GZ160" s="421"/>
      <c r="HA160" s="421"/>
      <c r="HB160" s="421"/>
      <c r="HC160" s="421"/>
      <c r="HD160" s="421"/>
      <c r="HE160" s="421"/>
      <c r="HF160" s="421"/>
      <c r="HG160" s="421"/>
      <c r="HH160" s="421"/>
      <c r="HI160" s="421"/>
      <c r="HJ160" s="421"/>
      <c r="HK160" s="421"/>
      <c r="HL160" s="421"/>
      <c r="HM160" s="421"/>
      <c r="HN160" s="421"/>
      <c r="HO160" s="421"/>
    </row>
  </sheetData>
  <mergeCells count="4">
    <mergeCell ref="B7:F7"/>
    <mergeCell ref="B8:D8"/>
    <mergeCell ref="B55:F55"/>
    <mergeCell ref="B56:D56"/>
  </mergeCells>
  <pageMargins left="0.7" right="0.7" top="0.75" bottom="0.75" header="0.3" footer="0.3"/>
  <pageSetup paperSize="9" scale="44" orientation="portrait" r:id="rId1"/>
  <headerFooter>
    <oddHeader>&amp;C&amp;G</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674D-F7C7-414B-844B-932BC8804770}">
  <dimension ref="A1:I65"/>
  <sheetViews>
    <sheetView topLeftCell="A25" workbookViewId="0">
      <selection activeCell="C43" sqref="C43"/>
    </sheetView>
  </sheetViews>
  <sheetFormatPr defaultColWidth="8.7109375" defaultRowHeight="15" x14ac:dyDescent="0.25"/>
  <cols>
    <col min="1" max="1" width="52" style="501" bestFit="1" customWidth="1"/>
    <col min="2" max="2" width="14.140625" style="1045" bestFit="1" customWidth="1"/>
    <col min="3" max="3" width="16.5703125" style="501" customWidth="1"/>
    <col min="4" max="4" width="14.140625" style="501" bestFit="1" customWidth="1"/>
    <col min="5" max="5" width="16.85546875" style="501" bestFit="1" customWidth="1"/>
    <col min="6" max="6" width="15.42578125" style="501" bestFit="1" customWidth="1"/>
    <col min="7" max="7" width="14.7109375" style="501" bestFit="1" customWidth="1"/>
    <col min="8" max="8" width="13.7109375" style="501" bestFit="1" customWidth="1"/>
    <col min="9" max="9" width="12.140625" style="501" bestFit="1" customWidth="1"/>
    <col min="10" max="16384" width="8.7109375" style="501"/>
  </cols>
  <sheetData>
    <row r="1" spans="1:7" x14ac:dyDescent="0.25">
      <c r="A1" s="682" t="s">
        <v>1092</v>
      </c>
    </row>
    <row r="2" spans="1:7" ht="15.75" thickBot="1" x14ac:dyDescent="0.3">
      <c r="A2" s="682"/>
    </row>
    <row r="3" spans="1:7" x14ac:dyDescent="0.25">
      <c r="A3" s="1046"/>
      <c r="B3" s="1047"/>
      <c r="C3" s="670"/>
      <c r="D3" s="671"/>
    </row>
    <row r="4" spans="1:7" x14ac:dyDescent="0.25">
      <c r="A4" s="17" t="s">
        <v>1093</v>
      </c>
      <c r="B4" s="1048"/>
      <c r="D4" s="674"/>
    </row>
    <row r="5" spans="1:7" x14ac:dyDescent="0.25">
      <c r="A5" s="17" t="s">
        <v>1094</v>
      </c>
      <c r="B5" s="1048"/>
      <c r="D5" s="674"/>
    </row>
    <row r="6" spans="1:7" x14ac:dyDescent="0.25">
      <c r="A6" s="350" t="s">
        <v>1095</v>
      </c>
      <c r="B6" s="1048">
        <v>4519228</v>
      </c>
      <c r="D6" s="674"/>
    </row>
    <row r="7" spans="1:7" x14ac:dyDescent="0.25">
      <c r="A7" s="350" t="s">
        <v>1096</v>
      </c>
      <c r="B7" s="1049">
        <v>1752790</v>
      </c>
      <c r="C7" s="1050">
        <f>SUM(B6:B7)</f>
        <v>6272018</v>
      </c>
      <c r="D7" s="674"/>
    </row>
    <row r="8" spans="1:7" x14ac:dyDescent="0.25">
      <c r="A8" s="350"/>
      <c r="B8" s="1048"/>
      <c r="D8" s="674"/>
    </row>
    <row r="9" spans="1:7" x14ac:dyDescent="0.25">
      <c r="A9" s="350"/>
      <c r="B9" s="1048"/>
      <c r="D9" s="674"/>
    </row>
    <row r="10" spans="1:7" x14ac:dyDescent="0.25">
      <c r="A10" s="17" t="s">
        <v>1097</v>
      </c>
      <c r="B10" s="1048"/>
      <c r="D10" s="674"/>
    </row>
    <row r="11" spans="1:7" x14ac:dyDescent="0.25">
      <c r="A11" s="350" t="s">
        <v>1095</v>
      </c>
      <c r="B11" s="1048">
        <v>3321551</v>
      </c>
      <c r="D11" s="674"/>
    </row>
    <row r="12" spans="1:7" x14ac:dyDescent="0.25">
      <c r="A12" s="350" t="s">
        <v>1096</v>
      </c>
      <c r="B12" s="1049">
        <v>3954723</v>
      </c>
      <c r="C12" s="1050">
        <f>SUM(B11:B12)</f>
        <v>7276274</v>
      </c>
      <c r="D12" s="674"/>
    </row>
    <row r="13" spans="1:7" x14ac:dyDescent="0.25">
      <c r="A13" s="350"/>
      <c r="B13" s="1048"/>
      <c r="D13" s="674"/>
    </row>
    <row r="14" spans="1:7" ht="15.75" thickBot="1" x14ac:dyDescent="0.3">
      <c r="A14" s="1051"/>
      <c r="B14" s="1052"/>
      <c r="C14" s="1053"/>
      <c r="D14" s="1054"/>
    </row>
    <row r="15" spans="1:7" ht="15.75" thickBot="1" x14ac:dyDescent="0.3"/>
    <row r="16" spans="1:7" s="1075" customFormat="1" ht="46.7" customHeight="1" x14ac:dyDescent="0.25">
      <c r="A16" s="1070" t="s">
        <v>0</v>
      </c>
      <c r="B16" s="1071" t="s">
        <v>1098</v>
      </c>
      <c r="C16" s="1072" t="s">
        <v>1099</v>
      </c>
      <c r="D16" s="1073" t="s">
        <v>67</v>
      </c>
      <c r="E16" s="1074" t="s">
        <v>1100</v>
      </c>
      <c r="F16" s="218" t="s">
        <v>1132</v>
      </c>
      <c r="G16" s="218" t="s">
        <v>1133</v>
      </c>
    </row>
    <row r="17" spans="1:9" x14ac:dyDescent="0.25">
      <c r="A17" s="350" t="s">
        <v>728</v>
      </c>
      <c r="B17" s="1048">
        <f>'PPE- note 3'!C94*1000</f>
        <v>-60000</v>
      </c>
      <c r="C17" s="1048">
        <f>$C$21/$B$21*B17</f>
        <v>-434220.98076641595</v>
      </c>
      <c r="D17" s="1055">
        <f>B17+C17</f>
        <v>-494220.98076641595</v>
      </c>
      <c r="E17" s="1056">
        <f>D17*15%/2</f>
        <v>-37066.573557481192</v>
      </c>
      <c r="F17" s="1045">
        <f>D17-E17</f>
        <v>-457154.40720893478</v>
      </c>
      <c r="G17" s="1045">
        <f>'PPE- note 3'!E94*1000</f>
        <v>-60000</v>
      </c>
      <c r="H17" s="1045">
        <f>F17-G17</f>
        <v>-397154.40720893478</v>
      </c>
      <c r="I17" s="1045"/>
    </row>
    <row r="18" spans="1:9" x14ac:dyDescent="0.25">
      <c r="A18" s="350" t="s">
        <v>1151</v>
      </c>
      <c r="B18" s="1048">
        <f>'PPE- note 3'!C93*1000</f>
        <v>0</v>
      </c>
      <c r="C18" s="1048">
        <f>$C$21/$B$21*B18</f>
        <v>0</v>
      </c>
      <c r="D18" s="1055">
        <f>B18+C18</f>
        <v>0</v>
      </c>
      <c r="E18" s="1056">
        <f>D18*10%/2</f>
        <v>0</v>
      </c>
      <c r="F18" s="1045">
        <f>D18-E18</f>
        <v>0</v>
      </c>
      <c r="G18" s="1045">
        <f>'PPE- note 3'!E93*1000</f>
        <v>0</v>
      </c>
      <c r="H18" s="1045">
        <f t="shared" ref="H18:H19" si="0">F18-G18</f>
        <v>0</v>
      </c>
      <c r="I18" s="1045"/>
    </row>
    <row r="19" spans="1:9" x14ac:dyDescent="0.25">
      <c r="A19" s="350" t="s">
        <v>729</v>
      </c>
      <c r="B19" s="1048">
        <f>'PPE- note 3'!C95*1000</f>
        <v>-6000</v>
      </c>
      <c r="C19" s="1048">
        <f>$C$21/$B$21*B19</f>
        <v>-43422.098076641596</v>
      </c>
      <c r="D19" s="1055">
        <f>B19+C19</f>
        <v>-49422.098076641596</v>
      </c>
      <c r="E19" s="1056">
        <f>D19*40%/2</f>
        <v>-9884.4196153283192</v>
      </c>
      <c r="F19" s="1045">
        <f>D19-E19</f>
        <v>-39537.678461313277</v>
      </c>
      <c r="G19" s="1045">
        <f>'PPE- note 3'!E95*1000</f>
        <v>-6000</v>
      </c>
      <c r="H19" s="1045">
        <f t="shared" si="0"/>
        <v>-33537.678461313277</v>
      </c>
      <c r="I19" s="1045"/>
    </row>
    <row r="20" spans="1:9" x14ac:dyDescent="0.25">
      <c r="A20" s="350" t="s">
        <v>527</v>
      </c>
      <c r="B20" s="1048">
        <f>BS!D10*1000</f>
        <v>1149427.0125999998</v>
      </c>
      <c r="C20" s="1048">
        <f>$C$21/$B$21*B20</f>
        <v>8318422.0788430572</v>
      </c>
      <c r="D20" s="1055">
        <f>B20+C20</f>
        <v>9467849.0914430562</v>
      </c>
      <c r="E20" s="1056"/>
      <c r="F20" s="1077">
        <f>SUM(F17:F19)</f>
        <v>-496692.08567024802</v>
      </c>
      <c r="G20" s="1077">
        <f t="shared" ref="G20:H20" si="1">SUM(G17:G19)</f>
        <v>-66000</v>
      </c>
      <c r="H20" s="1077">
        <f t="shared" si="1"/>
        <v>-430692.08567024802</v>
      </c>
      <c r="I20" s="1077">
        <f>H20*25.168%</f>
        <v>-108396.58412148803</v>
      </c>
    </row>
    <row r="21" spans="1:9" ht="15.75" thickBot="1" x14ac:dyDescent="0.3">
      <c r="A21" s="1051"/>
      <c r="B21" s="1057">
        <f>SUM(B17:B20)</f>
        <v>1083427.0125999998</v>
      </c>
      <c r="C21" s="1057">
        <f>B11+B6</f>
        <v>7840779</v>
      </c>
      <c r="D21" s="1058">
        <f>B21+C21</f>
        <v>8924206.0125999991</v>
      </c>
      <c r="E21" s="1059">
        <f>SUM(E17:E20)</f>
        <v>-46950.993172809511</v>
      </c>
      <c r="F21" s="1045">
        <f>-(F17+F19)</f>
        <v>496692.08567024802</v>
      </c>
      <c r="G21" s="1045">
        <f>('PPE- note 3'!J96-'PPE- note 3'!J92)*1000</f>
        <v>-149000</v>
      </c>
      <c r="H21" s="1045">
        <f>G21+F21</f>
        <v>347692.08567024802</v>
      </c>
      <c r="I21" s="1045">
        <f>H21*17.168%</f>
        <v>59691.777267868179</v>
      </c>
    </row>
    <row r="22" spans="1:9" x14ac:dyDescent="0.25">
      <c r="F22" s="1045">
        <f>-F21*17.168%</f>
        <v>-85272.097267868186</v>
      </c>
      <c r="G22" s="1045">
        <f>-G21*17.168%</f>
        <v>25580.32</v>
      </c>
      <c r="H22" s="1045">
        <f>F22+G22</f>
        <v>-59691.777267868187</v>
      </c>
      <c r="I22" s="1045"/>
    </row>
    <row r="24" spans="1:9" ht="15.75" thickBot="1" x14ac:dyDescent="0.3"/>
    <row r="25" spans="1:9" x14ac:dyDescent="0.25">
      <c r="A25" s="669" t="s">
        <v>1101</v>
      </c>
      <c r="B25" s="1047"/>
      <c r="C25" s="670"/>
      <c r="D25" s="670"/>
      <c r="E25" s="671"/>
    </row>
    <row r="26" spans="1:9" x14ac:dyDescent="0.25">
      <c r="A26" s="350" t="s">
        <v>1102</v>
      </c>
      <c r="B26" s="1048">
        <v>875943.49</v>
      </c>
      <c r="D26" s="1048">
        <f t="shared" ref="D26:D27" si="2">B26+C26</f>
        <v>875943.49</v>
      </c>
      <c r="E26" s="674"/>
    </row>
    <row r="27" spans="1:9" x14ac:dyDescent="0.25">
      <c r="A27" s="350" t="s">
        <v>1103</v>
      </c>
      <c r="B27" s="1048">
        <v>2658651.37</v>
      </c>
      <c r="D27" s="1048">
        <f t="shared" si="2"/>
        <v>2658651.37</v>
      </c>
      <c r="E27" s="674"/>
    </row>
    <row r="28" spans="1:9" x14ac:dyDescent="0.25">
      <c r="A28" s="350"/>
      <c r="B28" s="1050">
        <f>SUM(B26:B27)</f>
        <v>3534594.8600000003</v>
      </c>
      <c r="D28" s="1050">
        <f>SUM(D26:D27)</f>
        <v>3534594.8600000003</v>
      </c>
      <c r="E28" s="674"/>
    </row>
    <row r="29" spans="1:9" x14ac:dyDescent="0.25">
      <c r="A29" s="350"/>
      <c r="B29" s="1048"/>
      <c r="E29" s="674"/>
    </row>
    <row r="30" spans="1:9" x14ac:dyDescent="0.25">
      <c r="A30" s="350" t="s">
        <v>1104</v>
      </c>
      <c r="B30" s="1048">
        <v>13736480.57</v>
      </c>
      <c r="C30" s="501">
        <f>250+500+1000+500+1000+500+1387</f>
        <v>5137</v>
      </c>
      <c r="D30" s="1050">
        <f>B30+C30</f>
        <v>13741617.57</v>
      </c>
      <c r="E30" s="674"/>
    </row>
    <row r="31" spans="1:9" x14ac:dyDescent="0.25">
      <c r="A31" s="350"/>
      <c r="B31" s="1048"/>
      <c r="E31" s="674"/>
    </row>
    <row r="32" spans="1:9" x14ac:dyDescent="0.25">
      <c r="A32" s="350"/>
      <c r="B32" s="1050">
        <f>B30+B28</f>
        <v>17271075.43</v>
      </c>
      <c r="D32" s="1060">
        <f>D30+D28</f>
        <v>17276212.43</v>
      </c>
      <c r="E32" s="674"/>
    </row>
    <row r="33" spans="1:5" x14ac:dyDescent="0.25">
      <c r="A33" s="350"/>
      <c r="B33" s="1048"/>
      <c r="D33" s="1048">
        <f>-'[12]TB BVS 31.3.24'!I73</f>
        <v>17331137.02</v>
      </c>
      <c r="E33" s="674"/>
    </row>
    <row r="34" spans="1:5" x14ac:dyDescent="0.25">
      <c r="A34" s="350"/>
      <c r="B34" s="1048"/>
      <c r="D34" s="1061">
        <f>D32-D33</f>
        <v>-54924.589999999851</v>
      </c>
      <c r="E34" s="1062" t="s">
        <v>1105</v>
      </c>
    </row>
    <row r="35" spans="1:5" ht="15.75" thickBot="1" x14ac:dyDescent="0.3">
      <c r="A35" s="1051"/>
      <c r="B35" s="1052"/>
      <c r="C35" s="1053"/>
      <c r="D35" s="1053"/>
      <c r="E35" s="1054"/>
    </row>
    <row r="37" spans="1:5" ht="15.75" thickBot="1" x14ac:dyDescent="0.3"/>
    <row r="38" spans="1:5" x14ac:dyDescent="0.25">
      <c r="A38" s="669" t="s">
        <v>1106</v>
      </c>
      <c r="B38" s="1047"/>
      <c r="C38" s="670"/>
      <c r="D38" s="670"/>
      <c r="E38" s="671"/>
    </row>
    <row r="39" spans="1:5" x14ac:dyDescent="0.25">
      <c r="A39" s="17" t="s">
        <v>1107</v>
      </c>
      <c r="B39" s="1048"/>
      <c r="E39" s="674"/>
    </row>
    <row r="40" spans="1:5" x14ac:dyDescent="0.25">
      <c r="A40" s="350" t="s">
        <v>1108</v>
      </c>
      <c r="B40" s="1055">
        <v>1752790</v>
      </c>
      <c r="C40" s="1055"/>
      <c r="E40" s="674"/>
    </row>
    <row r="41" spans="1:5" x14ac:dyDescent="0.25">
      <c r="A41" s="350"/>
      <c r="B41" s="1048"/>
      <c r="E41" s="674"/>
    </row>
    <row r="42" spans="1:5" x14ac:dyDescent="0.25">
      <c r="A42" s="350"/>
      <c r="B42" s="1048"/>
      <c r="E42" s="674"/>
    </row>
    <row r="43" spans="1:5" x14ac:dyDescent="0.25">
      <c r="A43" s="17" t="s">
        <v>1109</v>
      </c>
      <c r="B43" s="1048"/>
      <c r="E43" s="674"/>
    </row>
    <row r="44" spans="1:5" x14ac:dyDescent="0.25">
      <c r="A44" s="350" t="s">
        <v>1110</v>
      </c>
      <c r="B44" s="1048">
        <v>3344847.9331575348</v>
      </c>
      <c r="C44" s="1055">
        <f>B44</f>
        <v>3344847.9331575348</v>
      </c>
      <c r="E44" s="674"/>
    </row>
    <row r="45" spans="1:5" x14ac:dyDescent="0.25">
      <c r="A45" s="350" t="s">
        <v>1108</v>
      </c>
      <c r="B45" s="1048">
        <v>609875</v>
      </c>
      <c r="E45" s="674"/>
    </row>
    <row r="46" spans="1:5" x14ac:dyDescent="0.25">
      <c r="A46" s="350"/>
      <c r="B46" s="1048"/>
      <c r="E46" s="674"/>
    </row>
    <row r="47" spans="1:5" x14ac:dyDescent="0.25">
      <c r="A47" s="350"/>
      <c r="B47" s="1048"/>
      <c r="E47" s="674"/>
    </row>
    <row r="48" spans="1:5" x14ac:dyDescent="0.25">
      <c r="A48" s="350"/>
      <c r="B48" s="1048"/>
      <c r="E48" s="674"/>
    </row>
    <row r="49" spans="1:5" x14ac:dyDescent="0.25">
      <c r="A49" s="17" t="s">
        <v>456</v>
      </c>
      <c r="B49" s="1048"/>
      <c r="E49" s="674"/>
    </row>
    <row r="50" spans="1:5" x14ac:dyDescent="0.25">
      <c r="A50" s="350" t="s">
        <v>1111</v>
      </c>
      <c r="B50" s="1048">
        <f>'PPE- note 3'!E100*1000</f>
        <v>3244000</v>
      </c>
      <c r="C50" s="1055">
        <f>B50</f>
        <v>3244000</v>
      </c>
      <c r="E50" s="674"/>
    </row>
    <row r="51" spans="1:5" x14ac:dyDescent="0.25">
      <c r="A51" s="350"/>
      <c r="B51" s="1048"/>
      <c r="E51" s="674"/>
    </row>
    <row r="52" spans="1:5" x14ac:dyDescent="0.25">
      <c r="A52" s="350"/>
      <c r="B52" s="1048"/>
      <c r="E52" s="674"/>
    </row>
    <row r="53" spans="1:5" x14ac:dyDescent="0.25">
      <c r="A53" s="350"/>
      <c r="B53" s="1048"/>
      <c r="C53" s="1050">
        <f>SUM(C40:C52)</f>
        <v>6588847.9331575353</v>
      </c>
      <c r="E53" s="674"/>
    </row>
    <row r="54" spans="1:5" x14ac:dyDescent="0.25">
      <c r="A54" s="350"/>
      <c r="B54" s="1048"/>
      <c r="E54" s="674"/>
    </row>
    <row r="55" spans="1:5" x14ac:dyDescent="0.25">
      <c r="A55" s="17" t="s">
        <v>1112</v>
      </c>
      <c r="B55" s="1048"/>
      <c r="E55" s="674"/>
    </row>
    <row r="56" spans="1:5" x14ac:dyDescent="0.25">
      <c r="A56" s="1063">
        <v>42789</v>
      </c>
      <c r="B56" s="1048"/>
      <c r="E56" s="674"/>
    </row>
    <row r="57" spans="1:5" x14ac:dyDescent="0.25">
      <c r="A57" s="1063">
        <f>(99*365)+A56</f>
        <v>78924</v>
      </c>
      <c r="B57" s="1048">
        <f>(A57-A56)/365</f>
        <v>99</v>
      </c>
      <c r="E57" s="674"/>
    </row>
    <row r="58" spans="1:5" x14ac:dyDescent="0.25">
      <c r="A58" s="350" t="s">
        <v>1113</v>
      </c>
      <c r="B58" s="1048"/>
      <c r="E58" s="674"/>
    </row>
    <row r="59" spans="1:5" x14ac:dyDescent="0.25">
      <c r="A59" s="1063">
        <v>45292</v>
      </c>
      <c r="B59" s="1048"/>
      <c r="E59" s="674"/>
    </row>
    <row r="60" spans="1:5" x14ac:dyDescent="0.25">
      <c r="A60" s="1063">
        <f>A57</f>
        <v>78924</v>
      </c>
      <c r="B60" s="1048">
        <f>(A60-A59)/365</f>
        <v>92.142465753424659</v>
      </c>
      <c r="C60" s="1048">
        <f>C53/B60/12</f>
        <v>5958.9317108767946</v>
      </c>
      <c r="D60" s="501" t="s">
        <v>1114</v>
      </c>
      <c r="E60" s="674"/>
    </row>
    <row r="61" spans="1:5" x14ac:dyDescent="0.25">
      <c r="A61" s="350"/>
      <c r="B61" s="1048"/>
      <c r="E61" s="674"/>
    </row>
    <row r="62" spans="1:5" x14ac:dyDescent="0.25">
      <c r="A62" s="17" t="s">
        <v>1115</v>
      </c>
      <c r="B62" s="1060"/>
      <c r="C62" s="1050">
        <f>C60*3</f>
        <v>17876.795132630385</v>
      </c>
      <c r="E62" s="674"/>
    </row>
    <row r="63" spans="1:5" x14ac:dyDescent="0.25">
      <c r="A63" s="350"/>
      <c r="B63" s="1048"/>
      <c r="E63" s="674"/>
    </row>
    <row r="64" spans="1:5" x14ac:dyDescent="0.25">
      <c r="A64" s="350"/>
      <c r="B64" s="1048"/>
      <c r="E64" s="674"/>
    </row>
    <row r="65" spans="1:5" ht="15.75" thickBot="1" x14ac:dyDescent="0.3">
      <c r="A65" s="1051"/>
      <c r="B65" s="1052"/>
      <c r="C65" s="1053"/>
      <c r="D65" s="1053"/>
      <c r="E65" s="1054"/>
    </row>
  </sheetData>
  <pageMargins left="0.7" right="0.7" top="0.75" bottom="0.75" header="0.3" footer="0.3"/>
  <pageSetup paperSize="9" orientation="portrait" r:id="rId1"/>
  <headerFooter>
    <oddHeader>&amp;C&amp;G</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9CBC-0A06-4268-8AE9-47789E02AE3E}">
  <sheetPr>
    <pageSetUpPr fitToPage="1"/>
  </sheetPr>
  <dimension ref="A1:J148"/>
  <sheetViews>
    <sheetView showGridLines="0" view="pageBreakPreview" zoomScaleNormal="100" zoomScaleSheetLayoutView="100" workbookViewId="0">
      <selection activeCell="C43" sqref="C43:C44"/>
    </sheetView>
  </sheetViews>
  <sheetFormatPr defaultRowHeight="15" x14ac:dyDescent="0.25"/>
  <cols>
    <col min="1" max="1" width="58.140625" style="95" customWidth="1"/>
    <col min="2" max="2" width="19.140625" style="95" hidden="1" customWidth="1"/>
    <col min="3" max="3" width="20.5703125" style="95" customWidth="1"/>
    <col min="4" max="4" width="20.85546875" style="95" customWidth="1"/>
    <col min="5" max="5" width="16.42578125" hidden="1" customWidth="1"/>
    <col min="6" max="6" width="15.140625" bestFit="1" customWidth="1"/>
    <col min="7" max="7" width="15.5703125" bestFit="1" customWidth="1"/>
    <col min="8" max="8" width="9.42578125" style="75" bestFit="1" customWidth="1"/>
    <col min="9" max="9" width="12.140625" bestFit="1" customWidth="1"/>
    <col min="10" max="10" width="12.140625" style="64" bestFit="1" customWidth="1"/>
  </cols>
  <sheetData>
    <row r="1" spans="1:10" x14ac:dyDescent="0.25">
      <c r="A1" s="40" t="str">
        <f>Input!$B$1</f>
        <v>BVC Specialities Private Limited</v>
      </c>
      <c r="B1" s="817"/>
      <c r="C1" s="817"/>
      <c r="D1" s="818"/>
      <c r="E1" s="56"/>
    </row>
    <row r="2" spans="1:10" x14ac:dyDescent="0.25">
      <c r="A2" s="314" t="s">
        <v>1665</v>
      </c>
      <c r="D2" s="644"/>
      <c r="E2" s="58"/>
    </row>
    <row r="3" spans="1:10" ht="12.6" customHeight="1" x14ac:dyDescent="0.25">
      <c r="A3" s="822"/>
      <c r="D3" s="821" t="str">
        <f>Input!$D$2</f>
        <v>(₹ in Lakh)</v>
      </c>
      <c r="E3" s="22" t="str">
        <f>Input!$D$2</f>
        <v>(₹ in Lakh)</v>
      </c>
    </row>
    <row r="4" spans="1:10" x14ac:dyDescent="0.25">
      <c r="A4" s="1809" t="s">
        <v>0</v>
      </c>
      <c r="B4" s="1810"/>
      <c r="C4" s="1243" t="s">
        <v>41</v>
      </c>
      <c r="D4" s="983" t="s">
        <v>41</v>
      </c>
      <c r="E4" s="240" t="s">
        <v>41</v>
      </c>
    </row>
    <row r="5" spans="1:10" ht="14.45" customHeight="1" x14ac:dyDescent="0.25">
      <c r="A5" s="1811"/>
      <c r="B5" s="1812"/>
      <c r="C5" s="984" t="str">
        <f>PL!D5</f>
        <v>31 March 2026</v>
      </c>
      <c r="D5" s="985" t="str">
        <f>PL!E5</f>
        <v>31 March 2025</v>
      </c>
      <c r="E5" s="236" t="str">
        <f>Input!$C$6</f>
        <v>31 March 2022</v>
      </c>
    </row>
    <row r="6" spans="1:10" x14ac:dyDescent="0.25">
      <c r="A6" s="314" t="s">
        <v>409</v>
      </c>
      <c r="D6" s="644"/>
      <c r="E6" s="58"/>
    </row>
    <row r="7" spans="1:10" x14ac:dyDescent="0.25">
      <c r="A7" s="642" t="s">
        <v>1638</v>
      </c>
      <c r="C7" s="982">
        <f>PL!D21</f>
        <v>-7540.2399608000014</v>
      </c>
      <c r="D7" s="986">
        <f>PL!E21</f>
        <v>-2030.4612199999947</v>
      </c>
      <c r="E7" s="353">
        <v>-8360</v>
      </c>
      <c r="I7" s="353">
        <v>10669.917279999703</v>
      </c>
      <c r="J7" s="64">
        <f t="shared" ref="J7:J23" si="0">C7-I7</f>
        <v>-18210.157240799705</v>
      </c>
    </row>
    <row r="8" spans="1:10" x14ac:dyDescent="0.25">
      <c r="A8" s="987" t="s">
        <v>410</v>
      </c>
      <c r="D8" s="986"/>
      <c r="E8" s="316"/>
      <c r="J8" s="64">
        <f t="shared" si="0"/>
        <v>0</v>
      </c>
    </row>
    <row r="9" spans="1:10" x14ac:dyDescent="0.25">
      <c r="A9" s="988" t="s">
        <v>590</v>
      </c>
      <c r="C9" s="982">
        <f>PL!D18</f>
        <v>3180.6830227999999</v>
      </c>
      <c r="D9" s="986">
        <f>PL!E18</f>
        <v>1294.9100000000001</v>
      </c>
      <c r="E9" s="316">
        <f>PL!F18</f>
        <v>6</v>
      </c>
      <c r="I9" s="353">
        <v>3767</v>
      </c>
      <c r="J9" s="64">
        <f t="shared" si="0"/>
        <v>-586.31697720000011</v>
      </c>
    </row>
    <row r="10" spans="1:10" x14ac:dyDescent="0.25">
      <c r="A10" s="988" t="s">
        <v>1605</v>
      </c>
      <c r="C10" s="982">
        <f>'PL Notes 19-27'!C102</f>
        <v>13</v>
      </c>
      <c r="D10" s="986">
        <v>0</v>
      </c>
      <c r="E10" s="316"/>
      <c r="I10" s="353"/>
    </row>
    <row r="11" spans="1:10" x14ac:dyDescent="0.25">
      <c r="A11" s="988" t="s">
        <v>909</v>
      </c>
      <c r="C11" s="982">
        <f>-'PL Notes 19-27'!C28-'PL Notes 19-27'!C29</f>
        <v>-23</v>
      </c>
      <c r="D11" s="986">
        <f>-'PL Notes 19-27'!D28-'PL Notes 19-27'!D29</f>
        <v>-20</v>
      </c>
      <c r="E11" s="316"/>
      <c r="I11" s="353"/>
    </row>
    <row r="12" spans="1:10" x14ac:dyDescent="0.25">
      <c r="A12" s="988" t="s">
        <v>1395</v>
      </c>
      <c r="C12" s="982">
        <f>-'PL Notes 19-27'!C30</f>
        <v>0</v>
      </c>
      <c r="D12" s="986">
        <f>-'PL Notes 19-27'!D30</f>
        <v>-49</v>
      </c>
      <c r="E12" s="316"/>
      <c r="I12" s="353"/>
    </row>
    <row r="13" spans="1:10" x14ac:dyDescent="0.25">
      <c r="A13" s="988" t="s">
        <v>426</v>
      </c>
      <c r="C13" s="982">
        <f>C147</f>
        <v>-72.325742951999985</v>
      </c>
      <c r="D13" s="986">
        <v>0</v>
      </c>
      <c r="E13" s="316"/>
      <c r="I13" s="353"/>
    </row>
    <row r="14" spans="1:10" x14ac:dyDescent="0.25">
      <c r="A14" s="988" t="s">
        <v>1542</v>
      </c>
      <c r="C14" s="982">
        <f>'PL Notes 19-27'!C108</f>
        <v>15</v>
      </c>
      <c r="D14" s="986">
        <v>0</v>
      </c>
      <c r="E14" s="316"/>
      <c r="I14" s="353"/>
    </row>
    <row r="15" spans="1:10" x14ac:dyDescent="0.25">
      <c r="A15" s="988" t="s">
        <v>202</v>
      </c>
      <c r="C15" s="982">
        <f>PL!D17</f>
        <v>2699</v>
      </c>
      <c r="D15" s="986">
        <f>PL!E17</f>
        <v>763.08651999999461</v>
      </c>
      <c r="E15" s="316">
        <f>PL!F17</f>
        <v>38</v>
      </c>
      <c r="I15" s="353">
        <v>3744</v>
      </c>
      <c r="J15" s="64">
        <f t="shared" si="0"/>
        <v>-1045</v>
      </c>
    </row>
    <row r="16" spans="1:10" x14ac:dyDescent="0.25">
      <c r="A16" s="989"/>
      <c r="C16" s="990">
        <f>SUM(C9:C15)+C7</f>
        <v>-1727.8826809520015</v>
      </c>
      <c r="D16" s="318">
        <f>SUM(D9:D15)+D7</f>
        <v>-41.464699999999993</v>
      </c>
      <c r="E16" s="318">
        <f>SUM(E9:E15)+E7</f>
        <v>-8316</v>
      </c>
      <c r="F16" s="279"/>
      <c r="I16" s="317">
        <v>18180.917279999703</v>
      </c>
      <c r="J16" s="64">
        <f t="shared" si="0"/>
        <v>-19908.799960951706</v>
      </c>
    </row>
    <row r="17" spans="1:10" ht="5.45" customHeight="1" x14ac:dyDescent="0.25">
      <c r="A17" s="822"/>
      <c r="D17" s="986"/>
      <c r="E17" s="316"/>
      <c r="J17" s="64">
        <f t="shared" si="0"/>
        <v>0</v>
      </c>
    </row>
    <row r="18" spans="1:10" x14ac:dyDescent="0.25">
      <c r="A18" s="989" t="s">
        <v>411</v>
      </c>
      <c r="D18" s="986"/>
      <c r="E18" s="316"/>
      <c r="J18" s="64">
        <f t="shared" si="0"/>
        <v>0</v>
      </c>
    </row>
    <row r="19" spans="1:10" x14ac:dyDescent="0.25">
      <c r="A19" s="642" t="s">
        <v>924</v>
      </c>
      <c r="C19" s="840">
        <f>BS!H24-C145-C14</f>
        <v>-2476.2563698600002</v>
      </c>
      <c r="D19" s="986">
        <v>-397.74</v>
      </c>
      <c r="E19" s="316"/>
      <c r="F19" s="1"/>
      <c r="I19" s="279">
        <v>-5611</v>
      </c>
      <c r="J19" s="64">
        <f t="shared" si="0"/>
        <v>3134.7436301399998</v>
      </c>
    </row>
    <row r="20" spans="1:10" x14ac:dyDescent="0.25">
      <c r="A20" s="642" t="s">
        <v>925</v>
      </c>
      <c r="C20" s="840">
        <f>BS!H22-C10</f>
        <v>-5840</v>
      </c>
      <c r="D20" s="986">
        <v>-797.4</v>
      </c>
      <c r="E20" s="316"/>
      <c r="F20" s="1"/>
      <c r="I20" s="279">
        <v>-1391</v>
      </c>
      <c r="J20" s="64">
        <f t="shared" si="0"/>
        <v>-4449</v>
      </c>
    </row>
    <row r="21" spans="1:10" x14ac:dyDescent="0.25">
      <c r="A21" s="642" t="s">
        <v>929</v>
      </c>
      <c r="C21" s="840">
        <f>BS!H15</f>
        <v>45</v>
      </c>
      <c r="D21" s="986">
        <v>4.28</v>
      </c>
      <c r="E21" s="316"/>
      <c r="F21" s="1"/>
      <c r="I21" s="279">
        <v>745060</v>
      </c>
      <c r="J21" s="64">
        <f t="shared" si="0"/>
        <v>-745015</v>
      </c>
    </row>
    <row r="22" spans="1:10" x14ac:dyDescent="0.25">
      <c r="A22" s="642" t="s">
        <v>412</v>
      </c>
      <c r="C22" s="982">
        <f>+BS!H29+BS!H18+H34</f>
        <v>-856</v>
      </c>
      <c r="D22" s="986">
        <v>-1277.8599999999999</v>
      </c>
      <c r="E22" s="316">
        <f>F132-E132</f>
        <v>-296</v>
      </c>
      <c r="F22" s="1"/>
      <c r="I22" s="353">
        <v>-462302</v>
      </c>
      <c r="J22" s="64">
        <f t="shared" si="0"/>
        <v>461446</v>
      </c>
    </row>
    <row r="23" spans="1:10" x14ac:dyDescent="0.25">
      <c r="A23" s="642" t="s">
        <v>413</v>
      </c>
      <c r="C23" s="982">
        <f>BS!H53+BS!H54-C144-2</f>
        <v>8076.0269652999987</v>
      </c>
      <c r="D23" s="986">
        <v>1659.3</v>
      </c>
      <c r="E23" s="316">
        <f>(E134-F134)+E135</f>
        <v>14</v>
      </c>
      <c r="F23" s="1"/>
      <c r="I23" s="353">
        <v>8661</v>
      </c>
      <c r="J23" s="64">
        <f t="shared" si="0"/>
        <v>-584.97303470000134</v>
      </c>
    </row>
    <row r="24" spans="1:10" x14ac:dyDescent="0.25">
      <c r="A24" s="642" t="s">
        <v>1048</v>
      </c>
      <c r="C24" s="982">
        <f>BS!H45+BS!H58+PL!D30+PL!D31</f>
        <v>53</v>
      </c>
      <c r="D24" s="986">
        <v>22.74</v>
      </c>
      <c r="E24" s="316"/>
      <c r="F24" s="1"/>
      <c r="I24" s="353"/>
    </row>
    <row r="25" spans="1:10" x14ac:dyDescent="0.25">
      <c r="A25" s="642" t="s">
        <v>1141</v>
      </c>
      <c r="C25" s="982">
        <f>BS!H55</f>
        <v>-2063</v>
      </c>
      <c r="D25" s="986">
        <v>48.56</v>
      </c>
      <c r="E25" s="316"/>
      <c r="F25" s="1"/>
      <c r="I25" s="353"/>
    </row>
    <row r="26" spans="1:10" x14ac:dyDescent="0.25">
      <c r="A26" s="642" t="s">
        <v>414</v>
      </c>
      <c r="C26" s="982">
        <f>BS!H56+BS!H57-'BS  Notes  3-18'!O468</f>
        <v>2047</v>
      </c>
      <c r="D26" s="986">
        <v>-23.2</v>
      </c>
      <c r="E26" s="316">
        <f>(E139-F139)-1</f>
        <v>-1</v>
      </c>
      <c r="F26" s="1"/>
      <c r="I26" s="353">
        <v>6029</v>
      </c>
      <c r="J26" s="64">
        <f t="shared" ref="J26:J34" si="1">C26-I26</f>
        <v>-3982</v>
      </c>
    </row>
    <row r="27" spans="1:10" x14ac:dyDescent="0.25">
      <c r="A27" s="989" t="s">
        <v>1639</v>
      </c>
      <c r="C27" s="319">
        <f>C16+SUM(C19:C26)</f>
        <v>-2742.1120855120034</v>
      </c>
      <c r="D27" s="320">
        <f>D16+SUM(D19:D26)</f>
        <v>-802.78469999999993</v>
      </c>
      <c r="E27" s="320">
        <f>E16+SUM(E22:E26)</f>
        <v>-8599</v>
      </c>
      <c r="I27" s="319">
        <v>308626.9172799997</v>
      </c>
      <c r="J27" s="64">
        <f t="shared" si="1"/>
        <v>-311369.02936551173</v>
      </c>
    </row>
    <row r="28" spans="1:10" x14ac:dyDescent="0.25">
      <c r="A28" s="642" t="s">
        <v>930</v>
      </c>
      <c r="C28" s="981">
        <f>BS!H16+BS!H17-PL!D25</f>
        <v>9.1153389232176778</v>
      </c>
      <c r="D28" s="320">
        <v>0</v>
      </c>
      <c r="E28" s="320"/>
      <c r="H28" s="75">
        <f>C28</f>
        <v>9.1153389232176778</v>
      </c>
      <c r="I28" s="319">
        <v>-26514.917280000001</v>
      </c>
      <c r="J28" s="64">
        <f t="shared" si="1"/>
        <v>26524.032618923218</v>
      </c>
    </row>
    <row r="29" spans="1:10" x14ac:dyDescent="0.25">
      <c r="A29" s="1249" t="s">
        <v>415</v>
      </c>
      <c r="B29" s="869"/>
      <c r="C29" s="321">
        <f>C27+C28</f>
        <v>-2732.9967465887858</v>
      </c>
      <c r="D29" s="322">
        <f>D27</f>
        <v>-802.78469999999993</v>
      </c>
      <c r="E29" s="322">
        <f>E27</f>
        <v>-8599</v>
      </c>
      <c r="I29" s="321">
        <v>282111.99999999971</v>
      </c>
      <c r="J29" s="64">
        <f t="shared" si="1"/>
        <v>-284844.9967465885</v>
      </c>
    </row>
    <row r="30" spans="1:10" ht="2.1" customHeight="1" x14ac:dyDescent="0.25">
      <c r="A30" s="822"/>
      <c r="D30" s="986"/>
      <c r="E30" s="316"/>
      <c r="J30" s="64">
        <f t="shared" si="1"/>
        <v>0</v>
      </c>
    </row>
    <row r="31" spans="1:10" x14ac:dyDescent="0.25">
      <c r="A31" s="314" t="s">
        <v>416</v>
      </c>
      <c r="D31" s="986"/>
      <c r="E31" s="316"/>
      <c r="J31" s="64">
        <f t="shared" si="1"/>
        <v>0</v>
      </c>
    </row>
    <row r="32" spans="1:10" ht="30" customHeight="1" x14ac:dyDescent="0.25">
      <c r="A32" s="1560" t="s">
        <v>417</v>
      </c>
      <c r="C32" s="981">
        <f>BS!H8+BS!H9+BS!H10+BS!H11-C9+'BS  Notes  3-18'!O468</f>
        <v>-3424.4645928999994</v>
      </c>
      <c r="D32" s="986">
        <v>-23239.350178360008</v>
      </c>
      <c r="E32" s="323">
        <f>'PPE- note 3'!C140</f>
        <v>1652</v>
      </c>
      <c r="F32" s="64">
        <f>1846-C9</f>
        <v>-1334.6830227999999</v>
      </c>
      <c r="G32" s="279"/>
      <c r="I32" s="353">
        <v>-3316196</v>
      </c>
      <c r="J32" s="64">
        <f t="shared" si="1"/>
        <v>3312771.5354070999</v>
      </c>
    </row>
    <row r="33" spans="1:10" x14ac:dyDescent="0.25">
      <c r="A33" s="642" t="s">
        <v>1640</v>
      </c>
      <c r="C33" s="982">
        <f>-F34</f>
        <v>-94</v>
      </c>
      <c r="D33" s="986">
        <v>0</v>
      </c>
      <c r="E33" s="323"/>
      <c r="F33" s="64" t="s">
        <v>1770</v>
      </c>
      <c r="G33" s="279"/>
      <c r="I33" s="353">
        <v>-292929</v>
      </c>
      <c r="J33" s="64">
        <f t="shared" si="1"/>
        <v>292835</v>
      </c>
    </row>
    <row r="34" spans="1:10" x14ac:dyDescent="0.25">
      <c r="A34" s="642" t="s">
        <v>926</v>
      </c>
      <c r="C34" s="982">
        <f>BS!H28</f>
        <v>-54</v>
      </c>
      <c r="D34" s="986">
        <v>0</v>
      </c>
      <c r="E34" s="323"/>
      <c r="F34" s="64">
        <v>94</v>
      </c>
      <c r="G34" s="279">
        <v>1</v>
      </c>
      <c r="H34" s="75">
        <v>79</v>
      </c>
      <c r="I34" s="353">
        <v>-2637</v>
      </c>
      <c r="J34" s="64">
        <f t="shared" si="1"/>
        <v>2583</v>
      </c>
    </row>
    <row r="35" spans="1:10" x14ac:dyDescent="0.25">
      <c r="A35" s="642" t="s">
        <v>1393</v>
      </c>
      <c r="C35" s="982">
        <f>'PL Notes 19-27'!C28+'PL Notes 19-27'!C29</f>
        <v>23</v>
      </c>
      <c r="D35" s="986">
        <v>20.079999999999998</v>
      </c>
      <c r="E35" s="323"/>
      <c r="F35" s="64"/>
      <c r="G35" s="279"/>
      <c r="I35" s="353">
        <f>F34+G34-H34</f>
        <v>16</v>
      </c>
    </row>
    <row r="36" spans="1:10" x14ac:dyDescent="0.25">
      <c r="A36" s="642" t="s">
        <v>1396</v>
      </c>
      <c r="C36" s="982">
        <v>0</v>
      </c>
      <c r="D36" s="986">
        <v>5548.6245200000003</v>
      </c>
      <c r="E36" s="323"/>
      <c r="F36" s="64"/>
      <c r="G36" s="279"/>
      <c r="I36" s="353"/>
    </row>
    <row r="37" spans="1:10" x14ac:dyDescent="0.25">
      <c r="A37" s="642" t="s">
        <v>1397</v>
      </c>
      <c r="C37" s="982">
        <v>0</v>
      </c>
      <c r="D37" s="986">
        <v>-5499.7250034999997</v>
      </c>
      <c r="E37" s="323"/>
      <c r="F37" s="64"/>
      <c r="G37" s="279"/>
      <c r="I37" s="353"/>
    </row>
    <row r="38" spans="1:10" x14ac:dyDescent="0.25">
      <c r="A38" s="642" t="s">
        <v>1148</v>
      </c>
      <c r="C38" s="981">
        <v>0</v>
      </c>
      <c r="D38" s="986">
        <v>-110.95979100000001</v>
      </c>
      <c r="E38" s="323"/>
      <c r="F38" s="64"/>
      <c r="G38" s="279"/>
      <c r="I38" s="353"/>
    </row>
    <row r="39" spans="1:10" x14ac:dyDescent="0.25">
      <c r="A39" s="642" t="s">
        <v>1376</v>
      </c>
      <c r="C39" s="981">
        <v>0</v>
      </c>
      <c r="D39" s="986">
        <v>3040.2497910000002</v>
      </c>
      <c r="E39" s="323"/>
      <c r="F39" s="64"/>
      <c r="G39" s="279"/>
      <c r="I39" s="353"/>
    </row>
    <row r="40" spans="1:10" x14ac:dyDescent="0.25">
      <c r="A40" s="646" t="s">
        <v>418</v>
      </c>
      <c r="B40" s="869"/>
      <c r="C40" s="321">
        <f>SUM(C32:C39)</f>
        <v>-3549.4645928999994</v>
      </c>
      <c r="D40" s="322">
        <f>SUM(D32:D39)</f>
        <v>-20241.080661860004</v>
      </c>
      <c r="E40" s="322">
        <f>-SUM(E32:E32)</f>
        <v>-1652</v>
      </c>
      <c r="I40" s="321">
        <v>-3611762</v>
      </c>
      <c r="J40" s="64">
        <f>C40-I40</f>
        <v>3608212.5354070999</v>
      </c>
    </row>
    <row r="41" spans="1:10" ht="3.6" customHeight="1" x14ac:dyDescent="0.25">
      <c r="A41" s="822"/>
      <c r="D41" s="986"/>
      <c r="E41" s="316"/>
      <c r="J41" s="64">
        <f>C41-I41</f>
        <v>0</v>
      </c>
    </row>
    <row r="42" spans="1:10" x14ac:dyDescent="0.25">
      <c r="A42" s="314" t="s">
        <v>419</v>
      </c>
      <c r="D42" s="986"/>
      <c r="E42" s="316"/>
      <c r="J42" s="64">
        <f>C42-I42</f>
        <v>0</v>
      </c>
    </row>
    <row r="43" spans="1:10" x14ac:dyDescent="0.25">
      <c r="A43" s="642" t="s">
        <v>685</v>
      </c>
      <c r="C43" s="981">
        <f>11031.4017499-C146+6709</f>
        <v>17730.956897411997</v>
      </c>
      <c r="D43" s="986">
        <v>18784.568809999997</v>
      </c>
      <c r="E43" s="353">
        <v>196862</v>
      </c>
      <c r="F43" s="279"/>
      <c r="G43" s="279"/>
      <c r="H43" s="75">
        <f>-'BS  Notes  3-18'!H257</f>
        <v>0</v>
      </c>
      <c r="I43" s="552">
        <v>2269061</v>
      </c>
      <c r="J43" s="64">
        <f>C43-I43</f>
        <v>-2251330.043102588</v>
      </c>
    </row>
    <row r="44" spans="1:10" x14ac:dyDescent="0.25">
      <c r="A44" s="642" t="s">
        <v>1364</v>
      </c>
      <c r="C44" s="981">
        <v>-8742</v>
      </c>
      <c r="D44" s="986">
        <f>-7337.28968-1</f>
        <v>-7338.2896799999999</v>
      </c>
      <c r="E44" s="353"/>
      <c r="G44" s="279"/>
      <c r="I44" s="552"/>
    </row>
    <row r="45" spans="1:10" x14ac:dyDescent="0.25">
      <c r="A45" s="642" t="s">
        <v>1154</v>
      </c>
      <c r="C45" s="981">
        <f>-C15</f>
        <v>-2699</v>
      </c>
      <c r="D45" s="1469">
        <v>-555.73584999999946</v>
      </c>
      <c r="E45" s="316"/>
      <c r="G45" s="279"/>
      <c r="H45" s="75">
        <f>-'PL Notes 19-27'!C83</f>
        <v>0</v>
      </c>
      <c r="I45" s="552"/>
    </row>
    <row r="46" spans="1:10" x14ac:dyDescent="0.25">
      <c r="A46" s="642" t="s">
        <v>1559</v>
      </c>
      <c r="C46" s="981">
        <f>'Note 28-31'!F107</f>
        <v>0</v>
      </c>
      <c r="D46" s="1469">
        <v>0</v>
      </c>
      <c r="E46" s="316"/>
      <c r="F46" s="279"/>
      <c r="G46" s="279"/>
      <c r="H46" s="75">
        <f>SUM(F46:G46)</f>
        <v>0</v>
      </c>
      <c r="I46" s="552"/>
    </row>
    <row r="47" spans="1:10" hidden="1" x14ac:dyDescent="0.25">
      <c r="A47" s="642" t="s">
        <v>1560</v>
      </c>
      <c r="C47" s="981">
        <f>'Note 28-31'!F108</f>
        <v>0</v>
      </c>
      <c r="D47" s="986">
        <v>0</v>
      </c>
      <c r="E47" s="316"/>
      <c r="F47" s="279"/>
      <c r="G47" s="279"/>
      <c r="H47" s="75">
        <f>SUM(F47:G47)</f>
        <v>0</v>
      </c>
      <c r="I47" s="552"/>
    </row>
    <row r="48" spans="1:10" hidden="1" x14ac:dyDescent="0.25">
      <c r="A48" s="642" t="s">
        <v>1142</v>
      </c>
      <c r="C48" s="981">
        <f>BS!L37*0</f>
        <v>0</v>
      </c>
      <c r="D48" s="986">
        <v>0</v>
      </c>
      <c r="E48" s="316"/>
      <c r="F48" s="279"/>
      <c r="G48" s="279"/>
      <c r="H48" s="75">
        <f>SUM(F48:G48)</f>
        <v>0</v>
      </c>
      <c r="I48" s="552"/>
    </row>
    <row r="49" spans="1:10" x14ac:dyDescent="0.25">
      <c r="A49" s="642" t="s">
        <v>931</v>
      </c>
      <c r="C49" s="982">
        <f>(BS!N37+BS!N38)-6709</f>
        <v>2.1413699999993696</v>
      </c>
      <c r="D49" s="986">
        <v>0</v>
      </c>
      <c r="E49" s="316">
        <v>100</v>
      </c>
      <c r="G49" s="279"/>
      <c r="I49" s="353">
        <v>80197</v>
      </c>
      <c r="J49" s="64">
        <f t="shared" ref="J49:J59" si="2">C49-I49</f>
        <v>-80194.858630000002</v>
      </c>
    </row>
    <row r="50" spans="1:10" x14ac:dyDescent="0.25">
      <c r="A50" s="642" t="s">
        <v>1140</v>
      </c>
      <c r="C50" s="982">
        <f>BS!H36</f>
        <v>0</v>
      </c>
      <c r="D50" s="986">
        <v>9999.86</v>
      </c>
      <c r="E50" s="326">
        <v>199999</v>
      </c>
      <c r="G50" s="279"/>
      <c r="I50" s="353">
        <v>999988</v>
      </c>
      <c r="J50" s="64">
        <f t="shared" si="2"/>
        <v>-999988</v>
      </c>
    </row>
    <row r="51" spans="1:10" x14ac:dyDescent="0.25">
      <c r="A51" s="646" t="s">
        <v>420</v>
      </c>
      <c r="B51" s="869"/>
      <c r="C51" s="321">
        <f>SUM(C43:C50)</f>
        <v>6292.0982674119969</v>
      </c>
      <c r="D51" s="322">
        <f>SUM(D43:D50)</f>
        <v>20890.403279999999</v>
      </c>
      <c r="E51" s="322">
        <f>SUM(E43:E50)</f>
        <v>396961</v>
      </c>
      <c r="G51" s="279"/>
      <c r="I51" s="321">
        <v>3345502</v>
      </c>
      <c r="J51" s="64">
        <f t="shared" si="2"/>
        <v>-3339209.9017325882</v>
      </c>
    </row>
    <row r="52" spans="1:10" ht="3" customHeight="1" x14ac:dyDescent="0.25">
      <c r="A52" s="822"/>
      <c r="D52" s="986"/>
      <c r="E52" s="316"/>
      <c r="J52" s="64">
        <f t="shared" si="2"/>
        <v>0</v>
      </c>
    </row>
    <row r="53" spans="1:10" x14ac:dyDescent="0.25">
      <c r="A53" s="314" t="s">
        <v>421</v>
      </c>
      <c r="C53" s="982">
        <f>C29+C40+C51</f>
        <v>9.6369279232112603</v>
      </c>
      <c r="D53" s="986">
        <f>D29+D40+D51</f>
        <v>-153.46208186000513</v>
      </c>
      <c r="E53" s="353">
        <f>E29+E40+E51</f>
        <v>386710</v>
      </c>
      <c r="I53" s="353">
        <v>15851.999999999534</v>
      </c>
      <c r="J53" s="64">
        <f t="shared" si="2"/>
        <v>-15842.363072076323</v>
      </c>
    </row>
    <row r="54" spans="1:10" x14ac:dyDescent="0.25">
      <c r="A54" s="314" t="s">
        <v>422</v>
      </c>
      <c r="C54" s="982">
        <f>D59</f>
        <v>22</v>
      </c>
      <c r="D54" s="986">
        <f>17543/100</f>
        <v>175.43</v>
      </c>
      <c r="E54" s="353">
        <v>0</v>
      </c>
      <c r="I54" s="353">
        <v>1304</v>
      </c>
      <c r="J54" s="64">
        <f t="shared" si="2"/>
        <v>-1282</v>
      </c>
    </row>
    <row r="55" spans="1:10" x14ac:dyDescent="0.25">
      <c r="A55" s="646" t="s">
        <v>423</v>
      </c>
      <c r="B55" s="869"/>
      <c r="C55" s="321">
        <f>C53+C54</f>
        <v>31.63692792321126</v>
      </c>
      <c r="D55" s="322">
        <f>D53+D54</f>
        <v>21.967918139994879</v>
      </c>
      <c r="E55" s="338">
        <f>E53+E54</f>
        <v>386710</v>
      </c>
      <c r="I55" s="337">
        <v>17155.999999999534</v>
      </c>
      <c r="J55" s="64">
        <f t="shared" si="2"/>
        <v>-17124.363072076325</v>
      </c>
    </row>
    <row r="56" spans="1:10" x14ac:dyDescent="0.25">
      <c r="A56" s="991" t="s">
        <v>424</v>
      </c>
      <c r="D56" s="986"/>
      <c r="E56" s="316"/>
      <c r="J56" s="64">
        <f t="shared" si="2"/>
        <v>0</v>
      </c>
    </row>
    <row r="57" spans="1:10" x14ac:dyDescent="0.25">
      <c r="A57" s="989" t="s">
        <v>434</v>
      </c>
      <c r="D57" s="986"/>
      <c r="E57" s="316"/>
      <c r="J57" s="64">
        <f t="shared" si="2"/>
        <v>0</v>
      </c>
    </row>
    <row r="58" spans="1:10" x14ac:dyDescent="0.25">
      <c r="A58" s="642" t="s">
        <v>1379</v>
      </c>
      <c r="C58" s="982">
        <f>'BS  Notes  3-18'!G117</f>
        <v>31</v>
      </c>
      <c r="D58" s="986">
        <f>'BS  Notes  3-18'!H117</f>
        <v>22</v>
      </c>
      <c r="E58" s="316">
        <f>'BS  Notes  3-18'!I117</f>
        <v>24</v>
      </c>
      <c r="I58" s="353">
        <v>17543</v>
      </c>
      <c r="J58" s="64">
        <f t="shared" si="2"/>
        <v>-17512</v>
      </c>
    </row>
    <row r="59" spans="1:10" x14ac:dyDescent="0.25">
      <c r="A59" s="314" t="s">
        <v>432</v>
      </c>
      <c r="C59" s="992">
        <f>SUM(C58:C58)</f>
        <v>31</v>
      </c>
      <c r="D59" s="993">
        <f>SUM(D58:D58)</f>
        <v>22</v>
      </c>
      <c r="E59" s="325">
        <f>SUM(E58:E58)</f>
        <v>24</v>
      </c>
      <c r="F59" s="653">
        <f>C59-C55</f>
        <v>-0.63692792321126035</v>
      </c>
      <c r="G59" s="653">
        <f>D59-D55</f>
        <v>3.2081860005121143E-2</v>
      </c>
      <c r="I59" s="324">
        <v>17543</v>
      </c>
      <c r="J59" s="64">
        <f t="shared" si="2"/>
        <v>-17512</v>
      </c>
    </row>
    <row r="60" spans="1:10" s="183" customFormat="1" ht="27.75" customHeight="1" x14ac:dyDescent="0.25">
      <c r="A60" s="1751" t="s">
        <v>587</v>
      </c>
      <c r="B60" s="1752"/>
      <c r="C60" s="1752"/>
      <c r="D60" s="1753"/>
      <c r="E60" s="495"/>
      <c r="F60" s="762"/>
      <c r="G60" s="207"/>
      <c r="H60" s="1069"/>
      <c r="J60" s="761"/>
    </row>
    <row r="61" spans="1:10" x14ac:dyDescent="0.25">
      <c r="A61" s="314" t="s">
        <v>433</v>
      </c>
      <c r="D61" s="882"/>
      <c r="E61" s="189"/>
      <c r="F61" s="190"/>
      <c r="G61" s="190"/>
    </row>
    <row r="62" spans="1:10" ht="45.95" customHeight="1" x14ac:dyDescent="0.25">
      <c r="A62" s="266" t="s">
        <v>0</v>
      </c>
      <c r="B62" s="243" t="s">
        <v>1602</v>
      </c>
      <c r="C62" s="243" t="s">
        <v>83</v>
      </c>
      <c r="D62" s="257" t="s">
        <v>923</v>
      </c>
      <c r="F62" s="190"/>
      <c r="G62" s="190"/>
      <c r="H62" s="257" t="s">
        <v>1159</v>
      </c>
    </row>
    <row r="63" spans="1:10" hidden="1" x14ac:dyDescent="0.25">
      <c r="A63" s="355" t="s">
        <v>419</v>
      </c>
      <c r="B63" s="994"/>
      <c r="C63" s="1090"/>
      <c r="D63" s="882"/>
      <c r="F63" s="190"/>
      <c r="G63" s="190"/>
      <c r="H63" s="882"/>
    </row>
    <row r="64" spans="1:10" hidden="1" x14ac:dyDescent="0.25">
      <c r="A64" s="356" t="s">
        <v>601</v>
      </c>
      <c r="B64" s="995">
        <f>E50/100</f>
        <v>1999.99</v>
      </c>
      <c r="C64" s="1000">
        <f>196862/100</f>
        <v>1968.62</v>
      </c>
      <c r="D64" s="996">
        <f>196862/100</f>
        <v>1968.62</v>
      </c>
      <c r="F64" s="190"/>
      <c r="G64" s="190"/>
      <c r="H64" s="996">
        <v>196862</v>
      </c>
    </row>
    <row r="65" spans="1:10" hidden="1" x14ac:dyDescent="0.25">
      <c r="A65" s="356" t="s">
        <v>600</v>
      </c>
      <c r="B65" s="997">
        <v>0</v>
      </c>
      <c r="C65" s="1000">
        <v>0</v>
      </c>
      <c r="D65" s="996">
        <v>0</v>
      </c>
      <c r="F65" s="190"/>
      <c r="G65" s="190"/>
      <c r="H65" s="996" t="e">
        <f>#REF!</f>
        <v>#REF!</v>
      </c>
    </row>
    <row r="66" spans="1:10" hidden="1" x14ac:dyDescent="0.25">
      <c r="A66" s="355" t="s">
        <v>435</v>
      </c>
      <c r="B66" s="998">
        <f>SUM(B64:B65)</f>
        <v>1999.99</v>
      </c>
      <c r="C66" s="998">
        <f>SUM(C64:C65)</f>
        <v>1968.62</v>
      </c>
      <c r="D66" s="999">
        <f>SUM(D64:D65)</f>
        <v>1968.62</v>
      </c>
      <c r="F66" s="190"/>
      <c r="G66" s="190"/>
      <c r="H66" s="999" t="e">
        <f>SUM(H64:H65)</f>
        <v>#REF!</v>
      </c>
    </row>
    <row r="67" spans="1:10" hidden="1" x14ac:dyDescent="0.25">
      <c r="A67" s="356" t="s">
        <v>436</v>
      </c>
      <c r="B67" s="1000">
        <f>-'BS  Notes  3-18'!G389+'PL Notes 19-27'!E83-1</f>
        <v>-256</v>
      </c>
      <c r="C67" s="1002">
        <f>2978/100</f>
        <v>29.78</v>
      </c>
      <c r="D67" s="986">
        <f>2978/100</f>
        <v>29.78</v>
      </c>
      <c r="F67" s="190"/>
      <c r="G67" s="190"/>
      <c r="H67" s="986">
        <v>2978</v>
      </c>
    </row>
    <row r="68" spans="1:10" hidden="1" x14ac:dyDescent="0.25">
      <c r="A68" s="354" t="s">
        <v>437</v>
      </c>
      <c r="B68" s="1001">
        <f>174526/100</f>
        <v>1745.26</v>
      </c>
      <c r="C68" s="1001">
        <f>2978/100</f>
        <v>29.78</v>
      </c>
      <c r="D68" s="1558">
        <v>0</v>
      </c>
      <c r="F68" s="190">
        <f>SOCIE!B30+BS!F43-B68</f>
        <v>-0.25999999999999091</v>
      </c>
      <c r="G68" s="190">
        <f>BS!F50-C68</f>
        <v>0.21999999999999886</v>
      </c>
      <c r="H68" s="322">
        <v>0</v>
      </c>
    </row>
    <row r="69" spans="1:10" hidden="1" x14ac:dyDescent="0.25">
      <c r="A69" s="355" t="s">
        <v>419</v>
      </c>
      <c r="B69" s="994"/>
      <c r="C69" s="998"/>
      <c r="D69" s="999"/>
      <c r="F69" s="190"/>
      <c r="G69" s="190"/>
      <c r="H69" s="999"/>
    </row>
    <row r="70" spans="1:10" hidden="1" x14ac:dyDescent="0.25">
      <c r="A70" s="356" t="s">
        <v>601</v>
      </c>
      <c r="B70" s="997">
        <v>0</v>
      </c>
      <c r="C70" s="1002">
        <f>113714/100</f>
        <v>1137.1400000000001</v>
      </c>
      <c r="D70" s="986">
        <v>0</v>
      </c>
      <c r="F70" s="190"/>
      <c r="G70" s="190"/>
      <c r="H70" s="986">
        <v>0</v>
      </c>
    </row>
    <row r="71" spans="1:10" hidden="1" x14ac:dyDescent="0.25">
      <c r="A71" s="355" t="s">
        <v>435</v>
      </c>
      <c r="B71" s="998">
        <f>SUM(B70:B70)</f>
        <v>0</v>
      </c>
      <c r="C71" s="998">
        <f>SUM(C70:C70)</f>
        <v>1137.1400000000001</v>
      </c>
      <c r="D71" s="999">
        <f>SUM(D70:D70)</f>
        <v>0</v>
      </c>
      <c r="F71" s="190"/>
      <c r="G71" s="190"/>
      <c r="H71" s="999">
        <v>0</v>
      </c>
    </row>
    <row r="72" spans="1:10" hidden="1" x14ac:dyDescent="0.25">
      <c r="A72" s="356" t="s">
        <v>436</v>
      </c>
      <c r="B72" s="1000">
        <f>3600/100</f>
        <v>36</v>
      </c>
      <c r="C72" s="1002">
        <f>1539/100</f>
        <v>15.39</v>
      </c>
      <c r="D72" s="986">
        <v>0</v>
      </c>
      <c r="F72" s="190"/>
      <c r="G72" s="190"/>
      <c r="H72" s="986">
        <v>0</v>
      </c>
    </row>
    <row r="73" spans="1:10" hidden="1" x14ac:dyDescent="0.25">
      <c r="A73" s="354" t="s">
        <v>438</v>
      </c>
      <c r="B73" s="1001">
        <f>B68+B71+B72</f>
        <v>1781.26</v>
      </c>
      <c r="C73" s="1001">
        <f>C68+C71+C72</f>
        <v>1182.3100000000002</v>
      </c>
      <c r="D73" s="322">
        <f>D68+D71+D72</f>
        <v>0</v>
      </c>
      <c r="F73" s="778">
        <f>SOCIE!B36+'BS  Notes  3-18'!H257-B73</f>
        <v>-531.26</v>
      </c>
      <c r="G73" s="778">
        <f>BS!E50+'BS  Notes  3-18'!H258-C73</f>
        <v>4617.6899999999996</v>
      </c>
      <c r="H73" s="322">
        <f>H68+H71+H72</f>
        <v>0</v>
      </c>
    </row>
    <row r="74" spans="1:10" s="75" customFormat="1" hidden="1" x14ac:dyDescent="0.25">
      <c r="A74" s="355" t="s">
        <v>419</v>
      </c>
      <c r="B74" s="994"/>
      <c r="C74" s="998"/>
      <c r="D74" s="999"/>
      <c r="E74"/>
      <c r="F74" s="190"/>
      <c r="G74" s="190"/>
      <c r="H74" s="999"/>
      <c r="I74"/>
      <c r="J74" s="64"/>
    </row>
    <row r="75" spans="1:10" s="75" customFormat="1" hidden="1" x14ac:dyDescent="0.25">
      <c r="A75" s="356" t="s">
        <v>601</v>
      </c>
      <c r="B75" s="1002">
        <v>0</v>
      </c>
      <c r="C75" s="1002">
        <f>2322187/100</f>
        <v>23221.87</v>
      </c>
      <c r="D75" s="986">
        <v>0</v>
      </c>
      <c r="F75" s="190"/>
      <c r="G75" s="190"/>
      <c r="H75" s="986"/>
      <c r="I75"/>
      <c r="J75" s="64"/>
    </row>
    <row r="76" spans="1:10" s="75" customFormat="1" ht="30" hidden="1" x14ac:dyDescent="0.25">
      <c r="A76" s="1089" t="s">
        <v>1140</v>
      </c>
      <c r="B76" s="1002">
        <f>C50*0</f>
        <v>0</v>
      </c>
      <c r="C76" s="1002">
        <v>0</v>
      </c>
      <c r="D76" s="986">
        <f>999988/100</f>
        <v>9999.8799999999992</v>
      </c>
      <c r="F76" s="190"/>
      <c r="G76" s="190"/>
      <c r="H76" s="986"/>
      <c r="I76"/>
      <c r="J76" s="64"/>
    </row>
    <row r="77" spans="1:10" s="75" customFormat="1" hidden="1" x14ac:dyDescent="0.25">
      <c r="A77" s="356" t="s">
        <v>1160</v>
      </c>
      <c r="B77" s="1002"/>
      <c r="C77" s="1002"/>
      <c r="D77" s="986"/>
      <c r="F77" s="190"/>
      <c r="G77" s="190"/>
      <c r="H77" s="986">
        <f>C38+C39</f>
        <v>0</v>
      </c>
      <c r="I77"/>
      <c r="J77" s="64"/>
    </row>
    <row r="78" spans="1:10" s="75" customFormat="1" hidden="1" x14ac:dyDescent="0.25">
      <c r="A78" s="356" t="s">
        <v>1154</v>
      </c>
      <c r="B78" s="1002">
        <v>0</v>
      </c>
      <c r="C78" s="1002">
        <v>-1.34</v>
      </c>
      <c r="D78" s="986">
        <v>0</v>
      </c>
      <c r="F78" s="190"/>
      <c r="G78" s="190"/>
      <c r="H78" s="986">
        <f>-'CFS Working'!C3</f>
        <v>-232</v>
      </c>
      <c r="I78"/>
      <c r="J78" s="64"/>
    </row>
    <row r="79" spans="1:10" s="75" customFormat="1" hidden="1" x14ac:dyDescent="0.25">
      <c r="A79" s="355" t="s">
        <v>435</v>
      </c>
      <c r="B79" s="998">
        <f>SUM(B75:B78)</f>
        <v>0</v>
      </c>
      <c r="C79" s="1002">
        <f>SUM(C75:C78)</f>
        <v>23220.53</v>
      </c>
      <c r="D79" s="999">
        <f>SUM(D75:D78)</f>
        <v>9999.8799999999992</v>
      </c>
      <c r="F79" s="190">
        <f>+B79+C79-C51</f>
        <v>16928.431732588004</v>
      </c>
      <c r="G79" s="190"/>
      <c r="H79" s="998">
        <f>SUM(H75:H78)</f>
        <v>-232</v>
      </c>
      <c r="I79"/>
      <c r="J79" s="64"/>
    </row>
    <row r="80" spans="1:10" s="75" customFormat="1" hidden="1" x14ac:dyDescent="0.25">
      <c r="A80" s="356" t="s">
        <v>436</v>
      </c>
      <c r="B80" s="1002">
        <f>-B73</f>
        <v>-1781.26</v>
      </c>
      <c r="C80" s="1002">
        <f>134/100</f>
        <v>1.34</v>
      </c>
      <c r="D80" s="986">
        <v>0</v>
      </c>
      <c r="F80" s="190" t="s">
        <v>69</v>
      </c>
      <c r="G80" s="190"/>
      <c r="H80" s="986">
        <f>-H78</f>
        <v>232</v>
      </c>
      <c r="I80"/>
      <c r="J80" s="64"/>
    </row>
    <row r="81" spans="1:10" s="75" customFormat="1" hidden="1" x14ac:dyDescent="0.25">
      <c r="A81" s="356" t="s">
        <v>1161</v>
      </c>
      <c r="B81" s="1002">
        <f>-B73*0</f>
        <v>0</v>
      </c>
      <c r="C81" s="1002">
        <v>0</v>
      </c>
      <c r="D81" s="986">
        <v>0</v>
      </c>
      <c r="F81" s="190"/>
      <c r="G81" s="190"/>
      <c r="H81" s="986"/>
      <c r="I81"/>
      <c r="J81" s="64"/>
    </row>
    <row r="82" spans="1:10" s="75" customFormat="1" x14ac:dyDescent="0.25">
      <c r="A82" s="354" t="s">
        <v>715</v>
      </c>
      <c r="B82" s="1001">
        <f>B73+B79+B80+B81</f>
        <v>0</v>
      </c>
      <c r="C82" s="1001">
        <f>C73+C79+C80</f>
        <v>24404.18</v>
      </c>
      <c r="D82" s="322">
        <f>'BS  Notes  3-18'!H179</f>
        <v>4.4097</v>
      </c>
      <c r="F82" s="779">
        <f>+B82-BS!D36+D82</f>
        <v>-4.7770999999999999</v>
      </c>
      <c r="G82" s="778">
        <f>C82-BS!D50-BS!D43</f>
        <v>-7037.82</v>
      </c>
      <c r="H82" s="322">
        <f>H73+H79+H80</f>
        <v>0</v>
      </c>
      <c r="I82"/>
      <c r="J82" s="64"/>
    </row>
    <row r="83" spans="1:10" s="75" customFormat="1" x14ac:dyDescent="0.25">
      <c r="A83" s="355" t="s">
        <v>419</v>
      </c>
      <c r="B83" s="994"/>
      <c r="C83" s="998"/>
      <c r="D83" s="999"/>
      <c r="E83" s="362"/>
      <c r="F83" s="190">
        <f>+BS!D43+BS!D50</f>
        <v>31442</v>
      </c>
      <c r="G83" s="190"/>
      <c r="I83"/>
      <c r="J83" s="64"/>
    </row>
    <row r="84" spans="1:10" s="75" customFormat="1" x14ac:dyDescent="0.25">
      <c r="A84" s="356" t="s">
        <v>1662</v>
      </c>
      <c r="B84" s="1475">
        <v>0</v>
      </c>
      <c r="C84" s="1002">
        <f>1878456.881/100</f>
        <v>18784.568810000001</v>
      </c>
      <c r="D84" s="986">
        <v>0</v>
      </c>
      <c r="E84" s="362"/>
      <c r="F84" s="190"/>
      <c r="G84" s="190"/>
      <c r="I84"/>
      <c r="J84" s="64"/>
    </row>
    <row r="85" spans="1:10" s="75" customFormat="1" x14ac:dyDescent="0.25">
      <c r="A85" s="356" t="s">
        <v>1364</v>
      </c>
      <c r="B85" s="1475"/>
      <c r="C85" s="1002">
        <f>-733728.968/100</f>
        <v>-7337.2896799999999</v>
      </c>
      <c r="D85" s="986">
        <v>0</v>
      </c>
      <c r="E85" s="362"/>
      <c r="F85" s="190"/>
      <c r="G85" s="190"/>
      <c r="I85"/>
      <c r="J85" s="64"/>
    </row>
    <row r="86" spans="1:10" s="75" customFormat="1" ht="30" x14ac:dyDescent="0.25">
      <c r="A86" s="1089" t="s">
        <v>1140</v>
      </c>
      <c r="B86" s="1475">
        <f>C59*0</f>
        <v>0</v>
      </c>
      <c r="C86" s="1002">
        <v>0</v>
      </c>
      <c r="D86" s="986">
        <f>'BS  Notes  3-18'!H187</f>
        <v>4.7770999999999999</v>
      </c>
      <c r="E86" s="362"/>
      <c r="F86" s="190"/>
      <c r="G86" s="190"/>
      <c r="I86"/>
      <c r="J86" s="64"/>
    </row>
    <row r="87" spans="1:10" s="75" customFormat="1" hidden="1" x14ac:dyDescent="0.25">
      <c r="A87" s="356" t="s">
        <v>1160</v>
      </c>
      <c r="B87" s="1475"/>
      <c r="C87" s="1002"/>
      <c r="D87" s="986"/>
      <c r="E87" s="362"/>
      <c r="F87" s="190"/>
      <c r="G87" s="190"/>
      <c r="I87"/>
      <c r="J87" s="64"/>
    </row>
    <row r="88" spans="1:10" s="75" customFormat="1" x14ac:dyDescent="0.25">
      <c r="A88" s="356" t="s">
        <v>1154</v>
      </c>
      <c r="B88" s="1475">
        <v>0</v>
      </c>
      <c r="C88" s="1002">
        <f>-55573.5849999999/100</f>
        <v>-555.735849999999</v>
      </c>
      <c r="D88" s="986">
        <v>0</v>
      </c>
      <c r="E88" s="362"/>
      <c r="F88" s="190"/>
      <c r="G88" s="190"/>
      <c r="I88"/>
      <c r="J88" s="64"/>
    </row>
    <row r="89" spans="1:10" s="75" customFormat="1" x14ac:dyDescent="0.25">
      <c r="A89" s="355" t="s">
        <v>435</v>
      </c>
      <c r="B89" s="1476">
        <f>SUM(B84:B88)</f>
        <v>0</v>
      </c>
      <c r="C89" s="998">
        <f>SUM(C84:C88)</f>
        <v>10891.543280000002</v>
      </c>
      <c r="D89" s="999">
        <f>SUM(D84:D88)</f>
        <v>4.7770999999999999</v>
      </c>
      <c r="E89" s="362"/>
      <c r="F89" s="190"/>
      <c r="G89" s="190"/>
      <c r="I89"/>
      <c r="J89" s="64"/>
    </row>
    <row r="90" spans="1:10" s="75" customFormat="1" x14ac:dyDescent="0.25">
      <c r="A90" s="356" t="s">
        <v>436</v>
      </c>
      <c r="B90" s="1190">
        <f>-B82</f>
        <v>0</v>
      </c>
      <c r="C90" s="1002">
        <f>-614309.328/100</f>
        <v>-6143.09328</v>
      </c>
      <c r="D90" s="986">
        <v>0</v>
      </c>
      <c r="E90" s="362"/>
      <c r="F90" s="190"/>
      <c r="G90" s="190"/>
      <c r="I90"/>
      <c r="J90" s="64"/>
    </row>
    <row r="91" spans="1:10" s="75" customFormat="1" hidden="1" x14ac:dyDescent="0.25">
      <c r="A91" s="356" t="s">
        <v>1161</v>
      </c>
      <c r="B91" s="1190">
        <f>-B82*0</f>
        <v>0</v>
      </c>
      <c r="C91" s="1190">
        <v>0</v>
      </c>
      <c r="D91" s="986">
        <v>0</v>
      </c>
      <c r="E91" s="362"/>
      <c r="F91" s="190"/>
      <c r="G91" s="190"/>
      <c r="I91"/>
      <c r="J91" s="64"/>
    </row>
    <row r="92" spans="1:10" s="75" customFormat="1" x14ac:dyDescent="0.25">
      <c r="A92" s="354" t="s">
        <v>1174</v>
      </c>
      <c r="B92" s="1001">
        <f>B82+B89+B90+B91</f>
        <v>0</v>
      </c>
      <c r="C92" s="1001">
        <f>C82+C89+C90+C91</f>
        <v>29152.630000000005</v>
      </c>
      <c r="D92" s="322">
        <f>D82+D89+D90</f>
        <v>9.1867999999999999</v>
      </c>
      <c r="E92" s="362"/>
      <c r="F92" s="190">
        <f>(BS!D50+BS!D43)-C92</f>
        <v>2289.3699999999953</v>
      </c>
      <c r="G92" s="1244">
        <f>D92-BS!D36</f>
        <v>0</v>
      </c>
      <c r="I92"/>
      <c r="J92" s="64"/>
    </row>
    <row r="93" spans="1:10" s="62" customFormat="1" x14ac:dyDescent="0.25">
      <c r="A93" s="355" t="s">
        <v>419</v>
      </c>
      <c r="B93" s="994"/>
      <c r="C93" s="998"/>
      <c r="D93" s="999"/>
      <c r="E93" s="362"/>
      <c r="F93" s="190"/>
      <c r="G93" s="1244"/>
      <c r="I93"/>
      <c r="J93" s="1439"/>
    </row>
    <row r="94" spans="1:10" s="62" customFormat="1" x14ac:dyDescent="0.25">
      <c r="A94" s="356" t="s">
        <v>601</v>
      </c>
      <c r="B94" s="1474">
        <v>0</v>
      </c>
      <c r="C94" s="1473">
        <f>C43</f>
        <v>17730.956897411997</v>
      </c>
      <c r="D94" s="986">
        <v>0</v>
      </c>
      <c r="E94" s="362"/>
      <c r="F94" s="190"/>
      <c r="G94" s="1244"/>
      <c r="I94"/>
      <c r="J94" s="1439"/>
    </row>
    <row r="95" spans="1:10" s="62" customFormat="1" x14ac:dyDescent="0.25">
      <c r="A95" s="356" t="s">
        <v>1603</v>
      </c>
      <c r="B95" s="1474">
        <f>C47</f>
        <v>0</v>
      </c>
      <c r="C95" s="1473">
        <f>C44</f>
        <v>-8742</v>
      </c>
      <c r="D95" s="986"/>
      <c r="E95" s="362"/>
      <c r="F95" s="190"/>
      <c r="G95" s="1244"/>
      <c r="I95"/>
      <c r="J95" s="1439"/>
    </row>
    <row r="96" spans="1:10" s="62" customFormat="1" ht="30" hidden="1" x14ac:dyDescent="0.25">
      <c r="A96" s="1089" t="s">
        <v>1140</v>
      </c>
      <c r="B96" s="1475">
        <v>0</v>
      </c>
      <c r="C96" s="1002">
        <v>0</v>
      </c>
      <c r="D96" s="986">
        <v>0</v>
      </c>
      <c r="E96" s="362"/>
      <c r="F96" s="190"/>
      <c r="G96" s="1244"/>
      <c r="I96"/>
      <c r="J96" s="1439"/>
    </row>
    <row r="97" spans="1:10" s="62" customFormat="1" hidden="1" x14ac:dyDescent="0.25">
      <c r="A97" s="1089" t="s">
        <v>931</v>
      </c>
      <c r="B97" s="1475"/>
      <c r="C97" s="1002"/>
      <c r="D97" s="986">
        <v>0</v>
      </c>
      <c r="E97" s="362"/>
      <c r="F97" s="190"/>
      <c r="G97" s="1244"/>
      <c r="I97"/>
      <c r="J97" s="1439"/>
    </row>
    <row r="98" spans="1:10" s="62" customFormat="1" hidden="1" x14ac:dyDescent="0.25">
      <c r="A98" s="356" t="s">
        <v>1160</v>
      </c>
      <c r="B98" s="1475"/>
      <c r="C98" s="1002"/>
      <c r="D98" s="986"/>
      <c r="E98" s="362"/>
      <c r="F98" s="190"/>
      <c r="G98" s="1244"/>
      <c r="I98"/>
      <c r="J98" s="1439"/>
    </row>
    <row r="99" spans="1:10" s="62" customFormat="1" x14ac:dyDescent="0.25">
      <c r="A99" s="356" t="s">
        <v>1154</v>
      </c>
      <c r="B99" s="1475">
        <f>C46</f>
        <v>0</v>
      </c>
      <c r="C99" s="1002">
        <f>-C45</f>
        <v>2699</v>
      </c>
      <c r="D99" s="986">
        <v>0</v>
      </c>
      <c r="E99" s="362"/>
      <c r="F99" s="190"/>
      <c r="G99" s="1244"/>
      <c r="I99"/>
      <c r="J99" s="1439"/>
    </row>
    <row r="100" spans="1:10" s="62" customFormat="1" x14ac:dyDescent="0.25">
      <c r="A100" s="355" t="s">
        <v>435</v>
      </c>
      <c r="B100" s="1476">
        <f>SUM(B95:B99)</f>
        <v>0</v>
      </c>
      <c r="C100" s="998">
        <f>SUM(C94:C99)</f>
        <v>11687.956897411997</v>
      </c>
      <c r="D100" s="999">
        <f>SUM(D94:D99)</f>
        <v>0</v>
      </c>
      <c r="E100" s="362"/>
      <c r="F100" s="190"/>
      <c r="G100" s="1244"/>
      <c r="I100"/>
      <c r="J100" s="1439"/>
    </row>
    <row r="101" spans="1:10" s="62" customFormat="1" ht="13.5" customHeight="1" x14ac:dyDescent="0.25">
      <c r="A101" s="356" t="s">
        <v>1641</v>
      </c>
      <c r="B101" s="1475">
        <v>0</v>
      </c>
      <c r="C101" s="1475">
        <v>-6710</v>
      </c>
      <c r="D101" s="986">
        <v>0</v>
      </c>
      <c r="E101" s="362"/>
      <c r="F101" s="190"/>
      <c r="G101" s="1244"/>
      <c r="I101"/>
      <c r="J101" s="1439"/>
    </row>
    <row r="102" spans="1:10" s="62" customFormat="1" x14ac:dyDescent="0.25">
      <c r="A102" s="356" t="s">
        <v>436</v>
      </c>
      <c r="B102" s="1475">
        <v>0</v>
      </c>
      <c r="C102" s="1002">
        <f>BS!D43+BS!D50-C92-C100-C101</f>
        <v>-2688.5868974120021</v>
      </c>
      <c r="D102" s="986">
        <v>0</v>
      </c>
      <c r="E102" s="362"/>
      <c r="F102" s="190"/>
      <c r="G102" s="1244"/>
      <c r="I102"/>
      <c r="J102" s="1439"/>
    </row>
    <row r="103" spans="1:10" s="75" customFormat="1" ht="15.6" customHeight="1" x14ac:dyDescent="0.25">
      <c r="A103" s="354" t="s">
        <v>1552</v>
      </c>
      <c r="B103" s="1001">
        <f>B92+B100+B102</f>
        <v>0</v>
      </c>
      <c r="C103" s="1001">
        <f>C92+C100+C102+C101</f>
        <v>31442</v>
      </c>
      <c r="D103" s="322">
        <f>D92+D100+D102</f>
        <v>9.1867999999999999</v>
      </c>
      <c r="E103" s="362"/>
      <c r="F103" s="190"/>
      <c r="G103" s="190"/>
      <c r="I103"/>
      <c r="J103" s="64"/>
    </row>
    <row r="104" spans="1:10" s="75" customFormat="1" ht="10.5" customHeight="1" x14ac:dyDescent="0.25">
      <c r="A104" s="314" t="s">
        <v>108</v>
      </c>
      <c r="B104" s="95"/>
      <c r="C104" s="95"/>
      <c r="D104" s="644"/>
      <c r="E104" s="58"/>
      <c r="F104" s="190">
        <f>+C82-F83</f>
        <v>-7037.82</v>
      </c>
      <c r="G104"/>
      <c r="I104"/>
      <c r="J104" s="64"/>
    </row>
    <row r="105" spans="1:10" s="75" customFormat="1" x14ac:dyDescent="0.25">
      <c r="A105" s="14" t="s">
        <v>113</v>
      </c>
      <c r="B105" s="95"/>
      <c r="C105" s="95"/>
      <c r="D105" s="1003"/>
      <c r="E105" s="192"/>
      <c r="F105" s="11"/>
      <c r="G105"/>
      <c r="I105"/>
      <c r="J105" s="64"/>
    </row>
    <row r="106" spans="1:10" s="75" customFormat="1" ht="0.95" customHeight="1" x14ac:dyDescent="0.25">
      <c r="A106" s="1004"/>
      <c r="B106" s="95"/>
      <c r="C106" s="95"/>
      <c r="D106" s="1003"/>
      <c r="E106" s="192"/>
      <c r="F106" s="11"/>
      <c r="G106"/>
      <c r="I106"/>
      <c r="J106" s="64"/>
    </row>
    <row r="107" spans="1:10" s="75" customFormat="1" x14ac:dyDescent="0.25">
      <c r="A107" s="61" t="str">
        <f>BS!$A$66</f>
        <v>For B S R and Co</v>
      </c>
      <c r="B107" s="1575">
        <f>BS!$C$66</f>
        <v>0</v>
      </c>
      <c r="C107" s="1575"/>
      <c r="D107" s="1003"/>
      <c r="E107" s="34"/>
      <c r="F107" s="11"/>
      <c r="G107"/>
      <c r="I107"/>
      <c r="J107" s="64"/>
    </row>
    <row r="108" spans="1:10" s="75" customFormat="1" x14ac:dyDescent="0.25">
      <c r="A108" s="61" t="str">
        <f>BS!$A$67</f>
        <v>Chartered Accountants</v>
      </c>
      <c r="B108" s="129">
        <f>BS!$C$67</f>
        <v>0</v>
      </c>
      <c r="C108" s="1575" t="str">
        <f>PL!D42</f>
        <v xml:space="preserve">For and on behalf of Board of </v>
      </c>
      <c r="D108" s="1003"/>
      <c r="E108" s="34"/>
      <c r="F108" s="11"/>
      <c r="G108"/>
      <c r="I108"/>
      <c r="J108" s="64"/>
    </row>
    <row r="109" spans="1:10" s="75" customFormat="1" x14ac:dyDescent="0.25">
      <c r="A109" s="351" t="str">
        <f>BS!$A$68</f>
        <v>Firm's Registration No: 128510W</v>
      </c>
      <c r="B109" s="1575">
        <f>BS!$C$68</f>
        <v>0</v>
      </c>
      <c r="C109" s="129" t="str">
        <f>PL!D43</f>
        <v>BVC Specialities Private Limited</v>
      </c>
      <c r="D109" s="1003"/>
      <c r="E109" s="34"/>
      <c r="F109" s="11"/>
      <c r="G109"/>
      <c r="I109"/>
      <c r="J109" s="64"/>
    </row>
    <row r="110" spans="1:10" s="75" customFormat="1" x14ac:dyDescent="0.25">
      <c r="A110" s="61"/>
      <c r="B110" s="129"/>
      <c r="C110" s="1575" t="str">
        <f>PL!D44</f>
        <v>CIN : U24230GJ2021PTC123855</v>
      </c>
      <c r="D110" s="1003"/>
      <c r="E110" s="34"/>
      <c r="F110" s="11"/>
      <c r="G110"/>
      <c r="I110"/>
      <c r="J110" s="64"/>
    </row>
    <row r="111" spans="1:10" s="75" customFormat="1" x14ac:dyDescent="0.25">
      <c r="A111" s="1004"/>
      <c r="B111" s="224"/>
      <c r="C111" s="224"/>
      <c r="D111" s="1003"/>
      <c r="E111" s="34"/>
      <c r="F111" s="11"/>
      <c r="G111"/>
      <c r="I111"/>
      <c r="J111" s="64"/>
    </row>
    <row r="112" spans="1:10" s="75" customFormat="1" x14ac:dyDescent="0.25">
      <c r="A112" s="692" t="str">
        <f>BS!$A$71</f>
        <v>Jeyur Shah</v>
      </c>
      <c r="B112" s="129">
        <f>BS!$C$71</f>
        <v>0</v>
      </c>
      <c r="C112" s="1576" t="str">
        <f>PL!D47</f>
        <v>Shishir Srivastava</v>
      </c>
      <c r="D112" s="38" t="str">
        <f>PL!E47</f>
        <v>Shaju Ouseph Chazhoor</v>
      </c>
      <c r="E112" s="348"/>
      <c r="F112" s="187"/>
      <c r="G112"/>
      <c r="I112"/>
      <c r="J112" s="64"/>
    </row>
    <row r="113" spans="1:10" s="75" customFormat="1" x14ac:dyDescent="0.25">
      <c r="A113" s="692" t="str">
        <f>BS!$A$72</f>
        <v>Partner</v>
      </c>
      <c r="B113" s="129">
        <f>BS!$C$72</f>
        <v>0</v>
      </c>
      <c r="C113" s="1576" t="str">
        <f>PL!D48</f>
        <v>Director</v>
      </c>
      <c r="D113" s="38" t="str">
        <f>PL!E48</f>
        <v>Director</v>
      </c>
      <c r="E113" s="348"/>
      <c r="F113" s="187"/>
      <c r="G113"/>
      <c r="I113"/>
      <c r="J113" s="64"/>
    </row>
    <row r="114" spans="1:10" s="64" customFormat="1" x14ac:dyDescent="0.25">
      <c r="A114" s="580" t="str">
        <f>BS!$A$73</f>
        <v>Membership No. 045754</v>
      </c>
      <c r="B114" s="1575">
        <f>BS!$C$73</f>
        <v>0</v>
      </c>
      <c r="C114" s="1577" t="str">
        <f>PL!D49</f>
        <v>DIN: 00330342</v>
      </c>
      <c r="D114" s="1005" t="str">
        <f>PL!E49</f>
        <v>DIN: 01482035</v>
      </c>
      <c r="E114" s="36"/>
      <c r="F114" s="53"/>
      <c r="G114"/>
      <c r="H114" s="75"/>
      <c r="I114"/>
    </row>
    <row r="115" spans="1:10" s="64" customFormat="1" x14ac:dyDescent="0.25">
      <c r="A115" s="580"/>
      <c r="B115" s="1575"/>
      <c r="C115" s="1575"/>
      <c r="D115" s="1005"/>
      <c r="E115" s="36"/>
      <c r="F115" s="53"/>
      <c r="G115"/>
      <c r="H115" s="75"/>
      <c r="I115"/>
    </row>
    <row r="116" spans="1:10" s="64" customFormat="1" x14ac:dyDescent="0.25">
      <c r="A116" s="580"/>
      <c r="B116" s="1575"/>
      <c r="C116" s="1575"/>
      <c r="D116" s="1005"/>
      <c r="E116" s="36"/>
      <c r="F116" s="53"/>
      <c r="G116"/>
      <c r="H116" s="75"/>
      <c r="I116"/>
    </row>
    <row r="117" spans="1:10" s="64" customFormat="1" x14ac:dyDescent="0.25">
      <c r="A117" s="580"/>
      <c r="B117" s="1575"/>
      <c r="C117" s="1575"/>
      <c r="D117" s="1005"/>
      <c r="E117" s="36"/>
      <c r="F117" s="53"/>
      <c r="G117"/>
      <c r="H117" s="75"/>
      <c r="I117"/>
    </row>
    <row r="118" spans="1:10" s="64" customFormat="1" x14ac:dyDescent="0.25">
      <c r="A118" s="580"/>
      <c r="B118" s="1575"/>
      <c r="C118" s="129" t="str">
        <f>PL!D53</f>
        <v>Ambrish Dixit</v>
      </c>
      <c r="D118" s="38" t="str">
        <f>PL!E53</f>
        <v>Mukesh Lodha</v>
      </c>
      <c r="E118" s="36"/>
      <c r="F118" s="53"/>
      <c r="G118"/>
      <c r="H118" s="75"/>
      <c r="I118"/>
    </row>
    <row r="119" spans="1:10" s="64" customFormat="1" x14ac:dyDescent="0.25">
      <c r="A119" s="580"/>
      <c r="B119" s="1575"/>
      <c r="C119" s="1575" t="str">
        <f>PL!D54</f>
        <v>CEO</v>
      </c>
      <c r="D119" s="1005" t="str">
        <f>PL!E54</f>
        <v>CFO</v>
      </c>
      <c r="E119" s="36"/>
      <c r="F119" s="53"/>
      <c r="G119"/>
      <c r="H119" s="75"/>
      <c r="I119"/>
    </row>
    <row r="120" spans="1:10" s="64" customFormat="1" x14ac:dyDescent="0.25">
      <c r="A120" s="580"/>
      <c r="B120" s="1575"/>
      <c r="C120" s="1575"/>
      <c r="D120" s="1005"/>
      <c r="E120" s="36"/>
      <c r="F120" s="53"/>
      <c r="G120"/>
      <c r="H120" s="75"/>
      <c r="I120"/>
    </row>
    <row r="121" spans="1:10" s="64" customFormat="1" x14ac:dyDescent="0.25">
      <c r="A121" s="580"/>
      <c r="B121" s="1575"/>
      <c r="C121" s="1575"/>
      <c r="D121" s="1005"/>
      <c r="E121" s="36"/>
      <c r="F121" s="53"/>
      <c r="G121"/>
      <c r="H121" s="75"/>
      <c r="I121"/>
    </row>
    <row r="122" spans="1:10" s="64" customFormat="1" x14ac:dyDescent="0.25">
      <c r="A122" s="61" t="str">
        <f>BS!$A$81</f>
        <v xml:space="preserve"> </v>
      </c>
      <c r="B122" s="224"/>
      <c r="C122" s="224"/>
      <c r="D122" s="1003"/>
      <c r="E122" s="38"/>
      <c r="F122" s="129"/>
      <c r="G122"/>
      <c r="H122" s="75"/>
      <c r="I122"/>
    </row>
    <row r="123" spans="1:10" s="64" customFormat="1" x14ac:dyDescent="0.25">
      <c r="A123" s="61" t="str">
        <f>BS!$A$82</f>
        <v>Place: Ahmedabad</v>
      </c>
      <c r="B123" s="1578">
        <f>BS!$C$82</f>
        <v>0</v>
      </c>
      <c r="C123" s="129" t="str">
        <f>BS!D82</f>
        <v>Place: Vadodara</v>
      </c>
      <c r="D123" s="38" t="str">
        <f>BS!E82</f>
        <v>Place: Vadodara</v>
      </c>
      <c r="E123" s="60"/>
      <c r="F123" s="11"/>
      <c r="G123"/>
      <c r="H123" s="75"/>
      <c r="I123"/>
    </row>
    <row r="124" spans="1:10" s="64" customFormat="1" ht="15.75" thickBot="1" x14ac:dyDescent="0.3">
      <c r="A124" s="1006" t="str">
        <f>BS!$A$83</f>
        <v>Date: 17 July 2026</v>
      </c>
      <c r="B124" s="1007">
        <f>BS!$C$83</f>
        <v>0</v>
      </c>
      <c r="C124" s="1008" t="str">
        <f>BS!D83</f>
        <v>Date: 17 July 2026</v>
      </c>
      <c r="D124" s="1009" t="str">
        <f>BS!E83</f>
        <v>Date: 17 July 2026</v>
      </c>
      <c r="E124" s="492"/>
      <c r="F124" s="11"/>
      <c r="G124"/>
      <c r="H124" s="75"/>
      <c r="I124"/>
    </row>
    <row r="129" spans="1:9" s="64" customFormat="1" x14ac:dyDescent="0.25">
      <c r="A129" s="95" t="s">
        <v>425</v>
      </c>
      <c r="B129" s="95"/>
      <c r="C129" s="868">
        <v>45382</v>
      </c>
      <c r="D129" s="868">
        <v>45016</v>
      </c>
      <c r="E129" s="178">
        <v>44651</v>
      </c>
      <c r="F129" s="178">
        <v>44286</v>
      </c>
      <c r="G129"/>
      <c r="H129" s="75"/>
      <c r="I129"/>
    </row>
    <row r="130" spans="1:9" s="64" customFormat="1" x14ac:dyDescent="0.25">
      <c r="A130" s="788" t="s">
        <v>412</v>
      </c>
      <c r="B130" s="177"/>
      <c r="C130" s="177"/>
      <c r="D130" s="177"/>
      <c r="H130" s="75"/>
    </row>
    <row r="131" spans="1:9" s="64" customFormat="1" x14ac:dyDescent="0.25">
      <c r="A131" s="822" t="s">
        <v>144</v>
      </c>
      <c r="B131" s="177"/>
      <c r="C131" s="177">
        <f>'BS  Notes  3-18'!G126</f>
        <v>5961.5</v>
      </c>
      <c r="D131" s="177">
        <f>'BS  Notes  3-18'!H126</f>
        <v>5128</v>
      </c>
      <c r="E131" s="64">
        <f>'BS  Notes  3-18'!I126</f>
        <v>296</v>
      </c>
      <c r="F131" s="64">
        <v>0</v>
      </c>
      <c r="H131" s="75"/>
    </row>
    <row r="132" spans="1:9" s="64" customFormat="1" x14ac:dyDescent="0.25">
      <c r="A132" s="95"/>
      <c r="B132" s="177"/>
      <c r="C132" s="919">
        <f>SUM(C131:C131)</f>
        <v>5961.5</v>
      </c>
      <c r="D132" s="919">
        <f>SUM(D131:D131)</f>
        <v>5128</v>
      </c>
      <c r="E132" s="196">
        <f>SUM(E131:E131)</f>
        <v>296</v>
      </c>
      <c r="F132" s="196">
        <f>SUM(F131:F131)</f>
        <v>0</v>
      </c>
      <c r="H132" s="75"/>
    </row>
    <row r="133" spans="1:9" s="64" customFormat="1" x14ac:dyDescent="0.25">
      <c r="A133" s="95"/>
      <c r="B133" s="177"/>
      <c r="C133" s="177"/>
      <c r="D133" s="177"/>
      <c r="H133" s="75"/>
    </row>
    <row r="134" spans="1:9" s="64" customFormat="1" x14ac:dyDescent="0.25">
      <c r="A134" s="788" t="s">
        <v>413</v>
      </c>
      <c r="B134" s="177"/>
      <c r="C134" s="177">
        <f>'BS  Notes  3-18'!G423</f>
        <v>9920</v>
      </c>
      <c r="D134" s="177">
        <f>'BS  Notes  3-18'!H423</f>
        <v>1813</v>
      </c>
      <c r="E134" s="64">
        <f>'BS  Notes  3-18'!I423</f>
        <v>14</v>
      </c>
      <c r="F134" s="64">
        <v>0</v>
      </c>
      <c r="H134" s="75"/>
    </row>
    <row r="135" spans="1:9" s="64" customFormat="1" x14ac:dyDescent="0.25">
      <c r="A135" s="95" t="s">
        <v>428</v>
      </c>
      <c r="B135" s="177"/>
      <c r="C135" s="177"/>
      <c r="D135" s="177"/>
      <c r="E135" s="197"/>
      <c r="H135" s="75"/>
    </row>
    <row r="136" spans="1:9" s="64" customFormat="1" x14ac:dyDescent="0.25">
      <c r="A136" s="95"/>
      <c r="B136" s="177"/>
      <c r="C136" s="177"/>
      <c r="D136" s="177"/>
      <c r="H136" s="75"/>
    </row>
    <row r="137" spans="1:9" s="64" customFormat="1" x14ac:dyDescent="0.25">
      <c r="A137" s="788" t="s">
        <v>414</v>
      </c>
      <c r="B137" s="177"/>
      <c r="C137" s="177"/>
      <c r="D137" s="177"/>
      <c r="H137" s="75"/>
    </row>
    <row r="138" spans="1:9" s="64" customFormat="1" x14ac:dyDescent="0.25">
      <c r="A138" s="822" t="s">
        <v>131</v>
      </c>
      <c r="B138" s="177"/>
      <c r="C138" s="177">
        <f>'BS  Notes  3-18'!G473-('PL Notes 19-27'!C80-'BS  Notes  3-18'!G273)*0</f>
        <v>57</v>
      </c>
      <c r="D138" s="177">
        <f>'BS  Notes  3-18'!H473-('PL Notes 19-27'!D80-'BS  Notes  3-18'!H273)*0</f>
        <v>39</v>
      </c>
      <c r="E138" s="64">
        <f>'BS  Notes  3-18'!I473-('PL Notes 19-27'!E80-'BS  Notes  3-18'!I273)*0</f>
        <v>0</v>
      </c>
      <c r="F138" s="64">
        <v>0</v>
      </c>
      <c r="H138" s="75"/>
    </row>
    <row r="139" spans="1:9" s="64" customFormat="1" x14ac:dyDescent="0.25">
      <c r="A139" s="95"/>
      <c r="B139" s="177"/>
      <c r="C139" s="919">
        <f>SUM(C138:C138)</f>
        <v>57</v>
      </c>
      <c r="D139" s="919">
        <f>SUM(D138:D138)</f>
        <v>39</v>
      </c>
      <c r="E139" s="196">
        <f>SUM(E138:E138)</f>
        <v>0</v>
      </c>
      <c r="F139" s="196">
        <f>SUM(F138:F138)</f>
        <v>0</v>
      </c>
      <c r="H139" s="75"/>
    </row>
    <row r="140" spans="1:9" s="64" customFormat="1" x14ac:dyDescent="0.25">
      <c r="A140" s="95"/>
      <c r="B140" s="177"/>
      <c r="C140" s="177"/>
      <c r="D140" s="177"/>
      <c r="H140" s="75"/>
    </row>
    <row r="141" spans="1:9" s="64" customFormat="1" x14ac:dyDescent="0.25">
      <c r="A141" s="95"/>
      <c r="B141" s="177"/>
      <c r="C141" s="177"/>
      <c r="D141" s="177"/>
      <c r="H141" s="75"/>
    </row>
    <row r="142" spans="1:9" s="64" customFormat="1" x14ac:dyDescent="0.25">
      <c r="A142" s="788" t="s">
        <v>426</v>
      </c>
      <c r="B142" s="177"/>
      <c r="C142" s="177"/>
      <c r="D142" s="177"/>
      <c r="H142" s="75"/>
    </row>
    <row r="143" spans="1:9" s="64" customFormat="1" x14ac:dyDescent="0.25">
      <c r="A143" s="95" t="s">
        <v>427</v>
      </c>
      <c r="B143" s="177"/>
      <c r="C143" s="177"/>
      <c r="D143" s="177"/>
      <c r="E143" s="64">
        <v>0</v>
      </c>
      <c r="H143" s="75"/>
    </row>
    <row r="144" spans="1:9" s="64" customFormat="1" x14ac:dyDescent="0.25">
      <c r="A144" s="95" t="s">
        <v>224</v>
      </c>
      <c r="B144" s="177"/>
      <c r="C144" s="177">
        <f>2897303.47/100000</f>
        <v>28.973034700000003</v>
      </c>
      <c r="D144" s="177"/>
      <c r="E144" s="197">
        <f>ROUND(1030902.61729999/Input!$C$2,Input!$E$2)</f>
        <v>10</v>
      </c>
      <c r="H144" s="75"/>
    </row>
    <row r="145" spans="1:8" s="64" customFormat="1" x14ac:dyDescent="0.25">
      <c r="A145" s="95" t="s">
        <v>80</v>
      </c>
      <c r="B145" s="177"/>
      <c r="C145" s="177">
        <f>-11074363.014/100000</f>
        <v>-110.74363014000001</v>
      </c>
      <c r="D145" s="177"/>
      <c r="E145" s="197">
        <f>ROUND(20130464.0087001/Input!$C$2,Input!$E$2)</f>
        <v>201</v>
      </c>
      <c r="H145" s="75"/>
    </row>
    <row r="146" spans="1:8" s="64" customFormat="1" x14ac:dyDescent="0.25">
      <c r="A146" s="95" t="s">
        <v>1558</v>
      </c>
      <c r="B146" s="177"/>
      <c r="C146" s="177">
        <f>944485.248800002/100000</f>
        <v>9.44485248800002</v>
      </c>
      <c r="D146" s="1010"/>
      <c r="E146" s="198">
        <f>ROUND(-7049.693/Input!$C$2,Input!$E$2)</f>
        <v>0</v>
      </c>
      <c r="F146" s="220"/>
      <c r="H146" s="75"/>
    </row>
    <row r="147" spans="1:8" s="64" customFormat="1" x14ac:dyDescent="0.25">
      <c r="A147" s="95"/>
      <c r="B147" s="177"/>
      <c r="C147" s="919">
        <f>SUM(C144:C146)</f>
        <v>-72.325742951999985</v>
      </c>
      <c r="D147" s="177">
        <f>SUM(D143:D146)</f>
        <v>0</v>
      </c>
      <c r="E147" s="64">
        <f>SUM(E143:E146)</f>
        <v>211</v>
      </c>
      <c r="F147" s="64">
        <f>SUM(F143:F146)</f>
        <v>0</v>
      </c>
      <c r="H147" s="75"/>
    </row>
    <row r="148" spans="1:8" s="64" customFormat="1" x14ac:dyDescent="0.25">
      <c r="A148" s="95"/>
      <c r="B148" s="177"/>
      <c r="C148" s="177"/>
      <c r="D148" s="177"/>
      <c r="H148" s="75"/>
    </row>
  </sheetData>
  <mergeCells count="2">
    <mergeCell ref="A4:B5"/>
    <mergeCell ref="A60:D60"/>
  </mergeCells>
  <printOptions horizontalCentered="1"/>
  <pageMargins left="0.70866141732283472" right="0.70866141732283472" top="0.74803149606299213" bottom="0.74803149606299213" header="0.31496062992125984" footer="0.31496062992125984"/>
  <pageSetup paperSize="9" scale="51" orientation="portrait" r:id="rId1"/>
  <headerFooter>
    <oddHeader>&amp;C&amp;G</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1F87-97E2-433D-A437-E8EF5E96250F}">
  <sheetPr codeName="Sheet5">
    <pageSetUpPr fitToPage="1"/>
  </sheetPr>
  <dimension ref="A1:J86"/>
  <sheetViews>
    <sheetView showGridLines="0" view="pageBreakPreview" topLeftCell="A27" zoomScale="90" zoomScaleNormal="80" zoomScaleSheetLayoutView="90" workbookViewId="0">
      <selection activeCell="C60" sqref="C60"/>
    </sheetView>
  </sheetViews>
  <sheetFormatPr defaultRowHeight="15" x14ac:dyDescent="0.25"/>
  <cols>
    <col min="1" max="1" width="58.28515625" bestFit="1" customWidth="1"/>
    <col min="2" max="2" width="18" hidden="1" customWidth="1"/>
    <col min="3" max="3" width="19.140625" customWidth="1"/>
    <col min="4" max="4" width="22" customWidth="1"/>
    <col min="5" max="5" width="21.5703125" bestFit="1" customWidth="1"/>
    <col min="6" max="6" width="20.42578125" hidden="1" customWidth="1"/>
    <col min="7" max="7" width="16.42578125" hidden="1" customWidth="1"/>
    <col min="8" max="9" width="0" hidden="1" customWidth="1"/>
    <col min="10" max="10" width="10.140625" bestFit="1" customWidth="1"/>
  </cols>
  <sheetData>
    <row r="1" spans="1:6" x14ac:dyDescent="0.25">
      <c r="A1" s="597" t="str">
        <f>Input!$B$1</f>
        <v>BVC Specialities Private Limited</v>
      </c>
      <c r="B1" s="598"/>
      <c r="C1" s="598"/>
      <c r="D1" s="598"/>
      <c r="E1" s="327"/>
      <c r="F1" s="327"/>
    </row>
    <row r="2" spans="1:6" x14ac:dyDescent="0.25">
      <c r="A2" s="599" t="s">
        <v>1666</v>
      </c>
      <c r="B2" s="1683"/>
      <c r="C2" s="1683"/>
      <c r="D2" s="1683"/>
      <c r="E2" s="328"/>
      <c r="F2" s="328"/>
    </row>
    <row r="3" spans="1:6" x14ac:dyDescent="0.25">
      <c r="A3" s="600"/>
      <c r="B3" s="329"/>
      <c r="C3" s="329"/>
      <c r="D3" s="329"/>
      <c r="E3" s="601"/>
      <c r="F3" s="330"/>
    </row>
    <row r="4" spans="1:6" x14ac:dyDescent="0.25">
      <c r="A4" s="602"/>
      <c r="B4" s="1093"/>
      <c r="C4" s="1093"/>
      <c r="D4" s="1093"/>
      <c r="E4" s="328"/>
      <c r="F4" s="328"/>
    </row>
    <row r="5" spans="1:6" x14ac:dyDescent="0.25">
      <c r="A5" s="355" t="s">
        <v>596</v>
      </c>
      <c r="B5" s="1093"/>
      <c r="C5" s="1093"/>
      <c r="D5" s="1093"/>
      <c r="E5" s="330" t="str">
        <f>Input!$D$2</f>
        <v>(₹ in Lakh)</v>
      </c>
      <c r="F5" s="328"/>
    </row>
    <row r="6" spans="1:6" x14ac:dyDescent="0.25">
      <c r="A6" s="1022" t="s">
        <v>0</v>
      </c>
      <c r="B6" s="242"/>
      <c r="C6" s="242"/>
      <c r="D6" s="237" t="s">
        <v>1610</v>
      </c>
      <c r="E6" s="530" t="s">
        <v>1173</v>
      </c>
      <c r="F6" s="328"/>
    </row>
    <row r="7" spans="1:6" x14ac:dyDescent="0.25">
      <c r="A7" s="791" t="s">
        <v>1065</v>
      </c>
      <c r="B7" s="1093"/>
      <c r="C7" s="1093"/>
      <c r="D7" s="797">
        <f>E9</f>
        <v>13.659700000000001</v>
      </c>
      <c r="E7" s="798">
        <f>1072/100</f>
        <v>10.72</v>
      </c>
      <c r="F7" s="328"/>
    </row>
    <row r="8" spans="1:6" x14ac:dyDescent="0.25">
      <c r="A8" s="792" t="s">
        <v>378</v>
      </c>
      <c r="B8" s="1093"/>
      <c r="C8" s="1093"/>
      <c r="D8" s="797">
        <f>'BS  Notes  3-18'!G146-SOCIE!D7</f>
        <v>2.3191999999999986</v>
      </c>
      <c r="E8" s="798">
        <f>293.97/100</f>
        <v>2.9397000000000002</v>
      </c>
      <c r="F8" s="328"/>
    </row>
    <row r="9" spans="1:6" x14ac:dyDescent="0.25">
      <c r="A9" s="1023" t="s">
        <v>1642</v>
      </c>
      <c r="B9" s="242"/>
      <c r="C9" s="242"/>
      <c r="D9" s="799">
        <f>SUM(D7:D8)</f>
        <v>15.978899999999999</v>
      </c>
      <c r="E9" s="1024">
        <f>SUM(E7:E8)</f>
        <v>13.659700000000001</v>
      </c>
      <c r="F9" s="328"/>
    </row>
    <row r="10" spans="1:6" x14ac:dyDescent="0.25">
      <c r="A10" s="789"/>
      <c r="B10" s="1093"/>
      <c r="C10" s="1093"/>
      <c r="D10" s="1093"/>
      <c r="E10" s="328"/>
      <c r="F10" s="328"/>
    </row>
    <row r="11" spans="1:6" hidden="1" x14ac:dyDescent="0.25">
      <c r="A11" s="355" t="s">
        <v>1068</v>
      </c>
      <c r="B11" s="1093"/>
      <c r="C11" s="1093"/>
      <c r="D11" s="1093"/>
      <c r="E11" s="328"/>
      <c r="F11" s="328"/>
    </row>
    <row r="12" spans="1:6" hidden="1" x14ac:dyDescent="0.25">
      <c r="A12" s="790" t="s">
        <v>1069</v>
      </c>
      <c r="B12" s="1093"/>
      <c r="C12" s="1093"/>
      <c r="D12" s="1093"/>
      <c r="E12" s="328"/>
      <c r="F12" s="328"/>
    </row>
    <row r="13" spans="1:6" hidden="1" x14ac:dyDescent="0.25">
      <c r="A13" s="1025" t="s">
        <v>0</v>
      </c>
      <c r="B13" s="249"/>
      <c r="C13" s="249"/>
      <c r="D13" s="237" t="str">
        <f>CONCATENATE("As at ",Input!$C$4)</f>
        <v>As at 31 March 2024</v>
      </c>
      <c r="E13" s="530" t="str">
        <f>CONCATENATE("As at ",Input!$C$5)</f>
        <v>As at 31 March 2023</v>
      </c>
      <c r="F13" s="328"/>
    </row>
    <row r="14" spans="1:6" hidden="1" x14ac:dyDescent="0.25">
      <c r="A14" s="964" t="s">
        <v>377</v>
      </c>
      <c r="B14" s="793"/>
      <c r="C14" s="793"/>
      <c r="D14" s="794"/>
      <c r="E14" s="1026"/>
      <c r="F14" s="328"/>
    </row>
    <row r="15" spans="1:6" ht="30" hidden="1" x14ac:dyDescent="0.25">
      <c r="A15" s="1027" t="s">
        <v>1070</v>
      </c>
      <c r="B15" s="657"/>
      <c r="C15" s="657"/>
      <c r="D15" s="795"/>
      <c r="E15" s="601"/>
      <c r="F15" s="328"/>
    </row>
    <row r="16" spans="1:6" hidden="1" x14ac:dyDescent="0.25">
      <c r="A16" s="1028" t="s">
        <v>379</v>
      </c>
      <c r="B16" s="252"/>
      <c r="C16" s="252"/>
      <c r="D16" s="796"/>
      <c r="E16" s="1029"/>
      <c r="F16" s="328"/>
    </row>
    <row r="17" spans="1:8" hidden="1" x14ac:dyDescent="0.25">
      <c r="A17" s="1030"/>
      <c r="E17" s="58"/>
      <c r="F17" s="58"/>
    </row>
    <row r="18" spans="1:8" x14ac:dyDescent="0.25">
      <c r="A18" s="355" t="s">
        <v>1071</v>
      </c>
      <c r="E18" s="58"/>
      <c r="F18" s="58"/>
    </row>
    <row r="19" spans="1:8" x14ac:dyDescent="0.25">
      <c r="A19" s="1022" t="s">
        <v>0</v>
      </c>
      <c r="B19" s="242"/>
      <c r="C19" s="242"/>
      <c r="D19" s="237" t="str">
        <f>D6</f>
        <v>As at 31 March 2026</v>
      </c>
      <c r="E19" s="530" t="str">
        <f>E6</f>
        <v>As at 31 March 2025</v>
      </c>
      <c r="F19" s="58"/>
    </row>
    <row r="20" spans="1:8" x14ac:dyDescent="0.25">
      <c r="A20" s="791" t="s">
        <v>1065</v>
      </c>
      <c r="D20" s="1596">
        <f>E22</f>
        <v>9.1867999999999999</v>
      </c>
      <c r="E20" s="782">
        <f>'BS  Notes  3-18'!H179</f>
        <v>4.4097</v>
      </c>
      <c r="F20" s="58"/>
    </row>
    <row r="21" spans="1:8" ht="30" x14ac:dyDescent="0.25">
      <c r="A21" s="792" t="s">
        <v>1073</v>
      </c>
      <c r="D21" s="1597">
        <f>'BS  Notes  3-18'!G187</f>
        <v>0</v>
      </c>
      <c r="E21" s="1598">
        <f>'BS  Notes  3-18'!H187</f>
        <v>4.7770999999999999</v>
      </c>
      <c r="F21" s="58"/>
    </row>
    <row r="22" spans="1:8" x14ac:dyDescent="0.25">
      <c r="A22" s="1023" t="s">
        <v>1642</v>
      </c>
      <c r="B22" s="242"/>
      <c r="C22" s="242"/>
      <c r="D22" s="800">
        <f>SUM(D20:D21)</f>
        <v>9.1867999999999999</v>
      </c>
      <c r="E22" s="1031">
        <f>SUM(E20:E21)</f>
        <v>9.1867999999999999</v>
      </c>
      <c r="F22" s="58"/>
    </row>
    <row r="23" spans="1:8" x14ac:dyDescent="0.25">
      <c r="A23" s="1030"/>
      <c r="E23" s="58"/>
      <c r="F23" s="58"/>
    </row>
    <row r="24" spans="1:8" x14ac:dyDescent="0.25">
      <c r="A24" s="603" t="s">
        <v>1072</v>
      </c>
      <c r="B24" s="1684"/>
      <c r="C24" s="1684"/>
      <c r="D24" s="1684"/>
      <c r="E24" s="604"/>
      <c r="F24" s="331"/>
    </row>
    <row r="25" spans="1:8" ht="14.45" customHeight="1" x14ac:dyDescent="0.25">
      <c r="A25" s="1815" t="s">
        <v>0</v>
      </c>
      <c r="B25" s="1821" t="s">
        <v>382</v>
      </c>
      <c r="C25" s="1822"/>
      <c r="D25" s="1823"/>
      <c r="E25" s="1818" t="s">
        <v>380</v>
      </c>
    </row>
    <row r="26" spans="1:8" ht="43.5" customHeight="1" x14ac:dyDescent="0.25">
      <c r="A26" s="1816"/>
      <c r="B26" s="1813" t="s">
        <v>542</v>
      </c>
      <c r="C26" s="1824" t="s">
        <v>383</v>
      </c>
      <c r="D26" s="1825"/>
      <c r="E26" s="1819"/>
    </row>
    <row r="27" spans="1:8" ht="42" customHeight="1" thickBot="1" x14ac:dyDescent="0.3">
      <c r="A27" s="1817"/>
      <c r="B27" s="1814"/>
      <c r="C27" s="554" t="s">
        <v>886</v>
      </c>
      <c r="D27" s="238" t="s">
        <v>116</v>
      </c>
      <c r="E27" s="1820"/>
    </row>
    <row r="28" spans="1:8" hidden="1" x14ac:dyDescent="0.25">
      <c r="A28" s="605" t="s">
        <v>598</v>
      </c>
      <c r="B28" s="332">
        <v>0</v>
      </c>
      <c r="C28" s="7">
        <v>0</v>
      </c>
      <c r="D28" s="333">
        <v>-82.88</v>
      </c>
      <c r="E28" s="606">
        <f>SUM(B28:D28)</f>
        <v>-82.88</v>
      </c>
    </row>
    <row r="29" spans="1:8" hidden="1" x14ac:dyDescent="0.25">
      <c r="A29" s="607" t="s">
        <v>381</v>
      </c>
      <c r="B29" s="302">
        <f t="shared" ref="B29" si="0">SUM(B28)</f>
        <v>0</v>
      </c>
      <c r="C29" s="302">
        <f>SUM(C28)</f>
        <v>0</v>
      </c>
      <c r="D29" s="302">
        <f>SUM(D28)</f>
        <v>-82.88</v>
      </c>
      <c r="E29" s="608">
        <f>SUM(E28)</f>
        <v>-82.88</v>
      </c>
    </row>
    <row r="30" spans="1:8" hidden="1" x14ac:dyDescent="0.25">
      <c r="A30" s="609" t="s">
        <v>541</v>
      </c>
      <c r="B30" s="334">
        <f>'BS  Notes  3-18'!I231</f>
        <v>1250</v>
      </c>
      <c r="C30" s="334">
        <v>0</v>
      </c>
      <c r="D30" s="334">
        <v>0</v>
      </c>
      <c r="E30" s="606">
        <f>SUM(B30:D30)</f>
        <v>1250</v>
      </c>
    </row>
    <row r="31" spans="1:8" hidden="1" x14ac:dyDescent="0.25">
      <c r="A31" s="607" t="str">
        <f>CONCATENATE("Balance as at ",Input!$C$6)</f>
        <v>Balance as at 31 March 2022</v>
      </c>
      <c r="B31" s="301">
        <f>B29+B30</f>
        <v>1250</v>
      </c>
      <c r="C31" s="301">
        <f>C29+C30</f>
        <v>0</v>
      </c>
      <c r="D31" s="301">
        <f>D29+D30</f>
        <v>-82.88</v>
      </c>
      <c r="E31" s="610">
        <f>E29+E30</f>
        <v>1167.1199999999999</v>
      </c>
      <c r="G31" s="1" t="e">
        <f>BS!F37-SOCIE!E31</f>
        <v>#REF!</v>
      </c>
      <c r="H31" s="4" t="s">
        <v>92</v>
      </c>
    </row>
    <row r="32" spans="1:8" hidden="1" x14ac:dyDescent="0.25">
      <c r="A32" s="602"/>
      <c r="B32" s="1685"/>
      <c r="D32" s="529"/>
      <c r="E32" s="611"/>
    </row>
    <row r="33" spans="1:10" hidden="1" x14ac:dyDescent="0.25">
      <c r="A33" s="607" t="s">
        <v>1175</v>
      </c>
      <c r="B33" s="302">
        <f>B31</f>
        <v>1250</v>
      </c>
      <c r="C33" s="302">
        <f>C31</f>
        <v>0</v>
      </c>
      <c r="D33" s="302">
        <f>D31</f>
        <v>-82.88</v>
      </c>
      <c r="E33" s="608">
        <f>SUM(B33:D33)</f>
        <v>1167.1199999999999</v>
      </c>
    </row>
    <row r="34" spans="1:10" hidden="1" x14ac:dyDescent="0.25">
      <c r="A34" s="609" t="s">
        <v>598</v>
      </c>
      <c r="B34" s="334">
        <v>0</v>
      </c>
      <c r="C34" s="335">
        <v>0</v>
      </c>
      <c r="D34" s="335">
        <v>-95.26</v>
      </c>
      <c r="E34" s="606">
        <f>SUM(B34:D34)</f>
        <v>-95.26</v>
      </c>
    </row>
    <row r="35" spans="1:10" hidden="1" x14ac:dyDescent="0.25">
      <c r="A35" s="607" t="s">
        <v>381</v>
      </c>
      <c r="B35" s="301">
        <f>SUM(B34:B34)</f>
        <v>0</v>
      </c>
      <c r="C35" s="301">
        <f>SUM(C34:C34)</f>
        <v>0</v>
      </c>
      <c r="D35" s="301">
        <f>SUM(D34:D34)</f>
        <v>-95.26</v>
      </c>
      <c r="E35" s="610">
        <f>SUM(E34:E34)</f>
        <v>-95.26</v>
      </c>
    </row>
    <row r="36" spans="1:10" hidden="1" x14ac:dyDescent="0.25">
      <c r="A36" s="612" t="s">
        <v>438</v>
      </c>
      <c r="B36" s="301">
        <f>B33+B35</f>
        <v>1250</v>
      </c>
      <c r="C36" s="301">
        <f>C33+C35</f>
        <v>0</v>
      </c>
      <c r="D36" s="301">
        <f>D33+D35</f>
        <v>-178.14</v>
      </c>
      <c r="E36" s="610">
        <f>E33+E35</f>
        <v>1071.8599999999999</v>
      </c>
      <c r="G36" s="1">
        <f>BS!E37-SOCIE!E36</f>
        <v>25683.576420300007</v>
      </c>
      <c r="H36" s="4" t="s">
        <v>92</v>
      </c>
    </row>
    <row r="37" spans="1:10" hidden="1" x14ac:dyDescent="0.25">
      <c r="A37" s="609" t="s">
        <v>885</v>
      </c>
      <c r="B37" s="334">
        <v>0</v>
      </c>
      <c r="C37" s="7">
        <v>0</v>
      </c>
      <c r="D37" s="335">
        <f>7151.5736058087/100</f>
        <v>71.515736058087001</v>
      </c>
      <c r="E37" s="606">
        <f>SUM(B37:D37)</f>
        <v>71.515736058087001</v>
      </c>
      <c r="F37" s="346"/>
      <c r="G37" s="1"/>
      <c r="H37" s="4"/>
    </row>
    <row r="38" spans="1:10" hidden="1" x14ac:dyDescent="0.25">
      <c r="A38" s="1270" t="s">
        <v>1400</v>
      </c>
      <c r="B38" s="334">
        <v>0</v>
      </c>
      <c r="C38" s="208">
        <v>0</v>
      </c>
      <c r="D38" s="335">
        <v>0</v>
      </c>
      <c r="E38" s="606">
        <f>SUM(B38:D38)</f>
        <v>0</v>
      </c>
      <c r="F38" s="346"/>
      <c r="G38" s="1"/>
      <c r="H38" s="4"/>
    </row>
    <row r="39" spans="1:10" hidden="1" x14ac:dyDescent="0.25">
      <c r="A39" s="609" t="s">
        <v>1032</v>
      </c>
      <c r="B39" s="334">
        <f>'BS  Notes  3-18'!H231</f>
        <v>-1250</v>
      </c>
      <c r="C39" s="208">
        <f>204224/100</f>
        <v>2042.24</v>
      </c>
      <c r="D39" s="335">
        <f>386.61503/100</f>
        <v>3.8661502999999997</v>
      </c>
      <c r="E39" s="606">
        <f>SUM(B39:D39)</f>
        <v>796.10615029999997</v>
      </c>
      <c r="F39" s="346"/>
      <c r="G39" s="1"/>
      <c r="H39" s="4"/>
    </row>
    <row r="40" spans="1:10" ht="15.75" hidden="1" thickBot="1" x14ac:dyDescent="0.3">
      <c r="A40" s="607" t="s">
        <v>1401</v>
      </c>
      <c r="B40" s="301">
        <f>SUM(B37:B39)</f>
        <v>-1250</v>
      </c>
      <c r="C40" s="301">
        <f>SUM(C37:C39)</f>
        <v>2042.24</v>
      </c>
      <c r="D40" s="301">
        <f>SUM(D37:D39)</f>
        <v>75.381886358087002</v>
      </c>
      <c r="E40" s="610">
        <f>SUM(E37:E39)</f>
        <v>867.62188635808695</v>
      </c>
      <c r="F40" s="346"/>
      <c r="G40" s="1"/>
      <c r="H40" s="4"/>
    </row>
    <row r="41" spans="1:10" ht="15.75" thickBot="1" x14ac:dyDescent="0.3">
      <c r="A41" s="612" t="s">
        <v>715</v>
      </c>
      <c r="B41" s="301">
        <f>B36+B40</f>
        <v>0</v>
      </c>
      <c r="C41" s="301">
        <f>'BS  Notes  3-18'!H235</f>
        <v>12037.706990000001</v>
      </c>
      <c r="D41" s="301">
        <f>D36+D40</f>
        <v>-102.75811364191298</v>
      </c>
      <c r="E41" s="610">
        <f>C41+D41</f>
        <v>11934.948876358088</v>
      </c>
      <c r="F41" s="346"/>
      <c r="G41" s="1"/>
      <c r="H41" s="4"/>
      <c r="J41" s="1191">
        <f>'BS  Notes  3-18'!H227-E41</f>
        <v>14820.487543941919</v>
      </c>
    </row>
    <row r="42" spans="1:10" x14ac:dyDescent="0.25">
      <c r="A42" s="609" t="s">
        <v>1643</v>
      </c>
      <c r="B42" s="334">
        <v>0</v>
      </c>
      <c r="C42" s="1184">
        <v>0</v>
      </c>
      <c r="D42" s="335">
        <f>PL!E26</f>
        <v>-2029.0351560580816</v>
      </c>
      <c r="E42" s="606">
        <f>SUM(B42:D42)</f>
        <v>-2029.0351560580816</v>
      </c>
      <c r="F42" s="346"/>
      <c r="G42" s="1"/>
      <c r="H42" s="4"/>
    </row>
    <row r="43" spans="1:10" hidden="1" x14ac:dyDescent="0.25">
      <c r="A43" s="609" t="s">
        <v>887</v>
      </c>
      <c r="B43" s="334">
        <f>'BS  Notes  3-18'!G231</f>
        <v>0</v>
      </c>
      <c r="C43" s="823">
        <v>0</v>
      </c>
      <c r="D43" s="335">
        <v>0</v>
      </c>
      <c r="E43" s="606">
        <f>SUM(B43:D43)</f>
        <v>0</v>
      </c>
      <c r="F43" s="346"/>
      <c r="G43" s="1"/>
      <c r="H43" s="4"/>
    </row>
    <row r="44" spans="1:10" x14ac:dyDescent="0.25">
      <c r="A44" s="609" t="s">
        <v>1399</v>
      </c>
      <c r="B44" s="334">
        <v>0</v>
      </c>
      <c r="C44" s="823">
        <v>0</v>
      </c>
      <c r="D44" s="335">
        <f>PL!E30+PL!E31</f>
        <v>2</v>
      </c>
      <c r="E44" s="606">
        <f>SUM(B44:D44)</f>
        <v>2</v>
      </c>
      <c r="F44" s="346"/>
      <c r="G44" s="1"/>
      <c r="H44" s="4"/>
    </row>
    <row r="45" spans="1:10" x14ac:dyDescent="0.25">
      <c r="A45" s="607" t="s">
        <v>381</v>
      </c>
      <c r="B45" s="301">
        <f>SUM(B42:B43)</f>
        <v>0</v>
      </c>
      <c r="C45" s="301">
        <f>SUM(C42:C43)</f>
        <v>0</v>
      </c>
      <c r="D45" s="301">
        <f>SUM(D42:D44)</f>
        <v>-2027.0351560580816</v>
      </c>
      <c r="E45" s="610">
        <f>SUM(E42:E44)</f>
        <v>-2027.0351560580816</v>
      </c>
      <c r="F45" s="346"/>
      <c r="G45" s="1"/>
      <c r="H45" s="4"/>
    </row>
    <row r="46" spans="1:10" ht="5.0999999999999996" customHeight="1" x14ac:dyDescent="0.25">
      <c r="A46" s="314"/>
      <c r="B46" s="1264"/>
      <c r="C46" s="1264"/>
      <c r="D46" s="1264"/>
      <c r="E46" s="1265"/>
      <c r="F46" s="346"/>
      <c r="G46" s="1"/>
      <c r="H46" s="4"/>
    </row>
    <row r="47" spans="1:10" x14ac:dyDescent="0.25">
      <c r="A47" s="314" t="s">
        <v>1684</v>
      </c>
      <c r="B47" s="1266"/>
      <c r="C47" s="1266"/>
      <c r="D47" s="1266"/>
      <c r="E47" s="1267"/>
      <c r="F47" s="346"/>
      <c r="G47" s="1"/>
      <c r="H47" s="4"/>
    </row>
    <row r="48" spans="1:10" x14ac:dyDescent="0.25">
      <c r="A48" s="822" t="s">
        <v>1683</v>
      </c>
      <c r="B48" s="1266"/>
      <c r="C48" s="1268">
        <f>'BS  Notes  3-18'!H236-C49</f>
        <v>9995.582699999999</v>
      </c>
      <c r="D48" s="1266"/>
      <c r="E48" s="606">
        <f>SUM(B48:D48)</f>
        <v>9995.582699999999</v>
      </c>
      <c r="F48" s="346"/>
      <c r="G48" s="1"/>
      <c r="H48" s="4"/>
    </row>
    <row r="49" spans="1:10" ht="15.75" thickBot="1" x14ac:dyDescent="0.3">
      <c r="A49" s="822" t="s">
        <v>1685</v>
      </c>
      <c r="B49" s="1268">
        <v>0</v>
      </c>
      <c r="C49" s="1268">
        <f>685231/100</f>
        <v>6852.31</v>
      </c>
      <c r="D49" s="1268">
        <v>0</v>
      </c>
      <c r="E49" s="1269">
        <f>SUM(B49:D49)</f>
        <v>6852.31</v>
      </c>
      <c r="F49" s="346"/>
      <c r="G49" s="1"/>
      <c r="H49" s="4"/>
    </row>
    <row r="50" spans="1:10" ht="15.75" thickBot="1" x14ac:dyDescent="0.3">
      <c r="A50" s="646" t="s">
        <v>1401</v>
      </c>
      <c r="B50" s="301">
        <f>B41+B45</f>
        <v>0</v>
      </c>
      <c r="C50" s="301">
        <f>SUM(C48:C49)</f>
        <v>16847.8927</v>
      </c>
      <c r="D50" s="301">
        <f>D49</f>
        <v>0</v>
      </c>
      <c r="E50" s="610">
        <f>SUM(E48:E49)</f>
        <v>16847.8927</v>
      </c>
      <c r="F50" s="346"/>
      <c r="G50" s="1"/>
      <c r="H50" s="4"/>
      <c r="J50" s="1191"/>
    </row>
    <row r="51" spans="1:10" hidden="1" x14ac:dyDescent="0.25">
      <c r="A51" s="314"/>
      <c r="B51" s="788"/>
      <c r="C51" s="345"/>
      <c r="D51" s="345"/>
      <c r="E51" s="346"/>
      <c r="F51" s="346"/>
      <c r="G51" s="1"/>
      <c r="H51" s="4"/>
    </row>
    <row r="52" spans="1:10" hidden="1" x14ac:dyDescent="0.25">
      <c r="A52" s="314"/>
      <c r="B52" s="788"/>
      <c r="C52" s="345"/>
      <c r="D52" s="345"/>
      <c r="E52" s="346"/>
      <c r="F52" s="346"/>
      <c r="G52" s="1"/>
      <c r="H52" s="4"/>
    </row>
    <row r="53" spans="1:10" x14ac:dyDescent="0.25">
      <c r="A53" s="612" t="s">
        <v>1174</v>
      </c>
      <c r="B53" s="301">
        <f>B44+B49</f>
        <v>0</v>
      </c>
      <c r="C53" s="301">
        <f>C45+C50+C41</f>
        <v>28885.599690000003</v>
      </c>
      <c r="D53" s="301">
        <f>D45+D50+D41</f>
        <v>-2129.7932696999947</v>
      </c>
      <c r="E53" s="610">
        <f>E45+E50+E41</f>
        <v>26755.806420300007</v>
      </c>
      <c r="F53" s="346"/>
      <c r="G53" s="1"/>
      <c r="H53" s="4"/>
      <c r="J53" s="279">
        <f>'BS  Notes  3-18'!G227-E53</f>
        <v>763.21220919999905</v>
      </c>
    </row>
    <row r="54" spans="1:10" x14ac:dyDescent="0.25">
      <c r="A54" s="609" t="s">
        <v>1643</v>
      </c>
      <c r="B54" s="334">
        <v>0</v>
      </c>
      <c r="C54" s="1184">
        <v>0</v>
      </c>
      <c r="D54" s="335">
        <f>PL!D26</f>
        <v>-5952.2399608000014</v>
      </c>
      <c r="E54" s="606">
        <f>SUM(B54:D54)</f>
        <v>-5952.2399608000014</v>
      </c>
      <c r="F54" s="346"/>
      <c r="G54" s="1"/>
      <c r="H54" s="4"/>
    </row>
    <row r="55" spans="1:10" hidden="1" x14ac:dyDescent="0.25">
      <c r="A55" s="609" t="s">
        <v>887</v>
      </c>
      <c r="B55" s="334">
        <f>'BS  Notes  3-18'!G242</f>
        <v>0</v>
      </c>
      <c r="C55" s="823">
        <v>0</v>
      </c>
      <c r="D55" s="335">
        <v>0</v>
      </c>
      <c r="E55" s="606">
        <f>SUM(B55:D55)</f>
        <v>0</v>
      </c>
      <c r="F55" s="346"/>
      <c r="G55" s="1"/>
      <c r="H55" s="4"/>
    </row>
    <row r="56" spans="1:10" x14ac:dyDescent="0.25">
      <c r="A56" s="609" t="s">
        <v>1399</v>
      </c>
      <c r="B56" s="334">
        <v>0</v>
      </c>
      <c r="C56" s="823">
        <v>0</v>
      </c>
      <c r="D56" s="335">
        <f>PL!D30+PL!D31</f>
        <v>7</v>
      </c>
      <c r="E56" s="606">
        <f>SUM(B56:D56)</f>
        <v>7</v>
      </c>
      <c r="F56" s="346"/>
      <c r="G56" s="1"/>
      <c r="H56" s="4"/>
    </row>
    <row r="57" spans="1:10" x14ac:dyDescent="0.25">
      <c r="A57" s="607" t="s">
        <v>381</v>
      </c>
      <c r="B57" s="301">
        <f>SUM(B54:B55)</f>
        <v>0</v>
      </c>
      <c r="C57" s="301">
        <f>SUM(C54:C55)</f>
        <v>0</v>
      </c>
      <c r="D57" s="301">
        <f>SUM(D54:D56)</f>
        <v>-5945.2399608000014</v>
      </c>
      <c r="E57" s="610">
        <f>SUM(E54:E56)</f>
        <v>-5945.2399608000014</v>
      </c>
      <c r="F57" s="346"/>
      <c r="G57" s="1"/>
      <c r="H57" s="4"/>
    </row>
    <row r="58" spans="1:10" ht="5.0999999999999996" customHeight="1" x14ac:dyDescent="0.25">
      <c r="A58" s="314"/>
      <c r="B58" s="1264"/>
      <c r="C58" s="1264"/>
      <c r="D58" s="1264"/>
      <c r="E58" s="1265"/>
      <c r="F58" s="346"/>
      <c r="G58" s="1"/>
      <c r="H58" s="4"/>
    </row>
    <row r="59" spans="1:10" x14ac:dyDescent="0.25">
      <c r="A59" s="314" t="s">
        <v>1684</v>
      </c>
      <c r="B59" s="1266"/>
      <c r="C59" s="1266"/>
      <c r="D59" s="1266"/>
      <c r="E59" s="1267"/>
      <c r="F59" s="346"/>
      <c r="G59" s="1"/>
      <c r="H59" s="4"/>
    </row>
    <row r="60" spans="1:10" ht="15.75" thickBot="1" x14ac:dyDescent="0.3">
      <c r="A60" s="822" t="s">
        <v>1685</v>
      </c>
      <c r="B60" s="1268">
        <v>0</v>
      </c>
      <c r="C60" s="1268">
        <f>'BS  Notes  3-18'!G236</f>
        <v>6708.8221700000004</v>
      </c>
      <c r="D60" s="1268">
        <v>0</v>
      </c>
      <c r="E60" s="1269">
        <f>SUM(B60:D60)</f>
        <v>6708.8221700000004</v>
      </c>
      <c r="F60" s="346"/>
      <c r="G60" s="1"/>
      <c r="H60" s="4"/>
    </row>
    <row r="61" spans="1:10" ht="15.75" thickBot="1" x14ac:dyDescent="0.3">
      <c r="A61" s="646" t="s">
        <v>1401</v>
      </c>
      <c r="B61" s="301">
        <f>B53+B57</f>
        <v>0</v>
      </c>
      <c r="C61" s="301">
        <f>C60</f>
        <v>6708.8221700000004</v>
      </c>
      <c r="D61" s="301">
        <f>D60</f>
        <v>0</v>
      </c>
      <c r="E61" s="610">
        <f>E60</f>
        <v>6708.8221700000004</v>
      </c>
      <c r="F61" s="346"/>
      <c r="G61" s="1"/>
      <c r="H61" s="4"/>
      <c r="J61" s="1191"/>
    </row>
    <row r="62" spans="1:10" hidden="1" x14ac:dyDescent="0.25">
      <c r="A62" s="314"/>
      <c r="B62" s="788"/>
      <c r="C62" s="345"/>
      <c r="D62" s="345"/>
      <c r="E62" s="346"/>
      <c r="F62" s="346"/>
      <c r="G62" s="1"/>
      <c r="H62" s="4"/>
    </row>
    <row r="63" spans="1:10" hidden="1" x14ac:dyDescent="0.25">
      <c r="A63" s="314"/>
      <c r="B63" s="788"/>
      <c r="C63" s="345"/>
      <c r="D63" s="345"/>
      <c r="E63" s="346"/>
      <c r="F63" s="346"/>
      <c r="G63" s="1"/>
      <c r="H63" s="4"/>
    </row>
    <row r="64" spans="1:10" x14ac:dyDescent="0.25">
      <c r="A64" s="612" t="s">
        <v>1552</v>
      </c>
      <c r="B64" s="301">
        <f>B56+B60</f>
        <v>0</v>
      </c>
      <c r="C64" s="301">
        <f>C57+C61+C53</f>
        <v>35594.421860000002</v>
      </c>
      <c r="D64" s="301">
        <f>D57+D61+D53</f>
        <v>-8075.0332304999956</v>
      </c>
      <c r="E64" s="610">
        <f>E57+E61+E53</f>
        <v>27519.388629500005</v>
      </c>
      <c r="F64" s="346"/>
      <c r="G64" s="1"/>
      <c r="H64" s="4"/>
      <c r="J64" s="279">
        <f>'BS  Notes  3-18'!G238-E64</f>
        <v>-27519.388629500005</v>
      </c>
    </row>
    <row r="65" spans="1:8" x14ac:dyDescent="0.25">
      <c r="A65" s="314"/>
      <c r="B65" s="788"/>
      <c r="C65" s="345"/>
      <c r="D65" s="345"/>
      <c r="E65" s="346"/>
      <c r="F65" s="346"/>
      <c r="G65" s="1"/>
      <c r="H65" s="4"/>
    </row>
    <row r="66" spans="1:8" x14ac:dyDescent="0.25">
      <c r="A66" s="613" t="s">
        <v>108</v>
      </c>
      <c r="B66" s="1686"/>
      <c r="C66" s="1093"/>
      <c r="D66" s="1093"/>
      <c r="E66" s="328"/>
      <c r="F66" s="328"/>
    </row>
    <row r="67" spans="1:8" x14ac:dyDescent="0.25">
      <c r="A67" s="614" t="s">
        <v>113</v>
      </c>
      <c r="B67" s="528"/>
      <c r="C67" s="1687"/>
      <c r="D67" s="1687"/>
      <c r="E67" s="328"/>
      <c r="F67" s="328"/>
    </row>
    <row r="68" spans="1:8" x14ac:dyDescent="0.25">
      <c r="A68" s="615"/>
      <c r="B68" s="1688"/>
      <c r="C68" s="1687"/>
      <c r="D68" s="1687"/>
      <c r="E68" s="328"/>
      <c r="F68" s="328"/>
    </row>
    <row r="69" spans="1:8" x14ac:dyDescent="0.25">
      <c r="A69" s="616" t="str">
        <f>BS!$A$66</f>
        <v>For B S R and Co</v>
      </c>
      <c r="B69" s="472"/>
      <c r="C69" s="471"/>
      <c r="D69" s="471" t="str">
        <f>'Cash Flow_FY26'!C108</f>
        <v xml:space="preserve">For and on behalf of Board of </v>
      </c>
      <c r="E69" s="58"/>
      <c r="F69" s="347"/>
    </row>
    <row r="70" spans="1:8" x14ac:dyDescent="0.25">
      <c r="A70" s="616" t="str">
        <f>BS!$A$67</f>
        <v>Chartered Accountants</v>
      </c>
      <c r="B70" s="472"/>
      <c r="C70" s="472"/>
      <c r="D70" s="472" t="str">
        <f>'Cash Flow_FY26'!C109</f>
        <v>BVC Specialities Private Limited</v>
      </c>
      <c r="E70" s="58"/>
      <c r="F70" s="347"/>
    </row>
    <row r="71" spans="1:8" x14ac:dyDescent="0.25">
      <c r="A71" s="617" t="str">
        <f>BS!$A$68</f>
        <v>Firm's Registration No: 128510W</v>
      </c>
      <c r="B71" s="1689"/>
      <c r="C71" s="471"/>
      <c r="D71" s="471" t="str">
        <f>'Cash Flow_FY26'!C110</f>
        <v>CIN : U24230GJ2021PTC123855</v>
      </c>
      <c r="E71" s="58"/>
      <c r="F71" s="347"/>
    </row>
    <row r="72" spans="1:8" x14ac:dyDescent="0.25">
      <c r="A72" s="618"/>
      <c r="B72" s="1690"/>
      <c r="C72" s="1687"/>
      <c r="D72" s="1687"/>
      <c r="E72" s="619"/>
      <c r="F72" s="347"/>
    </row>
    <row r="73" spans="1:8" x14ac:dyDescent="0.25">
      <c r="A73" s="615"/>
      <c r="B73" s="1688"/>
      <c r="C73" s="1687"/>
      <c r="D73" s="1687"/>
      <c r="E73" s="347"/>
      <c r="F73" s="347"/>
    </row>
    <row r="74" spans="1:8" x14ac:dyDescent="0.25">
      <c r="A74" s="620" t="str">
        <f>BS!$A$71</f>
        <v>Jeyur Shah</v>
      </c>
      <c r="B74" s="1691"/>
      <c r="C74" s="472"/>
      <c r="D74" s="472" t="str">
        <f>BS!D71</f>
        <v>Shishir Srivastava</v>
      </c>
      <c r="E74" s="619" t="str">
        <f>BS!E71</f>
        <v>Shaju Ouseph Chazhoor</v>
      </c>
      <c r="F74" s="348"/>
    </row>
    <row r="75" spans="1:8" x14ac:dyDescent="0.25">
      <c r="A75" s="620" t="str">
        <f>BS!$A$72</f>
        <v>Partner</v>
      </c>
      <c r="B75" s="1691"/>
      <c r="C75" s="472"/>
      <c r="D75" s="472" t="str">
        <f>BS!D72</f>
        <v>Director</v>
      </c>
      <c r="E75" s="619" t="str">
        <f>BS!E72</f>
        <v>Director</v>
      </c>
      <c r="F75" s="348"/>
    </row>
    <row r="76" spans="1:8" x14ac:dyDescent="0.25">
      <c r="A76" s="621" t="str">
        <f>BS!$A$73</f>
        <v>Membership No. 045754</v>
      </c>
      <c r="B76" s="1692"/>
      <c r="C76" s="471"/>
      <c r="D76" s="471" t="str">
        <f>BS!D73</f>
        <v>DIN: 00330342</v>
      </c>
      <c r="E76" s="352"/>
      <c r="F76" s="352"/>
    </row>
    <row r="77" spans="1:8" x14ac:dyDescent="0.25">
      <c r="A77" s="621"/>
      <c r="B77" s="1692"/>
      <c r="C77" s="471"/>
      <c r="D77" s="471"/>
      <c r="E77" s="352"/>
      <c r="F77" s="352"/>
    </row>
    <row r="78" spans="1:8" x14ac:dyDescent="0.25">
      <c r="A78" s="621"/>
      <c r="B78" s="1692"/>
      <c r="C78" s="471"/>
      <c r="D78" s="471"/>
      <c r="E78" s="352"/>
      <c r="F78" s="352"/>
    </row>
    <row r="79" spans="1:8" x14ac:dyDescent="0.25">
      <c r="A79" s="621"/>
      <c r="B79" s="1692"/>
      <c r="C79" s="471"/>
      <c r="D79" s="471"/>
      <c r="E79" s="352"/>
      <c r="F79" s="352"/>
    </row>
    <row r="80" spans="1:8" x14ac:dyDescent="0.25">
      <c r="A80" s="621"/>
      <c r="B80" s="1692"/>
      <c r="C80" s="471"/>
      <c r="D80" s="472" t="str">
        <f>'Cash Flow_FY26'!C118</f>
        <v>Ambrish Dixit</v>
      </c>
      <c r="E80" s="619" t="str">
        <f>'Cash Flow_FY26'!D118</f>
        <v>Mukesh Lodha</v>
      </c>
      <c r="F80" s="352"/>
    </row>
    <row r="81" spans="1:6" x14ac:dyDescent="0.25">
      <c r="A81" s="621"/>
      <c r="B81" s="1692"/>
      <c r="C81" s="471"/>
      <c r="D81" s="471" t="str">
        <f>'Cash Flow_FY26'!C119</f>
        <v>CEO</v>
      </c>
      <c r="E81" s="352" t="str">
        <f>'Cash Flow_FY26'!D119</f>
        <v>CFO</v>
      </c>
      <c r="F81" s="352"/>
    </row>
    <row r="82" spans="1:6" x14ac:dyDescent="0.25">
      <c r="A82" s="621"/>
      <c r="B82" s="1692"/>
      <c r="C82" s="471"/>
      <c r="D82" s="471"/>
      <c r="E82" s="352"/>
      <c r="F82" s="352"/>
    </row>
    <row r="83" spans="1:6" x14ac:dyDescent="0.25">
      <c r="A83" s="621"/>
      <c r="B83" s="1692"/>
      <c r="C83" s="471"/>
      <c r="D83" s="471"/>
      <c r="E83" s="352"/>
      <c r="F83" s="352"/>
    </row>
    <row r="84" spans="1:6" x14ac:dyDescent="0.25">
      <c r="A84" s="621"/>
      <c r="B84" s="1692"/>
      <c r="C84" s="471"/>
      <c r="D84" s="471"/>
      <c r="E84" s="352"/>
      <c r="F84" s="352"/>
    </row>
    <row r="85" spans="1:6" x14ac:dyDescent="0.25">
      <c r="A85" s="616" t="str">
        <f>BS!$A$82</f>
        <v>Place: Ahmedabad</v>
      </c>
      <c r="B85" s="472"/>
      <c r="C85" s="470"/>
      <c r="D85" s="472" t="str">
        <f>BS!D82</f>
        <v>Place: Vadodara</v>
      </c>
      <c r="E85" s="619" t="str">
        <f>BS!E82</f>
        <v>Place: Vadodara</v>
      </c>
      <c r="F85" s="60"/>
    </row>
    <row r="86" spans="1:6" ht="15.75" thickBot="1" x14ac:dyDescent="0.3">
      <c r="A86" s="622" t="str">
        <f>BS!$A$83</f>
        <v>Date: 17 July 2026</v>
      </c>
      <c r="B86" s="623"/>
      <c r="C86" s="41"/>
      <c r="D86" s="623" t="str">
        <f>BS!D83</f>
        <v>Date: 17 July 2026</v>
      </c>
      <c r="E86" s="624" t="str">
        <f>BS!E83</f>
        <v>Date: 17 July 2026</v>
      </c>
      <c r="F86" s="492"/>
    </row>
  </sheetData>
  <mergeCells count="5">
    <mergeCell ref="B26:B27"/>
    <mergeCell ref="A25:A27"/>
    <mergeCell ref="E25:E27"/>
    <mergeCell ref="B25:D25"/>
    <mergeCell ref="C26:D26"/>
  </mergeCells>
  <pageMargins left="0.70866141732283472" right="0.70866141732283472" top="0.74803149606299213" bottom="0.74803149606299213" header="0.31496062992125984" footer="0.31496062992125984"/>
  <pageSetup paperSize="9" scale="72" orientation="portrait" r:id="rId1"/>
  <headerFooter>
    <oddHeader>&amp;C&amp;G</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N182"/>
  <sheetViews>
    <sheetView showGridLines="0" view="pageBreakPreview" topLeftCell="C11" zoomScale="90" zoomScaleNormal="100" zoomScaleSheetLayoutView="90" workbookViewId="0">
      <selection activeCell="E17" sqref="E17"/>
    </sheetView>
  </sheetViews>
  <sheetFormatPr defaultRowHeight="15" x14ac:dyDescent="0.25"/>
  <cols>
    <col min="1" max="1" width="42.140625" customWidth="1"/>
    <col min="2" max="2" width="14.5703125" customWidth="1"/>
    <col min="3" max="3" width="15.85546875" customWidth="1"/>
    <col min="4" max="5" width="16.85546875" customWidth="1"/>
    <col min="6" max="6" width="17.85546875" customWidth="1"/>
    <col min="7" max="8" width="16.42578125" bestFit="1" customWidth="1"/>
    <col min="9" max="9" width="15.42578125" bestFit="1" customWidth="1"/>
    <col min="10" max="10" width="16.42578125" customWidth="1"/>
    <col min="11" max="12" width="16.42578125" bestFit="1" customWidth="1"/>
    <col min="13" max="13" width="16.5703125" bestFit="1" customWidth="1"/>
    <col min="14" max="14" width="14.140625" bestFit="1" customWidth="1"/>
  </cols>
  <sheetData>
    <row r="1" spans="1:12" x14ac:dyDescent="0.25">
      <c r="A1" s="19" t="str">
        <f>BS!A1</f>
        <v>BVC Specialities Private Limited</v>
      </c>
      <c r="B1" s="625"/>
      <c r="C1" s="625"/>
      <c r="D1" s="625"/>
      <c r="E1" s="625"/>
      <c r="F1" s="625"/>
      <c r="G1" s="625"/>
      <c r="H1" s="625"/>
      <c r="I1" s="55"/>
      <c r="J1" s="55"/>
      <c r="K1" s="56"/>
    </row>
    <row r="2" spans="1:12" x14ac:dyDescent="0.25">
      <c r="A2" s="57" t="s">
        <v>1667</v>
      </c>
      <c r="B2" s="42"/>
      <c r="C2" s="42"/>
      <c r="D2" s="42"/>
      <c r="E2" s="42"/>
      <c r="F2" s="42"/>
      <c r="G2" s="42"/>
      <c r="H2" s="5"/>
      <c r="I2" s="5"/>
      <c r="J2" s="5"/>
      <c r="K2" s="22"/>
    </row>
    <row r="3" spans="1:12" hidden="1" x14ac:dyDescent="0.25">
      <c r="A3" s="18"/>
      <c r="K3" s="58"/>
    </row>
    <row r="4" spans="1:12" x14ac:dyDescent="0.25">
      <c r="A4" s="27" t="s">
        <v>1234</v>
      </c>
      <c r="K4" s="22" t="str">
        <f>Input!$D$2</f>
        <v>(₹ in Lakh)</v>
      </c>
    </row>
    <row r="5" spans="1:12" x14ac:dyDescent="0.25">
      <c r="A5" s="626"/>
      <c r="B5" s="1831" t="s">
        <v>147</v>
      </c>
      <c r="C5" s="1832"/>
      <c r="D5" s="1832"/>
      <c r="E5" s="1831"/>
      <c r="F5" s="1833" t="s">
        <v>148</v>
      </c>
      <c r="G5" s="1831"/>
      <c r="H5" s="1831"/>
      <c r="I5" s="1834"/>
      <c r="J5" s="1833" t="s">
        <v>149</v>
      </c>
      <c r="K5" s="1844"/>
    </row>
    <row r="6" spans="1:12" x14ac:dyDescent="0.25">
      <c r="A6" s="627" t="s">
        <v>0</v>
      </c>
      <c r="B6" s="1845" t="s">
        <v>1551</v>
      </c>
      <c r="C6" s="1848" t="s">
        <v>533</v>
      </c>
      <c r="D6" s="1848" t="s">
        <v>534</v>
      </c>
      <c r="E6" s="1851" t="s">
        <v>1552</v>
      </c>
      <c r="F6" s="1845" t="str">
        <f>B6</f>
        <v>Balance as at 1 April 2025</v>
      </c>
      <c r="G6" s="1848" t="s">
        <v>533</v>
      </c>
      <c r="H6" s="1848" t="s">
        <v>534</v>
      </c>
      <c r="I6" s="1851" t="str">
        <f>E6</f>
        <v>Balance as at 31 March 2026</v>
      </c>
      <c r="J6" s="1851" t="str">
        <f>I6</f>
        <v>Balance as at 31 March 2026</v>
      </c>
      <c r="K6" s="1854" t="s">
        <v>1174</v>
      </c>
    </row>
    <row r="7" spans="1:12" x14ac:dyDescent="0.25">
      <c r="A7" s="628"/>
      <c r="B7" s="1846"/>
      <c r="C7" s="1849"/>
      <c r="D7" s="1849"/>
      <c r="E7" s="1852"/>
      <c r="F7" s="1846"/>
      <c r="G7" s="1849"/>
      <c r="H7" s="1849"/>
      <c r="I7" s="1852"/>
      <c r="J7" s="1852"/>
      <c r="K7" s="1855"/>
    </row>
    <row r="8" spans="1:12" x14ac:dyDescent="0.25">
      <c r="A8" s="629"/>
      <c r="B8" s="1847"/>
      <c r="C8" s="1850"/>
      <c r="D8" s="1850"/>
      <c r="E8" s="1853"/>
      <c r="F8" s="1847"/>
      <c r="G8" s="1850"/>
      <c r="H8" s="1850"/>
      <c r="I8" s="1853"/>
      <c r="J8" s="1853"/>
      <c r="K8" s="1856"/>
    </row>
    <row r="9" spans="1:12" x14ac:dyDescent="0.25">
      <c r="A9" s="630" t="s">
        <v>592</v>
      </c>
      <c r="B9" s="308"/>
      <c r="C9" s="309"/>
      <c r="D9" s="309"/>
      <c r="E9" s="308"/>
      <c r="F9" s="308"/>
      <c r="G9" s="309"/>
      <c r="H9" s="309"/>
      <c r="I9" s="308"/>
      <c r="J9" s="308"/>
      <c r="K9" s="631"/>
    </row>
    <row r="10" spans="1:12" x14ac:dyDescent="0.25">
      <c r="A10" s="632" t="s">
        <v>498</v>
      </c>
      <c r="B10" s="303">
        <f>E34</f>
        <v>935.99</v>
      </c>
      <c r="C10" s="303">
        <v>0</v>
      </c>
      <c r="D10" s="303">
        <v>0</v>
      </c>
      <c r="E10" s="303">
        <f t="shared" ref="E10:E18" si="0">(B10+C10)-D10</f>
        <v>935.99</v>
      </c>
      <c r="F10" s="303">
        <f>I34</f>
        <v>0</v>
      </c>
      <c r="G10" s="303">
        <v>0</v>
      </c>
      <c r="H10" s="303">
        <v>0</v>
      </c>
      <c r="I10" s="303">
        <f t="shared" ref="I10:I18" si="1">SUM(F10:H10)</f>
        <v>0</v>
      </c>
      <c r="J10" s="304">
        <f t="shared" ref="J10:J16" si="2">E10-I10</f>
        <v>935.99</v>
      </c>
      <c r="K10" s="633">
        <f t="shared" ref="K10:K15" si="3">B10-F10</f>
        <v>935.99</v>
      </c>
    </row>
    <row r="11" spans="1:12" x14ac:dyDescent="0.25">
      <c r="A11" s="632" t="s">
        <v>1151</v>
      </c>
      <c r="B11" s="303">
        <f t="shared" ref="B11:B16" si="4">E35</f>
        <v>14795.42</v>
      </c>
      <c r="C11" s="303">
        <f>593538.72/100000</f>
        <v>5.9353872000000001</v>
      </c>
      <c r="D11" s="303">
        <v>0</v>
      </c>
      <c r="E11" s="303">
        <f t="shared" si="0"/>
        <v>14801.355387199999</v>
      </c>
      <c r="F11" s="303">
        <f t="shared" ref="F11:F16" si="5">I35</f>
        <v>240</v>
      </c>
      <c r="G11" s="1209">
        <f>'TB BVS 31.03.26'!G161/100000-0.5</f>
        <v>570.416965</v>
      </c>
      <c r="H11" s="303">
        <v>0</v>
      </c>
      <c r="I11" s="303">
        <f t="shared" si="1"/>
        <v>810.416965</v>
      </c>
      <c r="J11" s="304">
        <f t="shared" si="2"/>
        <v>13990.938422199999</v>
      </c>
      <c r="K11" s="633">
        <f t="shared" si="3"/>
        <v>14555.42</v>
      </c>
    </row>
    <row r="12" spans="1:12" x14ac:dyDescent="0.25">
      <c r="A12" s="632" t="s">
        <v>728</v>
      </c>
      <c r="B12" s="303">
        <f t="shared" si="4"/>
        <v>33852.14</v>
      </c>
      <c r="C12" s="303">
        <f>24338032.2/100000</f>
        <v>243.38032200000001</v>
      </c>
      <c r="D12" s="303">
        <v>0</v>
      </c>
      <c r="E12" s="303">
        <f t="shared" si="0"/>
        <v>34095.520321999997</v>
      </c>
      <c r="F12" s="303">
        <f t="shared" si="5"/>
        <v>983</v>
      </c>
      <c r="G12" s="1209">
        <f>'TB BVS 31.03.26'!G162/100000</f>
        <v>2340.9066299000001</v>
      </c>
      <c r="H12" s="303">
        <v>0</v>
      </c>
      <c r="I12" s="303">
        <f t="shared" si="1"/>
        <v>3323.9066299000001</v>
      </c>
      <c r="J12" s="304">
        <f t="shared" si="2"/>
        <v>30771.613692099996</v>
      </c>
      <c r="K12" s="633">
        <f t="shared" si="3"/>
        <v>32869.14</v>
      </c>
    </row>
    <row r="13" spans="1:12" x14ac:dyDescent="0.25">
      <c r="A13" s="632" t="s">
        <v>1322</v>
      </c>
      <c r="B13" s="303">
        <f t="shared" si="4"/>
        <v>196</v>
      </c>
      <c r="C13" s="303">
        <v>0</v>
      </c>
      <c r="D13" s="303">
        <v>0</v>
      </c>
      <c r="E13" s="303">
        <f t="shared" si="0"/>
        <v>196</v>
      </c>
      <c r="F13" s="303">
        <f t="shared" si="5"/>
        <v>11</v>
      </c>
      <c r="G13" s="1209">
        <f>'TB BVS 31.03.26'!G165/100000</f>
        <v>37.231881099999903</v>
      </c>
      <c r="H13" s="303">
        <v>0</v>
      </c>
      <c r="I13" s="303">
        <f t="shared" si="1"/>
        <v>48.231881099999903</v>
      </c>
      <c r="J13" s="304">
        <f t="shared" si="2"/>
        <v>147.7681189000001</v>
      </c>
      <c r="K13" s="633">
        <f t="shared" si="3"/>
        <v>185</v>
      </c>
    </row>
    <row r="14" spans="1:12" x14ac:dyDescent="0.25">
      <c r="A14" s="632" t="s">
        <v>729</v>
      </c>
      <c r="B14" s="303">
        <f t="shared" si="4"/>
        <v>168.95</v>
      </c>
      <c r="C14" s="303">
        <v>0</v>
      </c>
      <c r="D14" s="303">
        <v>0</v>
      </c>
      <c r="E14" s="303">
        <f t="shared" si="0"/>
        <v>168.95</v>
      </c>
      <c r="F14" s="303">
        <f t="shared" si="5"/>
        <v>15.42</v>
      </c>
      <c r="G14" s="1209">
        <f>'TB BVS 31.03.26'!G163/100000</f>
        <v>36.132476600000004</v>
      </c>
      <c r="H14" s="303">
        <v>0</v>
      </c>
      <c r="I14" s="303">
        <f t="shared" si="1"/>
        <v>51.552476600000006</v>
      </c>
      <c r="J14" s="304">
        <f t="shared" si="2"/>
        <v>117.39752339999998</v>
      </c>
      <c r="K14" s="633">
        <f t="shared" si="3"/>
        <v>153.53</v>
      </c>
    </row>
    <row r="15" spans="1:12" x14ac:dyDescent="0.25">
      <c r="A15" s="632" t="s">
        <v>1347</v>
      </c>
      <c r="B15" s="303">
        <f t="shared" si="4"/>
        <v>206</v>
      </c>
      <c r="C15" s="303">
        <v>0</v>
      </c>
      <c r="D15" s="303">
        <v>0</v>
      </c>
      <c r="E15" s="303">
        <f t="shared" si="0"/>
        <v>206</v>
      </c>
      <c r="F15" s="303">
        <f t="shared" si="5"/>
        <v>6</v>
      </c>
      <c r="G15" s="1209">
        <f>'TB BVS 31.03.26'!G166/100000</f>
        <v>19.558192699999999</v>
      </c>
      <c r="H15" s="303">
        <v>0</v>
      </c>
      <c r="I15" s="303">
        <f t="shared" si="1"/>
        <v>25.558192699999999</v>
      </c>
      <c r="J15" s="304">
        <f t="shared" si="2"/>
        <v>180.44180729999999</v>
      </c>
      <c r="K15" s="633">
        <f t="shared" si="3"/>
        <v>200</v>
      </c>
    </row>
    <row r="16" spans="1:12" x14ac:dyDescent="0.25">
      <c r="A16" s="632" t="s">
        <v>1324</v>
      </c>
      <c r="B16" s="303">
        <f t="shared" si="4"/>
        <v>1335</v>
      </c>
      <c r="C16" s="303">
        <f>461110.11/100000</f>
        <v>4.6111011</v>
      </c>
      <c r="D16" s="303">
        <v>0</v>
      </c>
      <c r="E16" s="303">
        <f t="shared" si="0"/>
        <v>1339.6111011</v>
      </c>
      <c r="F16" s="303">
        <f t="shared" si="5"/>
        <v>39</v>
      </c>
      <c r="G16" s="1209">
        <f>'TB BVS 31.03.26'!G167/100000</f>
        <v>126.9455324</v>
      </c>
      <c r="H16" s="303">
        <v>0</v>
      </c>
      <c r="I16" s="303">
        <f t="shared" si="1"/>
        <v>165.94553239999999</v>
      </c>
      <c r="J16" s="304">
        <f t="shared" si="2"/>
        <v>1173.6655687</v>
      </c>
      <c r="K16" s="633">
        <f>B16-F16-1</f>
        <v>1295</v>
      </c>
      <c r="L16" s="279">
        <f>J17-J10+J27</f>
        <v>46411.007130000005</v>
      </c>
    </row>
    <row r="17" spans="1:13" x14ac:dyDescent="0.25">
      <c r="A17" s="253" t="s">
        <v>67</v>
      </c>
      <c r="B17" s="344">
        <f t="shared" ref="B17:K17" si="6">SUM(B10:B16)</f>
        <v>51489.5</v>
      </c>
      <c r="C17" s="344">
        <f t="shared" si="6"/>
        <v>253.92681030000003</v>
      </c>
      <c r="D17" s="344">
        <f t="shared" si="6"/>
        <v>0</v>
      </c>
      <c r="E17" s="344">
        <f t="shared" si="6"/>
        <v>51743.426810299992</v>
      </c>
      <c r="F17" s="344">
        <f t="shared" si="6"/>
        <v>1294.42</v>
      </c>
      <c r="G17" s="344">
        <f t="shared" si="6"/>
        <v>3131.1916776999997</v>
      </c>
      <c r="H17" s="344">
        <f t="shared" si="6"/>
        <v>0</v>
      </c>
      <c r="I17" s="344">
        <f t="shared" si="6"/>
        <v>4425.6116776999997</v>
      </c>
      <c r="J17" s="344">
        <f t="shared" si="6"/>
        <v>47317.815132600001</v>
      </c>
      <c r="K17" s="634">
        <f t="shared" si="6"/>
        <v>50194.080000000002</v>
      </c>
    </row>
    <row r="18" spans="1:13" x14ac:dyDescent="0.25">
      <c r="A18" s="253" t="s">
        <v>158</v>
      </c>
      <c r="B18" s="344">
        <f>E42</f>
        <v>0</v>
      </c>
      <c r="C18" s="344">
        <v>1403.3538228999996</v>
      </c>
      <c r="D18" s="344">
        <v>253.9268103</v>
      </c>
      <c r="E18" s="344">
        <f t="shared" si="0"/>
        <v>1149.4270125999997</v>
      </c>
      <c r="F18" s="344">
        <v>0</v>
      </c>
      <c r="G18" s="344">
        <v>0</v>
      </c>
      <c r="H18" s="344">
        <v>0</v>
      </c>
      <c r="I18" s="344">
        <f t="shared" si="1"/>
        <v>0</v>
      </c>
      <c r="J18" s="344">
        <f>E18-I18</f>
        <v>1149.4270125999997</v>
      </c>
      <c r="K18" s="634">
        <f>B18-F18</f>
        <v>0</v>
      </c>
    </row>
    <row r="19" spans="1:13" ht="5.0999999999999996" customHeight="1" x14ac:dyDescent="0.25">
      <c r="A19" s="635"/>
      <c r="B19" s="359"/>
      <c r="C19" s="280"/>
      <c r="D19" s="359"/>
      <c r="E19" s="280"/>
      <c r="F19" s="359"/>
      <c r="G19" s="280"/>
      <c r="H19" s="359"/>
      <c r="I19" s="359"/>
      <c r="J19" s="360"/>
      <c r="K19" s="283"/>
    </row>
    <row r="20" spans="1:13" x14ac:dyDescent="0.25">
      <c r="A20" s="630" t="s">
        <v>593</v>
      </c>
      <c r="B20" s="358"/>
      <c r="C20" s="280"/>
      <c r="D20" s="358"/>
      <c r="E20" s="280"/>
      <c r="F20" s="358"/>
      <c r="G20" s="280"/>
      <c r="H20" s="358"/>
      <c r="I20" s="358"/>
      <c r="J20" s="336"/>
      <c r="K20" s="283"/>
    </row>
    <row r="21" spans="1:13" x14ac:dyDescent="0.25">
      <c r="A21" s="1110" t="s">
        <v>456</v>
      </c>
      <c r="B21" s="303">
        <f>E45</f>
        <v>3244</v>
      </c>
      <c r="C21" s="303">
        <v>0</v>
      </c>
      <c r="D21" s="303">
        <v>0</v>
      </c>
      <c r="E21" s="303">
        <f>(B21+C21)-D21</f>
        <v>3244</v>
      </c>
      <c r="F21" s="303">
        <f>I45</f>
        <v>93</v>
      </c>
      <c r="G21" s="275">
        <f>'TB BVS 31.03.26'!G164/100000</f>
        <v>34.673342499999997</v>
      </c>
      <c r="H21" s="1228">
        <v>0</v>
      </c>
      <c r="I21" s="303">
        <f>SUM(F21:H21)</f>
        <v>127.67334249999999</v>
      </c>
      <c r="J21" s="304">
        <f>E21-I21</f>
        <v>3116.3266574999998</v>
      </c>
      <c r="K21" s="633">
        <f>B21-F21</f>
        <v>3151</v>
      </c>
      <c r="M21" s="190">
        <f>G21/10^2</f>
        <v>0.34673342499999998</v>
      </c>
    </row>
    <row r="22" spans="1:13" hidden="1" x14ac:dyDescent="0.25">
      <c r="A22" s="1110" t="s">
        <v>1553</v>
      </c>
      <c r="B22" s="303">
        <v>0</v>
      </c>
      <c r="C22" s="303">
        <v>0</v>
      </c>
      <c r="D22" s="303">
        <v>0</v>
      </c>
      <c r="E22" s="303">
        <f>(B22+C22)-D22</f>
        <v>0</v>
      </c>
      <c r="F22" s="303">
        <v>0</v>
      </c>
      <c r="G22" s="275">
        <v>0</v>
      </c>
      <c r="H22" s="1228">
        <v>0</v>
      </c>
      <c r="I22" s="303">
        <f>SUM(F22:H22)</f>
        <v>0</v>
      </c>
      <c r="J22" s="304">
        <f>E22-I22</f>
        <v>0</v>
      </c>
      <c r="K22" s="633">
        <f>B22-F22</f>
        <v>0</v>
      </c>
      <c r="M22" s="190"/>
    </row>
    <row r="23" spans="1:13" x14ac:dyDescent="0.25">
      <c r="A23" s="636" t="s">
        <v>594</v>
      </c>
      <c r="B23" s="344">
        <f>SUM(B21:B22)</f>
        <v>3244</v>
      </c>
      <c r="C23" s="344">
        <f t="shared" ref="C23:D23" si="7">SUM(C21:C22)</f>
        <v>0</v>
      </c>
      <c r="D23" s="344">
        <f t="shared" si="7"/>
        <v>0</v>
      </c>
      <c r="E23" s="344">
        <f>SUM(E21:E22)</f>
        <v>3244</v>
      </c>
      <c r="F23" s="344">
        <f t="shared" ref="F23:K23" si="8">SUM(F21:F22)</f>
        <v>93</v>
      </c>
      <c r="G23" s="344">
        <f t="shared" si="8"/>
        <v>34.673342499999997</v>
      </c>
      <c r="H23" s="344">
        <f t="shared" si="8"/>
        <v>0</v>
      </c>
      <c r="I23" s="344">
        <f t="shared" si="8"/>
        <v>127.67334249999999</v>
      </c>
      <c r="J23" s="344">
        <f t="shared" si="8"/>
        <v>3116.3266574999998</v>
      </c>
      <c r="K23" s="634">
        <f t="shared" si="8"/>
        <v>3151</v>
      </c>
    </row>
    <row r="24" spans="1:13" ht="3.95" customHeight="1" x14ac:dyDescent="0.25">
      <c r="A24" s="1033"/>
      <c r="B24" s="303"/>
      <c r="C24" s="303"/>
      <c r="D24" s="303"/>
      <c r="E24" s="303"/>
      <c r="F24" s="303"/>
      <c r="G24" s="303"/>
      <c r="H24" s="303"/>
      <c r="I24" s="303"/>
      <c r="J24" s="304"/>
      <c r="K24" s="633"/>
    </row>
    <row r="25" spans="1:13" x14ac:dyDescent="0.25">
      <c r="A25" s="630" t="s">
        <v>1345</v>
      </c>
      <c r="B25" s="303"/>
      <c r="C25" s="303"/>
      <c r="D25" s="303"/>
      <c r="E25" s="303"/>
      <c r="F25" s="303"/>
      <c r="G25" s="303"/>
      <c r="H25" s="303"/>
      <c r="I25" s="303"/>
      <c r="J25" s="304"/>
      <c r="K25" s="633"/>
    </row>
    <row r="26" spans="1:13" x14ac:dyDescent="0.25">
      <c r="A26" s="1233" t="s">
        <v>1346</v>
      </c>
      <c r="B26" s="303">
        <f>E49</f>
        <v>47</v>
      </c>
      <c r="C26" s="303">
        <v>0</v>
      </c>
      <c r="D26" s="303">
        <v>0</v>
      </c>
      <c r="E26" s="303">
        <f>SUM(B26:D26)</f>
        <v>47</v>
      </c>
      <c r="F26" s="303">
        <f>I49</f>
        <v>3</v>
      </c>
      <c r="G26" s="1209">
        <f>'TB BVS 31.03.26'!G168/100000</f>
        <v>14.8180026</v>
      </c>
      <c r="H26" s="303">
        <v>0</v>
      </c>
      <c r="I26" s="303">
        <f>(F26+G26)-H26</f>
        <v>17.8180026</v>
      </c>
      <c r="J26" s="304">
        <f>E26-I26</f>
        <v>29.1819974</v>
      </c>
      <c r="K26" s="633">
        <f>B26-F26</f>
        <v>44</v>
      </c>
    </row>
    <row r="27" spans="1:13" x14ac:dyDescent="0.25">
      <c r="A27" s="636" t="s">
        <v>67</v>
      </c>
      <c r="B27" s="344">
        <f>SUM(B26)</f>
        <v>47</v>
      </c>
      <c r="C27" s="344">
        <f t="shared" ref="C27:H27" si="9">SUM(C26)</f>
        <v>0</v>
      </c>
      <c r="D27" s="344">
        <f t="shared" si="9"/>
        <v>0</v>
      </c>
      <c r="E27" s="344">
        <f t="shared" si="9"/>
        <v>47</v>
      </c>
      <c r="F27" s="344">
        <f t="shared" si="9"/>
        <v>3</v>
      </c>
      <c r="G27" s="344">
        <f t="shared" si="9"/>
        <v>14.8180026</v>
      </c>
      <c r="H27" s="344">
        <f t="shared" si="9"/>
        <v>0</v>
      </c>
      <c r="I27" s="344">
        <f>SUM(I26)</f>
        <v>17.8180026</v>
      </c>
      <c r="J27" s="344">
        <f t="shared" ref="J27:K27" si="10">SUM(J26)</f>
        <v>29.1819974</v>
      </c>
      <c r="K27" s="634">
        <f t="shared" si="10"/>
        <v>44</v>
      </c>
    </row>
    <row r="28" spans="1:13" x14ac:dyDescent="0.25">
      <c r="A28" s="1599"/>
      <c r="B28" s="306"/>
      <c r="C28" s="306"/>
      <c r="D28" s="306"/>
      <c r="E28" s="306"/>
      <c r="F28" s="306"/>
      <c r="G28" s="306"/>
      <c r="H28" s="306"/>
      <c r="I28" s="306"/>
      <c r="J28" s="306"/>
      <c r="K28" s="1600"/>
    </row>
    <row r="29" spans="1:13" x14ac:dyDescent="0.25">
      <c r="A29" s="1433"/>
      <c r="B29" s="1840" t="s">
        <v>147</v>
      </c>
      <c r="C29" s="1841"/>
      <c r="D29" s="1841"/>
      <c r="E29" s="1840"/>
      <c r="F29" s="1842" t="s">
        <v>148</v>
      </c>
      <c r="G29" s="1840"/>
      <c r="H29" s="1840"/>
      <c r="I29" s="1843"/>
      <c r="J29" s="1842" t="s">
        <v>149</v>
      </c>
      <c r="K29" s="1857"/>
    </row>
    <row r="30" spans="1:13" x14ac:dyDescent="0.25">
      <c r="A30" s="627" t="s">
        <v>0</v>
      </c>
      <c r="B30" s="1845" t="s">
        <v>1176</v>
      </c>
      <c r="C30" s="1848" t="s">
        <v>533</v>
      </c>
      <c r="D30" s="1848" t="s">
        <v>534</v>
      </c>
      <c r="E30" s="1851" t="s">
        <v>1174</v>
      </c>
      <c r="F30" s="1845" t="str">
        <f>B30</f>
        <v>Balance as at 1 April 2024</v>
      </c>
      <c r="G30" s="1848" t="s">
        <v>533</v>
      </c>
      <c r="H30" s="1848" t="s">
        <v>534</v>
      </c>
      <c r="I30" s="1851" t="str">
        <f>E30</f>
        <v>Balance as at 31 March 2025</v>
      </c>
      <c r="J30" s="1851" t="str">
        <f>I30</f>
        <v>Balance as at 31 March 2025</v>
      </c>
      <c r="K30" s="1854" t="s">
        <v>715</v>
      </c>
    </row>
    <row r="31" spans="1:13" x14ac:dyDescent="0.25">
      <c r="A31" s="628"/>
      <c r="B31" s="1846"/>
      <c r="C31" s="1849"/>
      <c r="D31" s="1849"/>
      <c r="E31" s="1852"/>
      <c r="F31" s="1846"/>
      <c r="G31" s="1849"/>
      <c r="H31" s="1849"/>
      <c r="I31" s="1852"/>
      <c r="J31" s="1852"/>
      <c r="K31" s="1855"/>
    </row>
    <row r="32" spans="1:13" x14ac:dyDescent="0.25">
      <c r="A32" s="629"/>
      <c r="B32" s="1847"/>
      <c r="C32" s="1850"/>
      <c r="D32" s="1850"/>
      <c r="E32" s="1853"/>
      <c r="F32" s="1847"/>
      <c r="G32" s="1850"/>
      <c r="H32" s="1850"/>
      <c r="I32" s="1853"/>
      <c r="J32" s="1853"/>
      <c r="K32" s="1856"/>
    </row>
    <row r="33" spans="1:13" x14ac:dyDescent="0.25">
      <c r="A33" s="630" t="s">
        <v>592</v>
      </c>
      <c r="B33" s="308"/>
      <c r="C33" s="309"/>
      <c r="D33" s="309"/>
      <c r="E33" s="308"/>
      <c r="F33" s="308"/>
      <c r="G33" s="309"/>
      <c r="H33" s="309"/>
      <c r="I33" s="308"/>
      <c r="J33" s="308"/>
      <c r="K33" s="631"/>
    </row>
    <row r="34" spans="1:13" x14ac:dyDescent="0.25">
      <c r="A34" s="632" t="s">
        <v>498</v>
      </c>
      <c r="B34" s="303">
        <f>93599/100</f>
        <v>935.99</v>
      </c>
      <c r="C34" s="303">
        <v>0</v>
      </c>
      <c r="D34" s="303">
        <v>0</v>
      </c>
      <c r="E34" s="303">
        <f t="shared" ref="E34:E40" si="11">(B34+C34)-D34</f>
        <v>935.99</v>
      </c>
      <c r="F34" s="303">
        <v>0</v>
      </c>
      <c r="G34" s="303">
        <v>0</v>
      </c>
      <c r="H34" s="303">
        <v>0</v>
      </c>
      <c r="I34" s="303">
        <f t="shared" ref="I34:I40" si="12">SUM(F34:H34)</f>
        <v>0</v>
      </c>
      <c r="J34" s="304">
        <f t="shared" ref="J34:J39" si="13">E34-I34</f>
        <v>935.99</v>
      </c>
      <c r="K34" s="633">
        <f>B34-F34</f>
        <v>935.99</v>
      </c>
    </row>
    <row r="35" spans="1:13" x14ac:dyDescent="0.25">
      <c r="A35" s="632" t="s">
        <v>1151</v>
      </c>
      <c r="B35" s="303">
        <f>165422/100</f>
        <v>1654.22</v>
      </c>
      <c r="C35" s="303">
        <f>13141+0.2</f>
        <v>13141.2</v>
      </c>
      <c r="D35" s="303">
        <v>0</v>
      </c>
      <c r="E35" s="303">
        <f t="shared" si="11"/>
        <v>14795.42</v>
      </c>
      <c r="F35" s="303">
        <v>11</v>
      </c>
      <c r="G35" s="1209">
        <v>229</v>
      </c>
      <c r="H35" s="303">
        <v>0</v>
      </c>
      <c r="I35" s="303">
        <f t="shared" si="12"/>
        <v>240</v>
      </c>
      <c r="J35" s="304">
        <f t="shared" si="13"/>
        <v>14555.42</v>
      </c>
      <c r="K35" s="633">
        <f>B35-F35</f>
        <v>1643.22</v>
      </c>
    </row>
    <row r="36" spans="1:13" x14ac:dyDescent="0.25">
      <c r="A36" s="632" t="s">
        <v>728</v>
      </c>
      <c r="B36" s="303">
        <f>384414/100</f>
        <v>3844.14</v>
      </c>
      <c r="C36" s="303">
        <v>30008</v>
      </c>
      <c r="D36" s="303">
        <v>0</v>
      </c>
      <c r="E36" s="303">
        <f t="shared" si="11"/>
        <v>33852.14</v>
      </c>
      <c r="F36" s="303">
        <v>26</v>
      </c>
      <c r="G36" s="1209">
        <v>957</v>
      </c>
      <c r="H36" s="303">
        <v>0</v>
      </c>
      <c r="I36" s="303">
        <f t="shared" si="12"/>
        <v>983</v>
      </c>
      <c r="J36" s="304">
        <f t="shared" si="13"/>
        <v>32869.14</v>
      </c>
      <c r="K36" s="633">
        <f>B36-F36</f>
        <v>3818.14</v>
      </c>
    </row>
    <row r="37" spans="1:13" x14ac:dyDescent="0.25">
      <c r="A37" s="632" t="s">
        <v>1322</v>
      </c>
      <c r="B37" s="303">
        <v>0</v>
      </c>
      <c r="C37" s="303">
        <f>ROUND((19595727)/Input!$C$2,Input!$E$2)</f>
        <v>196</v>
      </c>
      <c r="D37" s="303">
        <v>0</v>
      </c>
      <c r="E37" s="303">
        <f t="shared" si="11"/>
        <v>196</v>
      </c>
      <c r="F37" s="303">
        <v>0</v>
      </c>
      <c r="G37" s="1209">
        <v>11</v>
      </c>
      <c r="H37" s="303">
        <v>0</v>
      </c>
      <c r="I37" s="303">
        <f t="shared" si="12"/>
        <v>11</v>
      </c>
      <c r="J37" s="304">
        <f t="shared" si="13"/>
        <v>185</v>
      </c>
      <c r="K37" s="633">
        <v>0</v>
      </c>
    </row>
    <row r="38" spans="1:13" x14ac:dyDescent="0.25">
      <c r="A38" s="632" t="s">
        <v>729</v>
      </c>
      <c r="B38" s="303">
        <f>195/100</f>
        <v>1.95</v>
      </c>
      <c r="C38" s="303">
        <f>ROUND((16707552.65)/Input!$C$2,Input!$E$2)</f>
        <v>167</v>
      </c>
      <c r="D38" s="303">
        <v>0</v>
      </c>
      <c r="E38" s="303">
        <f t="shared" si="11"/>
        <v>168.95</v>
      </c>
      <c r="F38" s="303">
        <v>0.42</v>
      </c>
      <c r="G38" s="1209">
        <v>15</v>
      </c>
      <c r="H38" s="303">
        <v>0</v>
      </c>
      <c r="I38" s="303">
        <f t="shared" si="12"/>
        <v>15.42</v>
      </c>
      <c r="J38" s="304">
        <f t="shared" si="13"/>
        <v>153.53</v>
      </c>
      <c r="K38" s="633">
        <f>B38-F38</f>
        <v>1.53</v>
      </c>
    </row>
    <row r="39" spans="1:13" x14ac:dyDescent="0.25">
      <c r="A39" s="632" t="s">
        <v>1347</v>
      </c>
      <c r="B39" s="303">
        <v>0</v>
      </c>
      <c r="C39" s="303">
        <f>ROUND((20587570.11)/Input!$C$2,Input!$E$2)</f>
        <v>206</v>
      </c>
      <c r="D39" s="303">
        <v>0</v>
      </c>
      <c r="E39" s="303">
        <f t="shared" si="11"/>
        <v>206</v>
      </c>
      <c r="F39" s="303">
        <v>0</v>
      </c>
      <c r="G39" s="1209">
        <v>6</v>
      </c>
      <c r="H39" s="303">
        <v>0</v>
      </c>
      <c r="I39" s="303">
        <f t="shared" si="12"/>
        <v>6</v>
      </c>
      <c r="J39" s="304">
        <f t="shared" si="13"/>
        <v>200</v>
      </c>
      <c r="K39" s="633">
        <v>0</v>
      </c>
    </row>
    <row r="40" spans="1:13" x14ac:dyDescent="0.25">
      <c r="A40" s="632" t="s">
        <v>1324</v>
      </c>
      <c r="B40" s="303">
        <v>0</v>
      </c>
      <c r="C40" s="303">
        <f>ROUND((133494755.59)/Input!$C$2,Input!$E$2)</f>
        <v>1335</v>
      </c>
      <c r="D40" s="303">
        <v>0</v>
      </c>
      <c r="E40" s="303">
        <f t="shared" si="11"/>
        <v>1335</v>
      </c>
      <c r="F40" s="303">
        <v>0</v>
      </c>
      <c r="G40" s="1209">
        <v>39</v>
      </c>
      <c r="H40" s="303">
        <v>0</v>
      </c>
      <c r="I40" s="303">
        <f t="shared" si="12"/>
        <v>39</v>
      </c>
      <c r="J40" s="304">
        <f>E40-I40-1</f>
        <v>1295</v>
      </c>
      <c r="K40" s="633">
        <v>0</v>
      </c>
    </row>
    <row r="41" spans="1:13" x14ac:dyDescent="0.25">
      <c r="A41" s="253" t="s">
        <v>67</v>
      </c>
      <c r="B41" s="344">
        <f t="shared" ref="B41:K41" si="14">SUM(B34:B40)</f>
        <v>6436.3</v>
      </c>
      <c r="C41" s="344">
        <f t="shared" si="14"/>
        <v>45053.2</v>
      </c>
      <c r="D41" s="344">
        <f t="shared" si="14"/>
        <v>0</v>
      </c>
      <c r="E41" s="344">
        <f t="shared" si="14"/>
        <v>51489.5</v>
      </c>
      <c r="F41" s="344">
        <f t="shared" si="14"/>
        <v>37.42</v>
      </c>
      <c r="G41" s="344">
        <f t="shared" si="14"/>
        <v>1257</v>
      </c>
      <c r="H41" s="344">
        <f t="shared" si="14"/>
        <v>0</v>
      </c>
      <c r="I41" s="344">
        <f t="shared" si="14"/>
        <v>1294.42</v>
      </c>
      <c r="J41" s="344">
        <f t="shared" si="14"/>
        <v>50194.080000000002</v>
      </c>
      <c r="K41" s="634">
        <f t="shared" si="14"/>
        <v>6398.88</v>
      </c>
    </row>
    <row r="42" spans="1:13" x14ac:dyDescent="0.25">
      <c r="A42" s="253" t="s">
        <v>158</v>
      </c>
      <c r="B42" s="344">
        <v>26248</v>
      </c>
      <c r="C42" s="344">
        <f>1923263.76852/100</f>
        <v>19232.637685199999</v>
      </c>
      <c r="D42" s="344">
        <f>4548092.49756997/100</f>
        <v>45480.924975699701</v>
      </c>
      <c r="E42" s="800">
        <v>0</v>
      </c>
      <c r="F42" s="344">
        <v>0</v>
      </c>
      <c r="G42" s="344">
        <v>0</v>
      </c>
      <c r="H42" s="344">
        <v>0</v>
      </c>
      <c r="I42" s="344">
        <v>0</v>
      </c>
      <c r="J42" s="344">
        <f>E42-I42</f>
        <v>0</v>
      </c>
      <c r="K42" s="634">
        <f>B42-F42</f>
        <v>26248</v>
      </c>
    </row>
    <row r="43" spans="1:13" ht="5.0999999999999996" customHeight="1" x14ac:dyDescent="0.25">
      <c r="A43" s="635"/>
      <c r="B43" s="359"/>
      <c r="C43" s="280"/>
      <c r="D43" s="359"/>
      <c r="E43" s="280"/>
      <c r="F43" s="359"/>
      <c r="G43" s="280"/>
      <c r="H43" s="359"/>
      <c r="I43" s="359"/>
      <c r="J43" s="360"/>
      <c r="K43" s="283"/>
    </row>
    <row r="44" spans="1:13" x14ac:dyDescent="0.25">
      <c r="A44" s="630" t="s">
        <v>593</v>
      </c>
      <c r="B44" s="358"/>
      <c r="C44" s="280"/>
      <c r="D44" s="358"/>
      <c r="E44" s="280"/>
      <c r="F44" s="358"/>
      <c r="G44" s="280"/>
      <c r="H44" s="358"/>
      <c r="I44" s="358"/>
      <c r="J44" s="336"/>
      <c r="K44" s="283"/>
    </row>
    <row r="45" spans="1:13" x14ac:dyDescent="0.25">
      <c r="A45" s="1110" t="s">
        <v>456</v>
      </c>
      <c r="B45" s="303">
        <v>3244</v>
      </c>
      <c r="C45" s="303">
        <v>0</v>
      </c>
      <c r="D45" s="303">
        <v>0</v>
      </c>
      <c r="E45" s="303">
        <f>(B45+C45)-D45</f>
        <v>3244</v>
      </c>
      <c r="F45" s="303">
        <v>58</v>
      </c>
      <c r="G45" s="275">
        <f>ROUND('TB BVS 31.03.26'!I164/Input!$C$2,Input!$E$2)</f>
        <v>35</v>
      </c>
      <c r="H45" s="1228">
        <v>0</v>
      </c>
      <c r="I45" s="303">
        <f>SUM(F45:H45)</f>
        <v>93</v>
      </c>
      <c r="J45" s="304">
        <f>E45-I45</f>
        <v>3151</v>
      </c>
      <c r="K45" s="633">
        <f>B45-F45</f>
        <v>3186</v>
      </c>
      <c r="M45" s="190">
        <f>G45/10^2</f>
        <v>0.35</v>
      </c>
    </row>
    <row r="46" spans="1:13" x14ac:dyDescent="0.25">
      <c r="A46" s="636" t="s">
        <v>594</v>
      </c>
      <c r="B46" s="344">
        <f t="shared" ref="B46:K46" si="15">SUM(B45)</f>
        <v>3244</v>
      </c>
      <c r="C46" s="344">
        <f t="shared" si="15"/>
        <v>0</v>
      </c>
      <c r="D46" s="344">
        <f t="shared" si="15"/>
        <v>0</v>
      </c>
      <c r="E46" s="344">
        <f t="shared" si="15"/>
        <v>3244</v>
      </c>
      <c r="F46" s="344">
        <f t="shared" si="15"/>
        <v>58</v>
      </c>
      <c r="G46" s="344">
        <f t="shared" si="15"/>
        <v>35</v>
      </c>
      <c r="H46" s="344">
        <f t="shared" si="15"/>
        <v>0</v>
      </c>
      <c r="I46" s="344">
        <f t="shared" si="15"/>
        <v>93</v>
      </c>
      <c r="J46" s="344">
        <f t="shared" si="15"/>
        <v>3151</v>
      </c>
      <c r="K46" s="634">
        <f t="shared" si="15"/>
        <v>3186</v>
      </c>
    </row>
    <row r="47" spans="1:13" ht="3.95" customHeight="1" x14ac:dyDescent="0.25">
      <c r="A47" s="1033"/>
      <c r="B47" s="303"/>
      <c r="C47" s="303"/>
      <c r="D47" s="303"/>
      <c r="E47" s="303"/>
      <c r="F47" s="303"/>
      <c r="G47" s="303"/>
      <c r="H47" s="303"/>
      <c r="I47" s="303"/>
      <c r="J47" s="304"/>
      <c r="K47" s="633"/>
    </row>
    <row r="48" spans="1:13" x14ac:dyDescent="0.25">
      <c r="A48" s="630" t="s">
        <v>1345</v>
      </c>
      <c r="B48" s="303"/>
      <c r="C48" s="303"/>
      <c r="D48" s="303"/>
      <c r="E48" s="303"/>
      <c r="F48" s="303"/>
      <c r="G48" s="303"/>
      <c r="H48" s="303"/>
      <c r="I48" s="303"/>
      <c r="J48" s="304"/>
      <c r="K48" s="633"/>
    </row>
    <row r="49" spans="1:11" x14ac:dyDescent="0.25">
      <c r="A49" s="1233" t="s">
        <v>1346</v>
      </c>
      <c r="B49" s="303">
        <f>E114</f>
        <v>0</v>
      </c>
      <c r="C49" s="303">
        <f>ROUND((4679369.24)/Input!$C$2,Input!$E$2)</f>
        <v>47</v>
      </c>
      <c r="D49" s="303">
        <v>0</v>
      </c>
      <c r="E49" s="303">
        <f>SUM(B49:D49)</f>
        <v>47</v>
      </c>
      <c r="F49" s="303">
        <f>I114</f>
        <v>0</v>
      </c>
      <c r="G49" s="1209">
        <v>3</v>
      </c>
      <c r="H49" s="303">
        <v>0</v>
      </c>
      <c r="I49" s="303">
        <f>(F49+G49)-H49</f>
        <v>3</v>
      </c>
      <c r="J49" s="304">
        <f>E49-I49</f>
        <v>44</v>
      </c>
      <c r="K49" s="633">
        <f>B49-F49</f>
        <v>0</v>
      </c>
    </row>
    <row r="50" spans="1:11" ht="15.75" thickBot="1" x14ac:dyDescent="0.3">
      <c r="A50" s="1697" t="s">
        <v>67</v>
      </c>
      <c r="B50" s="1698">
        <f>SUM(B49)</f>
        <v>0</v>
      </c>
      <c r="C50" s="1698">
        <f t="shared" ref="C50:K50" si="16">SUM(C49)</f>
        <v>47</v>
      </c>
      <c r="D50" s="1698">
        <f t="shared" si="16"/>
        <v>0</v>
      </c>
      <c r="E50" s="1698">
        <f t="shared" si="16"/>
        <v>47</v>
      </c>
      <c r="F50" s="1698">
        <f t="shared" si="16"/>
        <v>0</v>
      </c>
      <c r="G50" s="1698">
        <f t="shared" si="16"/>
        <v>3</v>
      </c>
      <c r="H50" s="1698">
        <f t="shared" si="16"/>
        <v>0</v>
      </c>
      <c r="I50" s="1698">
        <f>SUM(I49)</f>
        <v>3</v>
      </c>
      <c r="J50" s="1698">
        <f t="shared" si="16"/>
        <v>44</v>
      </c>
      <c r="K50" s="1699">
        <f t="shared" si="16"/>
        <v>0</v>
      </c>
    </row>
    <row r="51" spans="1:11" x14ac:dyDescent="0.25">
      <c r="A51" s="193"/>
      <c r="B51" s="1693"/>
      <c r="C51" s="1693"/>
      <c r="D51" s="1693"/>
      <c r="E51" s="1693"/>
      <c r="F51" s="1693"/>
      <c r="G51" s="1693"/>
      <c r="H51" s="1693"/>
      <c r="I51" s="1693"/>
      <c r="J51" s="1694"/>
      <c r="K51" s="1695"/>
    </row>
    <row r="52" spans="1:11" x14ac:dyDescent="0.25">
      <c r="A52" s="27" t="s">
        <v>1554</v>
      </c>
      <c r="B52" s="131"/>
      <c r="C52" s="131"/>
      <c r="D52" s="131"/>
      <c r="E52" s="131"/>
      <c r="F52" s="264" t="str">
        <f>Input!$D$2</f>
        <v>(₹ in Lakh)</v>
      </c>
      <c r="G52" s="131"/>
      <c r="H52" s="131"/>
      <c r="I52" s="131"/>
      <c r="J52" s="8"/>
      <c r="K52" s="637"/>
    </row>
    <row r="53" spans="1:11" x14ac:dyDescent="0.25">
      <c r="A53" s="1826" t="s">
        <v>527</v>
      </c>
      <c r="B53" s="1828" t="s">
        <v>528</v>
      </c>
      <c r="C53" s="1828"/>
      <c r="D53" s="1828"/>
      <c r="E53" s="1828"/>
      <c r="F53" s="1829" t="s">
        <v>67</v>
      </c>
      <c r="G53" s="131"/>
      <c r="H53" s="131"/>
      <c r="I53" s="131"/>
      <c r="J53" s="8"/>
      <c r="K53" s="637"/>
    </row>
    <row r="54" spans="1:11" x14ac:dyDescent="0.25">
      <c r="A54" s="1827"/>
      <c r="B54" s="464" t="s">
        <v>345</v>
      </c>
      <c r="C54" s="464" t="s">
        <v>529</v>
      </c>
      <c r="D54" s="464" t="s">
        <v>530</v>
      </c>
      <c r="E54" s="464" t="s">
        <v>531</v>
      </c>
      <c r="F54" s="1830"/>
      <c r="G54" s="131"/>
      <c r="H54" s="131"/>
      <c r="I54" s="131"/>
      <c r="J54" s="8"/>
      <c r="K54" s="637"/>
    </row>
    <row r="55" spans="1:11" x14ac:dyDescent="0.25">
      <c r="A55" s="18" t="s">
        <v>532</v>
      </c>
      <c r="B55" s="275">
        <f>114062452/100000+880309/100000</f>
        <v>1149.4276100000002</v>
      </c>
      <c r="C55" s="275">
        <v>0</v>
      </c>
      <c r="D55" s="275">
        <f>ROUND(0/Input!$C$2,Input!$E$2)</f>
        <v>0</v>
      </c>
      <c r="E55" s="275">
        <v>0</v>
      </c>
      <c r="F55" s="305">
        <f>SUM(B55:E55)</f>
        <v>1149.4276100000002</v>
      </c>
      <c r="G55" s="131"/>
      <c r="H55" s="131"/>
      <c r="I55" s="131"/>
      <c r="J55" s="8"/>
      <c r="K55" s="637"/>
    </row>
    <row r="56" spans="1:11" x14ac:dyDescent="0.25">
      <c r="A56" s="638" t="s">
        <v>67</v>
      </c>
      <c r="B56" s="306">
        <f>SUM(B55:B55)</f>
        <v>1149.4276100000002</v>
      </c>
      <c r="C56" s="306">
        <f>SUM(C55:C55)</f>
        <v>0</v>
      </c>
      <c r="D56" s="306">
        <f>SUM(D55:D55)</f>
        <v>0</v>
      </c>
      <c r="E56" s="306">
        <f>SUM(E55:E55)</f>
        <v>0</v>
      </c>
      <c r="F56" s="307">
        <f>SUM(F55:F55)</f>
        <v>1149.4276100000002</v>
      </c>
      <c r="G56" s="131"/>
      <c r="H56" s="131"/>
      <c r="I56" s="131"/>
      <c r="J56" s="8"/>
      <c r="K56" s="637"/>
    </row>
    <row r="57" spans="1:11" x14ac:dyDescent="0.25">
      <c r="A57" s="27"/>
      <c r="K57" s="49"/>
    </row>
    <row r="58" spans="1:11" x14ac:dyDescent="0.25">
      <c r="A58" s="1032" t="s">
        <v>1074</v>
      </c>
      <c r="B58" s="280"/>
      <c r="C58" s="280"/>
      <c r="D58" s="280"/>
      <c r="E58" s="280"/>
      <c r="F58" s="1696" t="str">
        <f>Input!$D$2</f>
        <v>(₹ in Lakh)</v>
      </c>
      <c r="K58" s="49"/>
    </row>
    <row r="59" spans="1:11" x14ac:dyDescent="0.25">
      <c r="A59" s="1835" t="s">
        <v>527</v>
      </c>
      <c r="B59" s="1837" t="s">
        <v>1075</v>
      </c>
      <c r="C59" s="1837"/>
      <c r="D59" s="1837"/>
      <c r="E59" s="1837"/>
      <c r="F59" s="1838" t="s">
        <v>67</v>
      </c>
      <c r="K59" s="49"/>
    </row>
    <row r="60" spans="1:11" x14ac:dyDescent="0.25">
      <c r="A60" s="1836"/>
      <c r="B60" s="801" t="s">
        <v>345</v>
      </c>
      <c r="C60" s="801" t="s">
        <v>529</v>
      </c>
      <c r="D60" s="801" t="s">
        <v>530</v>
      </c>
      <c r="E60" s="801" t="s">
        <v>531</v>
      </c>
      <c r="F60" s="1839"/>
      <c r="K60" s="49"/>
    </row>
    <row r="61" spans="1:11" x14ac:dyDescent="0.25">
      <c r="A61" s="1033" t="s">
        <v>532</v>
      </c>
      <c r="F61" s="1111"/>
      <c r="K61" s="49"/>
    </row>
    <row r="62" spans="1:11" x14ac:dyDescent="0.25">
      <c r="A62" s="1646" t="s">
        <v>1738</v>
      </c>
      <c r="B62" s="208">
        <v>34.527088200000001</v>
      </c>
      <c r="C62" s="7">
        <v>0</v>
      </c>
      <c r="D62" s="7">
        <v>0</v>
      </c>
      <c r="E62" s="7">
        <v>0</v>
      </c>
      <c r="F62" s="1648">
        <f>SUM(B62:E62)</f>
        <v>34.527088200000001</v>
      </c>
      <c r="K62" s="49"/>
    </row>
    <row r="63" spans="1:11" x14ac:dyDescent="0.25">
      <c r="A63" s="1646" t="s">
        <v>1739</v>
      </c>
      <c r="B63" s="208">
        <v>13.5885107</v>
      </c>
      <c r="C63" s="7">
        <v>0</v>
      </c>
      <c r="D63" s="7">
        <v>0</v>
      </c>
      <c r="E63" s="7">
        <v>0</v>
      </c>
      <c r="F63" s="1648">
        <f t="shared" ref="F63:F83" si="17">SUM(B63:E63)</f>
        <v>13.5885107</v>
      </c>
      <c r="K63" s="49"/>
    </row>
    <row r="64" spans="1:11" x14ac:dyDescent="0.25">
      <c r="A64" s="1646" t="s">
        <v>1740</v>
      </c>
      <c r="B64" s="208">
        <v>20.391015100000001</v>
      </c>
      <c r="C64" s="7">
        <v>0</v>
      </c>
      <c r="D64" s="7">
        <v>0</v>
      </c>
      <c r="E64" s="7">
        <v>0</v>
      </c>
      <c r="F64" s="1648">
        <f t="shared" si="17"/>
        <v>20.391015100000001</v>
      </c>
      <c r="K64" s="49"/>
    </row>
    <row r="65" spans="1:11" x14ac:dyDescent="0.25">
      <c r="A65" s="1646" t="s">
        <v>1741</v>
      </c>
      <c r="B65" s="208">
        <v>166.34044980000002</v>
      </c>
      <c r="C65" s="7">
        <v>0</v>
      </c>
      <c r="D65" s="7">
        <v>0</v>
      </c>
      <c r="E65" s="7">
        <v>0</v>
      </c>
      <c r="F65" s="1648">
        <f t="shared" si="17"/>
        <v>166.34044980000002</v>
      </c>
      <c r="K65" s="49"/>
    </row>
    <row r="66" spans="1:11" x14ac:dyDescent="0.25">
      <c r="A66" s="1646" t="s">
        <v>1742</v>
      </c>
      <c r="B66" s="208">
        <v>19.443311599999998</v>
      </c>
      <c r="C66" s="7">
        <v>0</v>
      </c>
      <c r="D66" s="7">
        <v>0</v>
      </c>
      <c r="E66" s="7">
        <v>0</v>
      </c>
      <c r="F66" s="1648">
        <f t="shared" si="17"/>
        <v>19.443311599999998</v>
      </c>
      <c r="K66" s="49"/>
    </row>
    <row r="67" spans="1:11" x14ac:dyDescent="0.25">
      <c r="A67" s="1646" t="s">
        <v>1743</v>
      </c>
      <c r="B67" s="208">
        <v>18.717600000000001</v>
      </c>
      <c r="C67" s="7">
        <v>0</v>
      </c>
      <c r="D67" s="7">
        <v>0</v>
      </c>
      <c r="E67" s="7">
        <v>0</v>
      </c>
      <c r="F67" s="1648">
        <f t="shared" si="17"/>
        <v>18.717600000000001</v>
      </c>
      <c r="K67" s="49"/>
    </row>
    <row r="68" spans="1:11" x14ac:dyDescent="0.25">
      <c r="A68" s="1646" t="s">
        <v>1744</v>
      </c>
      <c r="B68" s="208">
        <v>54.924558899999994</v>
      </c>
      <c r="C68" s="7">
        <v>0</v>
      </c>
      <c r="D68" s="7">
        <v>0</v>
      </c>
      <c r="E68" s="7">
        <v>0</v>
      </c>
      <c r="F68" s="1648">
        <f t="shared" si="17"/>
        <v>54.924558899999994</v>
      </c>
      <c r="K68" s="49"/>
    </row>
    <row r="69" spans="1:11" x14ac:dyDescent="0.25">
      <c r="A69" s="1646" t="s">
        <v>1745</v>
      </c>
      <c r="B69" s="208">
        <v>16.5359722</v>
      </c>
      <c r="C69" s="7">
        <v>0</v>
      </c>
      <c r="D69" s="7">
        <v>0</v>
      </c>
      <c r="E69" s="7">
        <v>0</v>
      </c>
      <c r="F69" s="1648">
        <f t="shared" si="17"/>
        <v>16.5359722</v>
      </c>
      <c r="K69" s="49"/>
    </row>
    <row r="70" spans="1:11" x14ac:dyDescent="0.25">
      <c r="A70" s="1646" t="s">
        <v>1746</v>
      </c>
      <c r="B70" s="208">
        <v>80.617371200000008</v>
      </c>
      <c r="C70" s="7">
        <v>0</v>
      </c>
      <c r="D70" s="7">
        <v>0</v>
      </c>
      <c r="E70" s="7">
        <v>0</v>
      </c>
      <c r="F70" s="1648">
        <f t="shared" si="17"/>
        <v>80.617371200000008</v>
      </c>
      <c r="K70" s="49"/>
    </row>
    <row r="71" spans="1:11" x14ac:dyDescent="0.25">
      <c r="A71" s="1646" t="s">
        <v>1747</v>
      </c>
      <c r="B71" s="208">
        <v>64.6608698</v>
      </c>
      <c r="C71" s="7">
        <v>0</v>
      </c>
      <c r="D71" s="7">
        <v>0</v>
      </c>
      <c r="E71" s="7">
        <v>0</v>
      </c>
      <c r="F71" s="1648">
        <f t="shared" si="17"/>
        <v>64.6608698</v>
      </c>
      <c r="K71" s="49"/>
    </row>
    <row r="72" spans="1:11" x14ac:dyDescent="0.25">
      <c r="A72" s="1646" t="s">
        <v>1748</v>
      </c>
      <c r="B72" s="208">
        <v>59.246839699999995</v>
      </c>
      <c r="C72" s="7">
        <v>0</v>
      </c>
      <c r="D72" s="7">
        <v>0</v>
      </c>
      <c r="E72" s="7">
        <v>0</v>
      </c>
      <c r="F72" s="1648">
        <f t="shared" si="17"/>
        <v>59.246839699999995</v>
      </c>
      <c r="K72" s="49"/>
    </row>
    <row r="73" spans="1:11" x14ac:dyDescent="0.25">
      <c r="A73" s="1646" t="s">
        <v>1749</v>
      </c>
      <c r="B73" s="208">
        <v>18.927676200000001</v>
      </c>
      <c r="C73" s="7">
        <v>0</v>
      </c>
      <c r="D73" s="7">
        <v>0</v>
      </c>
      <c r="E73" s="7">
        <v>0</v>
      </c>
      <c r="F73" s="1648">
        <f t="shared" si="17"/>
        <v>18.927676200000001</v>
      </c>
      <c r="K73" s="49"/>
    </row>
    <row r="74" spans="1:11" x14ac:dyDescent="0.25">
      <c r="A74" s="1646" t="s">
        <v>1750</v>
      </c>
      <c r="B74" s="208">
        <v>26.7004698</v>
      </c>
      <c r="C74" s="7">
        <v>0</v>
      </c>
      <c r="D74" s="7">
        <v>0</v>
      </c>
      <c r="E74" s="7">
        <v>0</v>
      </c>
      <c r="F74" s="1648">
        <f t="shared" si="17"/>
        <v>26.7004698</v>
      </c>
      <c r="K74" s="49"/>
    </row>
    <row r="75" spans="1:11" x14ac:dyDescent="0.25">
      <c r="A75" s="1646" t="s">
        <v>1751</v>
      </c>
      <c r="B75" s="208">
        <v>79.9457393</v>
      </c>
      <c r="C75" s="7">
        <v>0</v>
      </c>
      <c r="D75" s="7">
        <v>0</v>
      </c>
      <c r="E75" s="7">
        <v>0</v>
      </c>
      <c r="F75" s="1648">
        <f t="shared" si="17"/>
        <v>79.9457393</v>
      </c>
      <c r="K75" s="49"/>
    </row>
    <row r="76" spans="1:11" x14ac:dyDescent="0.25">
      <c r="A76" s="1646" t="s">
        <v>1752</v>
      </c>
      <c r="B76" s="208">
        <v>10.165423299999999</v>
      </c>
      <c r="C76" s="7">
        <v>0</v>
      </c>
      <c r="D76" s="7">
        <v>0</v>
      </c>
      <c r="E76" s="7">
        <v>0</v>
      </c>
      <c r="F76" s="1648">
        <f t="shared" si="17"/>
        <v>10.165423299999999</v>
      </c>
      <c r="K76" s="49"/>
    </row>
    <row r="77" spans="1:11" x14ac:dyDescent="0.25">
      <c r="A77" s="1646" t="s">
        <v>1753</v>
      </c>
      <c r="B77" s="208">
        <v>18.301851799999998</v>
      </c>
      <c r="C77" s="7">
        <v>0</v>
      </c>
      <c r="D77" s="7">
        <v>0</v>
      </c>
      <c r="E77" s="7">
        <v>0</v>
      </c>
      <c r="F77" s="1648">
        <f t="shared" si="17"/>
        <v>18.301851799999998</v>
      </c>
      <c r="K77" s="49"/>
    </row>
    <row r="78" spans="1:11" x14ac:dyDescent="0.25">
      <c r="A78" s="1646" t="s">
        <v>1754</v>
      </c>
      <c r="B78" s="208">
        <v>14.789563899999999</v>
      </c>
      <c r="C78" s="7">
        <v>0</v>
      </c>
      <c r="D78" s="7">
        <v>0</v>
      </c>
      <c r="E78" s="7">
        <v>0</v>
      </c>
      <c r="F78" s="1648">
        <f t="shared" si="17"/>
        <v>14.789563899999999</v>
      </c>
      <c r="K78" s="49"/>
    </row>
    <row r="79" spans="1:11" x14ac:dyDescent="0.25">
      <c r="A79" s="1646" t="s">
        <v>1755</v>
      </c>
      <c r="B79" s="208">
        <v>13.7882228</v>
      </c>
      <c r="C79" s="7">
        <v>0</v>
      </c>
      <c r="D79" s="7">
        <v>0</v>
      </c>
      <c r="E79" s="7">
        <v>0</v>
      </c>
      <c r="F79" s="1648">
        <f t="shared" si="17"/>
        <v>13.7882228</v>
      </c>
      <c r="K79" s="49"/>
    </row>
    <row r="80" spans="1:11" x14ac:dyDescent="0.25">
      <c r="A80" s="1646" t="s">
        <v>1756</v>
      </c>
      <c r="B80" s="208">
        <v>62.0107</v>
      </c>
      <c r="C80" s="7">
        <v>0</v>
      </c>
      <c r="D80" s="7">
        <v>0</v>
      </c>
      <c r="E80" s="7">
        <v>0</v>
      </c>
      <c r="F80" s="1648">
        <f t="shared" si="17"/>
        <v>62.0107</v>
      </c>
      <c r="K80" s="49"/>
    </row>
    <row r="81" spans="1:13" x14ac:dyDescent="0.25">
      <c r="A81" s="1646" t="s">
        <v>1757</v>
      </c>
      <c r="B81" s="208">
        <v>63.647500000000001</v>
      </c>
      <c r="C81" s="7">
        <v>0</v>
      </c>
      <c r="D81" s="7">
        <v>0</v>
      </c>
      <c r="E81" s="7">
        <v>0</v>
      </c>
      <c r="F81" s="1648">
        <f t="shared" si="17"/>
        <v>63.647500000000001</v>
      </c>
      <c r="K81" s="49"/>
    </row>
    <row r="82" spans="1:13" x14ac:dyDescent="0.25">
      <c r="A82" s="18" t="s">
        <v>1758</v>
      </c>
      <c r="B82" s="208">
        <v>47.0975854</v>
      </c>
      <c r="C82" s="7">
        <v>0</v>
      </c>
      <c r="D82" s="7">
        <v>0</v>
      </c>
      <c r="E82" s="7">
        <v>0</v>
      </c>
      <c r="F82" s="1648">
        <f t="shared" si="17"/>
        <v>47.0975854</v>
      </c>
      <c r="K82" s="49"/>
    </row>
    <row r="83" spans="1:13" x14ac:dyDescent="0.25">
      <c r="A83" s="18" t="s">
        <v>406</v>
      </c>
      <c r="B83" s="208">
        <v>138</v>
      </c>
      <c r="C83" s="7"/>
      <c r="D83" s="7"/>
      <c r="E83" s="7"/>
      <c r="F83" s="1648">
        <f t="shared" si="17"/>
        <v>138</v>
      </c>
      <c r="K83" s="49"/>
    </row>
    <row r="84" spans="1:13" x14ac:dyDescent="0.25">
      <c r="A84" s="1034" t="s">
        <v>67</v>
      </c>
      <c r="B84" s="496">
        <f>SUM(B62:B83)</f>
        <v>1042.3683197</v>
      </c>
      <c r="C84" s="496">
        <f>SUM(C57:C82)</f>
        <v>0</v>
      </c>
      <c r="D84" s="496">
        <f>SUM(D57:D82)</f>
        <v>0</v>
      </c>
      <c r="E84" s="496">
        <f>SUM(E57:E82)</f>
        <v>0</v>
      </c>
      <c r="F84" s="803">
        <f>SUM(F62:F83)</f>
        <v>1042.3683197</v>
      </c>
      <c r="K84" s="49"/>
    </row>
    <row r="85" spans="1:13" hidden="1" x14ac:dyDescent="0.25">
      <c r="A85" s="27"/>
      <c r="K85" s="49"/>
    </row>
    <row r="86" spans="1:13" ht="4.5" hidden="1" customHeight="1" x14ac:dyDescent="0.25">
      <c r="A86" s="27"/>
      <c r="K86" s="22"/>
    </row>
    <row r="87" spans="1:13" hidden="1" x14ac:dyDescent="0.25">
      <c r="A87" s="626"/>
      <c r="B87" s="1831" t="s">
        <v>147</v>
      </c>
      <c r="C87" s="1832"/>
      <c r="D87" s="1832"/>
      <c r="E87" s="1831"/>
      <c r="F87" s="1833" t="s">
        <v>148</v>
      </c>
      <c r="G87" s="1831"/>
      <c r="H87" s="1831"/>
      <c r="I87" s="1834"/>
      <c r="J87" s="1833" t="s">
        <v>149</v>
      </c>
      <c r="K87" s="1844"/>
    </row>
    <row r="88" spans="1:13" ht="15" hidden="1" customHeight="1" x14ac:dyDescent="0.25">
      <c r="A88" s="627" t="s">
        <v>0</v>
      </c>
      <c r="B88" s="1845" t="str">
        <f>CONCATENATE("Balance as at ",Input!$D$5)</f>
        <v>Balance as at 1 April 2023</v>
      </c>
      <c r="C88" s="1848" t="s">
        <v>533</v>
      </c>
      <c r="D88" s="1848" t="s">
        <v>534</v>
      </c>
      <c r="E88" s="1851" t="str">
        <f>CONCATENATE("Balance as at ",Input!$C$4)</f>
        <v>Balance as at 31 March 2024</v>
      </c>
      <c r="F88" s="1845" t="str">
        <f>B88</f>
        <v>Balance as at 1 April 2023</v>
      </c>
      <c r="G88" s="1848" t="s">
        <v>533</v>
      </c>
      <c r="H88" s="1848" t="s">
        <v>534</v>
      </c>
      <c r="I88" s="1851" t="str">
        <f>E88</f>
        <v>Balance as at 31 March 2024</v>
      </c>
      <c r="J88" s="1851" t="str">
        <f>CONCATENATE("Balance as at ",Input!$C$4)</f>
        <v>Balance as at 31 March 2024</v>
      </c>
      <c r="K88" s="1854" t="str">
        <f>CONCATENATE("Balance as at ",Input!$C$5)</f>
        <v>Balance as at 31 March 2023</v>
      </c>
    </row>
    <row r="89" spans="1:13" hidden="1" x14ac:dyDescent="0.25">
      <c r="A89" s="628"/>
      <c r="B89" s="1846"/>
      <c r="C89" s="1849"/>
      <c r="D89" s="1849"/>
      <c r="E89" s="1852"/>
      <c r="F89" s="1846"/>
      <c r="G89" s="1849"/>
      <c r="H89" s="1849"/>
      <c r="I89" s="1852"/>
      <c r="J89" s="1852"/>
      <c r="K89" s="1855"/>
    </row>
    <row r="90" spans="1:13" hidden="1" x14ac:dyDescent="0.25">
      <c r="A90" s="629"/>
      <c r="B90" s="1847"/>
      <c r="C90" s="1850"/>
      <c r="D90" s="1850"/>
      <c r="E90" s="1853"/>
      <c r="F90" s="1847"/>
      <c r="G90" s="1850"/>
      <c r="H90" s="1850"/>
      <c r="I90" s="1853"/>
      <c r="J90" s="1853"/>
      <c r="K90" s="1856"/>
    </row>
    <row r="91" spans="1:13" hidden="1" x14ac:dyDescent="0.25">
      <c r="A91" s="630" t="s">
        <v>592</v>
      </c>
      <c r="B91" s="308"/>
      <c r="C91" s="309"/>
      <c r="D91" s="309"/>
      <c r="E91" s="308"/>
      <c r="F91" s="308"/>
      <c r="G91" s="309"/>
      <c r="H91" s="309"/>
      <c r="I91" s="308"/>
      <c r="J91" s="308"/>
      <c r="K91" s="631"/>
    </row>
    <row r="92" spans="1:13" hidden="1" x14ac:dyDescent="0.25">
      <c r="A92" s="632" t="s">
        <v>498</v>
      </c>
      <c r="B92" s="303">
        <f>E121</f>
        <v>929</v>
      </c>
      <c r="C92" s="303">
        <f>ROUND((695120)/Input!$C$2,Input!$E$2)</f>
        <v>7</v>
      </c>
      <c r="D92" s="303">
        <v>0</v>
      </c>
      <c r="E92" s="303">
        <f>(B92+C92)-D92</f>
        <v>936</v>
      </c>
      <c r="F92" s="303">
        <f>I121</f>
        <v>0</v>
      </c>
      <c r="G92" s="303">
        <v>0</v>
      </c>
      <c r="H92" s="303">
        <v>0</v>
      </c>
      <c r="I92" s="303">
        <f>SUM(F92:H92)</f>
        <v>0</v>
      </c>
      <c r="J92" s="304">
        <f>E92-I92</f>
        <v>936</v>
      </c>
      <c r="K92" s="633">
        <f>B92-F92</f>
        <v>929</v>
      </c>
      <c r="M92" s="75">
        <v>0</v>
      </c>
    </row>
    <row r="93" spans="1:13" hidden="1" x14ac:dyDescent="0.25">
      <c r="A93" s="632" t="s">
        <v>1151</v>
      </c>
      <c r="B93" s="303">
        <v>0</v>
      </c>
      <c r="C93" s="303">
        <f>ROUND(('TB BVS 31.3.25'!I151)/Input!$C$2,Input!$E$2)</f>
        <v>0</v>
      </c>
      <c r="D93" s="303">
        <v>0</v>
      </c>
      <c r="E93" s="303">
        <f>(B93+C93)-D93</f>
        <v>0</v>
      </c>
      <c r="F93" s="303">
        <v>0</v>
      </c>
      <c r="G93" s="303">
        <f>ROUND('TB BVS 31.3.25'!I153/Input!$C$2,Input!$E$2)</f>
        <v>0</v>
      </c>
      <c r="H93" s="303">
        <v>0</v>
      </c>
      <c r="I93" s="303">
        <f>SUM(F93:H93)</f>
        <v>0</v>
      </c>
      <c r="J93" s="304">
        <f>E93-I93</f>
        <v>0</v>
      </c>
      <c r="K93" s="633">
        <f>B93-F93</f>
        <v>0</v>
      </c>
      <c r="M93" s="75"/>
    </row>
    <row r="94" spans="1:13" hidden="1" x14ac:dyDescent="0.25">
      <c r="A94" s="632" t="s">
        <v>728</v>
      </c>
      <c r="B94" s="303">
        <v>0</v>
      </c>
      <c r="C94" s="303">
        <f>ROUND(('TB BVS 31.3.25'!I30)/Input!$C$2,Input!$E$2)</f>
        <v>-60</v>
      </c>
      <c r="D94" s="303">
        <v>0</v>
      </c>
      <c r="E94" s="303">
        <f>(B94+C94)-D94</f>
        <v>-60</v>
      </c>
      <c r="F94" s="303">
        <v>0</v>
      </c>
      <c r="G94" s="303">
        <f>ROUND('TB BVS 31.3.25'!I102/Input!$C$2,Input!$E$2)</f>
        <v>69</v>
      </c>
      <c r="H94" s="303">
        <v>0</v>
      </c>
      <c r="I94" s="303">
        <f>SUM(F94:H94)</f>
        <v>69</v>
      </c>
      <c r="J94" s="304">
        <f>E94-I94</f>
        <v>-129</v>
      </c>
      <c r="K94" s="633">
        <f>B94-F94</f>
        <v>0</v>
      </c>
      <c r="M94" s="75">
        <f>E94*7.5%</f>
        <v>-4.5</v>
      </c>
    </row>
    <row r="95" spans="1:13" hidden="1" x14ac:dyDescent="0.25">
      <c r="A95" s="632" t="s">
        <v>729</v>
      </c>
      <c r="B95" s="303">
        <v>0</v>
      </c>
      <c r="C95" s="303">
        <f>ROUND(('TB BVS 31.3.25'!I31)/Input!$C$2,Input!$E$2)</f>
        <v>-6</v>
      </c>
      <c r="D95" s="303">
        <v>0</v>
      </c>
      <c r="E95" s="303">
        <f>(B95+C95)-D95</f>
        <v>-6</v>
      </c>
      <c r="F95" s="303">
        <v>0</v>
      </c>
      <c r="G95" s="303">
        <f>ROUND('TB BVS 31.3.25'!I103/Input!$C$2,Input!$E$2)</f>
        <v>14</v>
      </c>
      <c r="H95" s="303">
        <v>0</v>
      </c>
      <c r="I95" s="303">
        <f>SUM(F95:H95)</f>
        <v>14</v>
      </c>
      <c r="J95" s="304">
        <f>E95-I95</f>
        <v>-20</v>
      </c>
      <c r="K95" s="633">
        <f>B95-F95</f>
        <v>0</v>
      </c>
      <c r="M95" s="75">
        <f>E95*20%</f>
        <v>-1.2000000000000002</v>
      </c>
    </row>
    <row r="96" spans="1:13" hidden="1" x14ac:dyDescent="0.25">
      <c r="A96" s="253" t="s">
        <v>67</v>
      </c>
      <c r="B96" s="344">
        <f t="shared" ref="B96:K96" si="18">SUM(B92:B95)</f>
        <v>929</v>
      </c>
      <c r="C96" s="344">
        <f t="shared" si="18"/>
        <v>-59</v>
      </c>
      <c r="D96" s="344">
        <f t="shared" si="18"/>
        <v>0</v>
      </c>
      <c r="E96" s="344">
        <f t="shared" si="18"/>
        <v>870</v>
      </c>
      <c r="F96" s="344">
        <f t="shared" si="18"/>
        <v>0</v>
      </c>
      <c r="G96" s="344">
        <f t="shared" si="18"/>
        <v>83</v>
      </c>
      <c r="H96" s="344">
        <f t="shared" si="18"/>
        <v>0</v>
      </c>
      <c r="I96" s="344">
        <f t="shared" si="18"/>
        <v>83</v>
      </c>
      <c r="J96" s="344">
        <f t="shared" si="18"/>
        <v>787</v>
      </c>
      <c r="K96" s="634">
        <f t="shared" si="18"/>
        <v>929</v>
      </c>
    </row>
    <row r="97" spans="1:13" s="4" customFormat="1" hidden="1" x14ac:dyDescent="0.25">
      <c r="A97" s="253" t="s">
        <v>158</v>
      </c>
      <c r="B97" s="344">
        <f>E123</f>
        <v>167</v>
      </c>
      <c r="C97" s="344">
        <f>3133325+(20631063.744/1000)+(1223695/1000)+(1269016/1000)+(1524042.31/1000)</f>
        <v>3157972.8170539998</v>
      </c>
      <c r="D97" s="344">
        <f>E94+E93</f>
        <v>-60</v>
      </c>
      <c r="E97" s="344">
        <f>(B97+C97)-D97</f>
        <v>3158199.8170539998</v>
      </c>
      <c r="F97" s="344">
        <v>0</v>
      </c>
      <c r="G97" s="344">
        <v>0</v>
      </c>
      <c r="H97" s="344">
        <v>0</v>
      </c>
      <c r="I97" s="344">
        <v>0</v>
      </c>
      <c r="J97" s="344">
        <f>E97-I97</f>
        <v>3158199.8170539998</v>
      </c>
      <c r="K97" s="634">
        <f>B97-F97</f>
        <v>167</v>
      </c>
    </row>
    <row r="98" spans="1:13" s="4" customFormat="1" ht="5.0999999999999996" hidden="1" customHeight="1" x14ac:dyDescent="0.25">
      <c r="A98" s="635"/>
      <c r="B98" s="359"/>
      <c r="C98" s="280"/>
      <c r="D98" s="359"/>
      <c r="E98" s="280"/>
      <c r="F98" s="359"/>
      <c r="G98" s="280"/>
      <c r="H98" s="359"/>
      <c r="I98" s="359"/>
      <c r="J98" s="360"/>
      <c r="K98" s="283"/>
    </row>
    <row r="99" spans="1:13" s="4" customFormat="1" hidden="1" x14ac:dyDescent="0.25">
      <c r="A99" s="630" t="s">
        <v>593</v>
      </c>
      <c r="B99" s="358"/>
      <c r="C99" s="280"/>
      <c r="D99" s="358"/>
      <c r="E99" s="280"/>
      <c r="F99" s="358"/>
      <c r="G99" s="280"/>
      <c r="H99" s="358"/>
      <c r="I99" s="358"/>
      <c r="J99" s="336"/>
      <c r="K99" s="283"/>
    </row>
    <row r="100" spans="1:13" s="4" customFormat="1" hidden="1" x14ac:dyDescent="0.25">
      <c r="A100" s="1110" t="s">
        <v>456</v>
      </c>
      <c r="B100" s="303">
        <f>E126</f>
        <v>1652</v>
      </c>
      <c r="C100" s="275">
        <f>ROUND( 159200000/Input!$C$2,Input!$E$2)</f>
        <v>1592</v>
      </c>
      <c r="D100" s="358">
        <v>0</v>
      </c>
      <c r="E100" s="303">
        <f>(B100+C100)-D100</f>
        <v>3244</v>
      </c>
      <c r="F100" s="303">
        <f>I126</f>
        <v>24</v>
      </c>
      <c r="G100" s="275">
        <f>ROUND('TB BVS 31.3.25'!I104/Input!$C$2,Input!$E$2)</f>
        <v>12</v>
      </c>
      <c r="H100" s="358">
        <v>0</v>
      </c>
      <c r="I100" s="303">
        <f>SUM(F100:H100)</f>
        <v>36</v>
      </c>
      <c r="J100" s="304">
        <f>E100-I100</f>
        <v>3208</v>
      </c>
      <c r="K100" s="633">
        <f>B100-F100</f>
        <v>1628</v>
      </c>
      <c r="M100" s="279">
        <f>G100*0</f>
        <v>0</v>
      </c>
    </row>
    <row r="101" spans="1:13" s="4" customFormat="1" hidden="1" x14ac:dyDescent="0.25">
      <c r="A101" s="636" t="s">
        <v>594</v>
      </c>
      <c r="B101" s="344">
        <f t="shared" ref="B101:K101" si="19">SUM(B100)</f>
        <v>1652</v>
      </c>
      <c r="C101" s="344">
        <f t="shared" si="19"/>
        <v>1592</v>
      </c>
      <c r="D101" s="344">
        <f t="shared" si="19"/>
        <v>0</v>
      </c>
      <c r="E101" s="344">
        <f t="shared" si="19"/>
        <v>3244</v>
      </c>
      <c r="F101" s="344">
        <f t="shared" si="19"/>
        <v>24</v>
      </c>
      <c r="G101" s="344">
        <f t="shared" si="19"/>
        <v>12</v>
      </c>
      <c r="H101" s="344">
        <f t="shared" si="19"/>
        <v>0</v>
      </c>
      <c r="I101" s="344">
        <f t="shared" si="19"/>
        <v>36</v>
      </c>
      <c r="J101" s="344">
        <f t="shared" si="19"/>
        <v>3208</v>
      </c>
      <c r="K101" s="634">
        <f t="shared" si="19"/>
        <v>1628</v>
      </c>
    </row>
    <row r="102" spans="1:13" s="4" customFormat="1" ht="1.5" hidden="1" customHeight="1" x14ac:dyDescent="0.25">
      <c r="A102" s="27"/>
      <c r="B102" s="280"/>
      <c r="C102" s="280"/>
      <c r="D102" s="280"/>
      <c r="E102" s="280"/>
      <c r="F102" s="280"/>
      <c r="G102" s="280"/>
      <c r="H102" s="280"/>
      <c r="I102" s="280"/>
      <c r="J102" s="310"/>
      <c r="K102" s="283"/>
    </row>
    <row r="103" spans="1:13" s="4" customFormat="1" hidden="1" x14ac:dyDescent="0.25">
      <c r="A103" s="27" t="str">
        <f>CONCATENATE("Capital Work in Progress (CWIP) Ageing Schedule as at ",Input!$C$4)</f>
        <v>Capital Work in Progress (CWIP) Ageing Schedule as at 31 March 2024</v>
      </c>
      <c r="B103" s="131"/>
      <c r="C103" s="131"/>
      <c r="D103" s="131"/>
      <c r="E103" s="131"/>
      <c r="F103" s="264" t="str">
        <f>Input!$D$2</f>
        <v>(₹ in Lakh)</v>
      </c>
      <c r="G103" s="131"/>
      <c r="H103" s="131"/>
      <c r="I103" s="131"/>
      <c r="J103" s="8"/>
      <c r="K103" s="637"/>
    </row>
    <row r="104" spans="1:13" s="4" customFormat="1" hidden="1" x14ac:dyDescent="0.25">
      <c r="A104" s="1826" t="s">
        <v>527</v>
      </c>
      <c r="B104" s="1828" t="s">
        <v>528</v>
      </c>
      <c r="C104" s="1828"/>
      <c r="D104" s="1828"/>
      <c r="E104" s="1828"/>
      <c r="F104" s="1829" t="s">
        <v>67</v>
      </c>
      <c r="G104" s="131"/>
      <c r="H104" s="131"/>
      <c r="I104" s="131"/>
      <c r="J104" s="8"/>
      <c r="K104" s="637"/>
    </row>
    <row r="105" spans="1:13" s="4" customFormat="1" hidden="1" x14ac:dyDescent="0.25">
      <c r="A105" s="1827"/>
      <c r="B105" s="464" t="s">
        <v>345</v>
      </c>
      <c r="C105" s="464" t="s">
        <v>529</v>
      </c>
      <c r="D105" s="464" t="s">
        <v>530</v>
      </c>
      <c r="E105" s="464" t="s">
        <v>531</v>
      </c>
      <c r="F105" s="1830"/>
      <c r="G105" s="131"/>
      <c r="H105" s="131"/>
      <c r="I105" s="131"/>
      <c r="J105" s="8"/>
      <c r="K105" s="637"/>
    </row>
    <row r="106" spans="1:13" s="4" customFormat="1" hidden="1" x14ac:dyDescent="0.25">
      <c r="A106" s="18" t="s">
        <v>532</v>
      </c>
      <c r="B106" s="275">
        <f>B97+C97-D97</f>
        <v>3158199.8170539998</v>
      </c>
      <c r="C106" s="275">
        <f>ROUND(0/Input!$C$2,Input!$E$2)</f>
        <v>0</v>
      </c>
      <c r="D106" s="275">
        <f>ROUND(0/Input!$C$2,Input!$E$2)</f>
        <v>0</v>
      </c>
      <c r="E106" s="275">
        <f>ROUND(0/Input!$C$2,Input!$E$2)</f>
        <v>0</v>
      </c>
      <c r="F106" s="305">
        <f>SUM(B106:E106)</f>
        <v>3158199.8170539998</v>
      </c>
      <c r="G106" s="131"/>
      <c r="H106" s="131"/>
      <c r="I106" s="131"/>
      <c r="J106" s="8"/>
      <c r="K106" s="637"/>
    </row>
    <row r="107" spans="1:13" s="4" customFormat="1" hidden="1" x14ac:dyDescent="0.25">
      <c r="A107" s="638" t="s">
        <v>67</v>
      </c>
      <c r="B107" s="306">
        <f>SUM(B106:B106)</f>
        <v>3158199.8170539998</v>
      </c>
      <c r="C107" s="306">
        <f>SUM(C106:C106)</f>
        <v>0</v>
      </c>
      <c r="D107" s="306">
        <f>SUM(D106:D106)</f>
        <v>0</v>
      </c>
      <c r="E107" s="306">
        <f>SUM(E106:E106)</f>
        <v>0</v>
      </c>
      <c r="F107" s="307">
        <f>SUM(F106:F106)</f>
        <v>3158199.8170539998</v>
      </c>
      <c r="G107" s="131"/>
      <c r="H107" s="131"/>
      <c r="I107" s="131"/>
      <c r="J107" s="8"/>
      <c r="K107" s="637"/>
    </row>
    <row r="108" spans="1:13" ht="5.0999999999999996" hidden="1" customHeight="1" x14ac:dyDescent="0.25">
      <c r="A108" s="27"/>
      <c r="K108" s="49"/>
    </row>
    <row r="109" spans="1:13" hidden="1" x14ac:dyDescent="0.25">
      <c r="A109" s="1032" t="s">
        <v>1074</v>
      </c>
      <c r="B109" s="280"/>
      <c r="C109" s="280"/>
      <c r="D109" s="280"/>
      <c r="E109" s="280"/>
      <c r="F109" s="1696" t="str">
        <f>Input!$D$2</f>
        <v>(₹ in Lakh)</v>
      </c>
      <c r="K109" s="49"/>
    </row>
    <row r="110" spans="1:13" hidden="1" x14ac:dyDescent="0.25">
      <c r="A110" s="1835" t="s">
        <v>527</v>
      </c>
      <c r="B110" s="1837" t="s">
        <v>1075</v>
      </c>
      <c r="C110" s="1837"/>
      <c r="D110" s="1837"/>
      <c r="E110" s="1837"/>
      <c r="F110" s="1838" t="s">
        <v>67</v>
      </c>
      <c r="K110" s="49"/>
    </row>
    <row r="111" spans="1:13" hidden="1" x14ac:dyDescent="0.25">
      <c r="A111" s="1836"/>
      <c r="B111" s="801" t="s">
        <v>345</v>
      </c>
      <c r="C111" s="801" t="s">
        <v>529</v>
      </c>
      <c r="D111" s="801" t="s">
        <v>530</v>
      </c>
      <c r="E111" s="801" t="s">
        <v>531</v>
      </c>
      <c r="F111" s="1839"/>
      <c r="K111" s="49"/>
    </row>
    <row r="112" spans="1:13" hidden="1" x14ac:dyDescent="0.25">
      <c r="A112" s="1033" t="s">
        <v>532</v>
      </c>
      <c r="F112" s="1111"/>
      <c r="K112" s="49"/>
    </row>
    <row r="113" spans="1:11" hidden="1" x14ac:dyDescent="0.25">
      <c r="A113" s="18" t="s">
        <v>1076</v>
      </c>
      <c r="B113" s="208">
        <f>B107</f>
        <v>3158199.8170539998</v>
      </c>
      <c r="C113" s="208">
        <v>0</v>
      </c>
      <c r="D113" s="208">
        <v>0</v>
      </c>
      <c r="E113" s="208">
        <v>0</v>
      </c>
      <c r="F113" s="802">
        <f>SUM(B113:E113)</f>
        <v>3158199.8170539998</v>
      </c>
      <c r="K113" s="49"/>
    </row>
    <row r="114" spans="1:11" hidden="1" x14ac:dyDescent="0.25">
      <c r="A114" s="1034" t="s">
        <v>67</v>
      </c>
      <c r="B114" s="496">
        <f>SUM(B108:B113)</f>
        <v>3158199.8170539998</v>
      </c>
      <c r="C114" s="496">
        <f>SUM(C108:C113)</f>
        <v>0</v>
      </c>
      <c r="D114" s="496">
        <f>SUM(D108:D113)</f>
        <v>0</v>
      </c>
      <c r="E114" s="496">
        <f>SUM(E108:E113)</f>
        <v>0</v>
      </c>
      <c r="F114" s="803">
        <f>SUM(F108:F113)</f>
        <v>3158199.8170539998</v>
      </c>
      <c r="K114" s="49"/>
    </row>
    <row r="115" spans="1:11" ht="6.6" hidden="1" customHeight="1" x14ac:dyDescent="0.25">
      <c r="A115" s="27"/>
      <c r="K115" s="49"/>
    </row>
    <row r="116" spans="1:11" hidden="1" x14ac:dyDescent="0.25">
      <c r="A116" s="626"/>
      <c r="B116" s="1831" t="s">
        <v>147</v>
      </c>
      <c r="C116" s="1832"/>
      <c r="D116" s="1832"/>
      <c r="E116" s="1831"/>
      <c r="F116" s="1833" t="s">
        <v>148</v>
      </c>
      <c r="G116" s="1831"/>
      <c r="H116" s="1831"/>
      <c r="I116" s="1834"/>
      <c r="J116" s="1833" t="s">
        <v>149</v>
      </c>
      <c r="K116" s="1857"/>
    </row>
    <row r="117" spans="1:11" ht="15" hidden="1" customHeight="1" x14ac:dyDescent="0.25">
      <c r="A117" s="627" t="s">
        <v>0</v>
      </c>
      <c r="B117" s="1845" t="str">
        <f>CONCATENATE("Balance as at ",Input!$D$6)</f>
        <v>Balance as at 1 April 2022</v>
      </c>
      <c r="C117" s="1848" t="s">
        <v>533</v>
      </c>
      <c r="D117" s="1848" t="s">
        <v>534</v>
      </c>
      <c r="E117" s="1851" t="str">
        <f>CONCATENATE("Balance as at ",Input!$C$5)</f>
        <v>Balance as at 31 March 2023</v>
      </c>
      <c r="F117" s="1845" t="str">
        <f>CONCATENATE("Balance as at ",Input!$D$6)</f>
        <v>Balance as at 1 April 2022</v>
      </c>
      <c r="G117" s="1848" t="s">
        <v>533</v>
      </c>
      <c r="H117" s="1848" t="s">
        <v>534</v>
      </c>
      <c r="I117" s="1851" t="str">
        <f>CONCATENATE("Balance as at ",Input!$C$5)</f>
        <v>Balance as at 31 March 2023</v>
      </c>
      <c r="J117" s="1851" t="str">
        <f>CONCATENATE("Balance as at ",Input!$C$5)</f>
        <v>Balance as at 31 March 2023</v>
      </c>
      <c r="K117" s="1854" t="str">
        <f>CONCATENATE("Balance as at ",Input!$C$6)</f>
        <v>Balance as at 31 March 2022</v>
      </c>
    </row>
    <row r="118" spans="1:11" hidden="1" x14ac:dyDescent="0.25">
      <c r="A118" s="628"/>
      <c r="B118" s="1846"/>
      <c r="C118" s="1849"/>
      <c r="D118" s="1849"/>
      <c r="E118" s="1852"/>
      <c r="F118" s="1846"/>
      <c r="G118" s="1849"/>
      <c r="H118" s="1849"/>
      <c r="I118" s="1852"/>
      <c r="J118" s="1852"/>
      <c r="K118" s="1855"/>
    </row>
    <row r="119" spans="1:11" hidden="1" x14ac:dyDescent="0.25">
      <c r="A119" s="629"/>
      <c r="B119" s="1847"/>
      <c r="C119" s="1850"/>
      <c r="D119" s="1850"/>
      <c r="E119" s="1853"/>
      <c r="F119" s="1847"/>
      <c r="G119" s="1850"/>
      <c r="H119" s="1850"/>
      <c r="I119" s="1853"/>
      <c r="J119" s="1853"/>
      <c r="K119" s="1856"/>
    </row>
    <row r="120" spans="1:11" hidden="1" x14ac:dyDescent="0.25">
      <c r="A120" s="630" t="s">
        <v>592</v>
      </c>
      <c r="B120" s="308"/>
      <c r="C120" s="309"/>
      <c r="D120" s="309"/>
      <c r="E120" s="308"/>
      <c r="F120" s="308"/>
      <c r="G120" s="309"/>
      <c r="H120" s="309"/>
      <c r="I120" s="308"/>
      <c r="J120" s="308"/>
      <c r="K120" s="631"/>
    </row>
    <row r="121" spans="1:11" hidden="1" x14ac:dyDescent="0.25">
      <c r="A121" s="632" t="s">
        <v>498</v>
      </c>
      <c r="B121" s="303">
        <v>0</v>
      </c>
      <c r="C121" s="303">
        <f>ROUND(('TB BVS 31.3.23'!J22+'TB BVS 31.3.23'!J23)/Input!$C$2,Input!$E$2)</f>
        <v>929</v>
      </c>
      <c r="D121" s="303">
        <v>0</v>
      </c>
      <c r="E121" s="303">
        <f>(B121+C121)-D121</f>
        <v>929</v>
      </c>
      <c r="F121" s="303">
        <v>0</v>
      </c>
      <c r="G121" s="303">
        <v>0</v>
      </c>
      <c r="H121" s="303">
        <v>0</v>
      </c>
      <c r="I121" s="303">
        <f>SUM(F121:H121)</f>
        <v>0</v>
      </c>
      <c r="J121" s="304">
        <f>E121-I121</f>
        <v>929</v>
      </c>
      <c r="K121" s="633">
        <f>B121-F121</f>
        <v>0</v>
      </c>
    </row>
    <row r="122" spans="1:11" hidden="1" x14ac:dyDescent="0.25">
      <c r="A122" s="253" t="s">
        <v>67</v>
      </c>
      <c r="B122" s="344">
        <f t="shared" ref="B122:K122" si="20">SUM(B121:B121)</f>
        <v>0</v>
      </c>
      <c r="C122" s="344">
        <f t="shared" si="20"/>
        <v>929</v>
      </c>
      <c r="D122" s="344">
        <f t="shared" si="20"/>
        <v>0</v>
      </c>
      <c r="E122" s="344">
        <f t="shared" si="20"/>
        <v>929</v>
      </c>
      <c r="F122" s="344">
        <f t="shared" si="20"/>
        <v>0</v>
      </c>
      <c r="G122" s="344">
        <f t="shared" si="20"/>
        <v>0</v>
      </c>
      <c r="H122" s="344">
        <f t="shared" si="20"/>
        <v>0</v>
      </c>
      <c r="I122" s="344">
        <f t="shared" si="20"/>
        <v>0</v>
      </c>
      <c r="J122" s="344">
        <f t="shared" si="20"/>
        <v>929</v>
      </c>
      <c r="K122" s="634">
        <f t="shared" si="20"/>
        <v>0</v>
      </c>
    </row>
    <row r="123" spans="1:11" s="4" customFormat="1" hidden="1" x14ac:dyDescent="0.25">
      <c r="A123" s="253" t="s">
        <v>520</v>
      </c>
      <c r="B123" s="344">
        <v>0</v>
      </c>
      <c r="C123" s="344">
        <f>ROUND(('TB BVS 31.3.23'!J24)/Input!$C$2,Input!$E$2)</f>
        <v>167</v>
      </c>
      <c r="D123" s="344">
        <v>0</v>
      </c>
      <c r="E123" s="344">
        <f>(B123+C123)-D123</f>
        <v>167</v>
      </c>
      <c r="F123" s="344"/>
      <c r="G123" s="344"/>
      <c r="H123" s="344"/>
      <c r="I123" s="344"/>
      <c r="J123" s="344">
        <f>E123</f>
        <v>167</v>
      </c>
      <c r="K123" s="634">
        <v>0</v>
      </c>
    </row>
    <row r="124" spans="1:11" s="4" customFormat="1" hidden="1" x14ac:dyDescent="0.25">
      <c r="A124" s="635"/>
      <c r="B124" s="359"/>
      <c r="C124" s="280"/>
      <c r="D124" s="359"/>
      <c r="E124" s="280"/>
      <c r="F124" s="359"/>
      <c r="G124" s="280"/>
      <c r="H124" s="359"/>
      <c r="I124" s="359"/>
      <c r="J124" s="360"/>
      <c r="K124" s="283"/>
    </row>
    <row r="125" spans="1:11" s="4" customFormat="1" hidden="1" x14ac:dyDescent="0.25">
      <c r="A125" s="630" t="s">
        <v>593</v>
      </c>
      <c r="B125" s="358"/>
      <c r="C125" s="280"/>
      <c r="D125" s="358"/>
      <c r="E125" s="280"/>
      <c r="F125" s="358"/>
      <c r="G125" s="280"/>
      <c r="H125" s="358"/>
      <c r="I125" s="358"/>
      <c r="J125" s="336"/>
      <c r="K125" s="283"/>
    </row>
    <row r="126" spans="1:11" s="4" customFormat="1" hidden="1" x14ac:dyDescent="0.25">
      <c r="A126" s="1110" t="s">
        <v>456</v>
      </c>
      <c r="B126" s="303">
        <f>E140</f>
        <v>1652</v>
      </c>
      <c r="C126" s="275">
        <v>0</v>
      </c>
      <c r="D126" s="358">
        <v>0</v>
      </c>
      <c r="E126" s="303">
        <f>(B126+C126)-D126</f>
        <v>1652</v>
      </c>
      <c r="F126" s="303">
        <f>I140</f>
        <v>6</v>
      </c>
      <c r="G126" s="275">
        <f>ROUND('TB BVS 31.3.23'!J36/Input!$C$2,Input!$E$2)</f>
        <v>18</v>
      </c>
      <c r="H126" s="358">
        <v>0</v>
      </c>
      <c r="I126" s="303">
        <f>SUM(F126:H126)</f>
        <v>24</v>
      </c>
      <c r="J126" s="304">
        <f>E126-I126</f>
        <v>1628</v>
      </c>
      <c r="K126" s="633">
        <f>B126-F126</f>
        <v>1646</v>
      </c>
    </row>
    <row r="127" spans="1:11" s="4" customFormat="1" hidden="1" x14ac:dyDescent="0.25">
      <c r="A127" s="636" t="s">
        <v>594</v>
      </c>
      <c r="B127" s="344">
        <f t="shared" ref="B127:K127" si="21">SUM(B126)</f>
        <v>1652</v>
      </c>
      <c r="C127" s="344">
        <f t="shared" si="21"/>
        <v>0</v>
      </c>
      <c r="D127" s="344">
        <f t="shared" si="21"/>
        <v>0</v>
      </c>
      <c r="E127" s="344">
        <f t="shared" si="21"/>
        <v>1652</v>
      </c>
      <c r="F127" s="344">
        <f t="shared" si="21"/>
        <v>6</v>
      </c>
      <c r="G127" s="344">
        <f t="shared" si="21"/>
        <v>18</v>
      </c>
      <c r="H127" s="344">
        <f t="shared" si="21"/>
        <v>0</v>
      </c>
      <c r="I127" s="344">
        <f t="shared" si="21"/>
        <v>24</v>
      </c>
      <c r="J127" s="344">
        <f t="shared" si="21"/>
        <v>1628</v>
      </c>
      <c r="K127" s="634">
        <f t="shared" si="21"/>
        <v>1646</v>
      </c>
    </row>
    <row r="128" spans="1:11" s="4" customFormat="1" hidden="1" x14ac:dyDescent="0.25">
      <c r="A128" s="27"/>
      <c r="B128" s="280"/>
      <c r="C128" s="280"/>
      <c r="D128" s="280"/>
      <c r="E128" s="280"/>
      <c r="F128" s="280"/>
      <c r="G128" s="280"/>
      <c r="H128" s="280"/>
      <c r="I128" s="280"/>
      <c r="J128" s="310"/>
      <c r="K128" s="283"/>
    </row>
    <row r="129" spans="1:14" s="4" customFormat="1" hidden="1" x14ac:dyDescent="0.25">
      <c r="A129" s="27" t="str">
        <f>CONCATENATE("Capital Work in Progress (CWIP) Ageing Schedule as at ",Input!$C$5)</f>
        <v>Capital Work in Progress (CWIP) Ageing Schedule as at 31 March 2023</v>
      </c>
      <c r="B129" s="131"/>
      <c r="C129" s="131"/>
      <c r="D129" s="131"/>
      <c r="E129" s="131"/>
      <c r="F129" s="264" t="str">
        <f>Input!$D$2</f>
        <v>(₹ in Lakh)</v>
      </c>
      <c r="G129" s="131"/>
      <c r="H129" s="131"/>
      <c r="I129" s="131"/>
      <c r="J129" s="8"/>
      <c r="K129" s="637"/>
    </row>
    <row r="130" spans="1:14" s="4" customFormat="1" hidden="1" x14ac:dyDescent="0.25">
      <c r="A130" s="1826" t="s">
        <v>527</v>
      </c>
      <c r="B130" s="1828" t="s">
        <v>528</v>
      </c>
      <c r="C130" s="1828"/>
      <c r="D130" s="1828"/>
      <c r="E130" s="1828"/>
      <c r="F130" s="1829" t="s">
        <v>67</v>
      </c>
      <c r="G130" s="131"/>
      <c r="H130" s="131"/>
      <c r="I130" s="131"/>
      <c r="J130" s="8"/>
      <c r="K130" s="637"/>
    </row>
    <row r="131" spans="1:14" s="4" customFormat="1" hidden="1" x14ac:dyDescent="0.25">
      <c r="A131" s="1827"/>
      <c r="B131" s="464" t="s">
        <v>345</v>
      </c>
      <c r="C131" s="464" t="s">
        <v>529</v>
      </c>
      <c r="D131" s="464" t="s">
        <v>530</v>
      </c>
      <c r="E131" s="464" t="s">
        <v>531</v>
      </c>
      <c r="F131" s="1830"/>
      <c r="G131" s="131"/>
      <c r="H131" s="131"/>
      <c r="I131" s="131"/>
      <c r="J131" s="8"/>
      <c r="K131" s="637"/>
    </row>
    <row r="132" spans="1:14" s="4" customFormat="1" hidden="1" x14ac:dyDescent="0.25">
      <c r="A132" s="18" t="s">
        <v>532</v>
      </c>
      <c r="B132" s="275">
        <f>C123</f>
        <v>167</v>
      </c>
      <c r="C132" s="275">
        <f>ROUND(0/Input!$C$2,Input!$E$2)</f>
        <v>0</v>
      </c>
      <c r="D132" s="275">
        <f>ROUND(0/Input!$C$2,Input!$E$2)</f>
        <v>0</v>
      </c>
      <c r="E132" s="275">
        <f>ROUND(0/Input!$C$2,Input!$E$2)</f>
        <v>0</v>
      </c>
      <c r="F132" s="305">
        <f>SUM(B132:E132)</f>
        <v>167</v>
      </c>
      <c r="G132" s="131"/>
      <c r="H132" s="131"/>
      <c r="I132" s="131"/>
      <c r="J132" s="8"/>
      <c r="K132" s="637"/>
    </row>
    <row r="133" spans="1:14" s="4" customFormat="1" hidden="1" x14ac:dyDescent="0.25">
      <c r="A133" s="638" t="s">
        <v>67</v>
      </c>
      <c r="B133" s="306">
        <f>SUM(B132:B132)</f>
        <v>167</v>
      </c>
      <c r="C133" s="306">
        <f>SUM(C132:C132)</f>
        <v>0</v>
      </c>
      <c r="D133" s="306">
        <f>SUM(D132:D132)</f>
        <v>0</v>
      </c>
      <c r="E133" s="306">
        <f>SUM(E132:E132)</f>
        <v>0</v>
      </c>
      <c r="F133" s="307">
        <f>SUM(F132:F132)</f>
        <v>167</v>
      </c>
      <c r="G133" s="131"/>
      <c r="H133" s="131"/>
      <c r="I133" s="131"/>
      <c r="J133" s="8"/>
      <c r="K133" s="637"/>
    </row>
    <row r="134" spans="1:14" s="4" customFormat="1" hidden="1" x14ac:dyDescent="0.25">
      <c r="A134" s="27"/>
      <c r="B134" s="131"/>
      <c r="C134" s="131"/>
      <c r="D134" s="131"/>
      <c r="E134" s="131"/>
      <c r="F134" s="131"/>
      <c r="G134" s="131"/>
      <c r="H134" s="131"/>
      <c r="I134" s="131"/>
      <c r="J134" s="8"/>
      <c r="K134" s="49"/>
    </row>
    <row r="135" spans="1:14" ht="14.45" hidden="1" customHeight="1" x14ac:dyDescent="0.25">
      <c r="A135" s="626"/>
      <c r="B135" s="1831" t="s">
        <v>147</v>
      </c>
      <c r="C135" s="1832"/>
      <c r="D135" s="1832"/>
      <c r="E135" s="1831"/>
      <c r="F135" s="1833" t="s">
        <v>148</v>
      </c>
      <c r="G135" s="1831"/>
      <c r="H135" s="1831"/>
      <c r="I135" s="1831"/>
      <c r="J135" s="1841" t="s">
        <v>149</v>
      </c>
      <c r="K135" s="1858"/>
      <c r="L135" s="1"/>
      <c r="M135" s="75"/>
      <c r="N135" s="75"/>
    </row>
    <row r="136" spans="1:14" ht="15" hidden="1" customHeight="1" x14ac:dyDescent="0.25">
      <c r="A136" s="627" t="s">
        <v>0</v>
      </c>
      <c r="B136" s="1845" t="str">
        <f>CONCATENATE("Balance as at ",Input!$C$8)</f>
        <v>Balance as at 1 April 2021</v>
      </c>
      <c r="C136" s="1848" t="s">
        <v>533</v>
      </c>
      <c r="D136" s="1848" t="s">
        <v>534</v>
      </c>
      <c r="E136" s="1851" t="str">
        <f>CONCATENATE("Balance as at ",Input!$C$6)</f>
        <v>Balance as at 31 March 2022</v>
      </c>
      <c r="F136" s="1845" t="str">
        <f>CONCATENATE("Balance as at ",Input!$C$8)</f>
        <v>Balance as at 1 April 2021</v>
      </c>
      <c r="G136" s="1848" t="s">
        <v>533</v>
      </c>
      <c r="H136" s="1848" t="s">
        <v>534</v>
      </c>
      <c r="I136" s="1859" t="str">
        <f>CONCATENATE("Balance as at ",Input!$C$6)</f>
        <v>Balance as at 31 March 2022</v>
      </c>
      <c r="J136" s="1862" t="str">
        <f>CONCATENATE("Balance as at ",Input!$C$6)</f>
        <v>Balance as at 31 March 2022</v>
      </c>
      <c r="K136" s="1863" t="str">
        <f>CONCATENATE("Balance as at ",Input!$C$8)</f>
        <v>Balance as at 1 April 2021</v>
      </c>
      <c r="L136" s="1"/>
    </row>
    <row r="137" spans="1:14" ht="14.45" hidden="1" customHeight="1" x14ac:dyDescent="0.25">
      <c r="A137" s="628"/>
      <c r="B137" s="1846"/>
      <c r="C137" s="1849"/>
      <c r="D137" s="1849"/>
      <c r="E137" s="1852"/>
      <c r="F137" s="1846"/>
      <c r="G137" s="1849"/>
      <c r="H137" s="1849"/>
      <c r="I137" s="1860"/>
      <c r="J137" s="1862"/>
      <c r="K137" s="1863"/>
    </row>
    <row r="138" spans="1:14" ht="14.45" hidden="1" customHeight="1" x14ac:dyDescent="0.25">
      <c r="A138" s="629"/>
      <c r="B138" s="1847"/>
      <c r="C138" s="1850"/>
      <c r="D138" s="1850"/>
      <c r="E138" s="1853"/>
      <c r="F138" s="1847"/>
      <c r="G138" s="1850"/>
      <c r="H138" s="1850"/>
      <c r="I138" s="1861"/>
      <c r="J138" s="1862"/>
      <c r="K138" s="1863"/>
    </row>
    <row r="139" spans="1:14" ht="14.45" hidden="1" customHeight="1" x14ac:dyDescent="0.25">
      <c r="A139" s="630" t="s">
        <v>595</v>
      </c>
      <c r="B139" s="308"/>
      <c r="C139" s="309"/>
      <c r="D139" s="309"/>
      <c r="E139" s="308"/>
      <c r="F139" s="308"/>
      <c r="G139" s="309"/>
      <c r="H139" s="309"/>
      <c r="I139" s="767"/>
      <c r="J139" s="770"/>
      <c r="K139" s="771"/>
    </row>
    <row r="140" spans="1:14" ht="14.45" hidden="1" customHeight="1" x14ac:dyDescent="0.25">
      <c r="A140" s="1110" t="s">
        <v>456</v>
      </c>
      <c r="B140" s="303">
        <v>0</v>
      </c>
      <c r="C140" s="303">
        <f>ROUND('TB BVS 31.3.22'!L12/Input!$C$2,Input!$E$2)</f>
        <v>1652</v>
      </c>
      <c r="D140" s="303">
        <f>ROUND(E162/Input!$C$2,Input!$E$2)</f>
        <v>0</v>
      </c>
      <c r="E140" s="303">
        <f>B140+C140-D140</f>
        <v>1652</v>
      </c>
      <c r="F140" s="303">
        <v>0</v>
      </c>
      <c r="G140" s="303">
        <f>ROUND('TB BVS 31.3.22'!L26/Input!$C$2,Input!$E$2)</f>
        <v>6</v>
      </c>
      <c r="H140" s="303">
        <f>ROUND(I162/Input!$C$2,Input!$E$2)</f>
        <v>0</v>
      </c>
      <c r="I140" s="768">
        <f>F140+G140-H140</f>
        <v>6</v>
      </c>
      <c r="J140" s="63">
        <f>E140-I140</f>
        <v>1646</v>
      </c>
      <c r="K140" s="276">
        <f>B140-F140</f>
        <v>0</v>
      </c>
      <c r="N140" s="1"/>
    </row>
    <row r="141" spans="1:14" ht="14.45" hidden="1" customHeight="1" x14ac:dyDescent="0.25">
      <c r="A141" s="253" t="s">
        <v>67</v>
      </c>
      <c r="B141" s="344">
        <f t="shared" ref="B141:K141" si="22">SUM(B140:B140)</f>
        <v>0</v>
      </c>
      <c r="C141" s="344">
        <f t="shared" si="22"/>
        <v>1652</v>
      </c>
      <c r="D141" s="344">
        <f t="shared" si="22"/>
        <v>0</v>
      </c>
      <c r="E141" s="344">
        <f t="shared" si="22"/>
        <v>1652</v>
      </c>
      <c r="F141" s="344">
        <f t="shared" si="22"/>
        <v>0</v>
      </c>
      <c r="G141" s="344">
        <f t="shared" si="22"/>
        <v>6</v>
      </c>
      <c r="H141" s="344">
        <f t="shared" si="22"/>
        <v>0</v>
      </c>
      <c r="I141" s="769">
        <f t="shared" si="22"/>
        <v>6</v>
      </c>
      <c r="J141" s="508">
        <f t="shared" si="22"/>
        <v>1646</v>
      </c>
      <c r="K141" s="654">
        <f t="shared" si="22"/>
        <v>0</v>
      </c>
    </row>
    <row r="142" spans="1:14" hidden="1" x14ac:dyDescent="0.25">
      <c r="A142" s="18"/>
      <c r="K142" s="58"/>
    </row>
    <row r="143" spans="1:14" hidden="1" x14ac:dyDescent="0.25">
      <c r="A143" s="18"/>
      <c r="K143" s="58"/>
    </row>
    <row r="144" spans="1:14" hidden="1" x14ac:dyDescent="0.25">
      <c r="A144" s="27" t="s">
        <v>1644</v>
      </c>
      <c r="K144" s="58"/>
    </row>
    <row r="145" spans="1:11" s="4" customFormat="1" hidden="1" x14ac:dyDescent="0.25">
      <c r="A145" s="1826" t="s">
        <v>527</v>
      </c>
      <c r="B145" s="1828" t="s">
        <v>528</v>
      </c>
      <c r="C145" s="1828"/>
      <c r="D145" s="1828"/>
      <c r="E145" s="1828"/>
      <c r="F145" s="1829" t="s">
        <v>67</v>
      </c>
      <c r="G145" s="131"/>
      <c r="H145" s="131"/>
      <c r="I145" s="131"/>
      <c r="J145" s="8"/>
      <c r="K145" s="637"/>
    </row>
    <row r="146" spans="1:11" s="4" customFormat="1" hidden="1" x14ac:dyDescent="0.25">
      <c r="A146" s="1827"/>
      <c r="B146" s="464" t="s">
        <v>345</v>
      </c>
      <c r="C146" s="464" t="s">
        <v>529</v>
      </c>
      <c r="D146" s="464" t="s">
        <v>530</v>
      </c>
      <c r="E146" s="464" t="s">
        <v>531</v>
      </c>
      <c r="F146" s="1830"/>
      <c r="G146" s="131"/>
      <c r="H146" s="131"/>
      <c r="I146" s="131"/>
      <c r="J146" s="8"/>
      <c r="K146" s="637"/>
    </row>
    <row r="147" spans="1:11" s="4" customFormat="1" hidden="1" x14ac:dyDescent="0.25">
      <c r="A147" s="18" t="s">
        <v>532</v>
      </c>
      <c r="B147" s="275">
        <f>2624827.817054/100</f>
        <v>26248.278170540001</v>
      </c>
      <c r="C147" s="275">
        <f>ROUND(0/[13]Input!$C$2,[13]Input!$E$2)</f>
        <v>0</v>
      </c>
      <c r="D147" s="275">
        <f>ROUND(0/[13]Input!$C$2,[13]Input!$E$2)</f>
        <v>0</v>
      </c>
      <c r="E147" s="275">
        <f>ROUND(0/[13]Input!$C$2,[13]Input!$E$2)</f>
        <v>0</v>
      </c>
      <c r="F147" s="305">
        <f>SUM(B147:E147)</f>
        <v>26248.278170540001</v>
      </c>
      <c r="G147" s="131"/>
      <c r="H147" s="131"/>
      <c r="I147" s="131"/>
      <c r="J147" s="8"/>
      <c r="K147" s="637"/>
    </row>
    <row r="148" spans="1:11" s="4" customFormat="1" hidden="1" x14ac:dyDescent="0.25">
      <c r="A148" s="638" t="s">
        <v>67</v>
      </c>
      <c r="B148" s="306">
        <f>SUM(B147:B147)</f>
        <v>26248.278170540001</v>
      </c>
      <c r="C148" s="306">
        <f>SUM(C147:C147)</f>
        <v>0</v>
      </c>
      <c r="D148" s="306">
        <f>SUM(D147:D147)</f>
        <v>0</v>
      </c>
      <c r="E148" s="306">
        <f>SUM(E147:E147)</f>
        <v>0</v>
      </c>
      <c r="F148" s="307">
        <f>SUM(F147:F147)</f>
        <v>26248.278170540001</v>
      </c>
      <c r="G148" s="131"/>
      <c r="H148" s="131"/>
      <c r="I148" s="131"/>
      <c r="J148" s="8"/>
      <c r="K148" s="637"/>
    </row>
    <row r="149" spans="1:11" x14ac:dyDescent="0.25">
      <c r="A149" s="27" t="s">
        <v>543</v>
      </c>
      <c r="K149" s="58"/>
    </row>
    <row r="150" spans="1:11" x14ac:dyDescent="0.25">
      <c r="A150" s="18" t="s">
        <v>544</v>
      </c>
      <c r="K150" s="58"/>
    </row>
    <row r="151" spans="1:11" ht="17.100000000000001" customHeight="1" thickBot="1" x14ac:dyDescent="0.3">
      <c r="A151" s="639" t="s">
        <v>1763</v>
      </c>
      <c r="B151" s="1112"/>
      <c r="C151" s="1112"/>
      <c r="D151" s="1112"/>
      <c r="E151" s="1112"/>
      <c r="F151" s="1112"/>
      <c r="G151" s="1112"/>
      <c r="H151" s="1112"/>
      <c r="I151" s="1112"/>
      <c r="J151" s="1112"/>
      <c r="K151" s="1113"/>
    </row>
    <row r="157" spans="1:11" x14ac:dyDescent="0.25">
      <c r="A157" s="12"/>
    </row>
    <row r="162" spans="2:13" x14ac:dyDescent="0.25">
      <c r="B162" s="7"/>
      <c r="C162" s="1114"/>
      <c r="D162" s="1114"/>
      <c r="E162" s="1114"/>
      <c r="F162" s="1114"/>
      <c r="G162" s="1114"/>
      <c r="H162" s="1114"/>
      <c r="I162" s="1114"/>
      <c r="J162" s="1114"/>
      <c r="K162" s="1114"/>
      <c r="L162" s="1114"/>
    </row>
    <row r="163" spans="2:13" x14ac:dyDescent="0.25">
      <c r="B163" s="7"/>
      <c r="C163" s="1114"/>
      <c r="D163" s="1114"/>
      <c r="E163" s="1114"/>
      <c r="F163" s="1114"/>
      <c r="G163" s="1114"/>
      <c r="H163" s="1114"/>
      <c r="I163" s="1114"/>
      <c r="J163" s="1114"/>
      <c r="K163" s="1114"/>
      <c r="L163" s="1114"/>
    </row>
    <row r="164" spans="2:13" x14ac:dyDescent="0.25">
      <c r="B164" s="7"/>
      <c r="C164" s="1114"/>
      <c r="D164" s="1114"/>
      <c r="E164" s="1114"/>
      <c r="F164" s="1114"/>
      <c r="G164" s="1114"/>
      <c r="H164" s="1114"/>
      <c r="I164" s="1114"/>
      <c r="J164" s="1114"/>
      <c r="K164" s="1114"/>
      <c r="L164" s="1114"/>
    </row>
    <row r="165" spans="2:13" x14ac:dyDescent="0.25">
      <c r="B165" s="7"/>
      <c r="C165" s="1114"/>
      <c r="D165" s="1114"/>
      <c r="E165" s="1114"/>
      <c r="F165" s="1114"/>
      <c r="G165" s="1114"/>
      <c r="H165" s="1114"/>
      <c r="I165" s="1114"/>
      <c r="J165" s="1114"/>
      <c r="K165" s="1114"/>
      <c r="L165" s="1114"/>
    </row>
    <row r="166" spans="2:13" x14ac:dyDescent="0.25">
      <c r="B166" s="7"/>
      <c r="C166" s="1114"/>
      <c r="D166" s="1114"/>
      <c r="E166" s="1114"/>
      <c r="F166" s="1114"/>
      <c r="G166" s="1114"/>
      <c r="H166" s="1114"/>
      <c r="I166" s="1114"/>
      <c r="J166" s="1114"/>
      <c r="K166" s="1114"/>
      <c r="L166" s="1114"/>
    </row>
    <row r="167" spans="2:13" x14ac:dyDescent="0.25">
      <c r="B167" s="7"/>
      <c r="C167" s="1114"/>
      <c r="D167" s="1114"/>
      <c r="E167" s="1114"/>
      <c r="F167" s="1114"/>
      <c r="G167" s="1114"/>
      <c r="H167" s="1114"/>
      <c r="I167" s="1114"/>
      <c r="J167" s="1114"/>
      <c r="K167" s="1114"/>
      <c r="L167" s="1114"/>
    </row>
    <row r="168" spans="2:13" x14ac:dyDescent="0.25">
      <c r="B168" s="7"/>
      <c r="C168" s="1114"/>
      <c r="D168" s="1114"/>
      <c r="E168" s="1114"/>
      <c r="F168" s="1114"/>
      <c r="G168" s="1114"/>
      <c r="H168" s="1114"/>
      <c r="I168" s="1114"/>
      <c r="J168" s="1114"/>
      <c r="K168" s="1114"/>
      <c r="L168" s="1114"/>
    </row>
    <row r="169" spans="2:13" x14ac:dyDescent="0.25">
      <c r="B169" s="7"/>
      <c r="C169" s="1114"/>
      <c r="D169" s="1114"/>
      <c r="E169" s="1115"/>
      <c r="F169" s="1114"/>
      <c r="G169" s="1114"/>
      <c r="H169" s="1114"/>
      <c r="I169" s="1116"/>
      <c r="J169" s="1114"/>
      <c r="K169" s="1114"/>
      <c r="L169" s="1114"/>
    </row>
    <row r="170" spans="2:13" x14ac:dyDescent="0.25">
      <c r="B170" s="7"/>
      <c r="C170" s="63"/>
      <c r="D170" s="63"/>
      <c r="E170" s="63"/>
      <c r="F170" s="63"/>
      <c r="G170" s="63"/>
      <c r="H170" s="63"/>
      <c r="I170" s="63"/>
      <c r="J170" s="63"/>
      <c r="K170" s="63"/>
      <c r="L170" s="63"/>
    </row>
    <row r="171" spans="2:13" x14ac:dyDescent="0.25">
      <c r="B171" s="7"/>
      <c r="C171" s="7"/>
      <c r="D171" s="7"/>
      <c r="E171" s="7"/>
      <c r="F171" s="7"/>
      <c r="G171" s="7"/>
      <c r="H171" s="7"/>
      <c r="I171" s="7"/>
      <c r="J171" s="7"/>
      <c r="K171" s="7"/>
    </row>
    <row r="172" spans="2:13" x14ac:dyDescent="0.25">
      <c r="B172" s="7"/>
      <c r="C172" s="7"/>
      <c r="D172" s="7"/>
      <c r="E172" s="7"/>
      <c r="F172" s="7"/>
      <c r="G172" s="7"/>
      <c r="H172" s="7"/>
      <c r="I172" s="7"/>
      <c r="J172" s="7"/>
      <c r="K172" s="7"/>
      <c r="L172" s="1"/>
      <c r="M172" s="1"/>
    </row>
    <row r="173" spans="2:13" x14ac:dyDescent="0.25">
      <c r="B173" s="7"/>
      <c r="C173" s="7"/>
      <c r="D173" s="7"/>
      <c r="E173" s="7"/>
      <c r="F173" s="7"/>
      <c r="G173" s="7"/>
      <c r="H173" s="7"/>
      <c r="I173" s="7"/>
      <c r="J173" s="7"/>
      <c r="K173" s="7"/>
      <c r="M173" s="1"/>
    </row>
    <row r="174" spans="2:13" x14ac:dyDescent="0.25">
      <c r="M174" s="1"/>
    </row>
    <row r="177" spans="2:12" x14ac:dyDescent="0.25">
      <c r="C177" s="1117"/>
      <c r="D177" s="1118"/>
      <c r="E177" s="1119"/>
      <c r="F177" s="1117"/>
      <c r="G177" s="1117"/>
      <c r="H177" s="1117"/>
      <c r="I177" s="1117"/>
      <c r="J177" s="1117"/>
      <c r="K177" s="1117"/>
      <c r="L177" s="1117"/>
    </row>
    <row r="178" spans="2:12" x14ac:dyDescent="0.25">
      <c r="B178" s="1"/>
      <c r="F178" s="1"/>
    </row>
    <row r="179" spans="2:12" x14ac:dyDescent="0.25">
      <c r="F179" s="1"/>
    </row>
    <row r="180" spans="2:12" x14ac:dyDescent="0.25">
      <c r="F180" s="1"/>
    </row>
    <row r="181" spans="2:12" x14ac:dyDescent="0.25">
      <c r="F181" s="1"/>
    </row>
    <row r="182" spans="2:12" x14ac:dyDescent="0.25">
      <c r="E182" s="1"/>
      <c r="F182" s="1"/>
    </row>
  </sheetData>
  <mergeCells count="83">
    <mergeCell ref="B116:E116"/>
    <mergeCell ref="F116:I116"/>
    <mergeCell ref="J116:K116"/>
    <mergeCell ref="B117:B119"/>
    <mergeCell ref="C117:C119"/>
    <mergeCell ref="D117:D119"/>
    <mergeCell ref="E117:E119"/>
    <mergeCell ref="F117:F119"/>
    <mergeCell ref="G117:G119"/>
    <mergeCell ref="H117:H119"/>
    <mergeCell ref="I117:I119"/>
    <mergeCell ref="J117:J119"/>
    <mergeCell ref="K117:K119"/>
    <mergeCell ref="J135:K135"/>
    <mergeCell ref="H136:H138"/>
    <mergeCell ref="I136:I138"/>
    <mergeCell ref="J136:J138"/>
    <mergeCell ref="K136:K138"/>
    <mergeCell ref="G136:G138"/>
    <mergeCell ref="B136:B138"/>
    <mergeCell ref="C136:C138"/>
    <mergeCell ref="D136:D138"/>
    <mergeCell ref="E136:E138"/>
    <mergeCell ref="F136:F138"/>
    <mergeCell ref="B135:E135"/>
    <mergeCell ref="F135:I135"/>
    <mergeCell ref="A130:A131"/>
    <mergeCell ref="B130:E130"/>
    <mergeCell ref="F130:F131"/>
    <mergeCell ref="J87:K87"/>
    <mergeCell ref="B88:B90"/>
    <mergeCell ref="C88:C90"/>
    <mergeCell ref="D88:D90"/>
    <mergeCell ref="E88:E90"/>
    <mergeCell ref="F88:F90"/>
    <mergeCell ref="G88:G90"/>
    <mergeCell ref="H88:H90"/>
    <mergeCell ref="I88:I90"/>
    <mergeCell ref="J88:J90"/>
    <mergeCell ref="K88:K90"/>
    <mergeCell ref="A104:A105"/>
    <mergeCell ref="B104:E104"/>
    <mergeCell ref="F104:F105"/>
    <mergeCell ref="B87:E87"/>
    <mergeCell ref="F87:I87"/>
    <mergeCell ref="J29:K29"/>
    <mergeCell ref="B30:B32"/>
    <mergeCell ref="C30:C32"/>
    <mergeCell ref="D30:D32"/>
    <mergeCell ref="E30:E32"/>
    <mergeCell ref="F30:F32"/>
    <mergeCell ref="G30:G32"/>
    <mergeCell ref="H30:H32"/>
    <mergeCell ref="I30:I32"/>
    <mergeCell ref="J30:J32"/>
    <mergeCell ref="K30:K32"/>
    <mergeCell ref="J5:K5"/>
    <mergeCell ref="B6:B8"/>
    <mergeCell ref="C6:C8"/>
    <mergeCell ref="D6:D8"/>
    <mergeCell ref="E6:E8"/>
    <mergeCell ref="F6:F8"/>
    <mergeCell ref="G6:G8"/>
    <mergeCell ref="H6:H8"/>
    <mergeCell ref="I6:I8"/>
    <mergeCell ref="J6:J8"/>
    <mergeCell ref="K6:K8"/>
    <mergeCell ref="A145:A146"/>
    <mergeCell ref="B145:E145"/>
    <mergeCell ref="F145:F146"/>
    <mergeCell ref="B5:E5"/>
    <mergeCell ref="F5:I5"/>
    <mergeCell ref="A53:A54"/>
    <mergeCell ref="B53:E53"/>
    <mergeCell ref="F53:F54"/>
    <mergeCell ref="A59:A60"/>
    <mergeCell ref="B59:E59"/>
    <mergeCell ref="F59:F60"/>
    <mergeCell ref="B29:E29"/>
    <mergeCell ref="F29:I29"/>
    <mergeCell ref="A110:A111"/>
    <mergeCell ref="F110:F111"/>
    <mergeCell ref="B110:E110"/>
  </mergeCells>
  <conditionalFormatting sqref="D177:E177">
    <cfRule type="expression" dxfId="3" priority="1">
      <formula>#REF!-#REF!=0</formula>
    </cfRule>
  </conditionalFormatting>
  <pageMargins left="0.70866141732283472" right="0.70866141732283472" top="0.74803149606299213" bottom="0.74803149606299213" header="0.31496062992125984" footer="0.31496062992125984"/>
  <pageSetup paperSize="9" scale="63" fitToHeight="0" orientation="landscape" r:id="rId1"/>
  <headerFooter>
    <oddHeader>&amp;C&amp;G</oddHeader>
  </headerFooter>
  <rowBreaks count="1" manualBreakCount="1">
    <brk id="50" max="10"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213F-85D0-464D-B1F9-A5DE1D1E192B}">
  <sheetPr>
    <tabColor rgb="FF92D050"/>
  </sheetPr>
  <dimension ref="A1:I84"/>
  <sheetViews>
    <sheetView topLeftCell="C1" workbookViewId="0">
      <selection activeCell="F14" sqref="F14"/>
    </sheetView>
  </sheetViews>
  <sheetFormatPr defaultColWidth="9.28515625" defaultRowHeight="15" x14ac:dyDescent="0.3"/>
  <cols>
    <col min="1" max="1" width="12.140625" style="421" bestFit="1" customWidth="1"/>
    <col min="2" max="2" width="11.5703125" style="422" customWidth="1"/>
    <col min="3" max="3" width="71.5703125" style="422" bestFit="1" customWidth="1"/>
    <col min="4" max="4" width="16.28515625" style="422" customWidth="1"/>
    <col min="5" max="5" width="17.5703125" style="422" bestFit="1" customWidth="1"/>
    <col min="6" max="6" width="17.42578125" style="422" bestFit="1" customWidth="1"/>
    <col min="7" max="7" width="20.42578125" style="421" bestFit="1" customWidth="1"/>
    <col min="8" max="8" width="15.85546875" style="421" bestFit="1" customWidth="1"/>
    <col min="9" max="9" width="14.28515625" style="421" bestFit="1" customWidth="1"/>
    <col min="10" max="10" width="9.28515625" style="421"/>
    <col min="11" max="11" width="11.28515625" style="421" bestFit="1" customWidth="1"/>
    <col min="12" max="12" width="10.7109375" style="421" bestFit="1" customWidth="1"/>
    <col min="13" max="13" width="9.28515625" style="421"/>
    <col min="14" max="14" width="10.5703125" style="421" bestFit="1" customWidth="1"/>
    <col min="15" max="16384" width="9.28515625" style="421"/>
  </cols>
  <sheetData>
    <row r="1" spans="1:9" x14ac:dyDescent="0.3">
      <c r="A1" s="1539">
        <v>100000</v>
      </c>
    </row>
    <row r="2" spans="1:9" s="434" customFormat="1" x14ac:dyDescent="0.3">
      <c r="B2" s="458" t="s">
        <v>669</v>
      </c>
      <c r="C2" s="457" t="s">
        <v>286</v>
      </c>
      <c r="D2" s="457"/>
      <c r="E2" s="456" t="s">
        <v>668</v>
      </c>
      <c r="F2" s="455" t="s">
        <v>667</v>
      </c>
    </row>
    <row r="3" spans="1:9" s="434" customFormat="1" ht="30" x14ac:dyDescent="0.3">
      <c r="B3" s="536" t="s">
        <v>666</v>
      </c>
      <c r="C3" s="454" t="s">
        <v>911</v>
      </c>
      <c r="D3" s="452"/>
      <c r="E3" s="451" t="s">
        <v>665</v>
      </c>
      <c r="F3" s="450" t="s">
        <v>1630</v>
      </c>
    </row>
    <row r="4" spans="1:9" s="434" customFormat="1" x14ac:dyDescent="0.3">
      <c r="B4" s="453"/>
      <c r="C4" s="452"/>
      <c r="D4" s="452"/>
      <c r="E4" s="451" t="s">
        <v>663</v>
      </c>
      <c r="F4" s="450" t="s">
        <v>1402</v>
      </c>
    </row>
    <row r="5" spans="1:9" x14ac:dyDescent="0.3">
      <c r="B5" s="449"/>
      <c r="C5" s="448"/>
      <c r="D5" s="448"/>
      <c r="E5" s="447"/>
      <c r="F5" s="446"/>
    </row>
    <row r="6" spans="1:9" x14ac:dyDescent="0.3">
      <c r="B6" s="445"/>
      <c r="C6" s="444"/>
      <c r="D6" s="444"/>
      <c r="E6" s="444"/>
      <c r="F6" s="443"/>
    </row>
    <row r="7" spans="1:9" x14ac:dyDescent="0.3">
      <c r="B7" s="1807" t="s">
        <v>661</v>
      </c>
      <c r="C7" s="1807"/>
      <c r="D7" s="1807"/>
      <c r="E7" s="1807"/>
      <c r="F7" s="1807"/>
    </row>
    <row r="8" spans="1:9" x14ac:dyDescent="0.3">
      <c r="B8" s="1864" t="s">
        <v>645</v>
      </c>
      <c r="C8" s="1864"/>
      <c r="D8" s="1864"/>
      <c r="E8" s="1361" t="s">
        <v>660</v>
      </c>
      <c r="F8" s="1361" t="s">
        <v>660</v>
      </c>
      <c r="I8" s="1540" t="s">
        <v>1631</v>
      </c>
    </row>
    <row r="9" spans="1:9" x14ac:dyDescent="0.3">
      <c r="B9" s="975"/>
      <c r="C9" s="975"/>
      <c r="D9" s="975"/>
      <c r="E9" s="1271"/>
      <c r="F9" s="975"/>
    </row>
    <row r="10" spans="1:9" x14ac:dyDescent="0.3">
      <c r="B10" s="437" t="s">
        <v>42</v>
      </c>
      <c r="C10" s="435" t="s">
        <v>659</v>
      </c>
      <c r="D10" s="425"/>
      <c r="E10" s="446"/>
      <c r="F10" s="425"/>
    </row>
    <row r="11" spans="1:9" x14ac:dyDescent="0.3">
      <c r="B11" s="427"/>
      <c r="C11" s="425" t="s">
        <v>658</v>
      </c>
      <c r="D11" s="425"/>
      <c r="E11" s="446"/>
      <c r="F11" s="425">
        <f>PL!D21*100000</f>
        <v>-754023996.08000016</v>
      </c>
      <c r="G11" s="980"/>
    </row>
    <row r="12" spans="1:9" x14ac:dyDescent="0.3">
      <c r="B12" s="427"/>
      <c r="C12" s="425"/>
      <c r="D12" s="425"/>
      <c r="E12" s="446"/>
      <c r="F12" s="425"/>
    </row>
    <row r="13" spans="1:9" x14ac:dyDescent="0.3">
      <c r="B13" s="437" t="s">
        <v>126</v>
      </c>
      <c r="C13" s="439" t="s">
        <v>657</v>
      </c>
      <c r="D13" s="425"/>
      <c r="E13" s="446"/>
      <c r="F13" s="425"/>
    </row>
    <row r="14" spans="1:9" x14ac:dyDescent="0.3">
      <c r="B14" s="437"/>
      <c r="C14" s="436" t="s">
        <v>656</v>
      </c>
      <c r="D14" s="425"/>
      <c r="E14" s="446"/>
      <c r="F14" s="425"/>
    </row>
    <row r="15" spans="1:9" s="422" customFormat="1" x14ac:dyDescent="0.3">
      <c r="B15" s="437"/>
      <c r="C15" s="436" t="s">
        <v>1404</v>
      </c>
      <c r="D15" s="425"/>
      <c r="E15" s="446">
        <f>+'[14]TB BVS 31.03.26'!I148</f>
        <v>130000</v>
      </c>
      <c r="F15" s="425"/>
      <c r="G15" s="421"/>
      <c r="H15" s="421"/>
      <c r="I15" s="421"/>
    </row>
    <row r="16" spans="1:9" s="422" customFormat="1" x14ac:dyDescent="0.3">
      <c r="B16" s="437"/>
      <c r="C16" s="436" t="s">
        <v>1632</v>
      </c>
      <c r="D16" s="425"/>
      <c r="E16" s="446">
        <v>0</v>
      </c>
      <c r="F16" s="425"/>
      <c r="G16" s="421"/>
      <c r="H16" s="1539"/>
      <c r="I16" s="421"/>
    </row>
    <row r="17" spans="2:9" s="422" customFormat="1" x14ac:dyDescent="0.3">
      <c r="B17" s="437"/>
      <c r="C17" s="436" t="s">
        <v>653</v>
      </c>
      <c r="D17" s="425"/>
      <c r="E17" s="446">
        <f>+[14]PL!D17*A1</f>
        <v>318118302.27999997</v>
      </c>
      <c r="F17" s="425"/>
      <c r="G17" s="421"/>
      <c r="H17" s="980"/>
      <c r="I17" s="421"/>
    </row>
    <row r="18" spans="2:9" s="422" customFormat="1" x14ac:dyDescent="0.3">
      <c r="B18" s="437"/>
      <c r="C18" s="436" t="s">
        <v>1542</v>
      </c>
      <c r="D18" s="425"/>
      <c r="E18" s="446">
        <f>-'[14]TB BVS 31.03.26'!I254</f>
        <v>1495028</v>
      </c>
      <c r="F18" s="425"/>
      <c r="G18" s="421"/>
      <c r="H18" s="980"/>
      <c r="I18" s="421"/>
    </row>
    <row r="19" spans="2:9" s="422" customFormat="1" x14ac:dyDescent="0.3">
      <c r="B19" s="437"/>
      <c r="C19" s="436" t="s">
        <v>1633</v>
      </c>
      <c r="D19" s="425"/>
      <c r="E19" s="446">
        <f>-'[14]43B'!J31</f>
        <v>7925794.5</v>
      </c>
      <c r="F19" s="425"/>
      <c r="G19" s="421"/>
      <c r="H19" s="421"/>
      <c r="I19" s="421"/>
    </row>
    <row r="20" spans="2:9" s="422" customFormat="1" x14ac:dyDescent="0.3">
      <c r="B20" s="437"/>
      <c r="C20" s="436"/>
      <c r="D20" s="425"/>
      <c r="E20" s="446"/>
      <c r="F20" s="425"/>
      <c r="G20" s="421"/>
      <c r="H20" s="421"/>
      <c r="I20" s="421"/>
    </row>
    <row r="21" spans="2:9" s="422" customFormat="1" x14ac:dyDescent="0.3">
      <c r="B21" s="437"/>
      <c r="C21" s="436"/>
      <c r="D21" s="425"/>
      <c r="E21" s="446"/>
      <c r="F21" s="425"/>
      <c r="G21" s="421"/>
      <c r="H21" s="421"/>
      <c r="I21" s="421"/>
    </row>
    <row r="22" spans="2:9" s="422" customFormat="1" ht="13.5" customHeight="1" x14ac:dyDescent="0.3">
      <c r="B22" s="427"/>
      <c r="C22" s="436"/>
      <c r="D22" s="425"/>
      <c r="E22" s="446"/>
      <c r="F22" s="425"/>
      <c r="G22" s="980"/>
      <c r="H22" s="421"/>
      <c r="I22" s="421"/>
    </row>
    <row r="23" spans="2:9" s="422" customFormat="1" x14ac:dyDescent="0.3">
      <c r="B23" s="427"/>
      <c r="C23" s="436"/>
      <c r="D23" s="425"/>
      <c r="E23" s="443"/>
      <c r="F23" s="425">
        <f>SUM(E14:E23)</f>
        <v>327669124.77999997</v>
      </c>
      <c r="G23" s="980"/>
      <c r="H23" s="421"/>
      <c r="I23" s="421"/>
    </row>
    <row r="24" spans="2:9" s="422" customFormat="1" x14ac:dyDescent="0.3">
      <c r="B24" s="427"/>
      <c r="C24" s="436"/>
      <c r="D24" s="425"/>
      <c r="E24" s="975"/>
      <c r="F24" s="446"/>
      <c r="G24" s="421"/>
      <c r="H24" s="421"/>
      <c r="I24" s="421"/>
    </row>
    <row r="25" spans="2:9" s="422" customFormat="1" x14ac:dyDescent="0.3">
      <c r="B25" s="437" t="s">
        <v>632</v>
      </c>
      <c r="C25" s="439" t="s">
        <v>649</v>
      </c>
      <c r="D25" s="425"/>
      <c r="E25" s="425"/>
      <c r="F25" s="446"/>
      <c r="G25" s="421"/>
      <c r="H25" s="421"/>
      <c r="I25" s="421"/>
    </row>
    <row r="26" spans="2:9" s="422" customFormat="1" x14ac:dyDescent="0.3">
      <c r="B26" s="427"/>
      <c r="C26" s="436" t="s">
        <v>648</v>
      </c>
      <c r="D26" s="425"/>
      <c r="E26" s="425">
        <f>-'[14]IT Dep_FY26'!P17</f>
        <v>-633596523</v>
      </c>
      <c r="F26" s="446"/>
      <c r="G26" s="421"/>
      <c r="H26" s="421"/>
      <c r="I26" s="421"/>
    </row>
    <row r="27" spans="2:9" s="422" customFormat="1" x14ac:dyDescent="0.3">
      <c r="B27" s="427"/>
      <c r="C27" s="436" t="s">
        <v>1634</v>
      </c>
      <c r="D27" s="425"/>
      <c r="E27" s="425">
        <v>-8400</v>
      </c>
      <c r="F27" s="446"/>
      <c r="G27" s="421"/>
      <c r="H27" s="421"/>
      <c r="I27" s="421"/>
    </row>
    <row r="28" spans="2:9" s="422" customFormat="1" x14ac:dyDescent="0.3">
      <c r="B28" s="427"/>
      <c r="C28" s="425" t="s">
        <v>1412</v>
      </c>
      <c r="D28" s="425"/>
      <c r="E28" s="425">
        <f>+'[14]TB BVS 31.03.26'!I111+'[14]TB BVS 31.03.26'!I112</f>
        <v>-2084498.49</v>
      </c>
      <c r="F28" s="446"/>
      <c r="G28" s="421"/>
      <c r="H28" s="421"/>
      <c r="I28" s="421"/>
    </row>
    <row r="29" spans="2:9" s="422" customFormat="1" x14ac:dyDescent="0.3">
      <c r="B29" s="427"/>
      <c r="C29" s="425" t="s">
        <v>1413</v>
      </c>
      <c r="D29" s="425"/>
      <c r="E29" s="425">
        <f>+'[14]TB BVS 31.03.26'!I114</f>
        <v>-192594.37</v>
      </c>
      <c r="F29" s="446"/>
      <c r="G29" s="421"/>
      <c r="H29" s="980"/>
      <c r="I29" s="421"/>
    </row>
    <row r="30" spans="2:9" s="422" customFormat="1" x14ac:dyDescent="0.3">
      <c r="B30" s="427"/>
      <c r="C30" s="425" t="s">
        <v>1414</v>
      </c>
      <c r="D30" s="425"/>
      <c r="E30" s="425"/>
      <c r="F30" s="446"/>
      <c r="G30" s="421"/>
      <c r="H30" s="421"/>
      <c r="I30" s="421"/>
    </row>
    <row r="31" spans="2:9" s="422" customFormat="1" x14ac:dyDescent="0.3">
      <c r="B31" s="427"/>
      <c r="C31" s="442" t="s">
        <v>1117</v>
      </c>
      <c r="D31" s="425"/>
      <c r="E31" s="425">
        <f>-[14]Lease!C27</f>
        <v>-3556823.5151225771</v>
      </c>
      <c r="F31" s="446"/>
      <c r="G31" s="421"/>
      <c r="H31" s="421"/>
      <c r="I31" s="421"/>
    </row>
    <row r="32" spans="2:9" s="422" customFormat="1" x14ac:dyDescent="0.3">
      <c r="B32" s="427"/>
      <c r="C32" s="442"/>
      <c r="D32" s="425"/>
      <c r="E32" s="425"/>
      <c r="F32" s="446"/>
      <c r="G32" s="421"/>
      <c r="H32" s="421"/>
      <c r="I32" s="421"/>
    </row>
    <row r="33" spans="2:9" s="422" customFormat="1" x14ac:dyDescent="0.3">
      <c r="B33" s="427"/>
      <c r="C33" s="442"/>
      <c r="D33" s="425"/>
      <c r="E33" s="426"/>
      <c r="F33" s="446">
        <f>SUM(E26:E33)</f>
        <v>-639438839.37512255</v>
      </c>
      <c r="G33" s="980"/>
      <c r="H33" s="421"/>
      <c r="I33" s="421"/>
    </row>
    <row r="34" spans="2:9" s="422" customFormat="1" x14ac:dyDescent="0.3">
      <c r="B34" s="427"/>
      <c r="C34" s="435" t="s">
        <v>647</v>
      </c>
      <c r="D34" s="425"/>
      <c r="E34" s="425"/>
      <c r="F34" s="450">
        <f>+F11+F23+F33</f>
        <v>-1065793710.6751227</v>
      </c>
      <c r="G34" s="421"/>
      <c r="H34" s="421"/>
    </row>
    <row r="35" spans="2:9" x14ac:dyDescent="0.3">
      <c r="B35" s="437"/>
      <c r="C35" s="425"/>
      <c r="D35" s="440"/>
      <c r="E35" s="425"/>
      <c r="F35" s="972"/>
    </row>
    <row r="36" spans="2:9" x14ac:dyDescent="0.3">
      <c r="B36" s="437" t="s">
        <v>46</v>
      </c>
      <c r="C36" s="435" t="s">
        <v>908</v>
      </c>
      <c r="D36" s="425"/>
      <c r="E36" s="446"/>
      <c r="F36" s="450"/>
    </row>
    <row r="37" spans="2:9" x14ac:dyDescent="0.3">
      <c r="B37" s="427"/>
      <c r="C37" s="425" t="s">
        <v>1412</v>
      </c>
      <c r="D37" s="425">
        <f>-E28-D38</f>
        <v>1961890.49</v>
      </c>
      <c r="E37" s="446"/>
      <c r="F37" s="450"/>
    </row>
    <row r="38" spans="2:9" x14ac:dyDescent="0.3">
      <c r="B38" s="427"/>
      <c r="C38" s="425" t="s">
        <v>1414</v>
      </c>
      <c r="D38" s="425">
        <f>(2351850-2229242)</f>
        <v>122608</v>
      </c>
      <c r="E38" s="446"/>
      <c r="F38" s="450"/>
      <c r="H38" s="421" t="s">
        <v>1635</v>
      </c>
    </row>
    <row r="39" spans="2:9" x14ac:dyDescent="0.3">
      <c r="B39" s="427"/>
      <c r="C39" s="435"/>
      <c r="D39" s="425"/>
      <c r="E39" s="446"/>
      <c r="F39" s="450"/>
      <c r="H39" s="1539"/>
    </row>
    <row r="40" spans="2:9" x14ac:dyDescent="0.3">
      <c r="B40" s="437"/>
      <c r="C40" s="425"/>
      <c r="D40" s="975">
        <f>SUM(D37:D39)</f>
        <v>2084498.49</v>
      </c>
      <c r="E40" s="459"/>
      <c r="F40" s="459"/>
      <c r="H40" s="1541"/>
    </row>
    <row r="41" spans="2:9" x14ac:dyDescent="0.3">
      <c r="B41" s="437"/>
      <c r="C41" s="425" t="s">
        <v>1416</v>
      </c>
      <c r="D41" s="426">
        <v>0</v>
      </c>
      <c r="E41" s="972">
        <f>D40-D41</f>
        <v>2084498.49</v>
      </c>
      <c r="F41" s="450">
        <f>SUM(E37:E41)</f>
        <v>2084498.49</v>
      </c>
      <c r="G41" s="533"/>
      <c r="H41" s="980"/>
    </row>
    <row r="42" spans="2:9" x14ac:dyDescent="0.3">
      <c r="B42" s="437"/>
      <c r="C42" s="425"/>
      <c r="D42" s="440"/>
      <c r="E42" s="446"/>
      <c r="F42" s="972"/>
      <c r="H42" s="533"/>
    </row>
    <row r="43" spans="2:9" x14ac:dyDescent="0.3">
      <c r="B43" s="437"/>
      <c r="C43" s="439" t="s">
        <v>67</v>
      </c>
      <c r="D43" s="435"/>
      <c r="E43" s="450"/>
      <c r="F43" s="450">
        <f>F34+F41</f>
        <v>-1063709212.1851227</v>
      </c>
      <c r="G43" s="434"/>
      <c r="H43" s="1542">
        <f>+F43-E26</f>
        <v>-430112689.18512273</v>
      </c>
      <c r="I43" s="980"/>
    </row>
    <row r="44" spans="2:9" x14ac:dyDescent="0.3">
      <c r="B44" s="437"/>
      <c r="C44" s="438"/>
      <c r="D44" s="435"/>
      <c r="E44" s="450"/>
      <c r="F44" s="973"/>
      <c r="G44" s="1541"/>
      <c r="H44" s="434"/>
    </row>
    <row r="45" spans="2:9" x14ac:dyDescent="0.3">
      <c r="B45" s="969"/>
      <c r="C45" s="970"/>
      <c r="D45" s="971"/>
      <c r="E45" s="1273"/>
      <c r="F45" s="974"/>
      <c r="G45" s="1091"/>
      <c r="H45" s="434"/>
    </row>
    <row r="46" spans="2:9" x14ac:dyDescent="0.3">
      <c r="B46" s="1807" t="s">
        <v>646</v>
      </c>
      <c r="C46" s="1807"/>
      <c r="D46" s="1807"/>
      <c r="E46" s="1807"/>
      <c r="F46" s="1807"/>
    </row>
    <row r="47" spans="2:9" ht="15.75" thickBot="1" x14ac:dyDescent="0.35">
      <c r="B47" s="1808" t="s">
        <v>645</v>
      </c>
      <c r="C47" s="1808"/>
      <c r="D47" s="1808"/>
      <c r="E47" s="433" t="str">
        <f>E8</f>
        <v>Amt In INR</v>
      </c>
      <c r="F47" s="433" t="str">
        <f>F8</f>
        <v>Amt In INR</v>
      </c>
    </row>
    <row r="48" spans="2:9" s="429" customFormat="1" ht="15.75" thickTop="1" x14ac:dyDescent="0.3">
      <c r="B48" s="425"/>
      <c r="C48" s="425" t="s">
        <v>644</v>
      </c>
      <c r="D48" s="425"/>
      <c r="E48" s="425"/>
      <c r="F48" s="425">
        <v>0</v>
      </c>
      <c r="G48" s="421"/>
      <c r="H48" s="421"/>
    </row>
    <row r="49" spans="2:8" x14ac:dyDescent="0.3">
      <c r="B49" s="425"/>
      <c r="C49" s="425"/>
      <c r="D49" s="425"/>
      <c r="E49" s="425"/>
      <c r="F49" s="425"/>
      <c r="G49" s="1539"/>
      <c r="H49" s="1539"/>
    </row>
    <row r="50" spans="2:8" s="429" customFormat="1" x14ac:dyDescent="0.3">
      <c r="B50" s="425"/>
      <c r="C50" s="425" t="s">
        <v>643</v>
      </c>
      <c r="D50" s="432">
        <v>0.15</v>
      </c>
      <c r="E50" s="531">
        <f>IF(F43&gt;0,F43,0)</f>
        <v>0</v>
      </c>
      <c r="F50" s="425">
        <f>D50*E50</f>
        <v>0</v>
      </c>
      <c r="G50" s="980"/>
      <c r="H50" s="421"/>
    </row>
    <row r="51" spans="2:8" s="429" customFormat="1" x14ac:dyDescent="0.3">
      <c r="B51" s="425"/>
      <c r="C51" s="425" t="s">
        <v>642</v>
      </c>
      <c r="D51" s="432">
        <v>0.22</v>
      </c>
      <c r="E51" s="531">
        <f>(F34+F41)*0</f>
        <v>0</v>
      </c>
      <c r="F51" s="425">
        <f>D51*E51</f>
        <v>0</v>
      </c>
      <c r="G51" s="1539"/>
      <c r="H51" s="421"/>
    </row>
    <row r="52" spans="2:8" s="429" customFormat="1" x14ac:dyDescent="0.3">
      <c r="B52" s="425"/>
      <c r="C52" s="425" t="s">
        <v>642</v>
      </c>
      <c r="D52" s="432">
        <v>0.1</v>
      </c>
      <c r="E52" s="1274">
        <v>0</v>
      </c>
      <c r="F52" s="426">
        <v>0</v>
      </c>
      <c r="G52" s="1539"/>
      <c r="H52" s="421"/>
    </row>
    <row r="53" spans="2:8" s="429" customFormat="1" x14ac:dyDescent="0.3">
      <c r="B53" s="425"/>
      <c r="C53" s="425" t="s">
        <v>639</v>
      </c>
      <c r="D53" s="425"/>
      <c r="E53" s="425"/>
      <c r="F53" s="425">
        <f>SUM(F50:F52)</f>
        <v>0</v>
      </c>
      <c r="G53" s="1539"/>
      <c r="H53" s="421"/>
    </row>
    <row r="54" spans="2:8" s="429" customFormat="1" x14ac:dyDescent="0.3">
      <c r="B54" s="427" t="s">
        <v>638</v>
      </c>
      <c r="C54" s="425" t="s">
        <v>641</v>
      </c>
      <c r="D54" s="425"/>
      <c r="E54" s="425"/>
      <c r="F54" s="431">
        <f>F53*10%</f>
        <v>0</v>
      </c>
      <c r="G54" s="421"/>
      <c r="H54" s="977"/>
    </row>
    <row r="55" spans="2:8" s="429" customFormat="1" x14ac:dyDescent="0.3">
      <c r="B55" s="427" t="s">
        <v>638</v>
      </c>
      <c r="C55" s="425" t="s">
        <v>640</v>
      </c>
      <c r="D55" s="425"/>
      <c r="E55" s="425"/>
      <c r="F55" s="426">
        <f>(F53+F54)*4%</f>
        <v>0</v>
      </c>
    </row>
    <row r="56" spans="2:8" s="429" customFormat="1" x14ac:dyDescent="0.3">
      <c r="B56" s="427"/>
      <c r="C56" s="425" t="s">
        <v>639</v>
      </c>
      <c r="D56" s="425"/>
      <c r="E56" s="425"/>
      <c r="F56" s="425">
        <f>SUM(F53:F55)</f>
        <v>0</v>
      </c>
    </row>
    <row r="57" spans="2:8" s="429" customFormat="1" x14ac:dyDescent="0.3">
      <c r="B57" s="427"/>
      <c r="C57" s="425"/>
      <c r="D57" s="425"/>
      <c r="E57" s="425"/>
      <c r="F57" s="425"/>
    </row>
    <row r="58" spans="2:8" s="429" customFormat="1" x14ac:dyDescent="0.3">
      <c r="B58" s="427" t="s">
        <v>638</v>
      </c>
      <c r="C58" s="425" t="s">
        <v>637</v>
      </c>
      <c r="D58" s="425"/>
      <c r="E58" s="425"/>
      <c r="F58" s="425"/>
    </row>
    <row r="59" spans="2:8" s="429" customFormat="1" x14ac:dyDescent="0.3">
      <c r="B59" s="427"/>
      <c r="C59" s="425" t="s">
        <v>636</v>
      </c>
      <c r="D59" s="425"/>
      <c r="E59" s="425">
        <v>0</v>
      </c>
      <c r="F59" s="425"/>
    </row>
    <row r="60" spans="2:8" s="429" customFormat="1" ht="13.5" customHeight="1" x14ac:dyDescent="0.3">
      <c r="B60" s="425"/>
      <c r="C60" s="425" t="s">
        <v>635</v>
      </c>
      <c r="D60" s="425"/>
      <c r="E60" s="430">
        <v>0</v>
      </c>
      <c r="F60" s="425"/>
    </row>
    <row r="61" spans="2:8" ht="13.5" customHeight="1" x14ac:dyDescent="0.3">
      <c r="B61" s="425"/>
      <c r="C61" s="425" t="s">
        <v>634</v>
      </c>
      <c r="D61" s="425"/>
      <c r="E61" s="426">
        <f>K59*0</f>
        <v>0</v>
      </c>
      <c r="F61" s="426">
        <f>SUM(E60:E61)*0</f>
        <v>0</v>
      </c>
    </row>
    <row r="62" spans="2:8" ht="13.5" customHeight="1" x14ac:dyDescent="0.3">
      <c r="B62" s="425"/>
      <c r="C62" s="425" t="s">
        <v>633</v>
      </c>
      <c r="D62" s="425"/>
      <c r="E62" s="425"/>
      <c r="F62" s="428">
        <f>F56+F61</f>
        <v>0</v>
      </c>
    </row>
    <row r="63" spans="2:8" ht="13.5" customHeight="1" x14ac:dyDescent="0.3">
      <c r="B63" s="425"/>
      <c r="C63" s="425"/>
      <c r="D63" s="425"/>
      <c r="E63" s="425"/>
      <c r="F63" s="428"/>
    </row>
    <row r="64" spans="2:8" ht="13.5" customHeight="1" x14ac:dyDescent="0.3">
      <c r="B64" s="427" t="s">
        <v>632</v>
      </c>
      <c r="C64" s="425" t="s">
        <v>631</v>
      </c>
      <c r="D64" s="425"/>
      <c r="E64" s="425"/>
      <c r="F64" s="425"/>
    </row>
    <row r="65" spans="2:6" ht="13.5" customHeight="1" x14ac:dyDescent="0.3">
      <c r="B65" s="427"/>
      <c r="C65" s="425" t="s">
        <v>630</v>
      </c>
      <c r="D65" s="425"/>
      <c r="E65" s="425"/>
      <c r="F65" s="425"/>
    </row>
    <row r="66" spans="2:6" ht="13.5" customHeight="1" x14ac:dyDescent="0.3">
      <c r="B66" s="425"/>
      <c r="C66" s="425" t="s">
        <v>629</v>
      </c>
      <c r="D66" s="425"/>
      <c r="E66" s="425">
        <f>[15]TDS!D26</f>
        <v>2941166</v>
      </c>
      <c r="F66" s="425"/>
    </row>
    <row r="67" spans="2:6" ht="13.5" customHeight="1" x14ac:dyDescent="0.3">
      <c r="B67" s="425"/>
      <c r="C67" s="425" t="s">
        <v>1417</v>
      </c>
      <c r="D67" s="425"/>
      <c r="E67" s="425"/>
      <c r="F67" s="425"/>
    </row>
    <row r="68" spans="2:6" ht="13.5" customHeight="1" x14ac:dyDescent="0.3">
      <c r="B68" s="425"/>
      <c r="C68" s="425" t="s">
        <v>628</v>
      </c>
      <c r="D68" s="425"/>
      <c r="E68" s="426"/>
      <c r="F68" s="425">
        <f>SUM(E65:E68)</f>
        <v>2941166</v>
      </c>
    </row>
    <row r="69" spans="2:6" ht="13.5" customHeight="1" x14ac:dyDescent="0.3">
      <c r="B69" s="425"/>
      <c r="C69" s="425"/>
      <c r="D69" s="425"/>
      <c r="E69" s="426"/>
      <c r="F69" s="425"/>
    </row>
    <row r="70" spans="2:6" ht="13.5" customHeight="1" x14ac:dyDescent="0.3">
      <c r="B70" s="424"/>
      <c r="C70" s="424" t="s">
        <v>1636</v>
      </c>
      <c r="D70" s="424"/>
      <c r="E70" s="424"/>
      <c r="F70" s="424">
        <f>F62-F68</f>
        <v>-2941166</v>
      </c>
    </row>
    <row r="75" spans="2:6" hidden="1" x14ac:dyDescent="0.3">
      <c r="C75" s="1275"/>
      <c r="D75" s="1275"/>
      <c r="E75" s="1276" t="s">
        <v>674</v>
      </c>
    </row>
    <row r="76" spans="2:6" hidden="1" x14ac:dyDescent="0.3">
      <c r="C76" s="1277" t="s">
        <v>0</v>
      </c>
      <c r="D76" s="1278" t="s">
        <v>675</v>
      </c>
      <c r="E76" s="1279" t="s">
        <v>676</v>
      </c>
    </row>
    <row r="77" spans="2:6" hidden="1" x14ac:dyDescent="0.3">
      <c r="C77" s="1280" t="s">
        <v>677</v>
      </c>
      <c r="D77" s="480">
        <v>-16656914.976153366</v>
      </c>
      <c r="E77" s="481">
        <v>-7940372.1518632798</v>
      </c>
    </row>
    <row r="78" spans="2:6" hidden="1" x14ac:dyDescent="0.3">
      <c r="C78" s="1280"/>
      <c r="D78" s="1281"/>
      <c r="E78" s="481"/>
    </row>
    <row r="79" spans="2:6" hidden="1" x14ac:dyDescent="0.3">
      <c r="C79" s="1280" t="s">
        <v>678</v>
      </c>
      <c r="D79" s="480">
        <v>2204672.9728561738</v>
      </c>
      <c r="E79" s="481">
        <v>356064</v>
      </c>
    </row>
    <row r="80" spans="2:6" hidden="1" x14ac:dyDescent="0.3">
      <c r="C80" s="1280" t="s">
        <v>679</v>
      </c>
      <c r="D80" s="480">
        <v>14144259.054815067</v>
      </c>
      <c r="E80" s="481">
        <v>7276273.6180890398</v>
      </c>
    </row>
    <row r="81" spans="3:5" hidden="1" x14ac:dyDescent="0.3">
      <c r="C81" s="1280"/>
      <c r="D81" s="480"/>
      <c r="E81" s="481"/>
    </row>
    <row r="82" spans="3:5" hidden="1" x14ac:dyDescent="0.3">
      <c r="C82" s="1280" t="s">
        <v>680</v>
      </c>
      <c r="D82" s="480"/>
      <c r="E82" s="481">
        <v>33600</v>
      </c>
    </row>
    <row r="83" spans="3:5" hidden="1" x14ac:dyDescent="0.3">
      <c r="C83" s="1280" t="s">
        <v>681</v>
      </c>
      <c r="D83" s="480">
        <v>-1000</v>
      </c>
      <c r="E83" s="481">
        <v>0</v>
      </c>
    </row>
    <row r="84" spans="3:5" hidden="1" x14ac:dyDescent="0.3">
      <c r="C84" s="1277" t="s">
        <v>682</v>
      </c>
      <c r="D84" s="1543">
        <v>-308982.948482126</v>
      </c>
      <c r="E84" s="1544">
        <v>-274434.5337742446</v>
      </c>
    </row>
  </sheetData>
  <mergeCells count="4">
    <mergeCell ref="B7:F7"/>
    <mergeCell ref="B8:D8"/>
    <mergeCell ref="B46:F46"/>
    <mergeCell ref="B47:D47"/>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2CD0-817B-4A46-A965-1B0C0B2CDDE0}">
  <sheetPr>
    <tabColor rgb="FFFFFF00"/>
  </sheetPr>
  <dimension ref="A2:G114"/>
  <sheetViews>
    <sheetView workbookViewId="0">
      <selection activeCell="F14" sqref="F14"/>
    </sheetView>
  </sheetViews>
  <sheetFormatPr defaultColWidth="8.7109375" defaultRowHeight="15" x14ac:dyDescent="0.25"/>
  <cols>
    <col min="1" max="1" width="70.42578125" style="501" bestFit="1" customWidth="1"/>
    <col min="2" max="2" width="24.7109375" style="501" customWidth="1"/>
    <col min="3" max="3" width="15.42578125" style="501" bestFit="1" customWidth="1"/>
    <col min="4" max="4" width="14.7109375" style="501" bestFit="1" customWidth="1"/>
    <col min="5" max="5" width="14.42578125" style="501" bestFit="1" customWidth="1"/>
    <col min="6" max="6" width="13.28515625" style="501" bestFit="1" customWidth="1"/>
    <col min="7" max="7" width="12.42578125" style="501" bestFit="1" customWidth="1"/>
    <col min="8" max="16384" width="8.7109375" style="501"/>
  </cols>
  <sheetData>
    <row r="2" spans="1:6" ht="15.75" thickBot="1" x14ac:dyDescent="0.3"/>
    <row r="3" spans="1:6" x14ac:dyDescent="0.25">
      <c r="A3" s="1364" t="s">
        <v>0</v>
      </c>
      <c r="B3" s="1365" t="s">
        <v>246</v>
      </c>
    </row>
    <row r="4" spans="1:6" x14ac:dyDescent="0.25">
      <c r="A4" s="1366" t="s">
        <v>1418</v>
      </c>
      <c r="B4" s="1507">
        <f>+'[16]Draft-TC'!H43</f>
        <v>-432524925.18512273</v>
      </c>
      <c r="C4" s="501" t="s">
        <v>1484</v>
      </c>
    </row>
    <row r="5" spans="1:6" x14ac:dyDescent="0.25">
      <c r="A5" s="1366" t="s">
        <v>1725</v>
      </c>
      <c r="B5" s="75">
        <f>-[16]Forecast!G84</f>
        <v>-59756367</v>
      </c>
      <c r="C5" s="501" t="s">
        <v>1485</v>
      </c>
      <c r="F5" t="s">
        <v>1614</v>
      </c>
    </row>
    <row r="6" spans="1:6" x14ac:dyDescent="0.25">
      <c r="A6" s="1366" t="s">
        <v>1420</v>
      </c>
      <c r="B6" s="704">
        <f>SUM(B4:B5)</f>
        <v>-492281292.18512273</v>
      </c>
    </row>
    <row r="7" spans="1:6" x14ac:dyDescent="0.25">
      <c r="A7" s="1366" t="s">
        <v>1421</v>
      </c>
      <c r="B7" s="1508">
        <f>+B6*17.16%</f>
        <v>-84475469.738967061</v>
      </c>
      <c r="C7" s="1131">
        <f>B7/100000</f>
        <v>-844.75469738967058</v>
      </c>
    </row>
    <row r="8" spans="1:6" x14ac:dyDescent="0.25">
      <c r="A8" s="1366"/>
      <c r="B8" s="704"/>
    </row>
    <row r="9" spans="1:6" x14ac:dyDescent="0.25">
      <c r="A9" s="1366" t="s">
        <v>1422</v>
      </c>
      <c r="B9" s="491">
        <v>-385108815</v>
      </c>
      <c r="C9" s="501" t="s">
        <v>1485</v>
      </c>
      <c r="D9" s="501" t="s">
        <v>1615</v>
      </c>
      <c r="E9" s="1055">
        <f>B5-B9</f>
        <v>325352448</v>
      </c>
    </row>
    <row r="10" spans="1:6" x14ac:dyDescent="0.25">
      <c r="A10" s="1366" t="s">
        <v>1423</v>
      </c>
      <c r="B10" s="704">
        <f>+'[16]Draft-TC'!E26</f>
        <v>-633596523</v>
      </c>
      <c r="C10" s="501" t="s">
        <v>1486</v>
      </c>
      <c r="E10" s="1055"/>
    </row>
    <row r="11" spans="1:6" x14ac:dyDescent="0.25">
      <c r="A11" s="1366" t="s">
        <v>1424</v>
      </c>
      <c r="B11" s="704">
        <f>+B9+B10</f>
        <v>-1018705338</v>
      </c>
    </row>
    <row r="12" spans="1:6" x14ac:dyDescent="0.25">
      <c r="A12" s="1366" t="s">
        <v>1421</v>
      </c>
      <c r="B12" s="1508">
        <f>+B11*17.16%</f>
        <v>-174809836.00080001</v>
      </c>
      <c r="C12" s="1131">
        <f>B12/100000</f>
        <v>-1748.0983600080001</v>
      </c>
    </row>
    <row r="13" spans="1:6" ht="15.75" thickBot="1" x14ac:dyDescent="0.3">
      <c r="A13" s="1367" t="s">
        <v>67</v>
      </c>
      <c r="B13" s="1509">
        <f>+B12+B7</f>
        <v>-259285305.73976707</v>
      </c>
    </row>
    <row r="14" spans="1:6" x14ac:dyDescent="0.25">
      <c r="B14" s="1045"/>
    </row>
    <row r="16" spans="1:6" s="1075" customFormat="1" x14ac:dyDescent="0.25">
      <c r="A16" s="702" t="s">
        <v>0</v>
      </c>
      <c r="B16" s="702" t="s">
        <v>1132</v>
      </c>
      <c r="C16" s="702" t="s">
        <v>1133</v>
      </c>
      <c r="D16" s="702" t="s">
        <v>1155</v>
      </c>
      <c r="E16" s="1084" t="s">
        <v>1726</v>
      </c>
    </row>
    <row r="17" spans="1:7" s="1075" customFormat="1" x14ac:dyDescent="0.25">
      <c r="A17" s="702"/>
      <c r="B17" s="702"/>
      <c r="C17" s="702"/>
      <c r="D17" s="702"/>
      <c r="E17" s="1084"/>
    </row>
    <row r="18" spans="1:7" x14ac:dyDescent="0.2">
      <c r="A18" s="1510" t="s">
        <v>1151</v>
      </c>
      <c r="B18" s="703">
        <f>+'[17]IT Dep_FY26'!Q8</f>
        <v>1251729689.8900001</v>
      </c>
      <c r="C18" s="703">
        <f>+'[17]PPE- note 3'!N11</f>
        <v>1399043842.2199998</v>
      </c>
      <c r="D18" s="703">
        <f>B18-C18</f>
        <v>-147314152.32999969</v>
      </c>
      <c r="E18" s="1085">
        <f>D18*17.16%</f>
        <v>-25279108.539827947</v>
      </c>
    </row>
    <row r="19" spans="1:7" x14ac:dyDescent="0.2">
      <c r="A19" s="1510" t="s">
        <v>1453</v>
      </c>
      <c r="B19" s="703">
        <f>+'[17]IT Dep_FY26'!Q10</f>
        <v>2759008560.6362996</v>
      </c>
      <c r="C19" s="703">
        <f>+'[17]PPE- note 3'!N12+'[17]PPE- note 3'!N13+'[17]PPE- note 3'!N16</f>
        <v>3209304737.9699993</v>
      </c>
      <c r="D19" s="703">
        <f>B19-C19</f>
        <v>-450296177.3336997</v>
      </c>
      <c r="E19" s="1085">
        <f>D19*17.16%</f>
        <v>-77270824.030462876</v>
      </c>
    </row>
    <row r="20" spans="1:7" x14ac:dyDescent="0.2">
      <c r="A20" s="1510" t="s">
        <v>1454</v>
      </c>
      <c r="B20" s="703">
        <f>+'[17]IT Dep_FY26'!Q12</f>
        <v>17602372.107657302</v>
      </c>
      <c r="C20" s="703">
        <f>+'[17]PPE- note 3'!N15</f>
        <v>18044180.73</v>
      </c>
      <c r="D20" s="703">
        <f>B20-C20</f>
        <v>-441808.62234269828</v>
      </c>
      <c r="E20" s="1085">
        <f>D20*17.16%</f>
        <v>-75814.359594007023</v>
      </c>
    </row>
    <row r="21" spans="1:7" x14ac:dyDescent="0.2">
      <c r="A21" s="1510" t="s">
        <v>729</v>
      </c>
      <c r="B21" s="703">
        <f>+'[17]IT Dep_FY26'!Q14</f>
        <v>9737700.8900000006</v>
      </c>
      <c r="C21" s="703">
        <f>+'[17]PPE- note 3'!N14+'[17]PPE- note 3'!N26</f>
        <v>14657952.079999998</v>
      </c>
      <c r="D21" s="703">
        <f>B21-C21</f>
        <v>-4920251.1899999976</v>
      </c>
      <c r="E21" s="1085">
        <f>D21*17.16%</f>
        <v>-844315.10420399962</v>
      </c>
    </row>
    <row r="22" spans="1:7" x14ac:dyDescent="0.25">
      <c r="A22" s="680"/>
      <c r="B22" s="1082">
        <f>SUM(B18:B21)</f>
        <v>4038078323.5239568</v>
      </c>
      <c r="C22" s="1082">
        <f>SUM(C18:C21)</f>
        <v>4641050712.9999981</v>
      </c>
      <c r="D22" s="1082">
        <f>SUM(D18:D21)</f>
        <v>-602972389.47604203</v>
      </c>
      <c r="E22" s="1511">
        <f>SUM(E18:E21)</f>
        <v>-103470062.03408882</v>
      </c>
      <c r="F22" s="1131">
        <f>E22/100000</f>
        <v>-1034.7006203408882</v>
      </c>
      <c r="G22" s="1055"/>
    </row>
    <row r="23" spans="1:7" x14ac:dyDescent="0.25">
      <c r="A23" s="680"/>
      <c r="B23" s="703"/>
      <c r="C23" s="703"/>
      <c r="D23" s="703"/>
      <c r="E23" s="1085"/>
    </row>
    <row r="24" spans="1:7" x14ac:dyDescent="0.25">
      <c r="A24" s="680" t="s">
        <v>1125</v>
      </c>
      <c r="B24" s="703">
        <v>0</v>
      </c>
      <c r="C24" s="703">
        <f>-'[17]43B'!E27-'[17]43B'!F13</f>
        <v>-4772879</v>
      </c>
      <c r="D24" s="703">
        <f>+C24</f>
        <v>-4772879</v>
      </c>
      <c r="E24" s="1282">
        <f>D24*17.16%</f>
        <v>-819026.03639999998</v>
      </c>
    </row>
    <row r="25" spans="1:7" x14ac:dyDescent="0.25">
      <c r="A25" s="680" t="s">
        <v>1127</v>
      </c>
      <c r="B25" s="703">
        <v>0</v>
      </c>
      <c r="C25" s="703">
        <f>-'[17]43B'!E28</f>
        <v>-4499741</v>
      </c>
      <c r="D25" s="703">
        <f>+C25</f>
        <v>-4499741</v>
      </c>
      <c r="E25" s="1282">
        <f>D25*17.16%</f>
        <v>-772155.55559999996</v>
      </c>
    </row>
    <row r="26" spans="1:7" x14ac:dyDescent="0.25">
      <c r="A26" s="680" t="s">
        <v>1616</v>
      </c>
      <c r="B26" s="703"/>
      <c r="C26" s="703">
        <f>-'[17]43B'!E26</f>
        <v>-5684697</v>
      </c>
      <c r="D26" s="703">
        <f>+C26</f>
        <v>-5684697</v>
      </c>
      <c r="E26" s="1282">
        <f>D26*17.16%</f>
        <v>-975494.00520000001</v>
      </c>
    </row>
    <row r="27" spans="1:7" x14ac:dyDescent="0.25">
      <c r="A27" s="680" t="s">
        <v>1617</v>
      </c>
      <c r="B27" s="703"/>
      <c r="C27" s="703">
        <f>-'[17]Draft-TC'!E18</f>
        <v>-1495028</v>
      </c>
      <c r="D27" s="703">
        <f>+C27</f>
        <v>-1495028</v>
      </c>
      <c r="E27" s="1282">
        <f>D27*17.16%</f>
        <v>-256546.80480000001</v>
      </c>
    </row>
    <row r="28" spans="1:7" x14ac:dyDescent="0.25">
      <c r="A28" s="680"/>
      <c r="B28" s="703"/>
      <c r="C28" s="703"/>
      <c r="D28" s="1511">
        <f>SUM(D24:D27)</f>
        <v>-16452345</v>
      </c>
      <c r="E28" s="1511">
        <f>SUM(E24:E27)</f>
        <v>-2823222.4019999998</v>
      </c>
      <c r="F28" s="1131">
        <f>E28/100000</f>
        <v>-28.232224019999997</v>
      </c>
    </row>
    <row r="29" spans="1:7" ht="16.5" thickBot="1" x14ac:dyDescent="0.3">
      <c r="A29" s="1051"/>
      <c r="B29" s="1052"/>
      <c r="C29" s="1052"/>
      <c r="D29" s="1052"/>
      <c r="E29" s="1078">
        <f>+E22+E28</f>
        <v>-106293284.43608882</v>
      </c>
    </row>
    <row r="31" spans="1:7" x14ac:dyDescent="0.25">
      <c r="E31" s="1055">
        <f>+B13-E29</f>
        <v>-152992021.30367827</v>
      </c>
      <c r="F31" s="1512" t="s">
        <v>1618</v>
      </c>
    </row>
    <row r="36" spans="1:2" hidden="1" x14ac:dyDescent="0.25">
      <c r="A36" s="669" t="s">
        <v>1101</v>
      </c>
      <c r="B36" s="1283"/>
    </row>
    <row r="37" spans="1:2" hidden="1" x14ac:dyDescent="0.25">
      <c r="A37" s="350" t="s">
        <v>1102</v>
      </c>
    </row>
    <row r="38" spans="1:2" hidden="1" x14ac:dyDescent="0.25">
      <c r="A38" s="350" t="s">
        <v>1103</v>
      </c>
    </row>
    <row r="39" spans="1:2" hidden="1" x14ac:dyDescent="0.25">
      <c r="A39" s="350"/>
    </row>
    <row r="40" spans="1:2" hidden="1" x14ac:dyDescent="0.25">
      <c r="A40" s="350"/>
    </row>
    <row r="41" spans="1:2" hidden="1" x14ac:dyDescent="0.25">
      <c r="A41" s="350" t="s">
        <v>1104</v>
      </c>
    </row>
    <row r="42" spans="1:2" hidden="1" x14ac:dyDescent="0.25">
      <c r="A42" s="350"/>
    </row>
    <row r="43" spans="1:2" hidden="1" x14ac:dyDescent="0.25">
      <c r="A43" s="350"/>
    </row>
    <row r="44" spans="1:2" hidden="1" x14ac:dyDescent="0.25">
      <c r="A44" s="350"/>
    </row>
    <row r="45" spans="1:2" hidden="1" x14ac:dyDescent="0.25">
      <c r="A45" s="350"/>
    </row>
    <row r="46" spans="1:2" ht="15.75" hidden="1" thickBot="1" x14ac:dyDescent="0.3">
      <c r="A46" s="1051"/>
      <c r="B46" s="1053"/>
    </row>
    <row r="47" spans="1:2" hidden="1" x14ac:dyDescent="0.25"/>
    <row r="48" spans="1:2" hidden="1" x14ac:dyDescent="0.25"/>
    <row r="49" spans="1:2" hidden="1" x14ac:dyDescent="0.25">
      <c r="A49" s="669" t="s">
        <v>1106</v>
      </c>
      <c r="B49" s="1283"/>
    </row>
    <row r="50" spans="1:2" hidden="1" x14ac:dyDescent="0.25">
      <c r="A50" s="17" t="s">
        <v>1107</v>
      </c>
      <c r="B50" s="682"/>
    </row>
    <row r="51" spans="1:2" hidden="1" x14ac:dyDescent="0.25">
      <c r="A51" s="350" t="s">
        <v>1108</v>
      </c>
    </row>
    <row r="52" spans="1:2" hidden="1" x14ac:dyDescent="0.25">
      <c r="A52" s="350"/>
    </row>
    <row r="53" spans="1:2" hidden="1" x14ac:dyDescent="0.25">
      <c r="A53" s="350"/>
    </row>
    <row r="54" spans="1:2" hidden="1" x14ac:dyDescent="0.25">
      <c r="A54" s="17" t="s">
        <v>1109</v>
      </c>
      <c r="B54" s="682"/>
    </row>
    <row r="55" spans="1:2" hidden="1" x14ac:dyDescent="0.25">
      <c r="A55" s="350" t="s">
        <v>1110</v>
      </c>
    </row>
    <row r="56" spans="1:2" hidden="1" x14ac:dyDescent="0.25">
      <c r="A56" s="350" t="s">
        <v>1108</v>
      </c>
    </row>
    <row r="57" spans="1:2" hidden="1" x14ac:dyDescent="0.25">
      <c r="A57" s="350"/>
    </row>
    <row r="58" spans="1:2" hidden="1" x14ac:dyDescent="0.25">
      <c r="A58" s="350"/>
    </row>
    <row r="59" spans="1:2" hidden="1" x14ac:dyDescent="0.25">
      <c r="A59" s="350"/>
    </row>
    <row r="60" spans="1:2" hidden="1" x14ac:dyDescent="0.25">
      <c r="A60" s="17" t="s">
        <v>456</v>
      </c>
      <c r="B60" s="682"/>
    </row>
    <row r="61" spans="1:2" hidden="1" x14ac:dyDescent="0.25">
      <c r="A61" s="350" t="s">
        <v>1111</v>
      </c>
    </row>
    <row r="62" spans="1:2" hidden="1" x14ac:dyDescent="0.25">
      <c r="A62" s="350"/>
    </row>
    <row r="63" spans="1:2" hidden="1" x14ac:dyDescent="0.25">
      <c r="A63" s="350"/>
    </row>
    <row r="64" spans="1:2" hidden="1" x14ac:dyDescent="0.25">
      <c r="A64" s="350"/>
    </row>
    <row r="66" spans="1:2" hidden="1" x14ac:dyDescent="0.25">
      <c r="A66" s="17" t="s">
        <v>1112</v>
      </c>
      <c r="B66" s="682"/>
    </row>
    <row r="67" spans="1:2" hidden="1" x14ac:dyDescent="0.25">
      <c r="A67" s="1063">
        <v>42789</v>
      </c>
      <c r="B67" s="1284"/>
    </row>
    <row r="68" spans="1:2" hidden="1" x14ac:dyDescent="0.25">
      <c r="A68" s="1063">
        <f>(99*365)+A67</f>
        <v>78924</v>
      </c>
      <c r="B68" s="1284"/>
    </row>
    <row r="69" spans="1:2" hidden="1" x14ac:dyDescent="0.25">
      <c r="A69" s="350" t="s">
        <v>1113</v>
      </c>
    </row>
    <row r="70" spans="1:2" hidden="1" x14ac:dyDescent="0.25">
      <c r="A70" s="1063">
        <v>45292</v>
      </c>
      <c r="B70" s="1284"/>
    </row>
    <row r="71" spans="1:2" hidden="1" x14ac:dyDescent="0.25">
      <c r="A71" s="1063">
        <f>A68</f>
        <v>78924</v>
      </c>
      <c r="B71" s="1284"/>
    </row>
    <row r="72" spans="1:2" hidden="1" x14ac:dyDescent="0.25">
      <c r="A72" s="350"/>
    </row>
    <row r="73" spans="1:2" hidden="1" x14ac:dyDescent="0.25">
      <c r="A73" s="17" t="s">
        <v>1115</v>
      </c>
      <c r="B73" s="682"/>
    </row>
    <row r="78" spans="1:2" x14ac:dyDescent="0.25">
      <c r="A78" s="17" t="s">
        <v>1094</v>
      </c>
      <c r="B78" s="1048"/>
    </row>
    <row r="79" spans="1:2" x14ac:dyDescent="0.25">
      <c r="A79" s="350" t="s">
        <v>1095</v>
      </c>
      <c r="B79" s="1048">
        <f>+C104</f>
        <v>4519228</v>
      </c>
    </row>
    <row r="80" spans="1:2" x14ac:dyDescent="0.25">
      <c r="A80" s="17" t="s">
        <v>1097</v>
      </c>
      <c r="B80" s="1048"/>
    </row>
    <row r="81" spans="1:3" x14ac:dyDescent="0.25">
      <c r="A81" s="350" t="s">
        <v>1095</v>
      </c>
      <c r="B81" s="1048">
        <f>+C113</f>
        <v>3321550.6849315069</v>
      </c>
    </row>
    <row r="82" spans="1:3" ht="15.75" thickBot="1" x14ac:dyDescent="0.3">
      <c r="A82" s="1513" t="s">
        <v>67</v>
      </c>
      <c r="B82" s="1514">
        <f>SUM(B79:B81)</f>
        <v>7840778.6849315073</v>
      </c>
    </row>
    <row r="83" spans="1:3" x14ac:dyDescent="0.25">
      <c r="A83" s="501" t="s">
        <v>1619</v>
      </c>
      <c r="B83" s="1045">
        <v>1358384</v>
      </c>
    </row>
    <row r="84" spans="1:3" x14ac:dyDescent="0.25">
      <c r="A84" s="501" t="s">
        <v>1620</v>
      </c>
      <c r="B84" s="1055">
        <f>+B82-B83</f>
        <v>6482394.6849315073</v>
      </c>
    </row>
    <row r="90" spans="1:3" ht="15.75" x14ac:dyDescent="0.25">
      <c r="A90" s="1515" t="s">
        <v>1621</v>
      </c>
      <c r="B90"/>
      <c r="C90"/>
    </row>
    <row r="91" spans="1:3" x14ac:dyDescent="0.25">
      <c r="A91" s="1516" t="s">
        <v>1622</v>
      </c>
      <c r="B91"/>
      <c r="C91"/>
    </row>
    <row r="92" spans="1:3" x14ac:dyDescent="0.25">
      <c r="A92" s="1516" t="s">
        <v>1623</v>
      </c>
      <c r="B92"/>
      <c r="C92"/>
    </row>
    <row r="93" spans="1:3" x14ac:dyDescent="0.25">
      <c r="A93" s="1517" t="s">
        <v>1624</v>
      </c>
      <c r="B93" s="1518" t="s">
        <v>1625</v>
      </c>
      <c r="C93" s="1519" t="s">
        <v>1626</v>
      </c>
    </row>
    <row r="94" spans="1:3" x14ac:dyDescent="0.25">
      <c r="A94" s="1520">
        <v>44712</v>
      </c>
      <c r="B94" s="1521" t="s">
        <v>1627</v>
      </c>
      <c r="C94" s="1522">
        <v>1000000</v>
      </c>
    </row>
    <row r="95" spans="1:3" x14ac:dyDescent="0.25">
      <c r="A95" s="1520">
        <v>44712</v>
      </c>
      <c r="B95" s="1521" t="s">
        <v>1627</v>
      </c>
      <c r="C95" s="1522">
        <v>410075</v>
      </c>
    </row>
    <row r="96" spans="1:3" x14ac:dyDescent="0.25">
      <c r="A96" s="1520">
        <v>44704</v>
      </c>
      <c r="B96" s="1521" t="s">
        <v>1627</v>
      </c>
      <c r="C96" s="1522">
        <v>640000</v>
      </c>
    </row>
    <row r="97" spans="1:3" x14ac:dyDescent="0.25">
      <c r="A97" s="1520">
        <v>44755</v>
      </c>
      <c r="B97" s="1521" t="s">
        <v>1627</v>
      </c>
      <c r="C97" s="1522">
        <v>500000</v>
      </c>
    </row>
    <row r="98" spans="1:3" x14ac:dyDescent="0.25">
      <c r="A98" s="1520">
        <v>44773</v>
      </c>
      <c r="B98" s="1521" t="s">
        <v>1627</v>
      </c>
      <c r="C98" s="1522">
        <v>78350</v>
      </c>
    </row>
    <row r="99" spans="1:3" x14ac:dyDescent="0.25">
      <c r="A99" s="1520">
        <v>44773</v>
      </c>
      <c r="B99" s="1521" t="s">
        <v>1627</v>
      </c>
      <c r="C99" s="1522">
        <v>78350</v>
      </c>
    </row>
    <row r="100" spans="1:3" x14ac:dyDescent="0.25">
      <c r="A100" s="1520">
        <v>44798</v>
      </c>
      <c r="B100" s="1521" t="s">
        <v>1627</v>
      </c>
      <c r="C100" s="1522">
        <v>809453</v>
      </c>
    </row>
    <row r="101" spans="1:3" x14ac:dyDescent="0.25">
      <c r="A101" s="1520">
        <v>44804</v>
      </c>
      <c r="B101" s="1521" t="s">
        <v>1627</v>
      </c>
      <c r="C101" s="1522">
        <v>103000</v>
      </c>
    </row>
    <row r="102" spans="1:3" x14ac:dyDescent="0.25">
      <c r="A102" s="1520">
        <v>44865</v>
      </c>
      <c r="B102" s="1521" t="s">
        <v>1627</v>
      </c>
      <c r="C102" s="1522">
        <v>1000000</v>
      </c>
    </row>
    <row r="103" spans="1:3" x14ac:dyDescent="0.25">
      <c r="A103" s="1523">
        <v>44816</v>
      </c>
      <c r="B103" s="1524" t="s">
        <v>1628</v>
      </c>
      <c r="C103" s="1525">
        <v>-100000</v>
      </c>
    </row>
    <row r="104" spans="1:3" ht="15.75" thickBot="1" x14ac:dyDescent="0.3">
      <c r="A104" s="1526" t="s">
        <v>1629</v>
      </c>
      <c r="B104" s="1527" t="s">
        <v>1629</v>
      </c>
      <c r="C104" s="1528">
        <f>SUM(C94:C103)</f>
        <v>4519228</v>
      </c>
    </row>
    <row r="105" spans="1:3" ht="15.75" thickTop="1" x14ac:dyDescent="0.25"/>
    <row r="108" spans="1:3" ht="19.5" customHeight="1" x14ac:dyDescent="0.25">
      <c r="A108" s="1529" t="s">
        <v>1624</v>
      </c>
      <c r="B108" s="1529" t="s">
        <v>1625</v>
      </c>
      <c r="C108" s="1530" t="s">
        <v>1626</v>
      </c>
    </row>
    <row r="109" spans="1:3" ht="15.75" customHeight="1" x14ac:dyDescent="0.25">
      <c r="A109" s="1531">
        <v>44561</v>
      </c>
      <c r="B109" s="1532" t="s">
        <v>1627</v>
      </c>
      <c r="C109" s="1533">
        <v>800000</v>
      </c>
    </row>
    <row r="110" spans="1:3" ht="21" customHeight="1" x14ac:dyDescent="0.25">
      <c r="A110" s="1531">
        <v>44592</v>
      </c>
      <c r="B110" s="1532" t="s">
        <v>1627</v>
      </c>
      <c r="C110" s="1533">
        <v>1500000</v>
      </c>
    </row>
    <row r="111" spans="1:3" ht="14.25" customHeight="1" x14ac:dyDescent="0.25">
      <c r="A111" s="1531">
        <v>44649</v>
      </c>
      <c r="B111" s="1532" t="s">
        <v>1627</v>
      </c>
      <c r="C111" s="1533">
        <v>1000000</v>
      </c>
    </row>
    <row r="112" spans="1:3" ht="14.25" customHeight="1" x14ac:dyDescent="0.25">
      <c r="A112" s="1534"/>
      <c r="B112" s="1535"/>
      <c r="C112" s="1536">
        <f>+[18]LA!P217</f>
        <v>21550.68493150685</v>
      </c>
    </row>
    <row r="113" spans="1:3" ht="15.75" thickBot="1" x14ac:dyDescent="0.3">
      <c r="A113" s="1537"/>
      <c r="B113" s="1537"/>
      <c r="C113" s="1538">
        <f>SUM(C109:C112)</f>
        <v>3321550.6849315069</v>
      </c>
    </row>
    <row r="114" spans="1:3" ht="15.75" thickTop="1" x14ac:dyDescent="0.25"/>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2E00-AD55-4DC3-AE2A-474008A3C295}">
  <dimension ref="A1:L14"/>
  <sheetViews>
    <sheetView workbookViewId="0">
      <selection activeCell="P10" sqref="P10"/>
    </sheetView>
  </sheetViews>
  <sheetFormatPr defaultRowHeight="15" x14ac:dyDescent="0.25"/>
  <cols>
    <col min="1" max="1" width="5.5703125" bestFit="1" customWidth="1"/>
    <col min="2" max="2" width="34" bestFit="1" customWidth="1"/>
    <col min="3" max="3" width="14.28515625" bestFit="1" customWidth="1"/>
    <col min="4" max="4" width="12" bestFit="1" customWidth="1"/>
    <col min="5" max="5" width="10.5703125" bestFit="1" customWidth="1"/>
    <col min="6" max="6" width="8.5703125" bestFit="1" customWidth="1"/>
    <col min="7" max="8" width="9" bestFit="1" customWidth="1"/>
    <col min="10" max="10" width="9.5703125" hidden="1" customWidth="1"/>
    <col min="11" max="11" width="0" hidden="1" customWidth="1"/>
    <col min="12" max="12" width="8.5703125" hidden="1" customWidth="1"/>
  </cols>
  <sheetData>
    <row r="1" spans="1:12" x14ac:dyDescent="0.25">
      <c r="A1" s="1214" t="s">
        <v>1221</v>
      </c>
      <c r="B1" s="1214" t="s">
        <v>1222</v>
      </c>
      <c r="C1" s="1214" t="s">
        <v>1223</v>
      </c>
      <c r="D1" s="1214" t="s">
        <v>1224</v>
      </c>
      <c r="E1" s="1215">
        <v>46112</v>
      </c>
      <c r="F1" s="1214" t="s">
        <v>1225</v>
      </c>
      <c r="G1" s="1214" t="s">
        <v>1226</v>
      </c>
      <c r="H1" s="1214" t="s">
        <v>1227</v>
      </c>
      <c r="J1" s="1223">
        <v>45382</v>
      </c>
      <c r="L1" s="1214" t="s">
        <v>1225</v>
      </c>
    </row>
    <row r="2" spans="1:12" x14ac:dyDescent="0.25">
      <c r="A2" s="1216">
        <v>1</v>
      </c>
      <c r="B2" s="1217" t="s">
        <v>1228</v>
      </c>
      <c r="C2" s="1216" t="s">
        <v>1229</v>
      </c>
      <c r="D2" s="1218">
        <v>10000</v>
      </c>
      <c r="E2" s="1218">
        <f>D2</f>
        <v>10000</v>
      </c>
      <c r="F2" s="1217"/>
      <c r="G2" s="1219">
        <f>E2</f>
        <v>10000</v>
      </c>
      <c r="H2" s="1219">
        <f>E2</f>
        <v>10000</v>
      </c>
      <c r="J2" s="157">
        <f>D2</f>
        <v>10000</v>
      </c>
    </row>
    <row r="3" spans="1:12" x14ac:dyDescent="0.25">
      <c r="A3" s="1217"/>
      <c r="B3" s="1217"/>
      <c r="C3" s="1217"/>
      <c r="D3" s="1217"/>
      <c r="E3" s="1217"/>
      <c r="F3" s="1217"/>
      <c r="G3" s="1217"/>
      <c r="H3" s="1217"/>
    </row>
    <row r="4" spans="1:12" x14ac:dyDescent="0.25">
      <c r="A4" s="1216">
        <v>2</v>
      </c>
      <c r="B4" s="1217" t="s">
        <v>1232</v>
      </c>
      <c r="C4" s="1220">
        <v>45044</v>
      </c>
      <c r="D4" s="1218">
        <v>44097</v>
      </c>
      <c r="E4" s="1219">
        <f>D4</f>
        <v>44097</v>
      </c>
      <c r="F4" s="1217"/>
      <c r="G4" s="1219">
        <f>E4</f>
        <v>44097</v>
      </c>
      <c r="H4" s="1219">
        <f>E4</f>
        <v>44097</v>
      </c>
      <c r="J4" s="75">
        <f>D4/366*L4</f>
        <v>40843.942622950817</v>
      </c>
      <c r="L4">
        <f>J1-C4+1</f>
        <v>339</v>
      </c>
    </row>
    <row r="5" spans="1:12" x14ac:dyDescent="0.25">
      <c r="A5" s="1217"/>
      <c r="B5" s="1217"/>
      <c r="C5" s="1217"/>
      <c r="D5" s="1217"/>
      <c r="E5" s="1217"/>
      <c r="F5" s="1217"/>
      <c r="G5" s="1217"/>
      <c r="H5" s="1217"/>
    </row>
    <row r="6" spans="1:12" x14ac:dyDescent="0.25">
      <c r="A6" s="1216">
        <v>2</v>
      </c>
      <c r="B6" s="1217" t="s">
        <v>1230</v>
      </c>
      <c r="C6" s="1222">
        <v>45126</v>
      </c>
      <c r="D6" s="1218">
        <v>97276</v>
      </c>
      <c r="E6" s="1219">
        <f>D6</f>
        <v>97276</v>
      </c>
      <c r="F6" s="1217"/>
      <c r="G6" s="1219">
        <f>E6</f>
        <v>97276</v>
      </c>
      <c r="H6" s="1219">
        <f>E6</f>
        <v>97276</v>
      </c>
      <c r="J6" s="75">
        <f>D6/366*L6</f>
        <v>68305.825136612024</v>
      </c>
      <c r="L6" s="75">
        <f>J1-C6+1</f>
        <v>257</v>
      </c>
    </row>
    <row r="7" spans="1:12" x14ac:dyDescent="0.25">
      <c r="A7" s="1217"/>
      <c r="B7" s="1217"/>
      <c r="C7" s="1216"/>
      <c r="D7" s="1217"/>
      <c r="E7" s="1217"/>
      <c r="F7" s="1217"/>
      <c r="G7" s="1217"/>
      <c r="H7" s="1217"/>
    </row>
    <row r="8" spans="1:12" x14ac:dyDescent="0.25">
      <c r="A8" s="1216">
        <v>3</v>
      </c>
      <c r="B8" s="1217" t="s">
        <v>1231</v>
      </c>
      <c r="C8" s="1220">
        <v>45471</v>
      </c>
      <c r="D8" s="1218">
        <v>29321</v>
      </c>
      <c r="E8" s="1219">
        <f>D8/365*F8</f>
        <v>51572.827397260269</v>
      </c>
      <c r="F8">
        <f>E1-C8+1</f>
        <v>642</v>
      </c>
      <c r="G8" s="1219">
        <f>E8</f>
        <v>51572.827397260269</v>
      </c>
      <c r="H8" s="1219">
        <f>E8</f>
        <v>51572.827397260269</v>
      </c>
      <c r="J8" s="75">
        <v>0</v>
      </c>
    </row>
    <row r="9" spans="1:12" x14ac:dyDescent="0.25">
      <c r="A9" s="1217"/>
      <c r="B9" s="1217"/>
      <c r="C9" s="1217"/>
      <c r="D9" s="1217"/>
      <c r="E9" s="1217"/>
      <c r="F9" s="1217"/>
      <c r="G9" s="1217"/>
      <c r="H9" s="1217"/>
      <c r="J9" s="75"/>
    </row>
    <row r="10" spans="1:12" x14ac:dyDescent="0.25">
      <c r="A10" s="1216">
        <v>4</v>
      </c>
      <c r="B10" s="1217" t="s">
        <v>1233</v>
      </c>
      <c r="C10" s="1220">
        <v>45428</v>
      </c>
      <c r="D10" s="1218">
        <v>42771</v>
      </c>
      <c r="E10" s="1219">
        <f>D10/365*F10</f>
        <v>80268.863013698632</v>
      </c>
      <c r="F10">
        <f>E1-C10+1</f>
        <v>685</v>
      </c>
      <c r="G10" s="1219">
        <f>E10</f>
        <v>80268.863013698632</v>
      </c>
      <c r="H10" s="1219">
        <f>E10</f>
        <v>80268.863013698632</v>
      </c>
      <c r="J10" s="75">
        <v>0</v>
      </c>
    </row>
    <row r="11" spans="1:12" x14ac:dyDescent="0.25">
      <c r="A11" s="1217"/>
      <c r="B11" s="1217"/>
      <c r="C11" s="1217"/>
      <c r="D11" s="1217"/>
      <c r="E11" s="1217"/>
      <c r="F11" s="1217"/>
      <c r="G11" s="1217"/>
      <c r="H11" s="1217"/>
    </row>
    <row r="12" spans="1:12" x14ac:dyDescent="0.25">
      <c r="A12" s="1216">
        <v>5</v>
      </c>
      <c r="B12" s="1217" t="s">
        <v>1231</v>
      </c>
      <c r="C12" s="1220">
        <v>46071</v>
      </c>
      <c r="D12" s="1218">
        <v>23192</v>
      </c>
      <c r="E12" s="1219">
        <f>D12/365*F12</f>
        <v>2668.6684931506848</v>
      </c>
      <c r="F12">
        <f>E1-C12+1</f>
        <v>42</v>
      </c>
      <c r="G12" s="1219">
        <f>E12</f>
        <v>2668.6684931506848</v>
      </c>
      <c r="H12" s="1219">
        <f>E12</f>
        <v>2668.6684931506848</v>
      </c>
    </row>
    <row r="13" spans="1:12" x14ac:dyDescent="0.25">
      <c r="G13" s="1221">
        <f>SUM(G2:G12)</f>
        <v>285883.35890410957</v>
      </c>
      <c r="H13" s="1221">
        <f>SUM(H2:H12)</f>
        <v>285883.35890410957</v>
      </c>
      <c r="J13" s="1221">
        <f>SUM(J2:J11)</f>
        <v>119149.76775956285</v>
      </c>
    </row>
    <row r="14" spans="1:12" x14ac:dyDescent="0.25">
      <c r="G14"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XFD495"/>
  <sheetViews>
    <sheetView showGridLines="0" view="pageBreakPreview" topLeftCell="A2" zoomScaleNormal="100" zoomScaleSheetLayoutView="100" workbookViewId="0">
      <selection activeCell="A29" sqref="A29"/>
    </sheetView>
  </sheetViews>
  <sheetFormatPr defaultColWidth="8.85546875" defaultRowHeight="15" x14ac:dyDescent="0.25"/>
  <cols>
    <col min="1" max="1" width="38.140625" style="95" customWidth="1"/>
    <col min="2" max="3" width="11.5703125" style="95" customWidth="1"/>
    <col min="4" max="4" width="14.42578125" style="95" bestFit="1" customWidth="1"/>
    <col min="5" max="5" width="13.140625" style="95" bestFit="1" customWidth="1"/>
    <col min="6" max="6" width="12.5703125" style="95" bestFit="1" customWidth="1"/>
    <col min="7" max="7" width="16.7109375" style="95" bestFit="1" customWidth="1"/>
    <col min="8" max="8" width="17.7109375" style="95" customWidth="1"/>
    <col min="9" max="9" width="19.140625" style="95" hidden="1" customWidth="1"/>
    <col min="10" max="11" width="16.5703125" style="95" hidden="1" customWidth="1"/>
    <col min="12" max="12" width="14.42578125" style="95" hidden="1" customWidth="1"/>
    <col min="13" max="13" width="16.42578125" style="95" hidden="1" customWidth="1"/>
    <col min="14" max="14" width="13.7109375" style="95" hidden="1" customWidth="1"/>
    <col min="15" max="15" width="19.140625" style="95" bestFit="1" customWidth="1"/>
    <col min="16" max="16" width="13.7109375" style="95" bestFit="1" customWidth="1"/>
    <col min="17" max="17" width="12.140625" style="95" bestFit="1" customWidth="1"/>
    <col min="18" max="20" width="9" style="95" bestFit="1" customWidth="1"/>
    <col min="21" max="16384" width="8.85546875" style="95"/>
  </cols>
  <sheetData>
    <row r="1" spans="1:13" x14ac:dyDescent="0.25">
      <c r="A1" s="40" t="str">
        <f>PL!A1</f>
        <v>BVC Specialities Private Limited</v>
      </c>
      <c r="B1" s="640"/>
      <c r="C1" s="640"/>
      <c r="D1" s="640"/>
      <c r="E1" s="640"/>
      <c r="F1" s="817"/>
      <c r="G1" s="817"/>
      <c r="H1" s="818"/>
      <c r="I1" s="818"/>
    </row>
    <row r="2" spans="1:13" x14ac:dyDescent="0.25">
      <c r="A2" s="819" t="str">
        <f>'PPE- note 3'!A2</f>
        <v>Notes to Financial Statements for the year ended 31 March 2026</v>
      </c>
      <c r="B2" s="872"/>
      <c r="C2" s="872"/>
      <c r="D2" s="872"/>
      <c r="E2" s="872"/>
      <c r="F2" s="820"/>
      <c r="G2" s="820"/>
      <c r="H2" s="821" t="str">
        <f>Input!$D$2</f>
        <v>(₹ in Lakh)</v>
      </c>
      <c r="I2" s="821" t="str">
        <f>Input!$D$2</f>
        <v>(₹ in Lakh)</v>
      </c>
    </row>
    <row r="3" spans="1:13" x14ac:dyDescent="0.25">
      <c r="A3" s="822"/>
      <c r="H3" s="644"/>
      <c r="I3" s="644"/>
    </row>
    <row r="4" spans="1:13" x14ac:dyDescent="0.25">
      <c r="A4" s="1715" t="s">
        <v>0</v>
      </c>
      <c r="B4" s="1716"/>
      <c r="C4" s="1716"/>
      <c r="D4" s="1716"/>
      <c r="E4" s="1716"/>
      <c r="F4" s="244"/>
      <c r="G4" s="244" t="s">
        <v>68</v>
      </c>
      <c r="H4" s="245" t="s">
        <v>68</v>
      </c>
      <c r="I4" s="245" t="s">
        <v>68</v>
      </c>
    </row>
    <row r="5" spans="1:13" x14ac:dyDescent="0.25">
      <c r="A5" s="1717"/>
      <c r="B5" s="1718"/>
      <c r="C5" s="1718"/>
      <c r="D5" s="1718"/>
      <c r="E5" s="1718"/>
      <c r="F5" s="246"/>
      <c r="G5" s="246" t="str">
        <f>BS!$D$5</f>
        <v>31 March 2026</v>
      </c>
      <c r="H5" s="247" t="str">
        <f>BS!$E$5</f>
        <v>31 March 2025</v>
      </c>
      <c r="I5" s="247" t="str">
        <f>BS!$F$5</f>
        <v>31 March 2022</v>
      </c>
    </row>
    <row r="6" spans="1:13" x14ac:dyDescent="0.25">
      <c r="A6" s="822"/>
      <c r="H6" s="644"/>
      <c r="I6" s="644"/>
    </row>
    <row r="7" spans="1:13" ht="6" customHeight="1" x14ac:dyDescent="0.25">
      <c r="A7" s="314"/>
      <c r="B7" s="788"/>
      <c r="C7" s="788"/>
      <c r="D7" s="788"/>
      <c r="E7" s="788"/>
      <c r="F7" s="788"/>
      <c r="G7" s="832"/>
      <c r="H7" s="830"/>
      <c r="I7" s="846"/>
      <c r="J7" s="509"/>
      <c r="K7" s="509"/>
      <c r="L7" s="788"/>
      <c r="M7" s="788"/>
    </row>
    <row r="8" spans="1:13" x14ac:dyDescent="0.25">
      <c r="A8" s="314" t="s">
        <v>888</v>
      </c>
      <c r="B8" s="788"/>
      <c r="C8" s="788"/>
      <c r="D8" s="788"/>
      <c r="E8" s="788"/>
      <c r="F8" s="788"/>
      <c r="G8" s="832"/>
      <c r="H8" s="830"/>
      <c r="I8" s="846"/>
      <c r="J8" s="509"/>
      <c r="K8" s="509"/>
      <c r="L8" s="788"/>
      <c r="M8" s="788"/>
    </row>
    <row r="9" spans="1:13" x14ac:dyDescent="0.25">
      <c r="A9" s="314" t="s">
        <v>1579</v>
      </c>
      <c r="B9" s="788"/>
      <c r="C9" s="788"/>
      <c r="D9" s="788"/>
      <c r="E9" s="788"/>
      <c r="F9" s="788"/>
      <c r="G9" s="832"/>
      <c r="H9" s="830"/>
      <c r="I9" s="846"/>
      <c r="J9" s="509"/>
      <c r="K9" s="509"/>
      <c r="L9" s="788"/>
      <c r="M9" s="788"/>
    </row>
    <row r="10" spans="1:13" ht="33.950000000000003" customHeight="1" x14ac:dyDescent="0.25">
      <c r="A10" s="1756" t="s">
        <v>1695</v>
      </c>
      <c r="B10" s="1757"/>
      <c r="C10" s="1757"/>
      <c r="D10" s="1757"/>
      <c r="E10" s="1757"/>
      <c r="F10" s="1757"/>
      <c r="G10" s="832"/>
      <c r="H10" s="830"/>
      <c r="I10" s="846"/>
      <c r="J10" s="509"/>
      <c r="K10" s="509"/>
      <c r="L10" s="788"/>
      <c r="M10" s="788"/>
    </row>
    <row r="11" spans="1:13" ht="30" customHeight="1" x14ac:dyDescent="0.25">
      <c r="A11" s="1758" t="s">
        <v>1692</v>
      </c>
      <c r="B11" s="1759"/>
      <c r="C11" s="1759"/>
      <c r="D11" s="1759"/>
      <c r="E11" s="1759"/>
      <c r="F11" s="788"/>
      <c r="G11" s="525">
        <f>ROUND(SUMIF('TB BVS 31.03.26'!E:E,A11,'TB BVS 31.03.26'!I:I)/Input!$C$2,Input!$E$2)</f>
        <v>17</v>
      </c>
      <c r="H11" s="830">
        <v>0</v>
      </c>
      <c r="I11" s="846"/>
      <c r="J11" s="509"/>
      <c r="K11" s="509"/>
      <c r="L11" s="788"/>
      <c r="M11" s="788"/>
    </row>
    <row r="12" spans="1:13" ht="15.95" customHeight="1" x14ac:dyDescent="0.25">
      <c r="A12" s="646" t="s">
        <v>67</v>
      </c>
      <c r="B12" s="837"/>
      <c r="C12" s="837"/>
      <c r="D12" s="837"/>
      <c r="E12" s="837"/>
      <c r="F12" s="827"/>
      <c r="G12" s="833">
        <f>SUM(G8:G11)</f>
        <v>17</v>
      </c>
      <c r="H12" s="829">
        <f>SUM(H8:H11)</f>
        <v>0</v>
      </c>
      <c r="I12" s="846"/>
      <c r="J12" s="509"/>
      <c r="K12" s="509"/>
      <c r="L12" s="788"/>
      <c r="M12" s="788"/>
    </row>
    <row r="13" spans="1:13" ht="15.95" customHeight="1" x14ac:dyDescent="0.25">
      <c r="A13" s="646" t="s">
        <v>1694</v>
      </c>
      <c r="B13" s="837"/>
      <c r="C13" s="837"/>
      <c r="D13" s="837"/>
      <c r="E13" s="837"/>
      <c r="F13" s="827"/>
      <c r="G13" s="833">
        <f>G12</f>
        <v>17</v>
      </c>
      <c r="H13" s="829"/>
      <c r="I13" s="846"/>
      <c r="J13" s="509"/>
      <c r="K13" s="509"/>
      <c r="L13" s="788"/>
      <c r="M13" s="788"/>
    </row>
    <row r="14" spans="1:13" ht="59.1" customHeight="1" x14ac:dyDescent="0.25">
      <c r="A14" s="1731" t="s">
        <v>1693</v>
      </c>
      <c r="B14" s="1732"/>
      <c r="C14" s="1732"/>
      <c r="D14" s="1732"/>
      <c r="E14" s="1732"/>
      <c r="F14" s="1732"/>
      <c r="G14" s="1732"/>
      <c r="H14" s="1733"/>
      <c r="I14" s="846"/>
      <c r="J14" s="509"/>
      <c r="K14" s="509"/>
      <c r="L14" s="788"/>
      <c r="M14" s="788"/>
    </row>
    <row r="15" spans="1:13" ht="22.5" customHeight="1" x14ac:dyDescent="0.25">
      <c r="A15" s="314"/>
      <c r="B15" s="788"/>
      <c r="C15" s="788"/>
      <c r="D15" s="788"/>
      <c r="E15" s="788"/>
      <c r="F15" s="845"/>
      <c r="G15" s="845"/>
      <c r="H15" s="831"/>
      <c r="I15" s="831"/>
      <c r="J15" s="509"/>
      <c r="K15" s="509"/>
      <c r="L15" s="509"/>
      <c r="M15" s="788"/>
    </row>
    <row r="16" spans="1:13" hidden="1" x14ac:dyDescent="0.25">
      <c r="A16" s="1715" t="s">
        <v>0</v>
      </c>
      <c r="B16" s="1716"/>
      <c r="C16" s="1716"/>
      <c r="D16" s="1716"/>
      <c r="E16" s="1716"/>
      <c r="F16" s="244"/>
      <c r="G16" s="244" t="s">
        <v>68</v>
      </c>
      <c r="H16" s="245" t="s">
        <v>68</v>
      </c>
      <c r="I16" s="245" t="s">
        <v>68</v>
      </c>
    </row>
    <row r="17" spans="1:20" hidden="1" x14ac:dyDescent="0.25">
      <c r="A17" s="1717"/>
      <c r="B17" s="1718"/>
      <c r="C17" s="1718"/>
      <c r="D17" s="1718"/>
      <c r="E17" s="1718"/>
      <c r="F17" s="246"/>
      <c r="G17" s="246" t="str">
        <f>BS!$D$5</f>
        <v>31 March 2026</v>
      </c>
      <c r="H17" s="247" t="str">
        <f>BS!$E$5</f>
        <v>31 March 2025</v>
      </c>
      <c r="I17" s="247" t="str">
        <f>BS!$F$5</f>
        <v>31 March 2022</v>
      </c>
    </row>
    <row r="18" spans="1:20" s="788" customFormat="1" hidden="1" x14ac:dyDescent="0.25">
      <c r="A18" s="314" t="s">
        <v>878</v>
      </c>
      <c r="H18" s="830"/>
      <c r="I18" s="831"/>
      <c r="J18" s="95"/>
      <c r="P18" s="919"/>
    </row>
    <row r="19" spans="1:20" s="788" customFormat="1" hidden="1" x14ac:dyDescent="0.25">
      <c r="A19" s="314" t="s">
        <v>787</v>
      </c>
      <c r="H19" s="830"/>
      <c r="I19" s="831"/>
      <c r="J19" s="95"/>
      <c r="K19" s="846"/>
      <c r="P19" s="919"/>
    </row>
    <row r="20" spans="1:20" s="788" customFormat="1" ht="14.25" customHeight="1" x14ac:dyDescent="0.25">
      <c r="A20" s="822" t="s">
        <v>1077</v>
      </c>
      <c r="B20" s="95"/>
      <c r="C20" s="95"/>
      <c r="D20" s="95"/>
      <c r="E20" s="95"/>
      <c r="G20" s="823">
        <f>ROUND(SUMIF('TB BVS 31.03.26'!$E:$E,'BS  Notes  3-18'!A20,'TB BVS 31.03.26'!$J:$J)/Input!$C$2,Input!$E$2)</f>
        <v>0</v>
      </c>
      <c r="H20" s="787">
        <f>ROUND(SUMIF('TB BVS 31.3.25'!$E:$E,'BS  Notes  3-18'!A20,'TB BVS 31.3.25'!$J:$J)/Input!$C$2,Input!$E$2)</f>
        <v>0</v>
      </c>
      <c r="I20" s="787" t="e">
        <f>ROUND(SUMIF('[1]TB - SNS - 31.3.22'!$E:$E,A20,'[1]TB - SNS - 31.3.22'!$N:$N)/[1]Input!$C$2,[1]Input!$E$2)</f>
        <v>#VALUE!</v>
      </c>
      <c r="J20" s="95"/>
      <c r="K20" s="95">
        <v>2333.4036973283046</v>
      </c>
      <c r="L20" s="840">
        <f>H20-K20</f>
        <v>-2333.4036973283046</v>
      </c>
      <c r="M20" s="95" t="s">
        <v>788</v>
      </c>
      <c r="P20" s="920" t="e" cm="1">
        <f t="array" ref="P20:T20">SUMIF('[2]TB - SNS - 31.3.24'!F:F,'[2]BS  Notes  4-18'!A199:E199,'[2]TB - SNS - 31.3.24'!J:J)/10^5-G20</f>
        <v>#VALUE!</v>
      </c>
      <c r="Q20" s="788" t="e">
        <v>#VALUE!</v>
      </c>
      <c r="R20" s="788" t="e">
        <v>#VALUE!</v>
      </c>
      <c r="S20" s="788" t="e">
        <v>#VALUE!</v>
      </c>
      <c r="T20" s="788" t="e">
        <v>#VALUE!</v>
      </c>
    </row>
    <row r="21" spans="1:20" s="788" customFormat="1" ht="14.25" customHeight="1" x14ac:dyDescent="0.25">
      <c r="A21" s="646" t="s">
        <v>67</v>
      </c>
      <c r="B21" s="837"/>
      <c r="C21" s="837"/>
      <c r="D21" s="837"/>
      <c r="E21" s="837"/>
      <c r="F21" s="869"/>
      <c r="G21" s="833">
        <f>SUM(G20:G20)</f>
        <v>0</v>
      </c>
      <c r="H21" s="829">
        <f>SUM(H20:H20)</f>
        <v>0</v>
      </c>
      <c r="I21" s="829" t="e">
        <f>SUM(I20:I20)</f>
        <v>#VALUE!</v>
      </c>
      <c r="J21" s="95"/>
      <c r="K21" s="95"/>
      <c r="P21" s="919"/>
    </row>
    <row r="22" spans="1:20" s="788" customFormat="1" ht="15.75" customHeight="1" x14ac:dyDescent="0.25">
      <c r="A22" s="1744" t="s">
        <v>1350</v>
      </c>
      <c r="B22" s="1745"/>
      <c r="C22" s="1745"/>
      <c r="D22" s="1745"/>
      <c r="E22" s="1745"/>
      <c r="F22" s="1745"/>
      <c r="G22" s="1745"/>
      <c r="H22" s="1746"/>
      <c r="I22" s="830"/>
      <c r="J22" s="95"/>
      <c r="K22" s="95"/>
      <c r="P22" s="921"/>
    </row>
    <row r="23" spans="1:20" s="788" customFormat="1" ht="14.25" customHeight="1" x14ac:dyDescent="0.25">
      <c r="A23" s="314" t="s">
        <v>789</v>
      </c>
      <c r="H23" s="830"/>
      <c r="I23" s="831"/>
      <c r="J23" s="95"/>
      <c r="K23" s="95"/>
      <c r="P23" s="919"/>
    </row>
    <row r="24" spans="1:20" s="788" customFormat="1" ht="15.75" customHeight="1" x14ac:dyDescent="0.25">
      <c r="A24" s="822" t="s">
        <v>783</v>
      </c>
      <c r="B24" s="95"/>
      <c r="C24" s="95"/>
      <c r="D24" s="95"/>
      <c r="E24" s="95"/>
      <c r="G24" s="823">
        <f>ROUND(SUMIF('TB BVS 31.03.26'!$E:$E,'BS  Notes  3-18'!A92,'TB BVS 31.03.26'!$J:$J)/Input!$C$2,Input!$E$2)</f>
        <v>0</v>
      </c>
      <c r="H24" s="787">
        <v>0</v>
      </c>
      <c r="I24" s="787" t="e">
        <f>ROUND(SUMIF('[1]TB - SNS - 31.3.22'!$E:$E,A24,'[1]TB - SNS - 31.3.22'!$M:$M)/[1]Input!$C$2,[1]Input!$E$2)</f>
        <v>#VALUE!</v>
      </c>
      <c r="J24" s="95"/>
      <c r="K24" s="95">
        <v>2333.4036973283046</v>
      </c>
      <c r="L24" s="840">
        <f>H24-K24</f>
        <v>-2333.4036973283046</v>
      </c>
      <c r="M24" s="95" t="s">
        <v>788</v>
      </c>
      <c r="P24" s="919"/>
    </row>
    <row r="25" spans="1:20" s="788" customFormat="1" ht="12" customHeight="1" x14ac:dyDescent="0.25">
      <c r="A25" s="646" t="s">
        <v>67</v>
      </c>
      <c r="B25" s="837"/>
      <c r="C25" s="837"/>
      <c r="D25" s="837"/>
      <c r="E25" s="837"/>
      <c r="F25" s="869"/>
      <c r="G25" s="833">
        <f>SUM(G24:G24)</f>
        <v>0</v>
      </c>
      <c r="H25" s="829">
        <f>SUM(H24:H24)</f>
        <v>0</v>
      </c>
      <c r="I25" s="829" t="e">
        <f>SUM(I24:I24)</f>
        <v>#VALUE!</v>
      </c>
      <c r="J25" s="95"/>
      <c r="K25" s="95"/>
      <c r="P25" s="919"/>
    </row>
    <row r="26" spans="1:20" ht="10.5" customHeight="1" x14ac:dyDescent="0.25">
      <c r="A26" s="822"/>
      <c r="H26" s="644"/>
      <c r="I26" s="644"/>
    </row>
    <row r="27" spans="1:20" x14ac:dyDescent="0.25">
      <c r="A27" s="314" t="s">
        <v>878</v>
      </c>
      <c r="B27" s="788"/>
      <c r="C27" s="788"/>
      <c r="D27" s="788"/>
      <c r="E27" s="788"/>
      <c r="H27" s="644"/>
      <c r="I27" s="644"/>
      <c r="K27" s="95" t="e">
        <f>#REF!-#REF!</f>
        <v>#REF!</v>
      </c>
      <c r="P27" s="177"/>
    </row>
    <row r="28" spans="1:20" x14ac:dyDescent="0.25">
      <c r="A28" s="314" t="s">
        <v>790</v>
      </c>
      <c r="B28" s="788"/>
      <c r="C28" s="788"/>
      <c r="D28" s="788"/>
      <c r="E28" s="788"/>
      <c r="H28" s="644"/>
      <c r="I28" s="644"/>
      <c r="K28" s="95" t="e">
        <f>#REF!-#REF!</f>
        <v>#REF!</v>
      </c>
      <c r="P28" s="177"/>
    </row>
    <row r="29" spans="1:20" x14ac:dyDescent="0.25">
      <c r="A29" s="822" t="s">
        <v>791</v>
      </c>
      <c r="G29" s="922">
        <f>ROUND(SUMIF('TB BVS 31.03.26'!$E:$E,'BS  Notes  3-18'!A29,'TB BVS 31.03.26'!$I:$I)/Input!$C$2,Input!$E$2)</f>
        <v>298</v>
      </c>
      <c r="H29" s="787">
        <f>ROUND(SUMIF('TB BVS 31.3.25'!$E:$E,'BS  Notes  3-18'!A29,'TB BVS 31.3.25'!$K:$K)/Input!$C$2,Input!$E$2)</f>
        <v>290</v>
      </c>
      <c r="I29" s="824" t="e">
        <f>ROUND(SUMIF('[1]TB - SNS - 31.3.22'!$E:$E,'[2]BS  Notes  4-18'!A208,'[1]TB - SNS - 31.3.22'!$N:$N)/[1]Input!$C$2,[1]Input!$E$2)</f>
        <v>#VALUE!</v>
      </c>
      <c r="J29" s="95" t="e">
        <f>ROUND(SUMIF('[1]TB - SNS - 31.3.21'!$E:$E,'[2]BS  Notes  4-18'!A208,'[1]TB - SNS - 31.3.21'!$N:$N)/[1]Input!$C$2,[1]Input!$E$2)</f>
        <v>#VALUE!</v>
      </c>
      <c r="K29" s="95">
        <v>190.0899938</v>
      </c>
      <c r="L29" s="840">
        <f>H29-K29</f>
        <v>99.910006199999998</v>
      </c>
      <c r="M29" s="95" t="s">
        <v>792</v>
      </c>
      <c r="P29" s="177" t="e" cm="1">
        <f t="array" ref="P29:T29">SUMIF('[2]TB - SNS - 31.3.24'!F:F,'[2]BS  Notes  4-18'!A208:E208,'[2]TB - SNS - 31.3.24'!J:J)/10^5-G29-G62</f>
        <v>#VALUE!</v>
      </c>
      <c r="Q29" s="95" t="e">
        <v>#VALUE!</v>
      </c>
      <c r="R29" s="95" t="e">
        <v>#VALUE!</v>
      </c>
      <c r="S29" s="95" t="e">
        <v>#VALUE!</v>
      </c>
      <c r="T29" s="95" t="e">
        <v>#VALUE!</v>
      </c>
    </row>
    <row r="30" spans="1:20" x14ac:dyDescent="0.25">
      <c r="A30" s="822" t="s">
        <v>753</v>
      </c>
      <c r="G30" s="923">
        <f>ROUND(SUMIF('TB BVS 31.03.26'!$E:$E,'BS  Notes  3-18'!A30,'TB BVS 31.03.26'!$I:$I)/Input!$C$2,Input!$E$2)</f>
        <v>9</v>
      </c>
      <c r="H30" s="787">
        <f>ROUND(SUMIF('TB BVS 31.3.25'!$E:$E,'BS  Notes  3-18'!A30,'TB BVS 31.3.25'!$K:$K)/Input!$C$2,Input!$E$2)</f>
        <v>12</v>
      </c>
      <c r="I30" s="824" t="e">
        <f>ROUND(SUMIF('[1]TB - SNS - 31.3.22'!$E:$E,'[2]BS  Notes  4-18'!A209,'[1]TB - SNS - 31.3.22'!$N:$N)/[1]Input!$C$2,[1]Input!$E$2)</f>
        <v>#VALUE!</v>
      </c>
      <c r="J30" s="95" t="e">
        <f>ROUND(SUMIF('[1]TB - SNS - 31.3.21'!$E:$E,'[2]BS  Notes  4-18'!A209,'[1]TB - SNS - 31.3.21'!$N:$N)/[1]Input!$C$2,[1]Input!$E$2)</f>
        <v>#VALUE!</v>
      </c>
      <c r="K30" s="95">
        <v>0</v>
      </c>
      <c r="L30" s="840">
        <f>H30-K30</f>
        <v>12</v>
      </c>
      <c r="M30" s="95" t="s">
        <v>793</v>
      </c>
      <c r="P30" s="177" t="e" cm="1">
        <f t="array" ref="P30:T30">SUMIF('[2]TB - SNS - 31.3.24'!F:F,'[2]BS  Notes  4-18'!A209:E209,'[2]TB - SNS - 31.3.24'!J:J)/10^5-G30</f>
        <v>#VALUE!</v>
      </c>
      <c r="Q30" s="95" t="e">
        <v>#VALUE!</v>
      </c>
      <c r="R30" s="95" t="e">
        <v>#VALUE!</v>
      </c>
      <c r="S30" s="95" t="e">
        <v>#VALUE!</v>
      </c>
      <c r="T30" s="95" t="e">
        <v>#VALUE!</v>
      </c>
    </row>
    <row r="31" spans="1:20" hidden="1" x14ac:dyDescent="0.25">
      <c r="A31" s="822" t="s">
        <v>913</v>
      </c>
      <c r="G31" s="923">
        <f>ROUND(SUMIF('TB BVS 31.03.26'!$E:$E,'BS  Notes  3-18'!A31,'TB BVS 31.03.26'!$K:$K)/Input!$C$2,Input!$E$2)</f>
        <v>0</v>
      </c>
      <c r="H31" s="787">
        <v>0</v>
      </c>
      <c r="I31" s="824"/>
      <c r="L31" s="840"/>
      <c r="P31" s="177"/>
    </row>
    <row r="32" spans="1:20" x14ac:dyDescent="0.25">
      <c r="A32" s="924" t="s">
        <v>1078</v>
      </c>
      <c r="G32" s="923">
        <f>ROUND(SUMIF('TB BVS 31.03.26'!$E:$E,'BS  Notes  3-18'!A32,'TB BVS 31.03.26'!$I:$I)/Input!$C$2,Input!$E$2)</f>
        <v>0</v>
      </c>
      <c r="H32" s="787">
        <f>ROUND(SUMIF('TB BVS 31.3.25'!$E:$E,'BS  Notes  3-18'!A32,'TB BVS 31.3.25'!$K:$K)/Input!$C$2,Input!$E$2)</f>
        <v>50</v>
      </c>
      <c r="I32" s="824"/>
      <c r="L32" s="840"/>
      <c r="P32" s="177"/>
    </row>
    <row r="33" spans="1:16" x14ac:dyDescent="0.25">
      <c r="A33" s="646" t="s">
        <v>67</v>
      </c>
      <c r="B33" s="837"/>
      <c r="C33" s="837"/>
      <c r="D33" s="837"/>
      <c r="E33" s="837"/>
      <c r="F33" s="827"/>
      <c r="G33" s="833">
        <f>SUM(G29:G32)</f>
        <v>307</v>
      </c>
      <c r="H33" s="829">
        <f>SUM(H29:H32)</f>
        <v>352</v>
      </c>
      <c r="I33" s="829" t="e">
        <f>SUM(I29:I30)</f>
        <v>#VALUE!</v>
      </c>
      <c r="J33" s="95" t="e">
        <f>SUM(J29:J30)</f>
        <v>#VALUE!</v>
      </c>
      <c r="K33" s="95">
        <f>SUM(K29:K30)</f>
        <v>190.0899938</v>
      </c>
      <c r="L33" s="838">
        <f>SUM(L29:L30)</f>
        <v>111.9100062</v>
      </c>
      <c r="P33" s="177"/>
    </row>
    <row r="34" spans="1:16" x14ac:dyDescent="0.25">
      <c r="A34" s="314"/>
      <c r="B34" s="788"/>
      <c r="C34" s="788"/>
      <c r="D34" s="788"/>
      <c r="E34" s="788"/>
      <c r="F34" s="226"/>
      <c r="G34" s="832"/>
      <c r="H34" s="830"/>
      <c r="I34" s="830"/>
      <c r="L34" s="838"/>
      <c r="P34" s="925"/>
    </row>
    <row r="35" spans="1:16" hidden="1" x14ac:dyDescent="0.25">
      <c r="A35" s="314" t="s">
        <v>795</v>
      </c>
      <c r="B35" s="788"/>
      <c r="C35" s="788"/>
      <c r="D35" s="788"/>
      <c r="E35" s="788"/>
      <c r="F35" s="226"/>
      <c r="G35" s="832"/>
      <c r="H35" s="830"/>
      <c r="I35" s="830"/>
      <c r="L35" s="838"/>
      <c r="P35" s="925"/>
    </row>
    <row r="36" spans="1:16" hidden="1" x14ac:dyDescent="0.25">
      <c r="A36" s="822" t="s">
        <v>1319</v>
      </c>
      <c r="B36" s="788"/>
      <c r="C36" s="788"/>
      <c r="D36" s="788"/>
      <c r="E36" s="788"/>
      <c r="F36" s="226"/>
      <c r="G36" s="923">
        <f>ROUND(SUMIF('TB BVS 31.03.26'!$E:$E,'BS  Notes  3-18'!A36,'TB BVS 31.03.26'!$J:$J)/Input!$C$2,Input!$E$2)</f>
        <v>0</v>
      </c>
      <c r="H36" s="787">
        <f>ROUND(SUMIF('TB BVS 31.3.25'!$E:$E,'BS  Notes  3-18'!A36,'TB BVS 31.3.25'!$J:$J)/Input!$C$2,Input!$E$2)</f>
        <v>0</v>
      </c>
      <c r="I36" s="830"/>
      <c r="L36" s="838"/>
      <c r="P36" s="925"/>
    </row>
    <row r="37" spans="1:16" hidden="1" x14ac:dyDescent="0.25">
      <c r="A37" s="646" t="s">
        <v>67</v>
      </c>
      <c r="B37" s="837"/>
      <c r="C37" s="837"/>
      <c r="D37" s="837"/>
      <c r="E37" s="837"/>
      <c r="F37" s="827"/>
      <c r="G37" s="833">
        <f>SUM(G36)</f>
        <v>0</v>
      </c>
      <c r="H37" s="829">
        <v>0</v>
      </c>
      <c r="I37" s="830"/>
      <c r="L37" s="838"/>
      <c r="P37" s="925"/>
    </row>
    <row r="38" spans="1:16" hidden="1" x14ac:dyDescent="0.25">
      <c r="A38" s="314"/>
      <c r="B38" s="788"/>
      <c r="C38" s="788"/>
      <c r="D38" s="788"/>
      <c r="E38" s="788"/>
      <c r="F38" s="226"/>
      <c r="G38" s="832"/>
      <c r="H38" s="830"/>
      <c r="I38" s="830"/>
      <c r="L38" s="838"/>
      <c r="P38" s="925"/>
    </row>
    <row r="39" spans="1:16" hidden="1" x14ac:dyDescent="0.25">
      <c r="A39" s="314"/>
      <c r="B39" s="788"/>
      <c r="C39" s="788"/>
      <c r="D39" s="788"/>
      <c r="E39" s="788"/>
      <c r="F39" s="226"/>
      <c r="G39" s="832"/>
      <c r="H39" s="830"/>
      <c r="I39" s="830"/>
      <c r="L39" s="838"/>
      <c r="P39" s="925"/>
    </row>
    <row r="40" spans="1:16" x14ac:dyDescent="0.25">
      <c r="A40" s="314" t="s">
        <v>879</v>
      </c>
      <c r="B40" s="788"/>
      <c r="C40" s="788"/>
      <c r="D40" s="788"/>
      <c r="E40" s="788"/>
      <c r="H40" s="834"/>
      <c r="I40" s="834"/>
    </row>
    <row r="41" spans="1:16" x14ac:dyDescent="0.25">
      <c r="A41" s="314" t="s">
        <v>1158</v>
      </c>
      <c r="B41" s="788"/>
      <c r="C41" s="788"/>
      <c r="D41" s="788"/>
      <c r="E41" s="788"/>
      <c r="H41" s="834"/>
      <c r="I41" s="834"/>
    </row>
    <row r="42" spans="1:16" hidden="1" x14ac:dyDescent="0.25">
      <c r="A42" s="822" t="s">
        <v>1297</v>
      </c>
      <c r="B42" s="788"/>
      <c r="C42" s="788"/>
      <c r="D42" s="788"/>
      <c r="E42" s="788"/>
      <c r="G42" s="923">
        <f>ROUND(SUMIF('TB BVS 31.03.26'!$E:$E,'BS  Notes  3-18'!A42,'TB BVS 31.03.26'!$I:$I)/Input!$C$2,Input!$E$2)</f>
        <v>0</v>
      </c>
      <c r="H42" s="834">
        <v>0</v>
      </c>
      <c r="I42" s="834"/>
    </row>
    <row r="43" spans="1:16" x14ac:dyDescent="0.25">
      <c r="A43" s="822" t="s">
        <v>1153</v>
      </c>
      <c r="G43" s="923">
        <f>ROUND(SUMIF('TB BVS 31.03.26'!$E:$E,'BS  Notes  3-18'!A43,'TB BVS 31.03.26'!$I:$I)/Input!$C$2,Input!$E$2)-0.5</f>
        <v>5.5</v>
      </c>
      <c r="H43" s="787">
        <f>(ROUND(SUMIF('TB BVS 31.3.25'!$E:$E,'BS  Notes  3-18'!A43,'TB BVS 31.3.25'!$K:$K)/Input!$C$2,Input!$E$2)+'TB BVS 31.3.25'!I51/1000)</f>
        <v>13</v>
      </c>
      <c r="I43" s="834"/>
    </row>
    <row r="44" spans="1:16" x14ac:dyDescent="0.25">
      <c r="A44" s="646" t="s">
        <v>67</v>
      </c>
      <c r="B44" s="837"/>
      <c r="C44" s="837"/>
      <c r="D44" s="837"/>
      <c r="E44" s="837"/>
      <c r="F44" s="873"/>
      <c r="G44" s="833">
        <f>SUM(G42:G43)</f>
        <v>5.5</v>
      </c>
      <c r="H44" s="858">
        <f>SUM(H43)</f>
        <v>13</v>
      </c>
      <c r="I44" s="834"/>
    </row>
    <row r="45" spans="1:16" x14ac:dyDescent="0.25">
      <c r="A45" s="314"/>
      <c r="B45" s="788"/>
      <c r="C45" s="788"/>
      <c r="D45" s="788"/>
      <c r="E45" s="788"/>
      <c r="H45" s="834"/>
      <c r="I45" s="834"/>
    </row>
    <row r="46" spans="1:16" hidden="1" x14ac:dyDescent="0.25">
      <c r="A46" s="314" t="s">
        <v>119</v>
      </c>
      <c r="B46" s="788"/>
      <c r="C46" s="788"/>
      <c r="D46" s="788"/>
      <c r="E46" s="788"/>
      <c r="H46" s="834"/>
      <c r="I46" s="834"/>
    </row>
    <row r="47" spans="1:16" hidden="1" x14ac:dyDescent="0.25">
      <c r="A47" s="822" t="s">
        <v>927</v>
      </c>
      <c r="G47" s="823">
        <f>ROUND(SUMIF('TB BVS 31.03.26'!$E:$E,'BS  Notes  3-18'!A47,'TB BVS 31.03.26'!$J:$J)/Input!$C$2,Input!$E$2)</f>
        <v>0</v>
      </c>
      <c r="H47" s="787">
        <f>ROUND(SUMIF('TB BVS 31.3.23'!$E:$E,'BS  Notes  3-18'!A47,'TB BVS 31.3.23'!$M:$M)/Input!$C$2,Input!$E$2)</f>
        <v>0</v>
      </c>
      <c r="I47" s="824"/>
      <c r="K47" s="509"/>
    </row>
    <row r="48" spans="1:16" hidden="1" x14ac:dyDescent="0.25">
      <c r="A48" s="646" t="s">
        <v>67</v>
      </c>
      <c r="B48" s="837"/>
      <c r="C48" s="837"/>
      <c r="D48" s="837"/>
      <c r="E48" s="837"/>
      <c r="F48" s="873"/>
      <c r="G48" s="828">
        <f>SUM(G47)</f>
        <v>0</v>
      </c>
      <c r="H48" s="858">
        <f>SUM(H47)</f>
        <v>0</v>
      </c>
      <c r="I48" s="829" t="e">
        <f>SUM(#REF!)</f>
        <v>#REF!</v>
      </c>
      <c r="K48" s="487" t="e">
        <f>#REF!*10^3</f>
        <v>#REF!</v>
      </c>
      <c r="L48" s="487"/>
      <c r="M48" s="487"/>
    </row>
    <row r="49" spans="1:16" hidden="1" x14ac:dyDescent="0.25">
      <c r="A49" s="314"/>
      <c r="B49" s="788"/>
      <c r="C49" s="788"/>
      <c r="D49" s="788"/>
      <c r="E49" s="788"/>
      <c r="F49" s="845"/>
      <c r="G49" s="845"/>
      <c r="H49" s="831"/>
      <c r="I49" s="831"/>
      <c r="J49" s="509"/>
      <c r="K49" s="509"/>
      <c r="L49" s="509"/>
      <c r="M49" s="788"/>
    </row>
    <row r="50" spans="1:16" x14ac:dyDescent="0.25">
      <c r="A50" s="314" t="s">
        <v>880</v>
      </c>
      <c r="B50" s="788"/>
      <c r="C50" s="788"/>
      <c r="D50" s="788"/>
      <c r="E50" s="788"/>
      <c r="H50" s="834"/>
      <c r="I50" s="834"/>
    </row>
    <row r="51" spans="1:16" x14ac:dyDescent="0.25">
      <c r="A51" s="314" t="s">
        <v>920</v>
      </c>
      <c r="B51" s="788"/>
      <c r="C51" s="788"/>
      <c r="D51" s="788"/>
      <c r="E51" s="788"/>
      <c r="H51" s="834"/>
      <c r="I51" s="834"/>
    </row>
    <row r="52" spans="1:16" x14ac:dyDescent="0.25">
      <c r="A52" s="822" t="s">
        <v>1193</v>
      </c>
      <c r="B52" s="788"/>
      <c r="C52" s="788"/>
      <c r="D52" s="788"/>
      <c r="E52" s="788"/>
      <c r="G52" s="823">
        <f>ROUND(SUMIF('TB BVS 31.03.26'!$E:$E,'BS  Notes  3-18'!A52,'TB BVS 31.03.26'!$K:$K)/Input!$C$2,Input!$E$2)</f>
        <v>74</v>
      </c>
      <c r="H52" s="834">
        <v>0</v>
      </c>
      <c r="I52" s="834"/>
    </row>
    <row r="53" spans="1:16" x14ac:dyDescent="0.25">
      <c r="A53" s="822" t="s">
        <v>921</v>
      </c>
      <c r="B53" s="788"/>
      <c r="C53" s="788"/>
      <c r="D53" s="788"/>
      <c r="E53" s="788"/>
      <c r="G53" s="823">
        <f>ROUND(SUMIF('TB BVS 31.03.26'!$E:$E,'BS  Notes  3-18'!A53,'TB BVS 31.03.26'!$I:$I)/Input!$C$2,Input!$E$2)-0.5</f>
        <v>1.5</v>
      </c>
      <c r="H53" s="787">
        <f>ROUND(SUMIF('TB BVS 31.3.25'!$E:$E,'BS  Notes  3-18'!A53,'TB BVS 31.3.25'!$K:$K)/Input!$C$2,Input!$E$2)</f>
        <v>84</v>
      </c>
      <c r="I53" s="834"/>
    </row>
    <row r="54" spans="1:16" x14ac:dyDescent="0.25">
      <c r="A54" s="646" t="s">
        <v>67</v>
      </c>
      <c r="B54" s="837"/>
      <c r="C54" s="837"/>
      <c r="D54" s="837"/>
      <c r="E54" s="837"/>
      <c r="F54" s="873"/>
      <c r="G54" s="828">
        <f>SUM(G52:G53)</f>
        <v>75.5</v>
      </c>
      <c r="H54" s="858">
        <f>SUM(H53)</f>
        <v>84</v>
      </c>
      <c r="I54" s="829" t="e">
        <f>SUM(I48:I48)</f>
        <v>#REF!</v>
      </c>
      <c r="K54" s="487" t="e">
        <f>K48*10^3</f>
        <v>#REF!</v>
      </c>
      <c r="L54" s="487"/>
      <c r="M54" s="487"/>
    </row>
    <row r="55" spans="1:16" x14ac:dyDescent="0.25">
      <c r="A55" s="822"/>
      <c r="H55" s="834"/>
      <c r="I55" s="834"/>
      <c r="P55" s="177"/>
    </row>
    <row r="56" spans="1:16" hidden="1" x14ac:dyDescent="0.25">
      <c r="A56" s="314" t="s">
        <v>1057</v>
      </c>
      <c r="B56" s="788"/>
      <c r="C56" s="788"/>
      <c r="D56" s="788"/>
      <c r="E56" s="788"/>
      <c r="H56" s="834"/>
      <c r="I56" s="834"/>
    </row>
    <row r="57" spans="1:16" hidden="1" x14ac:dyDescent="0.25">
      <c r="A57" s="314" t="s">
        <v>920</v>
      </c>
      <c r="B57" s="788"/>
      <c r="C57" s="788"/>
      <c r="D57" s="788"/>
      <c r="E57" s="788"/>
      <c r="H57" s="834"/>
      <c r="I57" s="834"/>
    </row>
    <row r="58" spans="1:16" hidden="1" x14ac:dyDescent="0.25">
      <c r="A58" s="822" t="s">
        <v>927</v>
      </c>
      <c r="G58" s="857">
        <f>ROUND(SUMIF('TB BVS 31.03.26'!$E:$E,'BS  Notes  3-18'!A58,'TB BVS 31.03.26'!$K:$K)/Input!$C$2,Input!$E$2)</f>
        <v>0</v>
      </c>
      <c r="H58" s="787">
        <f>ROUND(SUMIF('TB BVS 31.3.23'!$E:$E,'BS  Notes  3-18'!A58,'TB BVS 31.3.23'!$M:$M)/Input!$C$2,Input!$E$2)</f>
        <v>0</v>
      </c>
      <c r="I58" s="834"/>
    </row>
    <row r="59" spans="1:16" hidden="1" x14ac:dyDescent="0.25">
      <c r="A59" s="646" t="s">
        <v>67</v>
      </c>
      <c r="B59" s="837"/>
      <c r="C59" s="837"/>
      <c r="D59" s="837"/>
      <c r="E59" s="837"/>
      <c r="F59" s="873"/>
      <c r="G59" s="833">
        <f>SUM(G58)</f>
        <v>0</v>
      </c>
      <c r="H59" s="858">
        <f>SUM(H58)</f>
        <v>0</v>
      </c>
      <c r="I59" s="834"/>
    </row>
    <row r="60" spans="1:16" hidden="1" x14ac:dyDescent="0.25">
      <c r="A60" s="822"/>
      <c r="H60" s="834"/>
      <c r="I60" s="834"/>
      <c r="P60" s="177"/>
    </row>
    <row r="61" spans="1:16" hidden="1" x14ac:dyDescent="0.25">
      <c r="A61" s="314" t="s">
        <v>795</v>
      </c>
      <c r="B61" s="788"/>
      <c r="C61" s="788"/>
      <c r="D61" s="788"/>
      <c r="E61" s="788"/>
      <c r="H61" s="834"/>
      <c r="I61" s="834"/>
      <c r="P61" s="177"/>
    </row>
    <row r="62" spans="1:16" hidden="1" x14ac:dyDescent="0.25">
      <c r="A62" s="822" t="s">
        <v>791</v>
      </c>
      <c r="G62" s="922">
        <f>ROUND(SUMIF('TB BVS 31.03.26'!$E:$E,'BS  Notes  3-18'!A62,'TB BVS 31.03.26'!$J:$J)/Input!$C$2,Input!$E$2)</f>
        <v>0</v>
      </c>
      <c r="H62" s="787">
        <v>0</v>
      </c>
      <c r="I62" s="824" t="e">
        <f>ROUND(SUMIF('[1]TB - SNS - 31.3.22'!$E:$E,A62,'[1]TB - SNS - 31.3.22'!$M:$M)/[1]Input!$C$2,[1]Input!$E$2)</f>
        <v>#VALUE!</v>
      </c>
      <c r="J62" s="95" t="e">
        <f>ROUND(SUMIF('[1]TB - SNS - 31.3.21'!$E:$E,'[2]BS  Notes  4-18'!A215,'[1]TB - SNS - 31.3.21'!$M:$M)/[1]Input!$C$2,[1]Input!$E$2)</f>
        <v>#VALUE!</v>
      </c>
      <c r="K62" s="95">
        <v>5.7639104000000003</v>
      </c>
      <c r="L62" s="840">
        <f>H62-K62</f>
        <v>-5.7639104000000003</v>
      </c>
      <c r="M62" s="95" t="s">
        <v>796</v>
      </c>
      <c r="P62" s="920" t="s">
        <v>226</v>
      </c>
    </row>
    <row r="63" spans="1:16" hidden="1" x14ac:dyDescent="0.25">
      <c r="A63" s="822" t="s">
        <v>753</v>
      </c>
      <c r="G63" s="922">
        <f>ROUND(SUMIF('TB BVS 31.03.26'!$E:$E,'BS  Notes  3-18'!A63,'TB BVS 31.03.26'!$J:$J)/Input!$C$2,Input!$E$2)</f>
        <v>0</v>
      </c>
      <c r="H63" s="787">
        <v>0</v>
      </c>
      <c r="I63" s="824" t="e">
        <f>ROUND(SUMIF('[1]TB - SNS - 31.3.22'!$E:$E,A63,'[1]TB - SNS - 31.3.22'!$M:$M)/[1]Input!$C$2,[1]Input!$E$2)</f>
        <v>#VALUE!</v>
      </c>
      <c r="J63" s="95" t="e">
        <f>ROUND(SUMIF('[1]TB - SNS - 31.3.21'!$E:$E,'[2]BS  Notes  4-18'!A216,'[1]TB - SNS - 31.3.21'!$M:$M)/[1]Input!$C$2,[1]Input!$E$2)</f>
        <v>#VALUE!</v>
      </c>
      <c r="K63" s="95">
        <v>0</v>
      </c>
      <c r="L63" s="840">
        <f>H63-K63</f>
        <v>0</v>
      </c>
      <c r="M63" s="95" t="s">
        <v>797</v>
      </c>
      <c r="P63" s="920" t="s">
        <v>226</v>
      </c>
    </row>
    <row r="64" spans="1:16" hidden="1" x14ac:dyDescent="0.25">
      <c r="A64" s="646" t="s">
        <v>67</v>
      </c>
      <c r="B64" s="837"/>
      <c r="C64" s="837"/>
      <c r="D64" s="837"/>
      <c r="E64" s="837"/>
      <c r="F64" s="827"/>
      <c r="G64" s="833">
        <f>SUM(G62:G63)</f>
        <v>0</v>
      </c>
      <c r="H64" s="829">
        <f>SUM(H62:H63)</f>
        <v>0</v>
      </c>
      <c r="I64" s="829" t="e">
        <f>SUM(I62:I63)</f>
        <v>#VALUE!</v>
      </c>
      <c r="J64" s="95" t="e">
        <f>SUM(J62:J63)</f>
        <v>#VALUE!</v>
      </c>
      <c r="P64" s="177"/>
    </row>
    <row r="65" spans="1:16384" hidden="1" x14ac:dyDescent="0.25">
      <c r="A65" s="314" t="s">
        <v>879</v>
      </c>
      <c r="B65" s="788"/>
      <c r="C65" s="788"/>
      <c r="D65" s="788"/>
      <c r="E65" s="788"/>
      <c r="F65" s="226"/>
      <c r="G65" s="832"/>
      <c r="H65" s="830"/>
      <c r="I65" s="830"/>
      <c r="P65" s="925"/>
    </row>
    <row r="66" spans="1:16384" hidden="1" x14ac:dyDescent="0.25">
      <c r="A66" s="314" t="s">
        <v>790</v>
      </c>
      <c r="B66" s="788"/>
      <c r="C66" s="788"/>
      <c r="D66" s="788"/>
      <c r="E66" s="788"/>
      <c r="F66" s="226"/>
      <c r="G66" s="832"/>
      <c r="H66" s="830"/>
      <c r="I66" s="830"/>
      <c r="P66" s="925"/>
    </row>
    <row r="67" spans="1:16384" hidden="1" x14ac:dyDescent="0.25">
      <c r="A67" s="822" t="s">
        <v>14</v>
      </c>
      <c r="B67" s="788"/>
      <c r="C67" s="788"/>
      <c r="D67" s="788"/>
      <c r="E67" s="788"/>
      <c r="F67" s="226"/>
      <c r="G67" s="923">
        <f>ROUND(SUMIF('TB BVS 31.03.26'!$E:$E,'BS  Notes  3-18'!A67,'TB BVS 31.03.26'!$J:$J)/Input!$C$2,Input!$E$2)</f>
        <v>0</v>
      </c>
      <c r="H67" s="787">
        <v>0</v>
      </c>
      <c r="I67" s="830"/>
      <c r="P67" s="925"/>
    </row>
    <row r="68" spans="1:16384" hidden="1" x14ac:dyDescent="0.25">
      <c r="A68" s="646" t="s">
        <v>67</v>
      </c>
      <c r="B68" s="837"/>
      <c r="C68" s="837"/>
      <c r="D68" s="837"/>
      <c r="E68" s="837"/>
      <c r="F68" s="827"/>
      <c r="G68" s="833">
        <f>SUM(G67:G67)</f>
        <v>0</v>
      </c>
      <c r="H68" s="829">
        <f>SUM(H67:H67)</f>
        <v>0</v>
      </c>
      <c r="I68" s="829"/>
      <c r="L68" s="838"/>
      <c r="P68" s="177"/>
    </row>
    <row r="69" spans="1:16384" x14ac:dyDescent="0.25">
      <c r="A69" s="314" t="s">
        <v>881</v>
      </c>
      <c r="B69" s="788"/>
      <c r="C69" s="788"/>
      <c r="D69" s="788"/>
      <c r="E69" s="788"/>
      <c r="H69" s="834"/>
      <c r="I69" s="834"/>
      <c r="J69" s="834"/>
      <c r="P69" s="177"/>
    </row>
    <row r="70" spans="1:16384" x14ac:dyDescent="0.25">
      <c r="A70" s="314" t="s">
        <v>838</v>
      </c>
      <c r="B70" s="788"/>
      <c r="C70" s="788"/>
      <c r="D70" s="788"/>
      <c r="E70" s="788"/>
      <c r="H70" s="834"/>
      <c r="I70" s="834"/>
      <c r="J70" s="834"/>
      <c r="P70" s="177"/>
    </row>
    <row r="71" spans="1:16384" x14ac:dyDescent="0.25">
      <c r="A71" s="18" t="s">
        <v>1709</v>
      </c>
      <c r="G71" s="823">
        <f>ROUND(SUMIF('TB BVS 31.03.26'!$E:$E,'BS  Notes  3-18'!A71,'TB BVS 31.03.26'!$I:$I)/Input!$C$2,Input!$E$2)</f>
        <v>1649</v>
      </c>
      <c r="H71" s="928">
        <f>ROUND(SUMIF('TB BVS 31.3.25'!$E:$E,'BS  Notes  3-18'!A71,'TB BVS 31.3.25'!$J:$J)/Input!$C$2,Input!$E$2)</f>
        <v>321</v>
      </c>
      <c r="I71" s="929" t="e">
        <f>ROUND(SUMIF('[1]TB - SNS - 31.3.22'!$E:$E,A71,'[1]TB - SNS - 31.3.22'!$M:$M)/[1]Input!$C$2,[1]Input!$E$2)</f>
        <v>#VALUE!</v>
      </c>
      <c r="J71" s="929" t="e">
        <f>ROUND(SUMIF('[1]TB - SNS - 31.3.21'!$E:$E,'[2]BS  Notes  4-18'!A161,'[1]TB - SNS - 31.3.21'!$M:$M)/[1]Input!$C$2,[1]Input!$E$2)</f>
        <v>#VALUE!</v>
      </c>
      <c r="O71" s="509">
        <f>G71/1000</f>
        <v>1.649</v>
      </c>
      <c r="P71" s="920"/>
    </row>
    <row r="72" spans="1:16384" x14ac:dyDescent="0.25">
      <c r="A72" s="822" t="s">
        <v>839</v>
      </c>
      <c r="G72" s="823">
        <f>ROUND(SUMIF('TB BVS 31.03.26'!$E:$E,'BS  Notes  3-18'!A72,'TB BVS 31.03.26'!$I:$I)/Input!$C$2,Input!$E$2)</f>
        <v>13</v>
      </c>
      <c r="H72" s="928">
        <f>ROUND(SUMIF('TB BVS 31.3.25'!$E:$E,'BS  Notes  3-18'!A72,'TB BVS 31.3.25'!$J:$J)/Input!$C$2,Input!$E$2)</f>
        <v>21</v>
      </c>
      <c r="I72" s="929"/>
      <c r="J72" s="929"/>
      <c r="O72" s="509">
        <f>G72/1000</f>
        <v>1.2999999999999999E-2</v>
      </c>
      <c r="P72" s="920"/>
    </row>
    <row r="73" spans="1:16384" x14ac:dyDescent="0.25">
      <c r="A73" s="822" t="s">
        <v>733</v>
      </c>
      <c r="G73" s="823">
        <f>ROUND(SUMIF('TB BVS 31.03.26'!$E:$E,'BS  Notes  3-18'!A73,'TB BVS 31.03.26'!$I:$I)/Input!$C$2,Input!$E$2)</f>
        <v>1831</v>
      </c>
      <c r="H73" s="928">
        <f>ROUND(SUMIF('TB BVS 31.3.25'!$E:$E,'BS  Notes  3-18'!A73,'TB BVS 31.3.25'!$J:$J)/Input!$C$2,Input!$E$2)</f>
        <v>399</v>
      </c>
      <c r="I73" s="929" t="e">
        <f>ROUND(SUMIF('[1]TB - SNS - 31.3.22'!$E:$E,A73,'[1]TB - SNS - 31.3.22'!$M:$M)/[1]Input!$C$2,[1]Input!$E$2)</f>
        <v>#VALUE!</v>
      </c>
      <c r="J73" s="929" t="e">
        <f>ROUND(SUMIF('[1]TB - SNS - 31.3.21'!$E:$E,'[2]BS  Notes  4-18'!A163,'[1]TB - SNS - 31.3.21'!$M:$M)/[1]Input!$C$2,[1]Input!$E$2)</f>
        <v>#VALUE!</v>
      </c>
      <c r="O73" s="509">
        <f>G73/1000</f>
        <v>1.831</v>
      </c>
      <c r="P73" s="920"/>
      <c r="Q73" s="95">
        <f>60.8-27.75</f>
        <v>33.049999999999997</v>
      </c>
    </row>
    <row r="74" spans="1:16384" x14ac:dyDescent="0.25">
      <c r="A74" s="822" t="s">
        <v>891</v>
      </c>
      <c r="G74" s="823">
        <f>ROUND(SUMIF('TB BVS 31.03.26'!$E:$E,'BS  Notes  3-18'!A74,'TB BVS 31.03.26'!$I:$I)/Input!$C$2,Input!$E$2)</f>
        <v>2783</v>
      </c>
      <c r="H74" s="928">
        <f>ROUND(SUMIF('TB BVS 31.3.25'!$E:$E,'BS  Notes  3-18'!A74,'TB BVS 31.3.25'!$J:$J)/Input!$C$2,Input!$E$2)</f>
        <v>0</v>
      </c>
      <c r="I74" s="929" t="e">
        <f>ROUND(SUMIF('[1]TB - SNS - 31.3.22'!$E:$E,A74,'[1]TB - SNS - 31.3.22'!$M:$M)/[1]Input!$C$2,[1]Input!$E$2)</f>
        <v>#VALUE!</v>
      </c>
      <c r="J74" s="929" t="e">
        <f>ROUND(SUMIF('[1]TB - SNS - 31.3.21'!$E:$E,'[2]BS  Notes  4-18'!A164,'[1]TB - SNS - 31.3.21'!$M:$M)/[1]Input!$C$2,[1]Input!$E$2)</f>
        <v>#VALUE!</v>
      </c>
      <c r="O74" s="509">
        <f>G74/1000</f>
        <v>2.7829999999999999</v>
      </c>
      <c r="P74" s="920"/>
    </row>
    <row r="75" spans="1:16384" x14ac:dyDescent="0.25">
      <c r="A75" s="822" t="s">
        <v>735</v>
      </c>
      <c r="G75" s="823">
        <f>ROUND(SUMIF('TB BVS 31.03.26'!$E:$E,'BS  Notes  3-18'!A75,'TB BVS 31.03.26'!$I:$I)/Input!$C$2,Input!$E$2)</f>
        <v>362</v>
      </c>
      <c r="H75" s="928">
        <f>ROUND(SUMIF('TB BVS 31.3.25'!$E:$E,'BS  Notes  3-18'!A75,'TB BVS 31.3.25'!$J:$J)/Input!$C$2,Input!$E$2)</f>
        <v>70</v>
      </c>
      <c r="I75" s="929" t="e">
        <f>ROUND(SUMIF('[1]TB - SNS - 31.3.22'!$E:$E,A75,'[1]TB - SNS - 31.3.22'!$M:$M)/[1]Input!$C$2,[1]Input!$E$2)</f>
        <v>#VALUE!</v>
      </c>
      <c r="J75" s="929" t="e">
        <f>ROUND(SUMIF('[1]TB - SNS - 31.3.21'!$E:$E,'[2]BS  Notes  4-18'!A165,'[1]TB - SNS - 31.3.21'!$M:$M)/[1]Input!$C$2,[1]Input!$E$2)</f>
        <v>#VALUE!</v>
      </c>
      <c r="O75" s="509">
        <f>G75/1000</f>
        <v>0.36199999999999999</v>
      </c>
      <c r="P75" s="920"/>
    </row>
    <row r="76" spans="1:16384" x14ac:dyDescent="0.25">
      <c r="A76" s="646" t="s">
        <v>67</v>
      </c>
      <c r="B76" s="837"/>
      <c r="C76" s="837"/>
      <c r="D76" s="837"/>
      <c r="E76" s="837"/>
      <c r="F76" s="869"/>
      <c r="G76" s="833">
        <f>SUM(G71:G75)</f>
        <v>6638</v>
      </c>
      <c r="H76" s="829">
        <f>SUM(H71:H75)</f>
        <v>811</v>
      </c>
      <c r="I76" s="829" t="e">
        <f>SUM(I71:I75)</f>
        <v>#VALUE!</v>
      </c>
      <c r="J76" s="829" t="e">
        <f>SUM(J71:J75)</f>
        <v>#VALUE!</v>
      </c>
      <c r="P76" s="177"/>
    </row>
    <row r="77" spans="1:16384" x14ac:dyDescent="0.25">
      <c r="A77" s="643" t="s">
        <v>1686</v>
      </c>
      <c r="B77" s="930"/>
      <c r="C77" s="930"/>
      <c r="D77" s="930"/>
      <c r="E77" s="930"/>
      <c r="F77" s="864"/>
      <c r="G77" s="864"/>
      <c r="H77" s="931"/>
      <c r="I77" s="932"/>
      <c r="J77" s="932"/>
      <c r="O77" s="225">
        <f>G73+G74</f>
        <v>4614</v>
      </c>
      <c r="P77" s="177">
        <v>35150079.960000001</v>
      </c>
    </row>
    <row r="78" spans="1:16384" s="95" customFormat="1" ht="15.75" thickBot="1" x14ac:dyDescent="0.3">
      <c r="A78" s="639" t="s">
        <v>1710</v>
      </c>
      <c r="B78" s="933"/>
      <c r="C78" s="933"/>
      <c r="D78" s="933"/>
      <c r="E78" s="933"/>
      <c r="F78" s="934"/>
      <c r="G78" s="934"/>
      <c r="H78" s="935"/>
      <c r="I78" s="831"/>
      <c r="J78" s="887"/>
      <c r="O78" s="225"/>
      <c r="P78" s="177"/>
    </row>
    <row r="79" spans="1:16384" s="95" customFormat="1" x14ac:dyDescent="0.25">
      <c r="A79" s="1715" t="s">
        <v>0</v>
      </c>
      <c r="B79" s="1716"/>
      <c r="C79" s="1716"/>
      <c r="D79" s="1716"/>
      <c r="E79" s="1716"/>
      <c r="F79" s="244"/>
      <c r="G79" s="244" t="s">
        <v>68</v>
      </c>
      <c r="H79" s="245" t="s">
        <v>68</v>
      </c>
      <c r="I79" s="1715" t="s">
        <v>0</v>
      </c>
      <c r="J79" s="1716"/>
      <c r="K79" s="1716"/>
      <c r="L79" s="1716"/>
      <c r="M79" s="1716"/>
      <c r="N79" s="244"/>
      <c r="O79" s="244" t="s">
        <v>68</v>
      </c>
      <c r="P79" s="245" t="s">
        <v>68</v>
      </c>
      <c r="Q79" s="1715" t="s">
        <v>0</v>
      </c>
      <c r="R79" s="1716"/>
      <c r="S79" s="1716"/>
      <c r="T79" s="1716"/>
      <c r="U79" s="1716"/>
      <c r="V79" s="244"/>
      <c r="W79" s="244" t="s">
        <v>68</v>
      </c>
      <c r="X79" s="245" t="s">
        <v>68</v>
      </c>
      <c r="Y79" s="1715" t="s">
        <v>0</v>
      </c>
      <c r="Z79" s="1716"/>
      <c r="AA79" s="1716"/>
      <c r="AB79" s="1716"/>
      <c r="AC79" s="1716"/>
      <c r="AD79" s="244"/>
      <c r="AE79" s="244" t="s">
        <v>68</v>
      </c>
      <c r="AF79" s="245" t="s">
        <v>68</v>
      </c>
      <c r="AG79" s="1715" t="s">
        <v>0</v>
      </c>
      <c r="AH79" s="1716"/>
      <c r="AI79" s="1716"/>
      <c r="AJ79" s="1716"/>
      <c r="AK79" s="1716"/>
      <c r="AL79" s="244"/>
      <c r="AM79" s="244" t="s">
        <v>68</v>
      </c>
      <c r="AN79" s="245" t="s">
        <v>68</v>
      </c>
      <c r="AO79" s="1715" t="s">
        <v>0</v>
      </c>
      <c r="AP79" s="1716"/>
      <c r="AQ79" s="1716"/>
      <c r="AR79" s="1716"/>
      <c r="AS79" s="1716"/>
      <c r="AT79" s="244"/>
      <c r="AU79" s="244" t="s">
        <v>68</v>
      </c>
      <c r="AV79" s="245" t="s">
        <v>68</v>
      </c>
      <c r="AW79" s="1715" t="s">
        <v>0</v>
      </c>
      <c r="AX79" s="1716"/>
      <c r="AY79" s="1716"/>
      <c r="AZ79" s="1716"/>
      <c r="BA79" s="1716"/>
      <c r="BB79" s="244"/>
      <c r="BC79" s="244" t="s">
        <v>68</v>
      </c>
      <c r="BD79" s="245" t="s">
        <v>68</v>
      </c>
      <c r="BE79" s="1715" t="s">
        <v>0</v>
      </c>
      <c r="BF79" s="1716"/>
      <c r="BG79" s="1716"/>
      <c r="BH79" s="1716"/>
      <c r="BI79" s="1716"/>
      <c r="BJ79" s="244"/>
      <c r="BK79" s="244" t="s">
        <v>68</v>
      </c>
      <c r="BL79" s="245" t="s">
        <v>68</v>
      </c>
      <c r="BM79" s="1715" t="s">
        <v>0</v>
      </c>
      <c r="BN79" s="1716"/>
      <c r="BO79" s="1716"/>
      <c r="BP79" s="1716"/>
      <c r="BQ79" s="1716"/>
      <c r="BR79" s="244"/>
      <c r="BS79" s="244" t="s">
        <v>68</v>
      </c>
      <c r="BT79" s="245" t="s">
        <v>68</v>
      </c>
      <c r="BU79" s="1715" t="s">
        <v>0</v>
      </c>
      <c r="BV79" s="1716"/>
      <c r="BW79" s="1716"/>
      <c r="BX79" s="1716"/>
      <c r="BY79" s="1716"/>
      <c r="BZ79" s="244"/>
      <c r="CA79" s="244" t="s">
        <v>68</v>
      </c>
      <c r="CB79" s="245" t="s">
        <v>68</v>
      </c>
      <c r="CC79" s="1715" t="s">
        <v>0</v>
      </c>
      <c r="CD79" s="1716"/>
      <c r="CE79" s="1716"/>
      <c r="CF79" s="1716"/>
      <c r="CG79" s="1716"/>
      <c r="CH79" s="244"/>
      <c r="CI79" s="244" t="s">
        <v>68</v>
      </c>
      <c r="CJ79" s="245" t="s">
        <v>68</v>
      </c>
      <c r="CK79" s="1715" t="s">
        <v>0</v>
      </c>
      <c r="CL79" s="1716"/>
      <c r="CM79" s="1716"/>
      <c r="CN79" s="1716"/>
      <c r="CO79" s="1716"/>
      <c r="CP79" s="244"/>
      <c r="CQ79" s="244" t="s">
        <v>68</v>
      </c>
      <c r="CR79" s="245" t="s">
        <v>68</v>
      </c>
      <c r="CS79" s="1715" t="s">
        <v>0</v>
      </c>
      <c r="CT79" s="1716"/>
      <c r="CU79" s="1716"/>
      <c r="CV79" s="1716"/>
      <c r="CW79" s="1716"/>
      <c r="CX79" s="244"/>
      <c r="CY79" s="244" t="s">
        <v>68</v>
      </c>
      <c r="CZ79" s="245" t="s">
        <v>68</v>
      </c>
      <c r="DA79" s="1715" t="s">
        <v>0</v>
      </c>
      <c r="DB79" s="1716"/>
      <c r="DC79" s="1716"/>
      <c r="DD79" s="1716"/>
      <c r="DE79" s="1716"/>
      <c r="DF79" s="244"/>
      <c r="DG79" s="244" t="s">
        <v>68</v>
      </c>
      <c r="DH79" s="245" t="s">
        <v>68</v>
      </c>
      <c r="DI79" s="1715" t="s">
        <v>0</v>
      </c>
      <c r="DJ79" s="1716"/>
      <c r="DK79" s="1716"/>
      <c r="DL79" s="1716"/>
      <c r="DM79" s="1716"/>
      <c r="DN79" s="244"/>
      <c r="DO79" s="244" t="s">
        <v>68</v>
      </c>
      <c r="DP79" s="245" t="s">
        <v>68</v>
      </c>
      <c r="DQ79" s="1715" t="s">
        <v>0</v>
      </c>
      <c r="DR79" s="1716"/>
      <c r="DS79" s="1716"/>
      <c r="DT79" s="1716"/>
      <c r="DU79" s="1716"/>
      <c r="DV79" s="244"/>
      <c r="DW79" s="244" t="s">
        <v>68</v>
      </c>
      <c r="DX79" s="245" t="s">
        <v>68</v>
      </c>
      <c r="DY79" s="1715" t="s">
        <v>0</v>
      </c>
      <c r="DZ79" s="1716"/>
      <c r="EA79" s="1716"/>
      <c r="EB79" s="1716"/>
      <c r="EC79" s="1716"/>
      <c r="ED79" s="244"/>
      <c r="EE79" s="244" t="s">
        <v>68</v>
      </c>
      <c r="EF79" s="245" t="s">
        <v>68</v>
      </c>
      <c r="EG79" s="1715" t="s">
        <v>0</v>
      </c>
      <c r="EH79" s="1716"/>
      <c r="EI79" s="1716"/>
      <c r="EJ79" s="1716"/>
      <c r="EK79" s="1716"/>
      <c r="EL79" s="244"/>
      <c r="EM79" s="244" t="s">
        <v>68</v>
      </c>
      <c r="EN79" s="245" t="s">
        <v>68</v>
      </c>
      <c r="EO79" s="1715" t="s">
        <v>0</v>
      </c>
      <c r="EP79" s="1716"/>
      <c r="EQ79" s="1716"/>
      <c r="ER79" s="1716"/>
      <c r="ES79" s="1716"/>
      <c r="ET79" s="244"/>
      <c r="EU79" s="244" t="s">
        <v>68</v>
      </c>
      <c r="EV79" s="245" t="s">
        <v>68</v>
      </c>
      <c r="EW79" s="1715" t="s">
        <v>0</v>
      </c>
      <c r="EX79" s="1716"/>
      <c r="EY79" s="1716"/>
      <c r="EZ79" s="1716"/>
      <c r="FA79" s="1716"/>
      <c r="FB79" s="244"/>
      <c r="FC79" s="244" t="s">
        <v>68</v>
      </c>
      <c r="FD79" s="245" t="s">
        <v>68</v>
      </c>
      <c r="FE79" s="1715" t="s">
        <v>0</v>
      </c>
      <c r="FF79" s="1716"/>
      <c r="FG79" s="1716"/>
      <c r="FH79" s="1716"/>
      <c r="FI79" s="1716"/>
      <c r="FJ79" s="244"/>
      <c r="FK79" s="244" t="s">
        <v>68</v>
      </c>
      <c r="FL79" s="245" t="s">
        <v>68</v>
      </c>
      <c r="FM79" s="1715" t="s">
        <v>0</v>
      </c>
      <c r="FN79" s="1716"/>
      <c r="FO79" s="1716"/>
      <c r="FP79" s="1716"/>
      <c r="FQ79" s="1716"/>
      <c r="FR79" s="244"/>
      <c r="FS79" s="244" t="s">
        <v>68</v>
      </c>
      <c r="FT79" s="245" t="s">
        <v>68</v>
      </c>
      <c r="FU79" s="1715" t="s">
        <v>0</v>
      </c>
      <c r="FV79" s="1716"/>
      <c r="FW79" s="1716"/>
      <c r="FX79" s="1716"/>
      <c r="FY79" s="1716"/>
      <c r="FZ79" s="244"/>
      <c r="GA79" s="244" t="s">
        <v>68</v>
      </c>
      <c r="GB79" s="245" t="s">
        <v>68</v>
      </c>
      <c r="GC79" s="1715" t="s">
        <v>0</v>
      </c>
      <c r="GD79" s="1716"/>
      <c r="GE79" s="1716"/>
      <c r="GF79" s="1716"/>
      <c r="GG79" s="1716"/>
      <c r="GH79" s="244"/>
      <c r="GI79" s="244" t="s">
        <v>68</v>
      </c>
      <c r="GJ79" s="245" t="s">
        <v>68</v>
      </c>
      <c r="GK79" s="1715" t="s">
        <v>0</v>
      </c>
      <c r="GL79" s="1716"/>
      <c r="GM79" s="1716"/>
      <c r="GN79" s="1716"/>
      <c r="GO79" s="1716"/>
      <c r="GP79" s="244"/>
      <c r="GQ79" s="244" t="s">
        <v>68</v>
      </c>
      <c r="GR79" s="245" t="s">
        <v>68</v>
      </c>
      <c r="GS79" s="1715" t="s">
        <v>0</v>
      </c>
      <c r="GT79" s="1716"/>
      <c r="GU79" s="1716"/>
      <c r="GV79" s="1716"/>
      <c r="GW79" s="1716"/>
      <c r="GX79" s="244"/>
      <c r="GY79" s="244" t="s">
        <v>68</v>
      </c>
      <c r="GZ79" s="245" t="s">
        <v>68</v>
      </c>
      <c r="HA79" s="1715" t="s">
        <v>0</v>
      </c>
      <c r="HB79" s="1716"/>
      <c r="HC79" s="1716"/>
      <c r="HD79" s="1716"/>
      <c r="HE79" s="1716"/>
      <c r="HF79" s="244"/>
      <c r="HG79" s="244" t="s">
        <v>68</v>
      </c>
      <c r="HH79" s="245" t="s">
        <v>68</v>
      </c>
      <c r="HI79" s="1715" t="s">
        <v>0</v>
      </c>
      <c r="HJ79" s="1716"/>
      <c r="HK79" s="1716"/>
      <c r="HL79" s="1716"/>
      <c r="HM79" s="1716"/>
      <c r="HN79" s="244"/>
      <c r="HO79" s="244" t="s">
        <v>68</v>
      </c>
      <c r="HP79" s="245" t="s">
        <v>68</v>
      </c>
      <c r="HQ79" s="1715" t="s">
        <v>0</v>
      </c>
      <c r="HR79" s="1716"/>
      <c r="HS79" s="1716"/>
      <c r="HT79" s="1716"/>
      <c r="HU79" s="1716"/>
      <c r="HV79" s="244"/>
      <c r="HW79" s="244" t="s">
        <v>68</v>
      </c>
      <c r="HX79" s="245" t="s">
        <v>68</v>
      </c>
      <c r="HY79" s="1715" t="s">
        <v>0</v>
      </c>
      <c r="HZ79" s="1716"/>
      <c r="IA79" s="1716"/>
      <c r="IB79" s="1716"/>
      <c r="IC79" s="1716"/>
      <c r="ID79" s="244"/>
      <c r="IE79" s="244" t="s">
        <v>68</v>
      </c>
      <c r="IF79" s="245" t="s">
        <v>68</v>
      </c>
      <c r="IG79" s="1715" t="s">
        <v>0</v>
      </c>
      <c r="IH79" s="1716"/>
      <c r="II79" s="1716"/>
      <c r="IJ79" s="1716"/>
      <c r="IK79" s="1716"/>
      <c r="IL79" s="244"/>
      <c r="IM79" s="244" t="s">
        <v>68</v>
      </c>
      <c r="IN79" s="245" t="s">
        <v>68</v>
      </c>
      <c r="IO79" s="1715" t="s">
        <v>0</v>
      </c>
      <c r="IP79" s="1716"/>
      <c r="IQ79" s="1716"/>
      <c r="IR79" s="1716"/>
      <c r="IS79" s="1716"/>
      <c r="IT79" s="244"/>
      <c r="IU79" s="244" t="s">
        <v>68</v>
      </c>
      <c r="IV79" s="245" t="s">
        <v>68</v>
      </c>
      <c r="IW79" s="1715" t="s">
        <v>0</v>
      </c>
      <c r="IX79" s="1716"/>
      <c r="IY79" s="1716"/>
      <c r="IZ79" s="1716"/>
      <c r="JA79" s="1716"/>
      <c r="JB79" s="244"/>
      <c r="JC79" s="244" t="s">
        <v>68</v>
      </c>
      <c r="JD79" s="245" t="s">
        <v>68</v>
      </c>
      <c r="JE79" s="1715" t="s">
        <v>0</v>
      </c>
      <c r="JF79" s="1716"/>
      <c r="JG79" s="1716"/>
      <c r="JH79" s="1716"/>
      <c r="JI79" s="1716"/>
      <c r="JJ79" s="244"/>
      <c r="JK79" s="244" t="s">
        <v>68</v>
      </c>
      <c r="JL79" s="245" t="s">
        <v>68</v>
      </c>
      <c r="JM79" s="1715" t="s">
        <v>0</v>
      </c>
      <c r="JN79" s="1716"/>
      <c r="JO79" s="1716"/>
      <c r="JP79" s="1716"/>
      <c r="JQ79" s="1716"/>
      <c r="JR79" s="244"/>
      <c r="JS79" s="244" t="s">
        <v>68</v>
      </c>
      <c r="JT79" s="245" t="s">
        <v>68</v>
      </c>
      <c r="JU79" s="1715" t="s">
        <v>0</v>
      </c>
      <c r="JV79" s="1716"/>
      <c r="JW79" s="1716"/>
      <c r="JX79" s="1716"/>
      <c r="JY79" s="1716"/>
      <c r="JZ79" s="244"/>
      <c r="KA79" s="244" t="s">
        <v>68</v>
      </c>
      <c r="KB79" s="245" t="s">
        <v>68</v>
      </c>
      <c r="KC79" s="1715" t="s">
        <v>0</v>
      </c>
      <c r="KD79" s="1716"/>
      <c r="KE79" s="1716"/>
      <c r="KF79" s="1716"/>
      <c r="KG79" s="1716"/>
      <c r="KH79" s="244"/>
      <c r="KI79" s="244" t="s">
        <v>68</v>
      </c>
      <c r="KJ79" s="245" t="s">
        <v>68</v>
      </c>
      <c r="KK79" s="1715" t="s">
        <v>0</v>
      </c>
      <c r="KL79" s="1716"/>
      <c r="KM79" s="1716"/>
      <c r="KN79" s="1716"/>
      <c r="KO79" s="1716"/>
      <c r="KP79" s="244"/>
      <c r="KQ79" s="244" t="s">
        <v>68</v>
      </c>
      <c r="KR79" s="245" t="s">
        <v>68</v>
      </c>
      <c r="KS79" s="1715" t="s">
        <v>0</v>
      </c>
      <c r="KT79" s="1716"/>
      <c r="KU79" s="1716"/>
      <c r="KV79" s="1716"/>
      <c r="KW79" s="1716"/>
      <c r="KX79" s="244"/>
      <c r="KY79" s="244" t="s">
        <v>68</v>
      </c>
      <c r="KZ79" s="245" t="s">
        <v>68</v>
      </c>
      <c r="LA79" s="1715" t="s">
        <v>0</v>
      </c>
      <c r="LB79" s="1716"/>
      <c r="LC79" s="1716"/>
      <c r="LD79" s="1716"/>
      <c r="LE79" s="1716"/>
      <c r="LF79" s="244"/>
      <c r="LG79" s="244" t="s">
        <v>68</v>
      </c>
      <c r="LH79" s="245" t="s">
        <v>68</v>
      </c>
      <c r="LI79" s="1715" t="s">
        <v>0</v>
      </c>
      <c r="LJ79" s="1716"/>
      <c r="LK79" s="1716"/>
      <c r="LL79" s="1716"/>
      <c r="LM79" s="1716"/>
      <c r="LN79" s="244"/>
      <c r="LO79" s="244" t="s">
        <v>68</v>
      </c>
      <c r="LP79" s="245" t="s">
        <v>68</v>
      </c>
      <c r="LQ79" s="1715" t="s">
        <v>0</v>
      </c>
      <c r="LR79" s="1716"/>
      <c r="LS79" s="1716"/>
      <c r="LT79" s="1716"/>
      <c r="LU79" s="1716"/>
      <c r="LV79" s="244"/>
      <c r="LW79" s="244" t="s">
        <v>68</v>
      </c>
      <c r="LX79" s="245" t="s">
        <v>68</v>
      </c>
      <c r="LY79" s="1715" t="s">
        <v>0</v>
      </c>
      <c r="LZ79" s="1716"/>
      <c r="MA79" s="1716"/>
      <c r="MB79" s="1716"/>
      <c r="MC79" s="1716"/>
      <c r="MD79" s="244"/>
      <c r="ME79" s="244" t="s">
        <v>68</v>
      </c>
      <c r="MF79" s="245" t="s">
        <v>68</v>
      </c>
      <c r="MG79" s="1715" t="s">
        <v>0</v>
      </c>
      <c r="MH79" s="1716"/>
      <c r="MI79" s="1716"/>
      <c r="MJ79" s="1716"/>
      <c r="MK79" s="1716"/>
      <c r="ML79" s="244"/>
      <c r="MM79" s="244" t="s">
        <v>68</v>
      </c>
      <c r="MN79" s="245" t="s">
        <v>68</v>
      </c>
      <c r="MO79" s="1715" t="s">
        <v>0</v>
      </c>
      <c r="MP79" s="1716"/>
      <c r="MQ79" s="1716"/>
      <c r="MR79" s="1716"/>
      <c r="MS79" s="1716"/>
      <c r="MT79" s="244"/>
      <c r="MU79" s="244" t="s">
        <v>68</v>
      </c>
      <c r="MV79" s="245" t="s">
        <v>68</v>
      </c>
      <c r="MW79" s="1715" t="s">
        <v>0</v>
      </c>
      <c r="MX79" s="1716"/>
      <c r="MY79" s="1716"/>
      <c r="MZ79" s="1716"/>
      <c r="NA79" s="1716"/>
      <c r="NB79" s="244"/>
      <c r="NC79" s="244" t="s">
        <v>68</v>
      </c>
      <c r="ND79" s="245" t="s">
        <v>68</v>
      </c>
      <c r="NE79" s="1715" t="s">
        <v>0</v>
      </c>
      <c r="NF79" s="1716"/>
      <c r="NG79" s="1716"/>
      <c r="NH79" s="1716"/>
      <c r="NI79" s="1716"/>
      <c r="NJ79" s="244"/>
      <c r="NK79" s="244" t="s">
        <v>68</v>
      </c>
      <c r="NL79" s="245" t="s">
        <v>68</v>
      </c>
      <c r="NM79" s="1715" t="s">
        <v>0</v>
      </c>
      <c r="NN79" s="1716"/>
      <c r="NO79" s="1716"/>
      <c r="NP79" s="1716"/>
      <c r="NQ79" s="1716"/>
      <c r="NR79" s="244"/>
      <c r="NS79" s="244" t="s">
        <v>68</v>
      </c>
      <c r="NT79" s="245" t="s">
        <v>68</v>
      </c>
      <c r="NU79" s="1715" t="s">
        <v>0</v>
      </c>
      <c r="NV79" s="1716"/>
      <c r="NW79" s="1716"/>
      <c r="NX79" s="1716"/>
      <c r="NY79" s="1716"/>
      <c r="NZ79" s="244"/>
      <c r="OA79" s="244" t="s">
        <v>68</v>
      </c>
      <c r="OB79" s="245" t="s">
        <v>68</v>
      </c>
      <c r="OC79" s="1715" t="s">
        <v>0</v>
      </c>
      <c r="OD79" s="1716"/>
      <c r="OE79" s="1716"/>
      <c r="OF79" s="1716"/>
      <c r="OG79" s="1716"/>
      <c r="OH79" s="244"/>
      <c r="OI79" s="244" t="s">
        <v>68</v>
      </c>
      <c r="OJ79" s="245" t="s">
        <v>68</v>
      </c>
      <c r="OK79" s="1715" t="s">
        <v>0</v>
      </c>
      <c r="OL79" s="1716"/>
      <c r="OM79" s="1716"/>
      <c r="ON79" s="1716"/>
      <c r="OO79" s="1716"/>
      <c r="OP79" s="244"/>
      <c r="OQ79" s="244" t="s">
        <v>68</v>
      </c>
      <c r="OR79" s="245" t="s">
        <v>68</v>
      </c>
      <c r="OS79" s="1715" t="s">
        <v>0</v>
      </c>
      <c r="OT79" s="1716"/>
      <c r="OU79" s="1716"/>
      <c r="OV79" s="1716"/>
      <c r="OW79" s="1716"/>
      <c r="OX79" s="244"/>
      <c r="OY79" s="244" t="s">
        <v>68</v>
      </c>
      <c r="OZ79" s="245" t="s">
        <v>68</v>
      </c>
      <c r="PA79" s="1715" t="s">
        <v>0</v>
      </c>
      <c r="PB79" s="1716"/>
      <c r="PC79" s="1716"/>
      <c r="PD79" s="1716"/>
      <c r="PE79" s="1716"/>
      <c r="PF79" s="244"/>
      <c r="PG79" s="244" t="s">
        <v>68</v>
      </c>
      <c r="PH79" s="245" t="s">
        <v>68</v>
      </c>
      <c r="PI79" s="1715" t="s">
        <v>0</v>
      </c>
      <c r="PJ79" s="1716"/>
      <c r="PK79" s="1716"/>
      <c r="PL79" s="1716"/>
      <c r="PM79" s="1716"/>
      <c r="PN79" s="244"/>
      <c r="PO79" s="244" t="s">
        <v>68</v>
      </c>
      <c r="PP79" s="245" t="s">
        <v>68</v>
      </c>
      <c r="PQ79" s="1715" t="s">
        <v>0</v>
      </c>
      <c r="PR79" s="1716"/>
      <c r="PS79" s="1716"/>
      <c r="PT79" s="1716"/>
      <c r="PU79" s="1716"/>
      <c r="PV79" s="244"/>
      <c r="PW79" s="244" t="s">
        <v>68</v>
      </c>
      <c r="PX79" s="245" t="s">
        <v>68</v>
      </c>
      <c r="PY79" s="1715" t="s">
        <v>0</v>
      </c>
      <c r="PZ79" s="1716"/>
      <c r="QA79" s="1716"/>
      <c r="QB79" s="1716"/>
      <c r="QC79" s="1716"/>
      <c r="QD79" s="244"/>
      <c r="QE79" s="244" t="s">
        <v>68</v>
      </c>
      <c r="QF79" s="245" t="s">
        <v>68</v>
      </c>
      <c r="QG79" s="1715" t="s">
        <v>0</v>
      </c>
      <c r="QH79" s="1716"/>
      <c r="QI79" s="1716"/>
      <c r="QJ79" s="1716"/>
      <c r="QK79" s="1716"/>
      <c r="QL79" s="244"/>
      <c r="QM79" s="244" t="s">
        <v>68</v>
      </c>
      <c r="QN79" s="245" t="s">
        <v>68</v>
      </c>
      <c r="QO79" s="1715" t="s">
        <v>0</v>
      </c>
      <c r="QP79" s="1716"/>
      <c r="QQ79" s="1716"/>
      <c r="QR79" s="1716"/>
      <c r="QS79" s="1716"/>
      <c r="QT79" s="244"/>
      <c r="QU79" s="244" t="s">
        <v>68</v>
      </c>
      <c r="QV79" s="245" t="s">
        <v>68</v>
      </c>
      <c r="QW79" s="1715" t="s">
        <v>0</v>
      </c>
      <c r="QX79" s="1716"/>
      <c r="QY79" s="1716"/>
      <c r="QZ79" s="1716"/>
      <c r="RA79" s="1716"/>
      <c r="RB79" s="244"/>
      <c r="RC79" s="244" t="s">
        <v>68</v>
      </c>
      <c r="RD79" s="245" t="s">
        <v>68</v>
      </c>
      <c r="RE79" s="1715" t="s">
        <v>0</v>
      </c>
      <c r="RF79" s="1716"/>
      <c r="RG79" s="1716"/>
      <c r="RH79" s="1716"/>
      <c r="RI79" s="1716"/>
      <c r="RJ79" s="244"/>
      <c r="RK79" s="244" t="s">
        <v>68</v>
      </c>
      <c r="RL79" s="245" t="s">
        <v>68</v>
      </c>
      <c r="RM79" s="1715" t="s">
        <v>0</v>
      </c>
      <c r="RN79" s="1716"/>
      <c r="RO79" s="1716"/>
      <c r="RP79" s="1716"/>
      <c r="RQ79" s="1716"/>
      <c r="RR79" s="244"/>
      <c r="RS79" s="244" t="s">
        <v>68</v>
      </c>
      <c r="RT79" s="245" t="s">
        <v>68</v>
      </c>
      <c r="RU79" s="1715" t="s">
        <v>0</v>
      </c>
      <c r="RV79" s="1716"/>
      <c r="RW79" s="1716"/>
      <c r="RX79" s="1716"/>
      <c r="RY79" s="1716"/>
      <c r="RZ79" s="244"/>
      <c r="SA79" s="244" t="s">
        <v>68</v>
      </c>
      <c r="SB79" s="245" t="s">
        <v>68</v>
      </c>
      <c r="SC79" s="1715" t="s">
        <v>0</v>
      </c>
      <c r="SD79" s="1716"/>
      <c r="SE79" s="1716"/>
      <c r="SF79" s="1716"/>
      <c r="SG79" s="1716"/>
      <c r="SH79" s="244"/>
      <c r="SI79" s="244" t="s">
        <v>68</v>
      </c>
      <c r="SJ79" s="245" t="s">
        <v>68</v>
      </c>
      <c r="SK79" s="1715" t="s">
        <v>0</v>
      </c>
      <c r="SL79" s="1716"/>
      <c r="SM79" s="1716"/>
      <c r="SN79" s="1716"/>
      <c r="SO79" s="1716"/>
      <c r="SP79" s="244"/>
      <c r="SQ79" s="244" t="s">
        <v>68</v>
      </c>
      <c r="SR79" s="245" t="s">
        <v>68</v>
      </c>
      <c r="SS79" s="1715" t="s">
        <v>0</v>
      </c>
      <c r="ST79" s="1716"/>
      <c r="SU79" s="1716"/>
      <c r="SV79" s="1716"/>
      <c r="SW79" s="1716"/>
      <c r="SX79" s="244"/>
      <c r="SY79" s="244" t="s">
        <v>68</v>
      </c>
      <c r="SZ79" s="245" t="s">
        <v>68</v>
      </c>
      <c r="TA79" s="1715" t="s">
        <v>0</v>
      </c>
      <c r="TB79" s="1716"/>
      <c r="TC79" s="1716"/>
      <c r="TD79" s="1716"/>
      <c r="TE79" s="1716"/>
      <c r="TF79" s="244"/>
      <c r="TG79" s="244" t="s">
        <v>68</v>
      </c>
      <c r="TH79" s="245" t="s">
        <v>68</v>
      </c>
      <c r="TI79" s="1715" t="s">
        <v>0</v>
      </c>
      <c r="TJ79" s="1716"/>
      <c r="TK79" s="1716"/>
      <c r="TL79" s="1716"/>
      <c r="TM79" s="1716"/>
      <c r="TN79" s="244"/>
      <c r="TO79" s="244" t="s">
        <v>68</v>
      </c>
      <c r="TP79" s="245" t="s">
        <v>68</v>
      </c>
      <c r="TQ79" s="1715" t="s">
        <v>0</v>
      </c>
      <c r="TR79" s="1716"/>
      <c r="TS79" s="1716"/>
      <c r="TT79" s="1716"/>
      <c r="TU79" s="1716"/>
      <c r="TV79" s="244"/>
      <c r="TW79" s="244" t="s">
        <v>68</v>
      </c>
      <c r="TX79" s="245" t="s">
        <v>68</v>
      </c>
      <c r="TY79" s="1715" t="s">
        <v>0</v>
      </c>
      <c r="TZ79" s="1716"/>
      <c r="UA79" s="1716"/>
      <c r="UB79" s="1716"/>
      <c r="UC79" s="1716"/>
      <c r="UD79" s="244"/>
      <c r="UE79" s="244" t="s">
        <v>68</v>
      </c>
      <c r="UF79" s="245" t="s">
        <v>68</v>
      </c>
      <c r="UG79" s="1715" t="s">
        <v>0</v>
      </c>
      <c r="UH79" s="1716"/>
      <c r="UI79" s="1716"/>
      <c r="UJ79" s="1716"/>
      <c r="UK79" s="1716"/>
      <c r="UL79" s="244"/>
      <c r="UM79" s="244" t="s">
        <v>68</v>
      </c>
      <c r="UN79" s="245" t="s">
        <v>68</v>
      </c>
      <c r="UO79" s="1715" t="s">
        <v>0</v>
      </c>
      <c r="UP79" s="1716"/>
      <c r="UQ79" s="1716"/>
      <c r="UR79" s="1716"/>
      <c r="US79" s="1716"/>
      <c r="UT79" s="244"/>
      <c r="UU79" s="244" t="s">
        <v>68</v>
      </c>
      <c r="UV79" s="245" t="s">
        <v>68</v>
      </c>
      <c r="UW79" s="1715" t="s">
        <v>0</v>
      </c>
      <c r="UX79" s="1716"/>
      <c r="UY79" s="1716"/>
      <c r="UZ79" s="1716"/>
      <c r="VA79" s="1716"/>
      <c r="VB79" s="244"/>
      <c r="VC79" s="244" t="s">
        <v>68</v>
      </c>
      <c r="VD79" s="245" t="s">
        <v>68</v>
      </c>
      <c r="VE79" s="1715" t="s">
        <v>0</v>
      </c>
      <c r="VF79" s="1716"/>
      <c r="VG79" s="1716"/>
      <c r="VH79" s="1716"/>
      <c r="VI79" s="1716"/>
      <c r="VJ79" s="244"/>
      <c r="VK79" s="244" t="s">
        <v>68</v>
      </c>
      <c r="VL79" s="245" t="s">
        <v>68</v>
      </c>
      <c r="VM79" s="1715" t="s">
        <v>0</v>
      </c>
      <c r="VN79" s="1716"/>
      <c r="VO79" s="1716"/>
      <c r="VP79" s="1716"/>
      <c r="VQ79" s="1716"/>
      <c r="VR79" s="244"/>
      <c r="VS79" s="244" t="s">
        <v>68</v>
      </c>
      <c r="VT79" s="245" t="s">
        <v>68</v>
      </c>
      <c r="VU79" s="1715" t="s">
        <v>0</v>
      </c>
      <c r="VV79" s="1716"/>
      <c r="VW79" s="1716"/>
      <c r="VX79" s="1716"/>
      <c r="VY79" s="1716"/>
      <c r="VZ79" s="244"/>
      <c r="WA79" s="244" t="s">
        <v>68</v>
      </c>
      <c r="WB79" s="245" t="s">
        <v>68</v>
      </c>
      <c r="WC79" s="1715" t="s">
        <v>0</v>
      </c>
      <c r="WD79" s="1716"/>
      <c r="WE79" s="1716"/>
      <c r="WF79" s="1716"/>
      <c r="WG79" s="1716"/>
      <c r="WH79" s="244"/>
      <c r="WI79" s="244" t="s">
        <v>68</v>
      </c>
      <c r="WJ79" s="245" t="s">
        <v>68</v>
      </c>
      <c r="WK79" s="1715" t="s">
        <v>0</v>
      </c>
      <c r="WL79" s="1716"/>
      <c r="WM79" s="1716"/>
      <c r="WN79" s="1716"/>
      <c r="WO79" s="1716"/>
      <c r="WP79" s="244"/>
      <c r="WQ79" s="244" t="s">
        <v>68</v>
      </c>
      <c r="WR79" s="245" t="s">
        <v>68</v>
      </c>
      <c r="WS79" s="1715" t="s">
        <v>0</v>
      </c>
      <c r="WT79" s="1716"/>
      <c r="WU79" s="1716"/>
      <c r="WV79" s="1716"/>
      <c r="WW79" s="1716"/>
      <c r="WX79" s="244"/>
      <c r="WY79" s="244" t="s">
        <v>68</v>
      </c>
      <c r="WZ79" s="245" t="s">
        <v>68</v>
      </c>
      <c r="XA79" s="1715" t="s">
        <v>0</v>
      </c>
      <c r="XB79" s="1716"/>
      <c r="XC79" s="1716"/>
      <c r="XD79" s="1716"/>
      <c r="XE79" s="1716"/>
      <c r="XF79" s="244"/>
      <c r="XG79" s="244" t="s">
        <v>68</v>
      </c>
      <c r="XH79" s="245" t="s">
        <v>68</v>
      </c>
      <c r="XI79" s="1715" t="s">
        <v>0</v>
      </c>
      <c r="XJ79" s="1716"/>
      <c r="XK79" s="1716"/>
      <c r="XL79" s="1716"/>
      <c r="XM79" s="1716"/>
      <c r="XN79" s="244"/>
      <c r="XO79" s="244" t="s">
        <v>68</v>
      </c>
      <c r="XP79" s="245" t="s">
        <v>68</v>
      </c>
      <c r="XQ79" s="1715" t="s">
        <v>0</v>
      </c>
      <c r="XR79" s="1716"/>
      <c r="XS79" s="1716"/>
      <c r="XT79" s="1716"/>
      <c r="XU79" s="1716"/>
      <c r="XV79" s="244"/>
      <c r="XW79" s="244" t="s">
        <v>68</v>
      </c>
      <c r="XX79" s="245" t="s">
        <v>68</v>
      </c>
      <c r="XY79" s="1715" t="s">
        <v>0</v>
      </c>
      <c r="XZ79" s="1716"/>
      <c r="YA79" s="1716"/>
      <c r="YB79" s="1716"/>
      <c r="YC79" s="1716"/>
      <c r="YD79" s="244"/>
      <c r="YE79" s="244" t="s">
        <v>68</v>
      </c>
      <c r="YF79" s="245" t="s">
        <v>68</v>
      </c>
      <c r="YG79" s="1715" t="s">
        <v>0</v>
      </c>
      <c r="YH79" s="1716"/>
      <c r="YI79" s="1716"/>
      <c r="YJ79" s="1716"/>
      <c r="YK79" s="1716"/>
      <c r="YL79" s="244"/>
      <c r="YM79" s="244" t="s">
        <v>68</v>
      </c>
      <c r="YN79" s="245" t="s">
        <v>68</v>
      </c>
      <c r="YO79" s="1715" t="s">
        <v>0</v>
      </c>
      <c r="YP79" s="1716"/>
      <c r="YQ79" s="1716"/>
      <c r="YR79" s="1716"/>
      <c r="YS79" s="1716"/>
      <c r="YT79" s="244"/>
      <c r="YU79" s="244" t="s">
        <v>68</v>
      </c>
      <c r="YV79" s="245" t="s">
        <v>68</v>
      </c>
      <c r="YW79" s="1715" t="s">
        <v>0</v>
      </c>
      <c r="YX79" s="1716"/>
      <c r="YY79" s="1716"/>
      <c r="YZ79" s="1716"/>
      <c r="ZA79" s="1716"/>
      <c r="ZB79" s="244"/>
      <c r="ZC79" s="244" t="s">
        <v>68</v>
      </c>
      <c r="ZD79" s="245" t="s">
        <v>68</v>
      </c>
      <c r="ZE79" s="1715" t="s">
        <v>0</v>
      </c>
      <c r="ZF79" s="1716"/>
      <c r="ZG79" s="1716"/>
      <c r="ZH79" s="1716"/>
      <c r="ZI79" s="1716"/>
      <c r="ZJ79" s="244"/>
      <c r="ZK79" s="244" t="s">
        <v>68</v>
      </c>
      <c r="ZL79" s="245" t="s">
        <v>68</v>
      </c>
      <c r="ZM79" s="1715" t="s">
        <v>0</v>
      </c>
      <c r="ZN79" s="1716"/>
      <c r="ZO79" s="1716"/>
      <c r="ZP79" s="1716"/>
      <c r="ZQ79" s="1716"/>
      <c r="ZR79" s="244"/>
      <c r="ZS79" s="244" t="s">
        <v>68</v>
      </c>
      <c r="ZT79" s="245" t="s">
        <v>68</v>
      </c>
      <c r="ZU79" s="1715" t="s">
        <v>0</v>
      </c>
      <c r="ZV79" s="1716"/>
      <c r="ZW79" s="1716"/>
      <c r="ZX79" s="1716"/>
      <c r="ZY79" s="1716"/>
      <c r="ZZ79" s="244"/>
      <c r="AAA79" s="244" t="s">
        <v>68</v>
      </c>
      <c r="AAB79" s="245" t="s">
        <v>68</v>
      </c>
      <c r="AAC79" s="1715" t="s">
        <v>0</v>
      </c>
      <c r="AAD79" s="1716"/>
      <c r="AAE79" s="1716"/>
      <c r="AAF79" s="1716"/>
      <c r="AAG79" s="1716"/>
      <c r="AAH79" s="244"/>
      <c r="AAI79" s="244" t="s">
        <v>68</v>
      </c>
      <c r="AAJ79" s="245" t="s">
        <v>68</v>
      </c>
      <c r="AAK79" s="1715" t="s">
        <v>0</v>
      </c>
      <c r="AAL79" s="1716"/>
      <c r="AAM79" s="1716"/>
      <c r="AAN79" s="1716"/>
      <c r="AAO79" s="1716"/>
      <c r="AAP79" s="244"/>
      <c r="AAQ79" s="244" t="s">
        <v>68</v>
      </c>
      <c r="AAR79" s="245" t="s">
        <v>68</v>
      </c>
      <c r="AAS79" s="1715" t="s">
        <v>0</v>
      </c>
      <c r="AAT79" s="1716"/>
      <c r="AAU79" s="1716"/>
      <c r="AAV79" s="1716"/>
      <c r="AAW79" s="1716"/>
      <c r="AAX79" s="244"/>
      <c r="AAY79" s="244" t="s">
        <v>68</v>
      </c>
      <c r="AAZ79" s="245" t="s">
        <v>68</v>
      </c>
      <c r="ABA79" s="1715" t="s">
        <v>0</v>
      </c>
      <c r="ABB79" s="1716"/>
      <c r="ABC79" s="1716"/>
      <c r="ABD79" s="1716"/>
      <c r="ABE79" s="1716"/>
      <c r="ABF79" s="244"/>
      <c r="ABG79" s="244" t="s">
        <v>68</v>
      </c>
      <c r="ABH79" s="245" t="s">
        <v>68</v>
      </c>
      <c r="ABI79" s="1715" t="s">
        <v>0</v>
      </c>
      <c r="ABJ79" s="1716"/>
      <c r="ABK79" s="1716"/>
      <c r="ABL79" s="1716"/>
      <c r="ABM79" s="1716"/>
      <c r="ABN79" s="244"/>
      <c r="ABO79" s="244" t="s">
        <v>68</v>
      </c>
      <c r="ABP79" s="245" t="s">
        <v>68</v>
      </c>
      <c r="ABQ79" s="1715" t="s">
        <v>0</v>
      </c>
      <c r="ABR79" s="1716"/>
      <c r="ABS79" s="1716"/>
      <c r="ABT79" s="1716"/>
      <c r="ABU79" s="1716"/>
      <c r="ABV79" s="244"/>
      <c r="ABW79" s="244" t="s">
        <v>68</v>
      </c>
      <c r="ABX79" s="245" t="s">
        <v>68</v>
      </c>
      <c r="ABY79" s="1715" t="s">
        <v>0</v>
      </c>
      <c r="ABZ79" s="1716"/>
      <c r="ACA79" s="1716"/>
      <c r="ACB79" s="1716"/>
      <c r="ACC79" s="1716"/>
      <c r="ACD79" s="244"/>
      <c r="ACE79" s="244" t="s">
        <v>68</v>
      </c>
      <c r="ACF79" s="245" t="s">
        <v>68</v>
      </c>
      <c r="ACG79" s="1715" t="s">
        <v>0</v>
      </c>
      <c r="ACH79" s="1716"/>
      <c r="ACI79" s="1716"/>
      <c r="ACJ79" s="1716"/>
      <c r="ACK79" s="1716"/>
      <c r="ACL79" s="244"/>
      <c r="ACM79" s="244" t="s">
        <v>68</v>
      </c>
      <c r="ACN79" s="245" t="s">
        <v>68</v>
      </c>
      <c r="ACO79" s="1715" t="s">
        <v>0</v>
      </c>
      <c r="ACP79" s="1716"/>
      <c r="ACQ79" s="1716"/>
      <c r="ACR79" s="1716"/>
      <c r="ACS79" s="1716"/>
      <c r="ACT79" s="244"/>
      <c r="ACU79" s="244" t="s">
        <v>68</v>
      </c>
      <c r="ACV79" s="245" t="s">
        <v>68</v>
      </c>
      <c r="ACW79" s="1715" t="s">
        <v>0</v>
      </c>
      <c r="ACX79" s="1716"/>
      <c r="ACY79" s="1716"/>
      <c r="ACZ79" s="1716"/>
      <c r="ADA79" s="1716"/>
      <c r="ADB79" s="244"/>
      <c r="ADC79" s="244" t="s">
        <v>68</v>
      </c>
      <c r="ADD79" s="245" t="s">
        <v>68</v>
      </c>
      <c r="ADE79" s="1715" t="s">
        <v>0</v>
      </c>
      <c r="ADF79" s="1716"/>
      <c r="ADG79" s="1716"/>
      <c r="ADH79" s="1716"/>
      <c r="ADI79" s="1716"/>
      <c r="ADJ79" s="244"/>
      <c r="ADK79" s="244" t="s">
        <v>68</v>
      </c>
      <c r="ADL79" s="245" t="s">
        <v>68</v>
      </c>
      <c r="ADM79" s="1715" t="s">
        <v>0</v>
      </c>
      <c r="ADN79" s="1716"/>
      <c r="ADO79" s="1716"/>
      <c r="ADP79" s="1716"/>
      <c r="ADQ79" s="1716"/>
      <c r="ADR79" s="244"/>
      <c r="ADS79" s="244" t="s">
        <v>68</v>
      </c>
      <c r="ADT79" s="245" t="s">
        <v>68</v>
      </c>
      <c r="ADU79" s="1715" t="s">
        <v>0</v>
      </c>
      <c r="ADV79" s="1716"/>
      <c r="ADW79" s="1716"/>
      <c r="ADX79" s="1716"/>
      <c r="ADY79" s="1716"/>
      <c r="ADZ79" s="244"/>
      <c r="AEA79" s="244" t="s">
        <v>68</v>
      </c>
      <c r="AEB79" s="245" t="s">
        <v>68</v>
      </c>
      <c r="AEC79" s="1715" t="s">
        <v>0</v>
      </c>
      <c r="AED79" s="1716"/>
      <c r="AEE79" s="1716"/>
      <c r="AEF79" s="1716"/>
      <c r="AEG79" s="1716"/>
      <c r="AEH79" s="244"/>
      <c r="AEI79" s="244" t="s">
        <v>68</v>
      </c>
      <c r="AEJ79" s="245" t="s">
        <v>68</v>
      </c>
      <c r="AEK79" s="1715" t="s">
        <v>0</v>
      </c>
      <c r="AEL79" s="1716"/>
      <c r="AEM79" s="1716"/>
      <c r="AEN79" s="1716"/>
      <c r="AEO79" s="1716"/>
      <c r="AEP79" s="244"/>
      <c r="AEQ79" s="244" t="s">
        <v>68</v>
      </c>
      <c r="AER79" s="245" t="s">
        <v>68</v>
      </c>
      <c r="AES79" s="1715" t="s">
        <v>0</v>
      </c>
      <c r="AET79" s="1716"/>
      <c r="AEU79" s="1716"/>
      <c r="AEV79" s="1716"/>
      <c r="AEW79" s="1716"/>
      <c r="AEX79" s="244"/>
      <c r="AEY79" s="244" t="s">
        <v>68</v>
      </c>
      <c r="AEZ79" s="245" t="s">
        <v>68</v>
      </c>
      <c r="AFA79" s="1715" t="s">
        <v>0</v>
      </c>
      <c r="AFB79" s="1716"/>
      <c r="AFC79" s="1716"/>
      <c r="AFD79" s="1716"/>
      <c r="AFE79" s="1716"/>
      <c r="AFF79" s="244"/>
      <c r="AFG79" s="244" t="s">
        <v>68</v>
      </c>
      <c r="AFH79" s="245" t="s">
        <v>68</v>
      </c>
      <c r="AFI79" s="1715" t="s">
        <v>0</v>
      </c>
      <c r="AFJ79" s="1716"/>
      <c r="AFK79" s="1716"/>
      <c r="AFL79" s="1716"/>
      <c r="AFM79" s="1716"/>
      <c r="AFN79" s="244"/>
      <c r="AFO79" s="244" t="s">
        <v>68</v>
      </c>
      <c r="AFP79" s="245" t="s">
        <v>68</v>
      </c>
      <c r="AFQ79" s="1715" t="s">
        <v>0</v>
      </c>
      <c r="AFR79" s="1716"/>
      <c r="AFS79" s="1716"/>
      <c r="AFT79" s="1716"/>
      <c r="AFU79" s="1716"/>
      <c r="AFV79" s="244"/>
      <c r="AFW79" s="244" t="s">
        <v>68</v>
      </c>
      <c r="AFX79" s="245" t="s">
        <v>68</v>
      </c>
      <c r="AFY79" s="1715" t="s">
        <v>0</v>
      </c>
      <c r="AFZ79" s="1716"/>
      <c r="AGA79" s="1716"/>
      <c r="AGB79" s="1716"/>
      <c r="AGC79" s="1716"/>
      <c r="AGD79" s="244"/>
      <c r="AGE79" s="244" t="s">
        <v>68</v>
      </c>
      <c r="AGF79" s="245" t="s">
        <v>68</v>
      </c>
      <c r="AGG79" s="1715" t="s">
        <v>0</v>
      </c>
      <c r="AGH79" s="1716"/>
      <c r="AGI79" s="1716"/>
      <c r="AGJ79" s="1716"/>
      <c r="AGK79" s="1716"/>
      <c r="AGL79" s="244"/>
      <c r="AGM79" s="244" t="s">
        <v>68</v>
      </c>
      <c r="AGN79" s="245" t="s">
        <v>68</v>
      </c>
      <c r="AGO79" s="1715" t="s">
        <v>0</v>
      </c>
      <c r="AGP79" s="1716"/>
      <c r="AGQ79" s="1716"/>
      <c r="AGR79" s="1716"/>
      <c r="AGS79" s="1716"/>
      <c r="AGT79" s="244"/>
      <c r="AGU79" s="244" t="s">
        <v>68</v>
      </c>
      <c r="AGV79" s="245" t="s">
        <v>68</v>
      </c>
      <c r="AGW79" s="1715" t="s">
        <v>0</v>
      </c>
      <c r="AGX79" s="1716"/>
      <c r="AGY79" s="1716"/>
      <c r="AGZ79" s="1716"/>
      <c r="AHA79" s="1716"/>
      <c r="AHB79" s="244"/>
      <c r="AHC79" s="244" t="s">
        <v>68</v>
      </c>
      <c r="AHD79" s="245" t="s">
        <v>68</v>
      </c>
      <c r="AHE79" s="1715" t="s">
        <v>0</v>
      </c>
      <c r="AHF79" s="1716"/>
      <c r="AHG79" s="1716"/>
      <c r="AHH79" s="1716"/>
      <c r="AHI79" s="1716"/>
      <c r="AHJ79" s="244"/>
      <c r="AHK79" s="244" t="s">
        <v>68</v>
      </c>
      <c r="AHL79" s="245" t="s">
        <v>68</v>
      </c>
      <c r="AHM79" s="1715" t="s">
        <v>0</v>
      </c>
      <c r="AHN79" s="1716"/>
      <c r="AHO79" s="1716"/>
      <c r="AHP79" s="1716"/>
      <c r="AHQ79" s="1716"/>
      <c r="AHR79" s="244"/>
      <c r="AHS79" s="244" t="s">
        <v>68</v>
      </c>
      <c r="AHT79" s="245" t="s">
        <v>68</v>
      </c>
      <c r="AHU79" s="1715" t="s">
        <v>0</v>
      </c>
      <c r="AHV79" s="1716"/>
      <c r="AHW79" s="1716"/>
      <c r="AHX79" s="1716"/>
      <c r="AHY79" s="1716"/>
      <c r="AHZ79" s="244"/>
      <c r="AIA79" s="244" t="s">
        <v>68</v>
      </c>
      <c r="AIB79" s="245" t="s">
        <v>68</v>
      </c>
      <c r="AIC79" s="1715" t="s">
        <v>0</v>
      </c>
      <c r="AID79" s="1716"/>
      <c r="AIE79" s="1716"/>
      <c r="AIF79" s="1716"/>
      <c r="AIG79" s="1716"/>
      <c r="AIH79" s="244"/>
      <c r="AII79" s="244" t="s">
        <v>68</v>
      </c>
      <c r="AIJ79" s="245" t="s">
        <v>68</v>
      </c>
      <c r="AIK79" s="1715" t="s">
        <v>0</v>
      </c>
      <c r="AIL79" s="1716"/>
      <c r="AIM79" s="1716"/>
      <c r="AIN79" s="1716"/>
      <c r="AIO79" s="1716"/>
      <c r="AIP79" s="244"/>
      <c r="AIQ79" s="244" t="s">
        <v>68</v>
      </c>
      <c r="AIR79" s="245" t="s">
        <v>68</v>
      </c>
      <c r="AIS79" s="1715" t="s">
        <v>0</v>
      </c>
      <c r="AIT79" s="1716"/>
      <c r="AIU79" s="1716"/>
      <c r="AIV79" s="1716"/>
      <c r="AIW79" s="1716"/>
      <c r="AIX79" s="244"/>
      <c r="AIY79" s="244" t="s">
        <v>68</v>
      </c>
      <c r="AIZ79" s="245" t="s">
        <v>68</v>
      </c>
      <c r="AJA79" s="1715" t="s">
        <v>0</v>
      </c>
      <c r="AJB79" s="1716"/>
      <c r="AJC79" s="1716"/>
      <c r="AJD79" s="1716"/>
      <c r="AJE79" s="1716"/>
      <c r="AJF79" s="244"/>
      <c r="AJG79" s="244" t="s">
        <v>68</v>
      </c>
      <c r="AJH79" s="245" t="s">
        <v>68</v>
      </c>
      <c r="AJI79" s="1715" t="s">
        <v>0</v>
      </c>
      <c r="AJJ79" s="1716"/>
      <c r="AJK79" s="1716"/>
      <c r="AJL79" s="1716"/>
      <c r="AJM79" s="1716"/>
      <c r="AJN79" s="244"/>
      <c r="AJO79" s="244" t="s">
        <v>68</v>
      </c>
      <c r="AJP79" s="245" t="s">
        <v>68</v>
      </c>
      <c r="AJQ79" s="1715" t="s">
        <v>0</v>
      </c>
      <c r="AJR79" s="1716"/>
      <c r="AJS79" s="1716"/>
      <c r="AJT79" s="1716"/>
      <c r="AJU79" s="1716"/>
      <c r="AJV79" s="244"/>
      <c r="AJW79" s="244" t="s">
        <v>68</v>
      </c>
      <c r="AJX79" s="245" t="s">
        <v>68</v>
      </c>
      <c r="AJY79" s="1715" t="s">
        <v>0</v>
      </c>
      <c r="AJZ79" s="1716"/>
      <c r="AKA79" s="1716"/>
      <c r="AKB79" s="1716"/>
      <c r="AKC79" s="1716"/>
      <c r="AKD79" s="244"/>
      <c r="AKE79" s="244" t="s">
        <v>68</v>
      </c>
      <c r="AKF79" s="245" t="s">
        <v>68</v>
      </c>
      <c r="AKG79" s="1715" t="s">
        <v>0</v>
      </c>
      <c r="AKH79" s="1716"/>
      <c r="AKI79" s="1716"/>
      <c r="AKJ79" s="1716"/>
      <c r="AKK79" s="1716"/>
      <c r="AKL79" s="244"/>
      <c r="AKM79" s="244" t="s">
        <v>68</v>
      </c>
      <c r="AKN79" s="245" t="s">
        <v>68</v>
      </c>
      <c r="AKO79" s="1715" t="s">
        <v>0</v>
      </c>
      <c r="AKP79" s="1716"/>
      <c r="AKQ79" s="1716"/>
      <c r="AKR79" s="1716"/>
      <c r="AKS79" s="1716"/>
      <c r="AKT79" s="244"/>
      <c r="AKU79" s="244" t="s">
        <v>68</v>
      </c>
      <c r="AKV79" s="245" t="s">
        <v>68</v>
      </c>
      <c r="AKW79" s="1715" t="s">
        <v>0</v>
      </c>
      <c r="AKX79" s="1716"/>
      <c r="AKY79" s="1716"/>
      <c r="AKZ79" s="1716"/>
      <c r="ALA79" s="1716"/>
      <c r="ALB79" s="244"/>
      <c r="ALC79" s="244" t="s">
        <v>68</v>
      </c>
      <c r="ALD79" s="245" t="s">
        <v>68</v>
      </c>
      <c r="ALE79" s="1715" t="s">
        <v>0</v>
      </c>
      <c r="ALF79" s="1716"/>
      <c r="ALG79" s="1716"/>
      <c r="ALH79" s="1716"/>
      <c r="ALI79" s="1716"/>
      <c r="ALJ79" s="244"/>
      <c r="ALK79" s="244" t="s">
        <v>68</v>
      </c>
      <c r="ALL79" s="245" t="s">
        <v>68</v>
      </c>
      <c r="ALM79" s="1715" t="s">
        <v>0</v>
      </c>
      <c r="ALN79" s="1716"/>
      <c r="ALO79" s="1716"/>
      <c r="ALP79" s="1716"/>
      <c r="ALQ79" s="1716"/>
      <c r="ALR79" s="244"/>
      <c r="ALS79" s="244" t="s">
        <v>68</v>
      </c>
      <c r="ALT79" s="245" t="s">
        <v>68</v>
      </c>
      <c r="ALU79" s="1715" t="s">
        <v>0</v>
      </c>
      <c r="ALV79" s="1716"/>
      <c r="ALW79" s="1716"/>
      <c r="ALX79" s="1716"/>
      <c r="ALY79" s="1716"/>
      <c r="ALZ79" s="244"/>
      <c r="AMA79" s="244" t="s">
        <v>68</v>
      </c>
      <c r="AMB79" s="245" t="s">
        <v>68</v>
      </c>
      <c r="AMC79" s="1715" t="s">
        <v>0</v>
      </c>
      <c r="AMD79" s="1716"/>
      <c r="AME79" s="1716"/>
      <c r="AMF79" s="1716"/>
      <c r="AMG79" s="1716"/>
      <c r="AMH79" s="244"/>
      <c r="AMI79" s="244" t="s">
        <v>68</v>
      </c>
      <c r="AMJ79" s="245" t="s">
        <v>68</v>
      </c>
      <c r="AMK79" s="1715" t="s">
        <v>0</v>
      </c>
      <c r="AML79" s="1716"/>
      <c r="AMM79" s="1716"/>
      <c r="AMN79" s="1716"/>
      <c r="AMO79" s="1716"/>
      <c r="AMP79" s="244"/>
      <c r="AMQ79" s="244" t="s">
        <v>68</v>
      </c>
      <c r="AMR79" s="245" t="s">
        <v>68</v>
      </c>
      <c r="AMS79" s="1715" t="s">
        <v>0</v>
      </c>
      <c r="AMT79" s="1716"/>
      <c r="AMU79" s="1716"/>
      <c r="AMV79" s="1716"/>
      <c r="AMW79" s="1716"/>
      <c r="AMX79" s="244"/>
      <c r="AMY79" s="244" t="s">
        <v>68</v>
      </c>
      <c r="AMZ79" s="245" t="s">
        <v>68</v>
      </c>
      <c r="ANA79" s="1715" t="s">
        <v>0</v>
      </c>
      <c r="ANB79" s="1716"/>
      <c r="ANC79" s="1716"/>
      <c r="AND79" s="1716"/>
      <c r="ANE79" s="1716"/>
      <c r="ANF79" s="244"/>
      <c r="ANG79" s="244" t="s">
        <v>68</v>
      </c>
      <c r="ANH79" s="245" t="s">
        <v>68</v>
      </c>
      <c r="ANI79" s="1715" t="s">
        <v>0</v>
      </c>
      <c r="ANJ79" s="1716"/>
      <c r="ANK79" s="1716"/>
      <c r="ANL79" s="1716"/>
      <c r="ANM79" s="1716"/>
      <c r="ANN79" s="244"/>
      <c r="ANO79" s="244" t="s">
        <v>68</v>
      </c>
      <c r="ANP79" s="245" t="s">
        <v>68</v>
      </c>
      <c r="ANQ79" s="1715" t="s">
        <v>0</v>
      </c>
      <c r="ANR79" s="1716"/>
      <c r="ANS79" s="1716"/>
      <c r="ANT79" s="1716"/>
      <c r="ANU79" s="1716"/>
      <c r="ANV79" s="244"/>
      <c r="ANW79" s="244" t="s">
        <v>68</v>
      </c>
      <c r="ANX79" s="245" t="s">
        <v>68</v>
      </c>
      <c r="ANY79" s="1715" t="s">
        <v>0</v>
      </c>
      <c r="ANZ79" s="1716"/>
      <c r="AOA79" s="1716"/>
      <c r="AOB79" s="1716"/>
      <c r="AOC79" s="1716"/>
      <c r="AOD79" s="244"/>
      <c r="AOE79" s="244" t="s">
        <v>68</v>
      </c>
      <c r="AOF79" s="245" t="s">
        <v>68</v>
      </c>
      <c r="AOG79" s="1715" t="s">
        <v>0</v>
      </c>
      <c r="AOH79" s="1716"/>
      <c r="AOI79" s="1716"/>
      <c r="AOJ79" s="1716"/>
      <c r="AOK79" s="1716"/>
      <c r="AOL79" s="244"/>
      <c r="AOM79" s="244" t="s">
        <v>68</v>
      </c>
      <c r="AON79" s="245" t="s">
        <v>68</v>
      </c>
      <c r="AOO79" s="1715" t="s">
        <v>0</v>
      </c>
      <c r="AOP79" s="1716"/>
      <c r="AOQ79" s="1716"/>
      <c r="AOR79" s="1716"/>
      <c r="AOS79" s="1716"/>
      <c r="AOT79" s="244"/>
      <c r="AOU79" s="244" t="s">
        <v>68</v>
      </c>
      <c r="AOV79" s="245" t="s">
        <v>68</v>
      </c>
      <c r="AOW79" s="1715" t="s">
        <v>0</v>
      </c>
      <c r="AOX79" s="1716"/>
      <c r="AOY79" s="1716"/>
      <c r="AOZ79" s="1716"/>
      <c r="APA79" s="1716"/>
      <c r="APB79" s="244"/>
      <c r="APC79" s="244" t="s">
        <v>68</v>
      </c>
      <c r="APD79" s="245" t="s">
        <v>68</v>
      </c>
      <c r="APE79" s="1715" t="s">
        <v>0</v>
      </c>
      <c r="APF79" s="1716"/>
      <c r="APG79" s="1716"/>
      <c r="APH79" s="1716"/>
      <c r="API79" s="1716"/>
      <c r="APJ79" s="244"/>
      <c r="APK79" s="244" t="s">
        <v>68</v>
      </c>
      <c r="APL79" s="245" t="s">
        <v>68</v>
      </c>
      <c r="APM79" s="1715" t="s">
        <v>0</v>
      </c>
      <c r="APN79" s="1716"/>
      <c r="APO79" s="1716"/>
      <c r="APP79" s="1716"/>
      <c r="APQ79" s="1716"/>
      <c r="APR79" s="244"/>
      <c r="APS79" s="244" t="s">
        <v>68</v>
      </c>
      <c r="APT79" s="245" t="s">
        <v>68</v>
      </c>
      <c r="APU79" s="1715" t="s">
        <v>0</v>
      </c>
      <c r="APV79" s="1716"/>
      <c r="APW79" s="1716"/>
      <c r="APX79" s="1716"/>
      <c r="APY79" s="1716"/>
      <c r="APZ79" s="244"/>
      <c r="AQA79" s="244" t="s">
        <v>68</v>
      </c>
      <c r="AQB79" s="245" t="s">
        <v>68</v>
      </c>
      <c r="AQC79" s="1715" t="s">
        <v>0</v>
      </c>
      <c r="AQD79" s="1716"/>
      <c r="AQE79" s="1716"/>
      <c r="AQF79" s="1716"/>
      <c r="AQG79" s="1716"/>
      <c r="AQH79" s="244"/>
      <c r="AQI79" s="244" t="s">
        <v>68</v>
      </c>
      <c r="AQJ79" s="245" t="s">
        <v>68</v>
      </c>
      <c r="AQK79" s="1715" t="s">
        <v>0</v>
      </c>
      <c r="AQL79" s="1716"/>
      <c r="AQM79" s="1716"/>
      <c r="AQN79" s="1716"/>
      <c r="AQO79" s="1716"/>
      <c r="AQP79" s="244"/>
      <c r="AQQ79" s="244" t="s">
        <v>68</v>
      </c>
      <c r="AQR79" s="245" t="s">
        <v>68</v>
      </c>
      <c r="AQS79" s="1715" t="s">
        <v>0</v>
      </c>
      <c r="AQT79" s="1716"/>
      <c r="AQU79" s="1716"/>
      <c r="AQV79" s="1716"/>
      <c r="AQW79" s="1716"/>
      <c r="AQX79" s="244"/>
      <c r="AQY79" s="244" t="s">
        <v>68</v>
      </c>
      <c r="AQZ79" s="245" t="s">
        <v>68</v>
      </c>
      <c r="ARA79" s="1715" t="s">
        <v>0</v>
      </c>
      <c r="ARB79" s="1716"/>
      <c r="ARC79" s="1716"/>
      <c r="ARD79" s="1716"/>
      <c r="ARE79" s="1716"/>
      <c r="ARF79" s="244"/>
      <c r="ARG79" s="244" t="s">
        <v>68</v>
      </c>
      <c r="ARH79" s="245" t="s">
        <v>68</v>
      </c>
      <c r="ARI79" s="1715" t="s">
        <v>0</v>
      </c>
      <c r="ARJ79" s="1716"/>
      <c r="ARK79" s="1716"/>
      <c r="ARL79" s="1716"/>
      <c r="ARM79" s="1716"/>
      <c r="ARN79" s="244"/>
      <c r="ARO79" s="244" t="s">
        <v>68</v>
      </c>
      <c r="ARP79" s="245" t="s">
        <v>68</v>
      </c>
      <c r="ARQ79" s="1715" t="s">
        <v>0</v>
      </c>
      <c r="ARR79" s="1716"/>
      <c r="ARS79" s="1716"/>
      <c r="ART79" s="1716"/>
      <c r="ARU79" s="1716"/>
      <c r="ARV79" s="244"/>
      <c r="ARW79" s="244" t="s">
        <v>68</v>
      </c>
      <c r="ARX79" s="245" t="s">
        <v>68</v>
      </c>
      <c r="ARY79" s="1715" t="s">
        <v>0</v>
      </c>
      <c r="ARZ79" s="1716"/>
      <c r="ASA79" s="1716"/>
      <c r="ASB79" s="1716"/>
      <c r="ASC79" s="1716"/>
      <c r="ASD79" s="244"/>
      <c r="ASE79" s="244" t="s">
        <v>68</v>
      </c>
      <c r="ASF79" s="245" t="s">
        <v>68</v>
      </c>
      <c r="ASG79" s="1715" t="s">
        <v>0</v>
      </c>
      <c r="ASH79" s="1716"/>
      <c r="ASI79" s="1716"/>
      <c r="ASJ79" s="1716"/>
      <c r="ASK79" s="1716"/>
      <c r="ASL79" s="244"/>
      <c r="ASM79" s="244" t="s">
        <v>68</v>
      </c>
      <c r="ASN79" s="245" t="s">
        <v>68</v>
      </c>
      <c r="ASO79" s="1715" t="s">
        <v>0</v>
      </c>
      <c r="ASP79" s="1716"/>
      <c r="ASQ79" s="1716"/>
      <c r="ASR79" s="1716"/>
      <c r="ASS79" s="1716"/>
      <c r="AST79" s="244"/>
      <c r="ASU79" s="244" t="s">
        <v>68</v>
      </c>
      <c r="ASV79" s="245" t="s">
        <v>68</v>
      </c>
      <c r="ASW79" s="1715" t="s">
        <v>0</v>
      </c>
      <c r="ASX79" s="1716"/>
      <c r="ASY79" s="1716"/>
      <c r="ASZ79" s="1716"/>
      <c r="ATA79" s="1716"/>
      <c r="ATB79" s="244"/>
      <c r="ATC79" s="244" t="s">
        <v>68</v>
      </c>
      <c r="ATD79" s="245" t="s">
        <v>68</v>
      </c>
      <c r="ATE79" s="1715" t="s">
        <v>0</v>
      </c>
      <c r="ATF79" s="1716"/>
      <c r="ATG79" s="1716"/>
      <c r="ATH79" s="1716"/>
      <c r="ATI79" s="1716"/>
      <c r="ATJ79" s="244"/>
      <c r="ATK79" s="244" t="s">
        <v>68</v>
      </c>
      <c r="ATL79" s="245" t="s">
        <v>68</v>
      </c>
      <c r="ATM79" s="1715" t="s">
        <v>0</v>
      </c>
      <c r="ATN79" s="1716"/>
      <c r="ATO79" s="1716"/>
      <c r="ATP79" s="1716"/>
      <c r="ATQ79" s="1716"/>
      <c r="ATR79" s="244"/>
      <c r="ATS79" s="244" t="s">
        <v>68</v>
      </c>
      <c r="ATT79" s="245" t="s">
        <v>68</v>
      </c>
      <c r="ATU79" s="1715" t="s">
        <v>0</v>
      </c>
      <c r="ATV79" s="1716"/>
      <c r="ATW79" s="1716"/>
      <c r="ATX79" s="1716"/>
      <c r="ATY79" s="1716"/>
      <c r="ATZ79" s="244"/>
      <c r="AUA79" s="244" t="s">
        <v>68</v>
      </c>
      <c r="AUB79" s="245" t="s">
        <v>68</v>
      </c>
      <c r="AUC79" s="1715" t="s">
        <v>0</v>
      </c>
      <c r="AUD79" s="1716"/>
      <c r="AUE79" s="1716"/>
      <c r="AUF79" s="1716"/>
      <c r="AUG79" s="1716"/>
      <c r="AUH79" s="244"/>
      <c r="AUI79" s="244" t="s">
        <v>68</v>
      </c>
      <c r="AUJ79" s="245" t="s">
        <v>68</v>
      </c>
      <c r="AUK79" s="1715" t="s">
        <v>0</v>
      </c>
      <c r="AUL79" s="1716"/>
      <c r="AUM79" s="1716"/>
      <c r="AUN79" s="1716"/>
      <c r="AUO79" s="1716"/>
      <c r="AUP79" s="244"/>
      <c r="AUQ79" s="244" t="s">
        <v>68</v>
      </c>
      <c r="AUR79" s="245" t="s">
        <v>68</v>
      </c>
      <c r="AUS79" s="1715" t="s">
        <v>0</v>
      </c>
      <c r="AUT79" s="1716"/>
      <c r="AUU79" s="1716"/>
      <c r="AUV79" s="1716"/>
      <c r="AUW79" s="1716"/>
      <c r="AUX79" s="244"/>
      <c r="AUY79" s="244" t="s">
        <v>68</v>
      </c>
      <c r="AUZ79" s="245" t="s">
        <v>68</v>
      </c>
      <c r="AVA79" s="1715" t="s">
        <v>0</v>
      </c>
      <c r="AVB79" s="1716"/>
      <c r="AVC79" s="1716"/>
      <c r="AVD79" s="1716"/>
      <c r="AVE79" s="1716"/>
      <c r="AVF79" s="244"/>
      <c r="AVG79" s="244" t="s">
        <v>68</v>
      </c>
      <c r="AVH79" s="245" t="s">
        <v>68</v>
      </c>
      <c r="AVI79" s="1715" t="s">
        <v>0</v>
      </c>
      <c r="AVJ79" s="1716"/>
      <c r="AVK79" s="1716"/>
      <c r="AVL79" s="1716"/>
      <c r="AVM79" s="1716"/>
      <c r="AVN79" s="244"/>
      <c r="AVO79" s="244" t="s">
        <v>68</v>
      </c>
      <c r="AVP79" s="245" t="s">
        <v>68</v>
      </c>
      <c r="AVQ79" s="1715" t="s">
        <v>0</v>
      </c>
      <c r="AVR79" s="1716"/>
      <c r="AVS79" s="1716"/>
      <c r="AVT79" s="1716"/>
      <c r="AVU79" s="1716"/>
      <c r="AVV79" s="244"/>
      <c r="AVW79" s="244" t="s">
        <v>68</v>
      </c>
      <c r="AVX79" s="245" t="s">
        <v>68</v>
      </c>
      <c r="AVY79" s="1715" t="s">
        <v>0</v>
      </c>
      <c r="AVZ79" s="1716"/>
      <c r="AWA79" s="1716"/>
      <c r="AWB79" s="1716"/>
      <c r="AWC79" s="1716"/>
      <c r="AWD79" s="244"/>
      <c r="AWE79" s="244" t="s">
        <v>68</v>
      </c>
      <c r="AWF79" s="245" t="s">
        <v>68</v>
      </c>
      <c r="AWG79" s="1715" t="s">
        <v>0</v>
      </c>
      <c r="AWH79" s="1716"/>
      <c r="AWI79" s="1716"/>
      <c r="AWJ79" s="1716"/>
      <c r="AWK79" s="1716"/>
      <c r="AWL79" s="244"/>
      <c r="AWM79" s="244" t="s">
        <v>68</v>
      </c>
      <c r="AWN79" s="245" t="s">
        <v>68</v>
      </c>
      <c r="AWO79" s="1715" t="s">
        <v>0</v>
      </c>
      <c r="AWP79" s="1716"/>
      <c r="AWQ79" s="1716"/>
      <c r="AWR79" s="1716"/>
      <c r="AWS79" s="1716"/>
      <c r="AWT79" s="244"/>
      <c r="AWU79" s="244" t="s">
        <v>68</v>
      </c>
      <c r="AWV79" s="245" t="s">
        <v>68</v>
      </c>
      <c r="AWW79" s="1715" t="s">
        <v>0</v>
      </c>
      <c r="AWX79" s="1716"/>
      <c r="AWY79" s="1716"/>
      <c r="AWZ79" s="1716"/>
      <c r="AXA79" s="1716"/>
      <c r="AXB79" s="244"/>
      <c r="AXC79" s="244" t="s">
        <v>68</v>
      </c>
      <c r="AXD79" s="245" t="s">
        <v>68</v>
      </c>
      <c r="AXE79" s="1715" t="s">
        <v>0</v>
      </c>
      <c r="AXF79" s="1716"/>
      <c r="AXG79" s="1716"/>
      <c r="AXH79" s="1716"/>
      <c r="AXI79" s="1716"/>
      <c r="AXJ79" s="244"/>
      <c r="AXK79" s="244" t="s">
        <v>68</v>
      </c>
      <c r="AXL79" s="245" t="s">
        <v>68</v>
      </c>
      <c r="AXM79" s="1715" t="s">
        <v>0</v>
      </c>
      <c r="AXN79" s="1716"/>
      <c r="AXO79" s="1716"/>
      <c r="AXP79" s="1716"/>
      <c r="AXQ79" s="1716"/>
      <c r="AXR79" s="244"/>
      <c r="AXS79" s="244" t="s">
        <v>68</v>
      </c>
      <c r="AXT79" s="245" t="s">
        <v>68</v>
      </c>
      <c r="AXU79" s="1715" t="s">
        <v>0</v>
      </c>
      <c r="AXV79" s="1716"/>
      <c r="AXW79" s="1716"/>
      <c r="AXX79" s="1716"/>
      <c r="AXY79" s="1716"/>
      <c r="AXZ79" s="244"/>
      <c r="AYA79" s="244" t="s">
        <v>68</v>
      </c>
      <c r="AYB79" s="245" t="s">
        <v>68</v>
      </c>
      <c r="AYC79" s="1715" t="s">
        <v>0</v>
      </c>
      <c r="AYD79" s="1716"/>
      <c r="AYE79" s="1716"/>
      <c r="AYF79" s="1716"/>
      <c r="AYG79" s="1716"/>
      <c r="AYH79" s="244"/>
      <c r="AYI79" s="244" t="s">
        <v>68</v>
      </c>
      <c r="AYJ79" s="245" t="s">
        <v>68</v>
      </c>
      <c r="AYK79" s="1715" t="s">
        <v>0</v>
      </c>
      <c r="AYL79" s="1716"/>
      <c r="AYM79" s="1716"/>
      <c r="AYN79" s="1716"/>
      <c r="AYO79" s="1716"/>
      <c r="AYP79" s="244"/>
      <c r="AYQ79" s="244" t="s">
        <v>68</v>
      </c>
      <c r="AYR79" s="245" t="s">
        <v>68</v>
      </c>
      <c r="AYS79" s="1715" t="s">
        <v>0</v>
      </c>
      <c r="AYT79" s="1716"/>
      <c r="AYU79" s="1716"/>
      <c r="AYV79" s="1716"/>
      <c r="AYW79" s="1716"/>
      <c r="AYX79" s="244"/>
      <c r="AYY79" s="244" t="s">
        <v>68</v>
      </c>
      <c r="AYZ79" s="245" t="s">
        <v>68</v>
      </c>
      <c r="AZA79" s="1715" t="s">
        <v>0</v>
      </c>
      <c r="AZB79" s="1716"/>
      <c r="AZC79" s="1716"/>
      <c r="AZD79" s="1716"/>
      <c r="AZE79" s="1716"/>
      <c r="AZF79" s="244"/>
      <c r="AZG79" s="244" t="s">
        <v>68</v>
      </c>
      <c r="AZH79" s="245" t="s">
        <v>68</v>
      </c>
      <c r="AZI79" s="1715" t="s">
        <v>0</v>
      </c>
      <c r="AZJ79" s="1716"/>
      <c r="AZK79" s="1716"/>
      <c r="AZL79" s="1716"/>
      <c r="AZM79" s="1716"/>
      <c r="AZN79" s="244"/>
      <c r="AZO79" s="244" t="s">
        <v>68</v>
      </c>
      <c r="AZP79" s="245" t="s">
        <v>68</v>
      </c>
      <c r="AZQ79" s="1715" t="s">
        <v>0</v>
      </c>
      <c r="AZR79" s="1716"/>
      <c r="AZS79" s="1716"/>
      <c r="AZT79" s="1716"/>
      <c r="AZU79" s="1716"/>
      <c r="AZV79" s="244"/>
      <c r="AZW79" s="244" t="s">
        <v>68</v>
      </c>
      <c r="AZX79" s="245" t="s">
        <v>68</v>
      </c>
      <c r="AZY79" s="1715" t="s">
        <v>0</v>
      </c>
      <c r="AZZ79" s="1716"/>
      <c r="BAA79" s="1716"/>
      <c r="BAB79" s="1716"/>
      <c r="BAC79" s="1716"/>
      <c r="BAD79" s="244"/>
      <c r="BAE79" s="244" t="s">
        <v>68</v>
      </c>
      <c r="BAF79" s="245" t="s">
        <v>68</v>
      </c>
      <c r="BAG79" s="1715" t="s">
        <v>0</v>
      </c>
      <c r="BAH79" s="1716"/>
      <c r="BAI79" s="1716"/>
      <c r="BAJ79" s="1716"/>
      <c r="BAK79" s="1716"/>
      <c r="BAL79" s="244"/>
      <c r="BAM79" s="244" t="s">
        <v>68</v>
      </c>
      <c r="BAN79" s="245" t="s">
        <v>68</v>
      </c>
      <c r="BAO79" s="1715" t="s">
        <v>0</v>
      </c>
      <c r="BAP79" s="1716"/>
      <c r="BAQ79" s="1716"/>
      <c r="BAR79" s="1716"/>
      <c r="BAS79" s="1716"/>
      <c r="BAT79" s="244"/>
      <c r="BAU79" s="244" t="s">
        <v>68</v>
      </c>
      <c r="BAV79" s="245" t="s">
        <v>68</v>
      </c>
      <c r="BAW79" s="1715" t="s">
        <v>0</v>
      </c>
      <c r="BAX79" s="1716"/>
      <c r="BAY79" s="1716"/>
      <c r="BAZ79" s="1716"/>
      <c r="BBA79" s="1716"/>
      <c r="BBB79" s="244"/>
      <c r="BBC79" s="244" t="s">
        <v>68</v>
      </c>
      <c r="BBD79" s="245" t="s">
        <v>68</v>
      </c>
      <c r="BBE79" s="1715" t="s">
        <v>0</v>
      </c>
      <c r="BBF79" s="1716"/>
      <c r="BBG79" s="1716"/>
      <c r="BBH79" s="1716"/>
      <c r="BBI79" s="1716"/>
      <c r="BBJ79" s="244"/>
      <c r="BBK79" s="244" t="s">
        <v>68</v>
      </c>
      <c r="BBL79" s="245" t="s">
        <v>68</v>
      </c>
      <c r="BBM79" s="1715" t="s">
        <v>0</v>
      </c>
      <c r="BBN79" s="1716"/>
      <c r="BBO79" s="1716"/>
      <c r="BBP79" s="1716"/>
      <c r="BBQ79" s="1716"/>
      <c r="BBR79" s="244"/>
      <c r="BBS79" s="244" t="s">
        <v>68</v>
      </c>
      <c r="BBT79" s="245" t="s">
        <v>68</v>
      </c>
      <c r="BBU79" s="1715" t="s">
        <v>0</v>
      </c>
      <c r="BBV79" s="1716"/>
      <c r="BBW79" s="1716"/>
      <c r="BBX79" s="1716"/>
      <c r="BBY79" s="1716"/>
      <c r="BBZ79" s="244"/>
      <c r="BCA79" s="244" t="s">
        <v>68</v>
      </c>
      <c r="BCB79" s="245" t="s">
        <v>68</v>
      </c>
      <c r="BCC79" s="1715" t="s">
        <v>0</v>
      </c>
      <c r="BCD79" s="1716"/>
      <c r="BCE79" s="1716"/>
      <c r="BCF79" s="1716"/>
      <c r="BCG79" s="1716"/>
      <c r="BCH79" s="244"/>
      <c r="BCI79" s="244" t="s">
        <v>68</v>
      </c>
      <c r="BCJ79" s="245" t="s">
        <v>68</v>
      </c>
      <c r="BCK79" s="1715" t="s">
        <v>0</v>
      </c>
      <c r="BCL79" s="1716"/>
      <c r="BCM79" s="1716"/>
      <c r="BCN79" s="1716"/>
      <c r="BCO79" s="1716"/>
      <c r="BCP79" s="244"/>
      <c r="BCQ79" s="244" t="s">
        <v>68</v>
      </c>
      <c r="BCR79" s="245" t="s">
        <v>68</v>
      </c>
      <c r="BCS79" s="1715" t="s">
        <v>0</v>
      </c>
      <c r="BCT79" s="1716"/>
      <c r="BCU79" s="1716"/>
      <c r="BCV79" s="1716"/>
      <c r="BCW79" s="1716"/>
      <c r="BCX79" s="244"/>
      <c r="BCY79" s="244" t="s">
        <v>68</v>
      </c>
      <c r="BCZ79" s="245" t="s">
        <v>68</v>
      </c>
      <c r="BDA79" s="1715" t="s">
        <v>0</v>
      </c>
      <c r="BDB79" s="1716"/>
      <c r="BDC79" s="1716"/>
      <c r="BDD79" s="1716"/>
      <c r="BDE79" s="1716"/>
      <c r="BDF79" s="244"/>
      <c r="BDG79" s="244" t="s">
        <v>68</v>
      </c>
      <c r="BDH79" s="245" t="s">
        <v>68</v>
      </c>
      <c r="BDI79" s="1715" t="s">
        <v>0</v>
      </c>
      <c r="BDJ79" s="1716"/>
      <c r="BDK79" s="1716"/>
      <c r="BDL79" s="1716"/>
      <c r="BDM79" s="1716"/>
      <c r="BDN79" s="244"/>
      <c r="BDO79" s="244" t="s">
        <v>68</v>
      </c>
      <c r="BDP79" s="245" t="s">
        <v>68</v>
      </c>
      <c r="BDQ79" s="1715" t="s">
        <v>0</v>
      </c>
      <c r="BDR79" s="1716"/>
      <c r="BDS79" s="1716"/>
      <c r="BDT79" s="1716"/>
      <c r="BDU79" s="1716"/>
      <c r="BDV79" s="244"/>
      <c r="BDW79" s="244" t="s">
        <v>68</v>
      </c>
      <c r="BDX79" s="245" t="s">
        <v>68</v>
      </c>
      <c r="BDY79" s="1715" t="s">
        <v>0</v>
      </c>
      <c r="BDZ79" s="1716"/>
      <c r="BEA79" s="1716"/>
      <c r="BEB79" s="1716"/>
      <c r="BEC79" s="1716"/>
      <c r="BED79" s="244"/>
      <c r="BEE79" s="244" t="s">
        <v>68</v>
      </c>
      <c r="BEF79" s="245" t="s">
        <v>68</v>
      </c>
      <c r="BEG79" s="1715" t="s">
        <v>0</v>
      </c>
      <c r="BEH79" s="1716"/>
      <c r="BEI79" s="1716"/>
      <c r="BEJ79" s="1716"/>
      <c r="BEK79" s="1716"/>
      <c r="BEL79" s="244"/>
      <c r="BEM79" s="244" t="s">
        <v>68</v>
      </c>
      <c r="BEN79" s="245" t="s">
        <v>68</v>
      </c>
      <c r="BEO79" s="1715" t="s">
        <v>0</v>
      </c>
      <c r="BEP79" s="1716"/>
      <c r="BEQ79" s="1716"/>
      <c r="BER79" s="1716"/>
      <c r="BES79" s="1716"/>
      <c r="BET79" s="244"/>
      <c r="BEU79" s="244" t="s">
        <v>68</v>
      </c>
      <c r="BEV79" s="245" t="s">
        <v>68</v>
      </c>
      <c r="BEW79" s="1715" t="s">
        <v>0</v>
      </c>
      <c r="BEX79" s="1716"/>
      <c r="BEY79" s="1716"/>
      <c r="BEZ79" s="1716"/>
      <c r="BFA79" s="1716"/>
      <c r="BFB79" s="244"/>
      <c r="BFC79" s="244" t="s">
        <v>68</v>
      </c>
      <c r="BFD79" s="245" t="s">
        <v>68</v>
      </c>
      <c r="BFE79" s="1715" t="s">
        <v>0</v>
      </c>
      <c r="BFF79" s="1716"/>
      <c r="BFG79" s="1716"/>
      <c r="BFH79" s="1716"/>
      <c r="BFI79" s="1716"/>
      <c r="BFJ79" s="244"/>
      <c r="BFK79" s="244" t="s">
        <v>68</v>
      </c>
      <c r="BFL79" s="245" t="s">
        <v>68</v>
      </c>
      <c r="BFM79" s="1715" t="s">
        <v>0</v>
      </c>
      <c r="BFN79" s="1716"/>
      <c r="BFO79" s="1716"/>
      <c r="BFP79" s="1716"/>
      <c r="BFQ79" s="1716"/>
      <c r="BFR79" s="244"/>
      <c r="BFS79" s="244" t="s">
        <v>68</v>
      </c>
      <c r="BFT79" s="245" t="s">
        <v>68</v>
      </c>
      <c r="BFU79" s="1715" t="s">
        <v>0</v>
      </c>
      <c r="BFV79" s="1716"/>
      <c r="BFW79" s="1716"/>
      <c r="BFX79" s="1716"/>
      <c r="BFY79" s="1716"/>
      <c r="BFZ79" s="244"/>
      <c r="BGA79" s="244" t="s">
        <v>68</v>
      </c>
      <c r="BGB79" s="245" t="s">
        <v>68</v>
      </c>
      <c r="BGC79" s="1715" t="s">
        <v>0</v>
      </c>
      <c r="BGD79" s="1716"/>
      <c r="BGE79" s="1716"/>
      <c r="BGF79" s="1716"/>
      <c r="BGG79" s="1716"/>
      <c r="BGH79" s="244"/>
      <c r="BGI79" s="244" t="s">
        <v>68</v>
      </c>
      <c r="BGJ79" s="245" t="s">
        <v>68</v>
      </c>
      <c r="BGK79" s="1715" t="s">
        <v>0</v>
      </c>
      <c r="BGL79" s="1716"/>
      <c r="BGM79" s="1716"/>
      <c r="BGN79" s="1716"/>
      <c r="BGO79" s="1716"/>
      <c r="BGP79" s="244"/>
      <c r="BGQ79" s="244" t="s">
        <v>68</v>
      </c>
      <c r="BGR79" s="245" t="s">
        <v>68</v>
      </c>
      <c r="BGS79" s="1715" t="s">
        <v>0</v>
      </c>
      <c r="BGT79" s="1716"/>
      <c r="BGU79" s="1716"/>
      <c r="BGV79" s="1716"/>
      <c r="BGW79" s="1716"/>
      <c r="BGX79" s="244"/>
      <c r="BGY79" s="244" t="s">
        <v>68</v>
      </c>
      <c r="BGZ79" s="245" t="s">
        <v>68</v>
      </c>
      <c r="BHA79" s="1715" t="s">
        <v>0</v>
      </c>
      <c r="BHB79" s="1716"/>
      <c r="BHC79" s="1716"/>
      <c r="BHD79" s="1716"/>
      <c r="BHE79" s="1716"/>
      <c r="BHF79" s="244"/>
      <c r="BHG79" s="244" t="s">
        <v>68</v>
      </c>
      <c r="BHH79" s="245" t="s">
        <v>68</v>
      </c>
      <c r="BHI79" s="1715" t="s">
        <v>0</v>
      </c>
      <c r="BHJ79" s="1716"/>
      <c r="BHK79" s="1716"/>
      <c r="BHL79" s="1716"/>
      <c r="BHM79" s="1716"/>
      <c r="BHN79" s="244"/>
      <c r="BHO79" s="244" t="s">
        <v>68</v>
      </c>
      <c r="BHP79" s="245" t="s">
        <v>68</v>
      </c>
      <c r="BHQ79" s="1715" t="s">
        <v>0</v>
      </c>
      <c r="BHR79" s="1716"/>
      <c r="BHS79" s="1716"/>
      <c r="BHT79" s="1716"/>
      <c r="BHU79" s="1716"/>
      <c r="BHV79" s="244"/>
      <c r="BHW79" s="244" t="s">
        <v>68</v>
      </c>
      <c r="BHX79" s="245" t="s">
        <v>68</v>
      </c>
      <c r="BHY79" s="1715" t="s">
        <v>0</v>
      </c>
      <c r="BHZ79" s="1716"/>
      <c r="BIA79" s="1716"/>
      <c r="BIB79" s="1716"/>
      <c r="BIC79" s="1716"/>
      <c r="BID79" s="244"/>
      <c r="BIE79" s="244" t="s">
        <v>68</v>
      </c>
      <c r="BIF79" s="245" t="s">
        <v>68</v>
      </c>
      <c r="BIG79" s="1715" t="s">
        <v>0</v>
      </c>
      <c r="BIH79" s="1716"/>
      <c r="BII79" s="1716"/>
      <c r="BIJ79" s="1716"/>
      <c r="BIK79" s="1716"/>
      <c r="BIL79" s="244"/>
      <c r="BIM79" s="244" t="s">
        <v>68</v>
      </c>
      <c r="BIN79" s="245" t="s">
        <v>68</v>
      </c>
      <c r="BIO79" s="1715" t="s">
        <v>0</v>
      </c>
      <c r="BIP79" s="1716"/>
      <c r="BIQ79" s="1716"/>
      <c r="BIR79" s="1716"/>
      <c r="BIS79" s="1716"/>
      <c r="BIT79" s="244"/>
      <c r="BIU79" s="244" t="s">
        <v>68</v>
      </c>
      <c r="BIV79" s="245" t="s">
        <v>68</v>
      </c>
      <c r="BIW79" s="1715" t="s">
        <v>0</v>
      </c>
      <c r="BIX79" s="1716"/>
      <c r="BIY79" s="1716"/>
      <c r="BIZ79" s="1716"/>
      <c r="BJA79" s="1716"/>
      <c r="BJB79" s="244"/>
      <c r="BJC79" s="244" t="s">
        <v>68</v>
      </c>
      <c r="BJD79" s="245" t="s">
        <v>68</v>
      </c>
      <c r="BJE79" s="1715" t="s">
        <v>0</v>
      </c>
      <c r="BJF79" s="1716"/>
      <c r="BJG79" s="1716"/>
      <c r="BJH79" s="1716"/>
      <c r="BJI79" s="1716"/>
      <c r="BJJ79" s="244"/>
      <c r="BJK79" s="244" t="s">
        <v>68</v>
      </c>
      <c r="BJL79" s="245" t="s">
        <v>68</v>
      </c>
      <c r="BJM79" s="1715" t="s">
        <v>0</v>
      </c>
      <c r="BJN79" s="1716"/>
      <c r="BJO79" s="1716"/>
      <c r="BJP79" s="1716"/>
      <c r="BJQ79" s="1716"/>
      <c r="BJR79" s="244"/>
      <c r="BJS79" s="244" t="s">
        <v>68</v>
      </c>
      <c r="BJT79" s="245" t="s">
        <v>68</v>
      </c>
      <c r="BJU79" s="1715" t="s">
        <v>0</v>
      </c>
      <c r="BJV79" s="1716"/>
      <c r="BJW79" s="1716"/>
      <c r="BJX79" s="1716"/>
      <c r="BJY79" s="1716"/>
      <c r="BJZ79" s="244"/>
      <c r="BKA79" s="244" t="s">
        <v>68</v>
      </c>
      <c r="BKB79" s="245" t="s">
        <v>68</v>
      </c>
      <c r="BKC79" s="1715" t="s">
        <v>0</v>
      </c>
      <c r="BKD79" s="1716"/>
      <c r="BKE79" s="1716"/>
      <c r="BKF79" s="1716"/>
      <c r="BKG79" s="1716"/>
      <c r="BKH79" s="244"/>
      <c r="BKI79" s="244" t="s">
        <v>68</v>
      </c>
      <c r="BKJ79" s="245" t="s">
        <v>68</v>
      </c>
      <c r="BKK79" s="1715" t="s">
        <v>0</v>
      </c>
      <c r="BKL79" s="1716"/>
      <c r="BKM79" s="1716"/>
      <c r="BKN79" s="1716"/>
      <c r="BKO79" s="1716"/>
      <c r="BKP79" s="244"/>
      <c r="BKQ79" s="244" t="s">
        <v>68</v>
      </c>
      <c r="BKR79" s="245" t="s">
        <v>68</v>
      </c>
      <c r="BKS79" s="1715" t="s">
        <v>0</v>
      </c>
      <c r="BKT79" s="1716"/>
      <c r="BKU79" s="1716"/>
      <c r="BKV79" s="1716"/>
      <c r="BKW79" s="1716"/>
      <c r="BKX79" s="244"/>
      <c r="BKY79" s="244" t="s">
        <v>68</v>
      </c>
      <c r="BKZ79" s="245" t="s">
        <v>68</v>
      </c>
      <c r="BLA79" s="1715" t="s">
        <v>0</v>
      </c>
      <c r="BLB79" s="1716"/>
      <c r="BLC79" s="1716"/>
      <c r="BLD79" s="1716"/>
      <c r="BLE79" s="1716"/>
      <c r="BLF79" s="244"/>
      <c r="BLG79" s="244" t="s">
        <v>68</v>
      </c>
      <c r="BLH79" s="245" t="s">
        <v>68</v>
      </c>
      <c r="BLI79" s="1715" t="s">
        <v>0</v>
      </c>
      <c r="BLJ79" s="1716"/>
      <c r="BLK79" s="1716"/>
      <c r="BLL79" s="1716"/>
      <c r="BLM79" s="1716"/>
      <c r="BLN79" s="244"/>
      <c r="BLO79" s="244" t="s">
        <v>68</v>
      </c>
      <c r="BLP79" s="245" t="s">
        <v>68</v>
      </c>
      <c r="BLQ79" s="1715" t="s">
        <v>0</v>
      </c>
      <c r="BLR79" s="1716"/>
      <c r="BLS79" s="1716"/>
      <c r="BLT79" s="1716"/>
      <c r="BLU79" s="1716"/>
      <c r="BLV79" s="244"/>
      <c r="BLW79" s="244" t="s">
        <v>68</v>
      </c>
      <c r="BLX79" s="245" t="s">
        <v>68</v>
      </c>
      <c r="BLY79" s="1715" t="s">
        <v>0</v>
      </c>
      <c r="BLZ79" s="1716"/>
      <c r="BMA79" s="1716"/>
      <c r="BMB79" s="1716"/>
      <c r="BMC79" s="1716"/>
      <c r="BMD79" s="244"/>
      <c r="BME79" s="244" t="s">
        <v>68</v>
      </c>
      <c r="BMF79" s="245" t="s">
        <v>68</v>
      </c>
      <c r="BMG79" s="1715" t="s">
        <v>0</v>
      </c>
      <c r="BMH79" s="1716"/>
      <c r="BMI79" s="1716"/>
      <c r="BMJ79" s="1716"/>
      <c r="BMK79" s="1716"/>
      <c r="BML79" s="244"/>
      <c r="BMM79" s="244" t="s">
        <v>68</v>
      </c>
      <c r="BMN79" s="245" t="s">
        <v>68</v>
      </c>
      <c r="BMO79" s="1715" t="s">
        <v>0</v>
      </c>
      <c r="BMP79" s="1716"/>
      <c r="BMQ79" s="1716"/>
      <c r="BMR79" s="1716"/>
      <c r="BMS79" s="1716"/>
      <c r="BMT79" s="244"/>
      <c r="BMU79" s="244" t="s">
        <v>68</v>
      </c>
      <c r="BMV79" s="245" t="s">
        <v>68</v>
      </c>
      <c r="BMW79" s="1715" t="s">
        <v>0</v>
      </c>
      <c r="BMX79" s="1716"/>
      <c r="BMY79" s="1716"/>
      <c r="BMZ79" s="1716"/>
      <c r="BNA79" s="1716"/>
      <c r="BNB79" s="244"/>
      <c r="BNC79" s="244" t="s">
        <v>68</v>
      </c>
      <c r="BND79" s="245" t="s">
        <v>68</v>
      </c>
      <c r="BNE79" s="1715" t="s">
        <v>0</v>
      </c>
      <c r="BNF79" s="1716"/>
      <c r="BNG79" s="1716"/>
      <c r="BNH79" s="1716"/>
      <c r="BNI79" s="1716"/>
      <c r="BNJ79" s="244"/>
      <c r="BNK79" s="244" t="s">
        <v>68</v>
      </c>
      <c r="BNL79" s="245" t="s">
        <v>68</v>
      </c>
      <c r="BNM79" s="1715" t="s">
        <v>0</v>
      </c>
      <c r="BNN79" s="1716"/>
      <c r="BNO79" s="1716"/>
      <c r="BNP79" s="1716"/>
      <c r="BNQ79" s="1716"/>
      <c r="BNR79" s="244"/>
      <c r="BNS79" s="244" t="s">
        <v>68</v>
      </c>
      <c r="BNT79" s="245" t="s">
        <v>68</v>
      </c>
      <c r="BNU79" s="1715" t="s">
        <v>0</v>
      </c>
      <c r="BNV79" s="1716"/>
      <c r="BNW79" s="1716"/>
      <c r="BNX79" s="1716"/>
      <c r="BNY79" s="1716"/>
      <c r="BNZ79" s="244"/>
      <c r="BOA79" s="244" t="s">
        <v>68</v>
      </c>
      <c r="BOB79" s="245" t="s">
        <v>68</v>
      </c>
      <c r="BOC79" s="1715" t="s">
        <v>0</v>
      </c>
      <c r="BOD79" s="1716"/>
      <c r="BOE79" s="1716"/>
      <c r="BOF79" s="1716"/>
      <c r="BOG79" s="1716"/>
      <c r="BOH79" s="244"/>
      <c r="BOI79" s="244" t="s">
        <v>68</v>
      </c>
      <c r="BOJ79" s="245" t="s">
        <v>68</v>
      </c>
      <c r="BOK79" s="1715" t="s">
        <v>0</v>
      </c>
      <c r="BOL79" s="1716"/>
      <c r="BOM79" s="1716"/>
      <c r="BON79" s="1716"/>
      <c r="BOO79" s="1716"/>
      <c r="BOP79" s="244"/>
      <c r="BOQ79" s="244" t="s">
        <v>68</v>
      </c>
      <c r="BOR79" s="245" t="s">
        <v>68</v>
      </c>
      <c r="BOS79" s="1715" t="s">
        <v>0</v>
      </c>
      <c r="BOT79" s="1716"/>
      <c r="BOU79" s="1716"/>
      <c r="BOV79" s="1716"/>
      <c r="BOW79" s="1716"/>
      <c r="BOX79" s="244"/>
      <c r="BOY79" s="244" t="s">
        <v>68</v>
      </c>
      <c r="BOZ79" s="245" t="s">
        <v>68</v>
      </c>
      <c r="BPA79" s="1715" t="s">
        <v>0</v>
      </c>
      <c r="BPB79" s="1716"/>
      <c r="BPC79" s="1716"/>
      <c r="BPD79" s="1716"/>
      <c r="BPE79" s="1716"/>
      <c r="BPF79" s="244"/>
      <c r="BPG79" s="244" t="s">
        <v>68</v>
      </c>
      <c r="BPH79" s="245" t="s">
        <v>68</v>
      </c>
      <c r="BPI79" s="1715" t="s">
        <v>0</v>
      </c>
      <c r="BPJ79" s="1716"/>
      <c r="BPK79" s="1716"/>
      <c r="BPL79" s="1716"/>
      <c r="BPM79" s="1716"/>
      <c r="BPN79" s="244"/>
      <c r="BPO79" s="244" t="s">
        <v>68</v>
      </c>
      <c r="BPP79" s="245" t="s">
        <v>68</v>
      </c>
      <c r="BPQ79" s="1715" t="s">
        <v>0</v>
      </c>
      <c r="BPR79" s="1716"/>
      <c r="BPS79" s="1716"/>
      <c r="BPT79" s="1716"/>
      <c r="BPU79" s="1716"/>
      <c r="BPV79" s="244"/>
      <c r="BPW79" s="244" t="s">
        <v>68</v>
      </c>
      <c r="BPX79" s="245" t="s">
        <v>68</v>
      </c>
      <c r="BPY79" s="1715" t="s">
        <v>0</v>
      </c>
      <c r="BPZ79" s="1716"/>
      <c r="BQA79" s="1716"/>
      <c r="BQB79" s="1716"/>
      <c r="BQC79" s="1716"/>
      <c r="BQD79" s="244"/>
      <c r="BQE79" s="244" t="s">
        <v>68</v>
      </c>
      <c r="BQF79" s="245" t="s">
        <v>68</v>
      </c>
      <c r="BQG79" s="1715" t="s">
        <v>0</v>
      </c>
      <c r="BQH79" s="1716"/>
      <c r="BQI79" s="1716"/>
      <c r="BQJ79" s="1716"/>
      <c r="BQK79" s="1716"/>
      <c r="BQL79" s="244"/>
      <c r="BQM79" s="244" t="s">
        <v>68</v>
      </c>
      <c r="BQN79" s="245" t="s">
        <v>68</v>
      </c>
      <c r="BQO79" s="1715" t="s">
        <v>0</v>
      </c>
      <c r="BQP79" s="1716"/>
      <c r="BQQ79" s="1716"/>
      <c r="BQR79" s="1716"/>
      <c r="BQS79" s="1716"/>
      <c r="BQT79" s="244"/>
      <c r="BQU79" s="244" t="s">
        <v>68</v>
      </c>
      <c r="BQV79" s="245" t="s">
        <v>68</v>
      </c>
      <c r="BQW79" s="1715" t="s">
        <v>0</v>
      </c>
      <c r="BQX79" s="1716"/>
      <c r="BQY79" s="1716"/>
      <c r="BQZ79" s="1716"/>
      <c r="BRA79" s="1716"/>
      <c r="BRB79" s="244"/>
      <c r="BRC79" s="244" t="s">
        <v>68</v>
      </c>
      <c r="BRD79" s="245" t="s">
        <v>68</v>
      </c>
      <c r="BRE79" s="1715" t="s">
        <v>0</v>
      </c>
      <c r="BRF79" s="1716"/>
      <c r="BRG79" s="1716"/>
      <c r="BRH79" s="1716"/>
      <c r="BRI79" s="1716"/>
      <c r="BRJ79" s="244"/>
      <c r="BRK79" s="244" t="s">
        <v>68</v>
      </c>
      <c r="BRL79" s="245" t="s">
        <v>68</v>
      </c>
      <c r="BRM79" s="1715" t="s">
        <v>0</v>
      </c>
      <c r="BRN79" s="1716"/>
      <c r="BRO79" s="1716"/>
      <c r="BRP79" s="1716"/>
      <c r="BRQ79" s="1716"/>
      <c r="BRR79" s="244"/>
      <c r="BRS79" s="244" t="s">
        <v>68</v>
      </c>
      <c r="BRT79" s="245" t="s">
        <v>68</v>
      </c>
      <c r="BRU79" s="1715" t="s">
        <v>0</v>
      </c>
      <c r="BRV79" s="1716"/>
      <c r="BRW79" s="1716"/>
      <c r="BRX79" s="1716"/>
      <c r="BRY79" s="1716"/>
      <c r="BRZ79" s="244"/>
      <c r="BSA79" s="244" t="s">
        <v>68</v>
      </c>
      <c r="BSB79" s="245" t="s">
        <v>68</v>
      </c>
      <c r="BSC79" s="1715" t="s">
        <v>0</v>
      </c>
      <c r="BSD79" s="1716"/>
      <c r="BSE79" s="1716"/>
      <c r="BSF79" s="1716"/>
      <c r="BSG79" s="1716"/>
      <c r="BSH79" s="244"/>
      <c r="BSI79" s="244" t="s">
        <v>68</v>
      </c>
      <c r="BSJ79" s="245" t="s">
        <v>68</v>
      </c>
      <c r="BSK79" s="1715" t="s">
        <v>0</v>
      </c>
      <c r="BSL79" s="1716"/>
      <c r="BSM79" s="1716"/>
      <c r="BSN79" s="1716"/>
      <c r="BSO79" s="1716"/>
      <c r="BSP79" s="244"/>
      <c r="BSQ79" s="244" t="s">
        <v>68</v>
      </c>
      <c r="BSR79" s="245" t="s">
        <v>68</v>
      </c>
      <c r="BSS79" s="1715" t="s">
        <v>0</v>
      </c>
      <c r="BST79" s="1716"/>
      <c r="BSU79" s="1716"/>
      <c r="BSV79" s="1716"/>
      <c r="BSW79" s="1716"/>
      <c r="BSX79" s="244"/>
      <c r="BSY79" s="244" t="s">
        <v>68</v>
      </c>
      <c r="BSZ79" s="245" t="s">
        <v>68</v>
      </c>
      <c r="BTA79" s="1715" t="s">
        <v>0</v>
      </c>
      <c r="BTB79" s="1716"/>
      <c r="BTC79" s="1716"/>
      <c r="BTD79" s="1716"/>
      <c r="BTE79" s="1716"/>
      <c r="BTF79" s="244"/>
      <c r="BTG79" s="244" t="s">
        <v>68</v>
      </c>
      <c r="BTH79" s="245" t="s">
        <v>68</v>
      </c>
      <c r="BTI79" s="1715" t="s">
        <v>0</v>
      </c>
      <c r="BTJ79" s="1716"/>
      <c r="BTK79" s="1716"/>
      <c r="BTL79" s="1716"/>
      <c r="BTM79" s="1716"/>
      <c r="BTN79" s="244"/>
      <c r="BTO79" s="244" t="s">
        <v>68</v>
      </c>
      <c r="BTP79" s="245" t="s">
        <v>68</v>
      </c>
      <c r="BTQ79" s="1715" t="s">
        <v>0</v>
      </c>
      <c r="BTR79" s="1716"/>
      <c r="BTS79" s="1716"/>
      <c r="BTT79" s="1716"/>
      <c r="BTU79" s="1716"/>
      <c r="BTV79" s="244"/>
      <c r="BTW79" s="244" t="s">
        <v>68</v>
      </c>
      <c r="BTX79" s="245" t="s">
        <v>68</v>
      </c>
      <c r="BTY79" s="1715" t="s">
        <v>0</v>
      </c>
      <c r="BTZ79" s="1716"/>
      <c r="BUA79" s="1716"/>
      <c r="BUB79" s="1716"/>
      <c r="BUC79" s="1716"/>
      <c r="BUD79" s="244"/>
      <c r="BUE79" s="244" t="s">
        <v>68</v>
      </c>
      <c r="BUF79" s="245" t="s">
        <v>68</v>
      </c>
      <c r="BUG79" s="1715" t="s">
        <v>0</v>
      </c>
      <c r="BUH79" s="1716"/>
      <c r="BUI79" s="1716"/>
      <c r="BUJ79" s="1716"/>
      <c r="BUK79" s="1716"/>
      <c r="BUL79" s="244"/>
      <c r="BUM79" s="244" t="s">
        <v>68</v>
      </c>
      <c r="BUN79" s="245" t="s">
        <v>68</v>
      </c>
      <c r="BUO79" s="1715" t="s">
        <v>0</v>
      </c>
      <c r="BUP79" s="1716"/>
      <c r="BUQ79" s="1716"/>
      <c r="BUR79" s="1716"/>
      <c r="BUS79" s="1716"/>
      <c r="BUT79" s="244"/>
      <c r="BUU79" s="244" t="s">
        <v>68</v>
      </c>
      <c r="BUV79" s="245" t="s">
        <v>68</v>
      </c>
      <c r="BUW79" s="1715" t="s">
        <v>0</v>
      </c>
      <c r="BUX79" s="1716"/>
      <c r="BUY79" s="1716"/>
      <c r="BUZ79" s="1716"/>
      <c r="BVA79" s="1716"/>
      <c r="BVB79" s="244"/>
      <c r="BVC79" s="244" t="s">
        <v>68</v>
      </c>
      <c r="BVD79" s="245" t="s">
        <v>68</v>
      </c>
      <c r="BVE79" s="1715" t="s">
        <v>0</v>
      </c>
      <c r="BVF79" s="1716"/>
      <c r="BVG79" s="1716"/>
      <c r="BVH79" s="1716"/>
      <c r="BVI79" s="1716"/>
      <c r="BVJ79" s="244"/>
      <c r="BVK79" s="244" t="s">
        <v>68</v>
      </c>
      <c r="BVL79" s="245" t="s">
        <v>68</v>
      </c>
      <c r="BVM79" s="1715" t="s">
        <v>0</v>
      </c>
      <c r="BVN79" s="1716"/>
      <c r="BVO79" s="1716"/>
      <c r="BVP79" s="1716"/>
      <c r="BVQ79" s="1716"/>
      <c r="BVR79" s="244"/>
      <c r="BVS79" s="244" t="s">
        <v>68</v>
      </c>
      <c r="BVT79" s="245" t="s">
        <v>68</v>
      </c>
      <c r="BVU79" s="1715" t="s">
        <v>0</v>
      </c>
      <c r="BVV79" s="1716"/>
      <c r="BVW79" s="1716"/>
      <c r="BVX79" s="1716"/>
      <c r="BVY79" s="1716"/>
      <c r="BVZ79" s="244"/>
      <c r="BWA79" s="244" t="s">
        <v>68</v>
      </c>
      <c r="BWB79" s="245" t="s">
        <v>68</v>
      </c>
      <c r="BWC79" s="1715" t="s">
        <v>0</v>
      </c>
      <c r="BWD79" s="1716"/>
      <c r="BWE79" s="1716"/>
      <c r="BWF79" s="1716"/>
      <c r="BWG79" s="1716"/>
      <c r="BWH79" s="244"/>
      <c r="BWI79" s="244" t="s">
        <v>68</v>
      </c>
      <c r="BWJ79" s="245" t="s">
        <v>68</v>
      </c>
      <c r="BWK79" s="1715" t="s">
        <v>0</v>
      </c>
      <c r="BWL79" s="1716"/>
      <c r="BWM79" s="1716"/>
      <c r="BWN79" s="1716"/>
      <c r="BWO79" s="1716"/>
      <c r="BWP79" s="244"/>
      <c r="BWQ79" s="244" t="s">
        <v>68</v>
      </c>
      <c r="BWR79" s="245" t="s">
        <v>68</v>
      </c>
      <c r="BWS79" s="1715" t="s">
        <v>0</v>
      </c>
      <c r="BWT79" s="1716"/>
      <c r="BWU79" s="1716"/>
      <c r="BWV79" s="1716"/>
      <c r="BWW79" s="1716"/>
      <c r="BWX79" s="244"/>
      <c r="BWY79" s="244" t="s">
        <v>68</v>
      </c>
      <c r="BWZ79" s="245" t="s">
        <v>68</v>
      </c>
      <c r="BXA79" s="1715" t="s">
        <v>0</v>
      </c>
      <c r="BXB79" s="1716"/>
      <c r="BXC79" s="1716"/>
      <c r="BXD79" s="1716"/>
      <c r="BXE79" s="1716"/>
      <c r="BXF79" s="244"/>
      <c r="BXG79" s="244" t="s">
        <v>68</v>
      </c>
      <c r="BXH79" s="245" t="s">
        <v>68</v>
      </c>
      <c r="BXI79" s="1715" t="s">
        <v>0</v>
      </c>
      <c r="BXJ79" s="1716"/>
      <c r="BXK79" s="1716"/>
      <c r="BXL79" s="1716"/>
      <c r="BXM79" s="1716"/>
      <c r="BXN79" s="244"/>
      <c r="BXO79" s="244" t="s">
        <v>68</v>
      </c>
      <c r="BXP79" s="245" t="s">
        <v>68</v>
      </c>
      <c r="BXQ79" s="1715" t="s">
        <v>0</v>
      </c>
      <c r="BXR79" s="1716"/>
      <c r="BXS79" s="1716"/>
      <c r="BXT79" s="1716"/>
      <c r="BXU79" s="1716"/>
      <c r="BXV79" s="244"/>
      <c r="BXW79" s="244" t="s">
        <v>68</v>
      </c>
      <c r="BXX79" s="245" t="s">
        <v>68</v>
      </c>
      <c r="BXY79" s="1715" t="s">
        <v>0</v>
      </c>
      <c r="BXZ79" s="1716"/>
      <c r="BYA79" s="1716"/>
      <c r="BYB79" s="1716"/>
      <c r="BYC79" s="1716"/>
      <c r="BYD79" s="244"/>
      <c r="BYE79" s="244" t="s">
        <v>68</v>
      </c>
      <c r="BYF79" s="245" t="s">
        <v>68</v>
      </c>
      <c r="BYG79" s="1715" t="s">
        <v>0</v>
      </c>
      <c r="BYH79" s="1716"/>
      <c r="BYI79" s="1716"/>
      <c r="BYJ79" s="1716"/>
      <c r="BYK79" s="1716"/>
      <c r="BYL79" s="244"/>
      <c r="BYM79" s="244" t="s">
        <v>68</v>
      </c>
      <c r="BYN79" s="245" t="s">
        <v>68</v>
      </c>
      <c r="BYO79" s="1715" t="s">
        <v>0</v>
      </c>
      <c r="BYP79" s="1716"/>
      <c r="BYQ79" s="1716"/>
      <c r="BYR79" s="1716"/>
      <c r="BYS79" s="1716"/>
      <c r="BYT79" s="244"/>
      <c r="BYU79" s="244" t="s">
        <v>68</v>
      </c>
      <c r="BYV79" s="245" t="s">
        <v>68</v>
      </c>
      <c r="BYW79" s="1715" t="s">
        <v>0</v>
      </c>
      <c r="BYX79" s="1716"/>
      <c r="BYY79" s="1716"/>
      <c r="BYZ79" s="1716"/>
      <c r="BZA79" s="1716"/>
      <c r="BZB79" s="244"/>
      <c r="BZC79" s="244" t="s">
        <v>68</v>
      </c>
      <c r="BZD79" s="245" t="s">
        <v>68</v>
      </c>
      <c r="BZE79" s="1715" t="s">
        <v>0</v>
      </c>
      <c r="BZF79" s="1716"/>
      <c r="BZG79" s="1716"/>
      <c r="BZH79" s="1716"/>
      <c r="BZI79" s="1716"/>
      <c r="BZJ79" s="244"/>
      <c r="BZK79" s="244" t="s">
        <v>68</v>
      </c>
      <c r="BZL79" s="245" t="s">
        <v>68</v>
      </c>
      <c r="BZM79" s="1715" t="s">
        <v>0</v>
      </c>
      <c r="BZN79" s="1716"/>
      <c r="BZO79" s="1716"/>
      <c r="BZP79" s="1716"/>
      <c r="BZQ79" s="1716"/>
      <c r="BZR79" s="244"/>
      <c r="BZS79" s="244" t="s">
        <v>68</v>
      </c>
      <c r="BZT79" s="245" t="s">
        <v>68</v>
      </c>
      <c r="BZU79" s="1715" t="s">
        <v>0</v>
      </c>
      <c r="BZV79" s="1716"/>
      <c r="BZW79" s="1716"/>
      <c r="BZX79" s="1716"/>
      <c r="BZY79" s="1716"/>
      <c r="BZZ79" s="244"/>
      <c r="CAA79" s="244" t="s">
        <v>68</v>
      </c>
      <c r="CAB79" s="245" t="s">
        <v>68</v>
      </c>
      <c r="CAC79" s="1715" t="s">
        <v>0</v>
      </c>
      <c r="CAD79" s="1716"/>
      <c r="CAE79" s="1716"/>
      <c r="CAF79" s="1716"/>
      <c r="CAG79" s="1716"/>
      <c r="CAH79" s="244"/>
      <c r="CAI79" s="244" t="s">
        <v>68</v>
      </c>
      <c r="CAJ79" s="245" t="s">
        <v>68</v>
      </c>
      <c r="CAK79" s="1715" t="s">
        <v>0</v>
      </c>
      <c r="CAL79" s="1716"/>
      <c r="CAM79" s="1716"/>
      <c r="CAN79" s="1716"/>
      <c r="CAO79" s="1716"/>
      <c r="CAP79" s="244"/>
      <c r="CAQ79" s="244" t="s">
        <v>68</v>
      </c>
      <c r="CAR79" s="245" t="s">
        <v>68</v>
      </c>
      <c r="CAS79" s="1715" t="s">
        <v>0</v>
      </c>
      <c r="CAT79" s="1716"/>
      <c r="CAU79" s="1716"/>
      <c r="CAV79" s="1716"/>
      <c r="CAW79" s="1716"/>
      <c r="CAX79" s="244"/>
      <c r="CAY79" s="244" t="s">
        <v>68</v>
      </c>
      <c r="CAZ79" s="245" t="s">
        <v>68</v>
      </c>
      <c r="CBA79" s="1715" t="s">
        <v>0</v>
      </c>
      <c r="CBB79" s="1716"/>
      <c r="CBC79" s="1716"/>
      <c r="CBD79" s="1716"/>
      <c r="CBE79" s="1716"/>
      <c r="CBF79" s="244"/>
      <c r="CBG79" s="244" t="s">
        <v>68</v>
      </c>
      <c r="CBH79" s="245" t="s">
        <v>68</v>
      </c>
      <c r="CBI79" s="1715" t="s">
        <v>0</v>
      </c>
      <c r="CBJ79" s="1716"/>
      <c r="CBK79" s="1716"/>
      <c r="CBL79" s="1716"/>
      <c r="CBM79" s="1716"/>
      <c r="CBN79" s="244"/>
      <c r="CBO79" s="244" t="s">
        <v>68</v>
      </c>
      <c r="CBP79" s="245" t="s">
        <v>68</v>
      </c>
      <c r="CBQ79" s="1715" t="s">
        <v>0</v>
      </c>
      <c r="CBR79" s="1716"/>
      <c r="CBS79" s="1716"/>
      <c r="CBT79" s="1716"/>
      <c r="CBU79" s="1716"/>
      <c r="CBV79" s="244"/>
      <c r="CBW79" s="244" t="s">
        <v>68</v>
      </c>
      <c r="CBX79" s="245" t="s">
        <v>68</v>
      </c>
      <c r="CBY79" s="1715" t="s">
        <v>0</v>
      </c>
      <c r="CBZ79" s="1716"/>
      <c r="CCA79" s="1716"/>
      <c r="CCB79" s="1716"/>
      <c r="CCC79" s="1716"/>
      <c r="CCD79" s="244"/>
      <c r="CCE79" s="244" t="s">
        <v>68</v>
      </c>
      <c r="CCF79" s="245" t="s">
        <v>68</v>
      </c>
      <c r="CCG79" s="1715" t="s">
        <v>0</v>
      </c>
      <c r="CCH79" s="1716"/>
      <c r="CCI79" s="1716"/>
      <c r="CCJ79" s="1716"/>
      <c r="CCK79" s="1716"/>
      <c r="CCL79" s="244"/>
      <c r="CCM79" s="244" t="s">
        <v>68</v>
      </c>
      <c r="CCN79" s="245" t="s">
        <v>68</v>
      </c>
      <c r="CCO79" s="1715" t="s">
        <v>0</v>
      </c>
      <c r="CCP79" s="1716"/>
      <c r="CCQ79" s="1716"/>
      <c r="CCR79" s="1716"/>
      <c r="CCS79" s="1716"/>
      <c r="CCT79" s="244"/>
      <c r="CCU79" s="244" t="s">
        <v>68</v>
      </c>
      <c r="CCV79" s="245" t="s">
        <v>68</v>
      </c>
      <c r="CCW79" s="1715" t="s">
        <v>0</v>
      </c>
      <c r="CCX79" s="1716"/>
      <c r="CCY79" s="1716"/>
      <c r="CCZ79" s="1716"/>
      <c r="CDA79" s="1716"/>
      <c r="CDB79" s="244"/>
      <c r="CDC79" s="244" t="s">
        <v>68</v>
      </c>
      <c r="CDD79" s="245" t="s">
        <v>68</v>
      </c>
      <c r="CDE79" s="1715" t="s">
        <v>0</v>
      </c>
      <c r="CDF79" s="1716"/>
      <c r="CDG79" s="1716"/>
      <c r="CDH79" s="1716"/>
      <c r="CDI79" s="1716"/>
      <c r="CDJ79" s="244"/>
      <c r="CDK79" s="244" t="s">
        <v>68</v>
      </c>
      <c r="CDL79" s="245" t="s">
        <v>68</v>
      </c>
      <c r="CDM79" s="1715" t="s">
        <v>0</v>
      </c>
      <c r="CDN79" s="1716"/>
      <c r="CDO79" s="1716"/>
      <c r="CDP79" s="1716"/>
      <c r="CDQ79" s="1716"/>
      <c r="CDR79" s="244"/>
      <c r="CDS79" s="244" t="s">
        <v>68</v>
      </c>
      <c r="CDT79" s="245" t="s">
        <v>68</v>
      </c>
      <c r="CDU79" s="1715" t="s">
        <v>0</v>
      </c>
      <c r="CDV79" s="1716"/>
      <c r="CDW79" s="1716"/>
      <c r="CDX79" s="1716"/>
      <c r="CDY79" s="1716"/>
      <c r="CDZ79" s="244"/>
      <c r="CEA79" s="244" t="s">
        <v>68</v>
      </c>
      <c r="CEB79" s="245" t="s">
        <v>68</v>
      </c>
      <c r="CEC79" s="1715" t="s">
        <v>0</v>
      </c>
      <c r="CED79" s="1716"/>
      <c r="CEE79" s="1716"/>
      <c r="CEF79" s="1716"/>
      <c r="CEG79" s="1716"/>
      <c r="CEH79" s="244"/>
      <c r="CEI79" s="244" t="s">
        <v>68</v>
      </c>
      <c r="CEJ79" s="245" t="s">
        <v>68</v>
      </c>
      <c r="CEK79" s="1715" t="s">
        <v>0</v>
      </c>
      <c r="CEL79" s="1716"/>
      <c r="CEM79" s="1716"/>
      <c r="CEN79" s="1716"/>
      <c r="CEO79" s="1716"/>
      <c r="CEP79" s="244"/>
      <c r="CEQ79" s="244" t="s">
        <v>68</v>
      </c>
      <c r="CER79" s="245" t="s">
        <v>68</v>
      </c>
      <c r="CES79" s="1715" t="s">
        <v>0</v>
      </c>
      <c r="CET79" s="1716"/>
      <c r="CEU79" s="1716"/>
      <c r="CEV79" s="1716"/>
      <c r="CEW79" s="1716"/>
      <c r="CEX79" s="244"/>
      <c r="CEY79" s="244" t="s">
        <v>68</v>
      </c>
      <c r="CEZ79" s="245" t="s">
        <v>68</v>
      </c>
      <c r="CFA79" s="1715" t="s">
        <v>0</v>
      </c>
      <c r="CFB79" s="1716"/>
      <c r="CFC79" s="1716"/>
      <c r="CFD79" s="1716"/>
      <c r="CFE79" s="1716"/>
      <c r="CFF79" s="244"/>
      <c r="CFG79" s="244" t="s">
        <v>68</v>
      </c>
      <c r="CFH79" s="245" t="s">
        <v>68</v>
      </c>
      <c r="CFI79" s="1715" t="s">
        <v>0</v>
      </c>
      <c r="CFJ79" s="1716"/>
      <c r="CFK79" s="1716"/>
      <c r="CFL79" s="1716"/>
      <c r="CFM79" s="1716"/>
      <c r="CFN79" s="244"/>
      <c r="CFO79" s="244" t="s">
        <v>68</v>
      </c>
      <c r="CFP79" s="245" t="s">
        <v>68</v>
      </c>
      <c r="CFQ79" s="1715" t="s">
        <v>0</v>
      </c>
      <c r="CFR79" s="1716"/>
      <c r="CFS79" s="1716"/>
      <c r="CFT79" s="1716"/>
      <c r="CFU79" s="1716"/>
      <c r="CFV79" s="244"/>
      <c r="CFW79" s="244" t="s">
        <v>68</v>
      </c>
      <c r="CFX79" s="245" t="s">
        <v>68</v>
      </c>
      <c r="CFY79" s="1715" t="s">
        <v>0</v>
      </c>
      <c r="CFZ79" s="1716"/>
      <c r="CGA79" s="1716"/>
      <c r="CGB79" s="1716"/>
      <c r="CGC79" s="1716"/>
      <c r="CGD79" s="244"/>
      <c r="CGE79" s="244" t="s">
        <v>68</v>
      </c>
      <c r="CGF79" s="245" t="s">
        <v>68</v>
      </c>
      <c r="CGG79" s="1715" t="s">
        <v>0</v>
      </c>
      <c r="CGH79" s="1716"/>
      <c r="CGI79" s="1716"/>
      <c r="CGJ79" s="1716"/>
      <c r="CGK79" s="1716"/>
      <c r="CGL79" s="244"/>
      <c r="CGM79" s="244" t="s">
        <v>68</v>
      </c>
      <c r="CGN79" s="245" t="s">
        <v>68</v>
      </c>
      <c r="CGO79" s="1715" t="s">
        <v>0</v>
      </c>
      <c r="CGP79" s="1716"/>
      <c r="CGQ79" s="1716"/>
      <c r="CGR79" s="1716"/>
      <c r="CGS79" s="1716"/>
      <c r="CGT79" s="244"/>
      <c r="CGU79" s="244" t="s">
        <v>68</v>
      </c>
      <c r="CGV79" s="245" t="s">
        <v>68</v>
      </c>
      <c r="CGW79" s="1715" t="s">
        <v>0</v>
      </c>
      <c r="CGX79" s="1716"/>
      <c r="CGY79" s="1716"/>
      <c r="CGZ79" s="1716"/>
      <c r="CHA79" s="1716"/>
      <c r="CHB79" s="244"/>
      <c r="CHC79" s="244" t="s">
        <v>68</v>
      </c>
      <c r="CHD79" s="245" t="s">
        <v>68</v>
      </c>
      <c r="CHE79" s="1715" t="s">
        <v>0</v>
      </c>
      <c r="CHF79" s="1716"/>
      <c r="CHG79" s="1716"/>
      <c r="CHH79" s="1716"/>
      <c r="CHI79" s="1716"/>
      <c r="CHJ79" s="244"/>
      <c r="CHK79" s="244" t="s">
        <v>68</v>
      </c>
      <c r="CHL79" s="245" t="s">
        <v>68</v>
      </c>
      <c r="CHM79" s="1715" t="s">
        <v>0</v>
      </c>
      <c r="CHN79" s="1716"/>
      <c r="CHO79" s="1716"/>
      <c r="CHP79" s="1716"/>
      <c r="CHQ79" s="1716"/>
      <c r="CHR79" s="244"/>
      <c r="CHS79" s="244" t="s">
        <v>68</v>
      </c>
      <c r="CHT79" s="245" t="s">
        <v>68</v>
      </c>
      <c r="CHU79" s="1715" t="s">
        <v>0</v>
      </c>
      <c r="CHV79" s="1716"/>
      <c r="CHW79" s="1716"/>
      <c r="CHX79" s="1716"/>
      <c r="CHY79" s="1716"/>
      <c r="CHZ79" s="244"/>
      <c r="CIA79" s="244" t="s">
        <v>68</v>
      </c>
      <c r="CIB79" s="245" t="s">
        <v>68</v>
      </c>
      <c r="CIC79" s="1715" t="s">
        <v>0</v>
      </c>
      <c r="CID79" s="1716"/>
      <c r="CIE79" s="1716"/>
      <c r="CIF79" s="1716"/>
      <c r="CIG79" s="1716"/>
      <c r="CIH79" s="244"/>
      <c r="CII79" s="244" t="s">
        <v>68</v>
      </c>
      <c r="CIJ79" s="245" t="s">
        <v>68</v>
      </c>
      <c r="CIK79" s="1715" t="s">
        <v>0</v>
      </c>
      <c r="CIL79" s="1716"/>
      <c r="CIM79" s="1716"/>
      <c r="CIN79" s="1716"/>
      <c r="CIO79" s="1716"/>
      <c r="CIP79" s="244"/>
      <c r="CIQ79" s="244" t="s">
        <v>68</v>
      </c>
      <c r="CIR79" s="245" t="s">
        <v>68</v>
      </c>
      <c r="CIS79" s="1715" t="s">
        <v>0</v>
      </c>
      <c r="CIT79" s="1716"/>
      <c r="CIU79" s="1716"/>
      <c r="CIV79" s="1716"/>
      <c r="CIW79" s="1716"/>
      <c r="CIX79" s="244"/>
      <c r="CIY79" s="244" t="s">
        <v>68</v>
      </c>
      <c r="CIZ79" s="245" t="s">
        <v>68</v>
      </c>
      <c r="CJA79" s="1715" t="s">
        <v>0</v>
      </c>
      <c r="CJB79" s="1716"/>
      <c r="CJC79" s="1716"/>
      <c r="CJD79" s="1716"/>
      <c r="CJE79" s="1716"/>
      <c r="CJF79" s="244"/>
      <c r="CJG79" s="244" t="s">
        <v>68</v>
      </c>
      <c r="CJH79" s="245" t="s">
        <v>68</v>
      </c>
      <c r="CJI79" s="1715" t="s">
        <v>0</v>
      </c>
      <c r="CJJ79" s="1716"/>
      <c r="CJK79" s="1716"/>
      <c r="CJL79" s="1716"/>
      <c r="CJM79" s="1716"/>
      <c r="CJN79" s="244"/>
      <c r="CJO79" s="244" t="s">
        <v>68</v>
      </c>
      <c r="CJP79" s="245" t="s">
        <v>68</v>
      </c>
      <c r="CJQ79" s="1715" t="s">
        <v>0</v>
      </c>
      <c r="CJR79" s="1716"/>
      <c r="CJS79" s="1716"/>
      <c r="CJT79" s="1716"/>
      <c r="CJU79" s="1716"/>
      <c r="CJV79" s="244"/>
      <c r="CJW79" s="244" t="s">
        <v>68</v>
      </c>
      <c r="CJX79" s="245" t="s">
        <v>68</v>
      </c>
      <c r="CJY79" s="1715" t="s">
        <v>0</v>
      </c>
      <c r="CJZ79" s="1716"/>
      <c r="CKA79" s="1716"/>
      <c r="CKB79" s="1716"/>
      <c r="CKC79" s="1716"/>
      <c r="CKD79" s="244"/>
      <c r="CKE79" s="244" t="s">
        <v>68</v>
      </c>
      <c r="CKF79" s="245" t="s">
        <v>68</v>
      </c>
      <c r="CKG79" s="1715" t="s">
        <v>0</v>
      </c>
      <c r="CKH79" s="1716"/>
      <c r="CKI79" s="1716"/>
      <c r="CKJ79" s="1716"/>
      <c r="CKK79" s="1716"/>
      <c r="CKL79" s="244"/>
      <c r="CKM79" s="244" t="s">
        <v>68</v>
      </c>
      <c r="CKN79" s="245" t="s">
        <v>68</v>
      </c>
      <c r="CKO79" s="1715" t="s">
        <v>0</v>
      </c>
      <c r="CKP79" s="1716"/>
      <c r="CKQ79" s="1716"/>
      <c r="CKR79" s="1716"/>
      <c r="CKS79" s="1716"/>
      <c r="CKT79" s="244"/>
      <c r="CKU79" s="244" t="s">
        <v>68</v>
      </c>
      <c r="CKV79" s="245" t="s">
        <v>68</v>
      </c>
      <c r="CKW79" s="1715" t="s">
        <v>0</v>
      </c>
      <c r="CKX79" s="1716"/>
      <c r="CKY79" s="1716"/>
      <c r="CKZ79" s="1716"/>
      <c r="CLA79" s="1716"/>
      <c r="CLB79" s="244"/>
      <c r="CLC79" s="244" t="s">
        <v>68</v>
      </c>
      <c r="CLD79" s="245" t="s">
        <v>68</v>
      </c>
      <c r="CLE79" s="1715" t="s">
        <v>0</v>
      </c>
      <c r="CLF79" s="1716"/>
      <c r="CLG79" s="1716"/>
      <c r="CLH79" s="1716"/>
      <c r="CLI79" s="1716"/>
      <c r="CLJ79" s="244"/>
      <c r="CLK79" s="244" t="s">
        <v>68</v>
      </c>
      <c r="CLL79" s="245" t="s">
        <v>68</v>
      </c>
      <c r="CLM79" s="1715" t="s">
        <v>0</v>
      </c>
      <c r="CLN79" s="1716"/>
      <c r="CLO79" s="1716"/>
      <c r="CLP79" s="1716"/>
      <c r="CLQ79" s="1716"/>
      <c r="CLR79" s="244"/>
      <c r="CLS79" s="244" t="s">
        <v>68</v>
      </c>
      <c r="CLT79" s="245" t="s">
        <v>68</v>
      </c>
      <c r="CLU79" s="1715" t="s">
        <v>0</v>
      </c>
      <c r="CLV79" s="1716"/>
      <c r="CLW79" s="1716"/>
      <c r="CLX79" s="1716"/>
      <c r="CLY79" s="1716"/>
      <c r="CLZ79" s="244"/>
      <c r="CMA79" s="244" t="s">
        <v>68</v>
      </c>
      <c r="CMB79" s="245" t="s">
        <v>68</v>
      </c>
      <c r="CMC79" s="1715" t="s">
        <v>0</v>
      </c>
      <c r="CMD79" s="1716"/>
      <c r="CME79" s="1716"/>
      <c r="CMF79" s="1716"/>
      <c r="CMG79" s="1716"/>
      <c r="CMH79" s="244"/>
      <c r="CMI79" s="244" t="s">
        <v>68</v>
      </c>
      <c r="CMJ79" s="245" t="s">
        <v>68</v>
      </c>
      <c r="CMK79" s="1715" t="s">
        <v>0</v>
      </c>
      <c r="CML79" s="1716"/>
      <c r="CMM79" s="1716"/>
      <c r="CMN79" s="1716"/>
      <c r="CMO79" s="1716"/>
      <c r="CMP79" s="244"/>
      <c r="CMQ79" s="244" t="s">
        <v>68</v>
      </c>
      <c r="CMR79" s="245" t="s">
        <v>68</v>
      </c>
      <c r="CMS79" s="1715" t="s">
        <v>0</v>
      </c>
      <c r="CMT79" s="1716"/>
      <c r="CMU79" s="1716"/>
      <c r="CMV79" s="1716"/>
      <c r="CMW79" s="1716"/>
      <c r="CMX79" s="244"/>
      <c r="CMY79" s="244" t="s">
        <v>68</v>
      </c>
      <c r="CMZ79" s="245" t="s">
        <v>68</v>
      </c>
      <c r="CNA79" s="1715" t="s">
        <v>0</v>
      </c>
      <c r="CNB79" s="1716"/>
      <c r="CNC79" s="1716"/>
      <c r="CND79" s="1716"/>
      <c r="CNE79" s="1716"/>
      <c r="CNF79" s="244"/>
      <c r="CNG79" s="244" t="s">
        <v>68</v>
      </c>
      <c r="CNH79" s="245" t="s">
        <v>68</v>
      </c>
      <c r="CNI79" s="1715" t="s">
        <v>0</v>
      </c>
      <c r="CNJ79" s="1716"/>
      <c r="CNK79" s="1716"/>
      <c r="CNL79" s="1716"/>
      <c r="CNM79" s="1716"/>
      <c r="CNN79" s="244"/>
      <c r="CNO79" s="244" t="s">
        <v>68</v>
      </c>
      <c r="CNP79" s="245" t="s">
        <v>68</v>
      </c>
      <c r="CNQ79" s="1715" t="s">
        <v>0</v>
      </c>
      <c r="CNR79" s="1716"/>
      <c r="CNS79" s="1716"/>
      <c r="CNT79" s="1716"/>
      <c r="CNU79" s="1716"/>
      <c r="CNV79" s="244"/>
      <c r="CNW79" s="244" t="s">
        <v>68</v>
      </c>
      <c r="CNX79" s="245" t="s">
        <v>68</v>
      </c>
      <c r="CNY79" s="1715" t="s">
        <v>0</v>
      </c>
      <c r="CNZ79" s="1716"/>
      <c r="COA79" s="1716"/>
      <c r="COB79" s="1716"/>
      <c r="COC79" s="1716"/>
      <c r="COD79" s="244"/>
      <c r="COE79" s="244" t="s">
        <v>68</v>
      </c>
      <c r="COF79" s="245" t="s">
        <v>68</v>
      </c>
      <c r="COG79" s="1715" t="s">
        <v>0</v>
      </c>
      <c r="COH79" s="1716"/>
      <c r="COI79" s="1716"/>
      <c r="COJ79" s="1716"/>
      <c r="COK79" s="1716"/>
      <c r="COL79" s="244"/>
      <c r="COM79" s="244" t="s">
        <v>68</v>
      </c>
      <c r="CON79" s="245" t="s">
        <v>68</v>
      </c>
      <c r="COO79" s="1715" t="s">
        <v>0</v>
      </c>
      <c r="COP79" s="1716"/>
      <c r="COQ79" s="1716"/>
      <c r="COR79" s="1716"/>
      <c r="COS79" s="1716"/>
      <c r="COT79" s="244"/>
      <c r="COU79" s="244" t="s">
        <v>68</v>
      </c>
      <c r="COV79" s="245" t="s">
        <v>68</v>
      </c>
      <c r="COW79" s="1715" t="s">
        <v>0</v>
      </c>
      <c r="COX79" s="1716"/>
      <c r="COY79" s="1716"/>
      <c r="COZ79" s="1716"/>
      <c r="CPA79" s="1716"/>
      <c r="CPB79" s="244"/>
      <c r="CPC79" s="244" t="s">
        <v>68</v>
      </c>
      <c r="CPD79" s="245" t="s">
        <v>68</v>
      </c>
      <c r="CPE79" s="1715" t="s">
        <v>0</v>
      </c>
      <c r="CPF79" s="1716"/>
      <c r="CPG79" s="1716"/>
      <c r="CPH79" s="1716"/>
      <c r="CPI79" s="1716"/>
      <c r="CPJ79" s="244"/>
      <c r="CPK79" s="244" t="s">
        <v>68</v>
      </c>
      <c r="CPL79" s="245" t="s">
        <v>68</v>
      </c>
      <c r="CPM79" s="1715" t="s">
        <v>0</v>
      </c>
      <c r="CPN79" s="1716"/>
      <c r="CPO79" s="1716"/>
      <c r="CPP79" s="1716"/>
      <c r="CPQ79" s="1716"/>
      <c r="CPR79" s="244"/>
      <c r="CPS79" s="244" t="s">
        <v>68</v>
      </c>
      <c r="CPT79" s="245" t="s">
        <v>68</v>
      </c>
      <c r="CPU79" s="1715" t="s">
        <v>0</v>
      </c>
      <c r="CPV79" s="1716"/>
      <c r="CPW79" s="1716"/>
      <c r="CPX79" s="1716"/>
      <c r="CPY79" s="1716"/>
      <c r="CPZ79" s="244"/>
      <c r="CQA79" s="244" t="s">
        <v>68</v>
      </c>
      <c r="CQB79" s="245" t="s">
        <v>68</v>
      </c>
      <c r="CQC79" s="1715" t="s">
        <v>0</v>
      </c>
      <c r="CQD79" s="1716"/>
      <c r="CQE79" s="1716"/>
      <c r="CQF79" s="1716"/>
      <c r="CQG79" s="1716"/>
      <c r="CQH79" s="244"/>
      <c r="CQI79" s="244" t="s">
        <v>68</v>
      </c>
      <c r="CQJ79" s="245" t="s">
        <v>68</v>
      </c>
      <c r="CQK79" s="1715" t="s">
        <v>0</v>
      </c>
      <c r="CQL79" s="1716"/>
      <c r="CQM79" s="1716"/>
      <c r="CQN79" s="1716"/>
      <c r="CQO79" s="1716"/>
      <c r="CQP79" s="244"/>
      <c r="CQQ79" s="244" t="s">
        <v>68</v>
      </c>
      <c r="CQR79" s="245" t="s">
        <v>68</v>
      </c>
      <c r="CQS79" s="1715" t="s">
        <v>0</v>
      </c>
      <c r="CQT79" s="1716"/>
      <c r="CQU79" s="1716"/>
      <c r="CQV79" s="1716"/>
      <c r="CQW79" s="1716"/>
      <c r="CQX79" s="244"/>
      <c r="CQY79" s="244" t="s">
        <v>68</v>
      </c>
      <c r="CQZ79" s="245" t="s">
        <v>68</v>
      </c>
      <c r="CRA79" s="1715" t="s">
        <v>0</v>
      </c>
      <c r="CRB79" s="1716"/>
      <c r="CRC79" s="1716"/>
      <c r="CRD79" s="1716"/>
      <c r="CRE79" s="1716"/>
      <c r="CRF79" s="244"/>
      <c r="CRG79" s="244" t="s">
        <v>68</v>
      </c>
      <c r="CRH79" s="245" t="s">
        <v>68</v>
      </c>
      <c r="CRI79" s="1715" t="s">
        <v>0</v>
      </c>
      <c r="CRJ79" s="1716"/>
      <c r="CRK79" s="1716"/>
      <c r="CRL79" s="1716"/>
      <c r="CRM79" s="1716"/>
      <c r="CRN79" s="244"/>
      <c r="CRO79" s="244" t="s">
        <v>68</v>
      </c>
      <c r="CRP79" s="245" t="s">
        <v>68</v>
      </c>
      <c r="CRQ79" s="1715" t="s">
        <v>0</v>
      </c>
      <c r="CRR79" s="1716"/>
      <c r="CRS79" s="1716"/>
      <c r="CRT79" s="1716"/>
      <c r="CRU79" s="1716"/>
      <c r="CRV79" s="244"/>
      <c r="CRW79" s="244" t="s">
        <v>68</v>
      </c>
      <c r="CRX79" s="245" t="s">
        <v>68</v>
      </c>
      <c r="CRY79" s="1715" t="s">
        <v>0</v>
      </c>
      <c r="CRZ79" s="1716"/>
      <c r="CSA79" s="1716"/>
      <c r="CSB79" s="1716"/>
      <c r="CSC79" s="1716"/>
      <c r="CSD79" s="244"/>
      <c r="CSE79" s="244" t="s">
        <v>68</v>
      </c>
      <c r="CSF79" s="245" t="s">
        <v>68</v>
      </c>
      <c r="CSG79" s="1715" t="s">
        <v>0</v>
      </c>
      <c r="CSH79" s="1716"/>
      <c r="CSI79" s="1716"/>
      <c r="CSJ79" s="1716"/>
      <c r="CSK79" s="1716"/>
      <c r="CSL79" s="244"/>
      <c r="CSM79" s="244" t="s">
        <v>68</v>
      </c>
      <c r="CSN79" s="245" t="s">
        <v>68</v>
      </c>
      <c r="CSO79" s="1715" t="s">
        <v>0</v>
      </c>
      <c r="CSP79" s="1716"/>
      <c r="CSQ79" s="1716"/>
      <c r="CSR79" s="1716"/>
      <c r="CSS79" s="1716"/>
      <c r="CST79" s="244"/>
      <c r="CSU79" s="244" t="s">
        <v>68</v>
      </c>
      <c r="CSV79" s="245" t="s">
        <v>68</v>
      </c>
      <c r="CSW79" s="1715" t="s">
        <v>0</v>
      </c>
      <c r="CSX79" s="1716"/>
      <c r="CSY79" s="1716"/>
      <c r="CSZ79" s="1716"/>
      <c r="CTA79" s="1716"/>
      <c r="CTB79" s="244"/>
      <c r="CTC79" s="244" t="s">
        <v>68</v>
      </c>
      <c r="CTD79" s="245" t="s">
        <v>68</v>
      </c>
      <c r="CTE79" s="1715" t="s">
        <v>0</v>
      </c>
      <c r="CTF79" s="1716"/>
      <c r="CTG79" s="1716"/>
      <c r="CTH79" s="1716"/>
      <c r="CTI79" s="1716"/>
      <c r="CTJ79" s="244"/>
      <c r="CTK79" s="244" t="s">
        <v>68</v>
      </c>
      <c r="CTL79" s="245" t="s">
        <v>68</v>
      </c>
      <c r="CTM79" s="1715" t="s">
        <v>0</v>
      </c>
      <c r="CTN79" s="1716"/>
      <c r="CTO79" s="1716"/>
      <c r="CTP79" s="1716"/>
      <c r="CTQ79" s="1716"/>
      <c r="CTR79" s="244"/>
      <c r="CTS79" s="244" t="s">
        <v>68</v>
      </c>
      <c r="CTT79" s="245" t="s">
        <v>68</v>
      </c>
      <c r="CTU79" s="1715" t="s">
        <v>0</v>
      </c>
      <c r="CTV79" s="1716"/>
      <c r="CTW79" s="1716"/>
      <c r="CTX79" s="1716"/>
      <c r="CTY79" s="1716"/>
      <c r="CTZ79" s="244"/>
      <c r="CUA79" s="244" t="s">
        <v>68</v>
      </c>
      <c r="CUB79" s="245" t="s">
        <v>68</v>
      </c>
      <c r="CUC79" s="1715" t="s">
        <v>0</v>
      </c>
      <c r="CUD79" s="1716"/>
      <c r="CUE79" s="1716"/>
      <c r="CUF79" s="1716"/>
      <c r="CUG79" s="1716"/>
      <c r="CUH79" s="244"/>
      <c r="CUI79" s="244" t="s">
        <v>68</v>
      </c>
      <c r="CUJ79" s="245" t="s">
        <v>68</v>
      </c>
      <c r="CUK79" s="1715" t="s">
        <v>0</v>
      </c>
      <c r="CUL79" s="1716"/>
      <c r="CUM79" s="1716"/>
      <c r="CUN79" s="1716"/>
      <c r="CUO79" s="1716"/>
      <c r="CUP79" s="244"/>
      <c r="CUQ79" s="244" t="s">
        <v>68</v>
      </c>
      <c r="CUR79" s="245" t="s">
        <v>68</v>
      </c>
      <c r="CUS79" s="1715" t="s">
        <v>0</v>
      </c>
      <c r="CUT79" s="1716"/>
      <c r="CUU79" s="1716"/>
      <c r="CUV79" s="1716"/>
      <c r="CUW79" s="1716"/>
      <c r="CUX79" s="244"/>
      <c r="CUY79" s="244" t="s">
        <v>68</v>
      </c>
      <c r="CUZ79" s="245" t="s">
        <v>68</v>
      </c>
      <c r="CVA79" s="1715" t="s">
        <v>0</v>
      </c>
      <c r="CVB79" s="1716"/>
      <c r="CVC79" s="1716"/>
      <c r="CVD79" s="1716"/>
      <c r="CVE79" s="1716"/>
      <c r="CVF79" s="244"/>
      <c r="CVG79" s="244" t="s">
        <v>68</v>
      </c>
      <c r="CVH79" s="245" t="s">
        <v>68</v>
      </c>
      <c r="CVI79" s="1715" t="s">
        <v>0</v>
      </c>
      <c r="CVJ79" s="1716"/>
      <c r="CVK79" s="1716"/>
      <c r="CVL79" s="1716"/>
      <c r="CVM79" s="1716"/>
      <c r="CVN79" s="244"/>
      <c r="CVO79" s="244" t="s">
        <v>68</v>
      </c>
      <c r="CVP79" s="245" t="s">
        <v>68</v>
      </c>
      <c r="CVQ79" s="1715" t="s">
        <v>0</v>
      </c>
      <c r="CVR79" s="1716"/>
      <c r="CVS79" s="1716"/>
      <c r="CVT79" s="1716"/>
      <c r="CVU79" s="1716"/>
      <c r="CVV79" s="244"/>
      <c r="CVW79" s="244" t="s">
        <v>68</v>
      </c>
      <c r="CVX79" s="245" t="s">
        <v>68</v>
      </c>
      <c r="CVY79" s="1715" t="s">
        <v>0</v>
      </c>
      <c r="CVZ79" s="1716"/>
      <c r="CWA79" s="1716"/>
      <c r="CWB79" s="1716"/>
      <c r="CWC79" s="1716"/>
      <c r="CWD79" s="244"/>
      <c r="CWE79" s="244" t="s">
        <v>68</v>
      </c>
      <c r="CWF79" s="245" t="s">
        <v>68</v>
      </c>
      <c r="CWG79" s="1715" t="s">
        <v>0</v>
      </c>
      <c r="CWH79" s="1716"/>
      <c r="CWI79" s="1716"/>
      <c r="CWJ79" s="1716"/>
      <c r="CWK79" s="1716"/>
      <c r="CWL79" s="244"/>
      <c r="CWM79" s="244" t="s">
        <v>68</v>
      </c>
      <c r="CWN79" s="245" t="s">
        <v>68</v>
      </c>
      <c r="CWO79" s="1715" t="s">
        <v>0</v>
      </c>
      <c r="CWP79" s="1716"/>
      <c r="CWQ79" s="1716"/>
      <c r="CWR79" s="1716"/>
      <c r="CWS79" s="1716"/>
      <c r="CWT79" s="244"/>
      <c r="CWU79" s="244" t="s">
        <v>68</v>
      </c>
      <c r="CWV79" s="245" t="s">
        <v>68</v>
      </c>
      <c r="CWW79" s="1715" t="s">
        <v>0</v>
      </c>
      <c r="CWX79" s="1716"/>
      <c r="CWY79" s="1716"/>
      <c r="CWZ79" s="1716"/>
      <c r="CXA79" s="1716"/>
      <c r="CXB79" s="244"/>
      <c r="CXC79" s="244" t="s">
        <v>68</v>
      </c>
      <c r="CXD79" s="245" t="s">
        <v>68</v>
      </c>
      <c r="CXE79" s="1715" t="s">
        <v>0</v>
      </c>
      <c r="CXF79" s="1716"/>
      <c r="CXG79" s="1716"/>
      <c r="CXH79" s="1716"/>
      <c r="CXI79" s="1716"/>
      <c r="CXJ79" s="244"/>
      <c r="CXK79" s="244" t="s">
        <v>68</v>
      </c>
      <c r="CXL79" s="245" t="s">
        <v>68</v>
      </c>
      <c r="CXM79" s="1715" t="s">
        <v>0</v>
      </c>
      <c r="CXN79" s="1716"/>
      <c r="CXO79" s="1716"/>
      <c r="CXP79" s="1716"/>
      <c r="CXQ79" s="1716"/>
      <c r="CXR79" s="244"/>
      <c r="CXS79" s="244" t="s">
        <v>68</v>
      </c>
      <c r="CXT79" s="245" t="s">
        <v>68</v>
      </c>
      <c r="CXU79" s="1715" t="s">
        <v>0</v>
      </c>
      <c r="CXV79" s="1716"/>
      <c r="CXW79" s="1716"/>
      <c r="CXX79" s="1716"/>
      <c r="CXY79" s="1716"/>
      <c r="CXZ79" s="244"/>
      <c r="CYA79" s="244" t="s">
        <v>68</v>
      </c>
      <c r="CYB79" s="245" t="s">
        <v>68</v>
      </c>
      <c r="CYC79" s="1715" t="s">
        <v>0</v>
      </c>
      <c r="CYD79" s="1716"/>
      <c r="CYE79" s="1716"/>
      <c r="CYF79" s="1716"/>
      <c r="CYG79" s="1716"/>
      <c r="CYH79" s="244"/>
      <c r="CYI79" s="244" t="s">
        <v>68</v>
      </c>
      <c r="CYJ79" s="245" t="s">
        <v>68</v>
      </c>
      <c r="CYK79" s="1715" t="s">
        <v>0</v>
      </c>
      <c r="CYL79" s="1716"/>
      <c r="CYM79" s="1716"/>
      <c r="CYN79" s="1716"/>
      <c r="CYO79" s="1716"/>
      <c r="CYP79" s="244"/>
      <c r="CYQ79" s="244" t="s">
        <v>68</v>
      </c>
      <c r="CYR79" s="245" t="s">
        <v>68</v>
      </c>
      <c r="CYS79" s="1715" t="s">
        <v>0</v>
      </c>
      <c r="CYT79" s="1716"/>
      <c r="CYU79" s="1716"/>
      <c r="CYV79" s="1716"/>
      <c r="CYW79" s="1716"/>
      <c r="CYX79" s="244"/>
      <c r="CYY79" s="244" t="s">
        <v>68</v>
      </c>
      <c r="CYZ79" s="245" t="s">
        <v>68</v>
      </c>
      <c r="CZA79" s="1715" t="s">
        <v>0</v>
      </c>
      <c r="CZB79" s="1716"/>
      <c r="CZC79" s="1716"/>
      <c r="CZD79" s="1716"/>
      <c r="CZE79" s="1716"/>
      <c r="CZF79" s="244"/>
      <c r="CZG79" s="244" t="s">
        <v>68</v>
      </c>
      <c r="CZH79" s="245" t="s">
        <v>68</v>
      </c>
      <c r="CZI79" s="1715" t="s">
        <v>0</v>
      </c>
      <c r="CZJ79" s="1716"/>
      <c r="CZK79" s="1716"/>
      <c r="CZL79" s="1716"/>
      <c r="CZM79" s="1716"/>
      <c r="CZN79" s="244"/>
      <c r="CZO79" s="244" t="s">
        <v>68</v>
      </c>
      <c r="CZP79" s="245" t="s">
        <v>68</v>
      </c>
      <c r="CZQ79" s="1715" t="s">
        <v>0</v>
      </c>
      <c r="CZR79" s="1716"/>
      <c r="CZS79" s="1716"/>
      <c r="CZT79" s="1716"/>
      <c r="CZU79" s="1716"/>
      <c r="CZV79" s="244"/>
      <c r="CZW79" s="244" t="s">
        <v>68</v>
      </c>
      <c r="CZX79" s="245" t="s">
        <v>68</v>
      </c>
      <c r="CZY79" s="1715" t="s">
        <v>0</v>
      </c>
      <c r="CZZ79" s="1716"/>
      <c r="DAA79" s="1716"/>
      <c r="DAB79" s="1716"/>
      <c r="DAC79" s="1716"/>
      <c r="DAD79" s="244"/>
      <c r="DAE79" s="244" t="s">
        <v>68</v>
      </c>
      <c r="DAF79" s="245" t="s">
        <v>68</v>
      </c>
      <c r="DAG79" s="1715" t="s">
        <v>0</v>
      </c>
      <c r="DAH79" s="1716"/>
      <c r="DAI79" s="1716"/>
      <c r="DAJ79" s="1716"/>
      <c r="DAK79" s="1716"/>
      <c r="DAL79" s="244"/>
      <c r="DAM79" s="244" t="s">
        <v>68</v>
      </c>
      <c r="DAN79" s="245" t="s">
        <v>68</v>
      </c>
      <c r="DAO79" s="1715" t="s">
        <v>0</v>
      </c>
      <c r="DAP79" s="1716"/>
      <c r="DAQ79" s="1716"/>
      <c r="DAR79" s="1716"/>
      <c r="DAS79" s="1716"/>
      <c r="DAT79" s="244"/>
      <c r="DAU79" s="244" t="s">
        <v>68</v>
      </c>
      <c r="DAV79" s="245" t="s">
        <v>68</v>
      </c>
      <c r="DAW79" s="1715" t="s">
        <v>0</v>
      </c>
      <c r="DAX79" s="1716"/>
      <c r="DAY79" s="1716"/>
      <c r="DAZ79" s="1716"/>
      <c r="DBA79" s="1716"/>
      <c r="DBB79" s="244"/>
      <c r="DBC79" s="244" t="s">
        <v>68</v>
      </c>
      <c r="DBD79" s="245" t="s">
        <v>68</v>
      </c>
      <c r="DBE79" s="1715" t="s">
        <v>0</v>
      </c>
      <c r="DBF79" s="1716"/>
      <c r="DBG79" s="1716"/>
      <c r="DBH79" s="1716"/>
      <c r="DBI79" s="1716"/>
      <c r="DBJ79" s="244"/>
      <c r="DBK79" s="244" t="s">
        <v>68</v>
      </c>
      <c r="DBL79" s="245" t="s">
        <v>68</v>
      </c>
      <c r="DBM79" s="1715" t="s">
        <v>0</v>
      </c>
      <c r="DBN79" s="1716"/>
      <c r="DBO79" s="1716"/>
      <c r="DBP79" s="1716"/>
      <c r="DBQ79" s="1716"/>
      <c r="DBR79" s="244"/>
      <c r="DBS79" s="244" t="s">
        <v>68</v>
      </c>
      <c r="DBT79" s="245" t="s">
        <v>68</v>
      </c>
      <c r="DBU79" s="1715" t="s">
        <v>0</v>
      </c>
      <c r="DBV79" s="1716"/>
      <c r="DBW79" s="1716"/>
      <c r="DBX79" s="1716"/>
      <c r="DBY79" s="1716"/>
      <c r="DBZ79" s="244"/>
      <c r="DCA79" s="244" t="s">
        <v>68</v>
      </c>
      <c r="DCB79" s="245" t="s">
        <v>68</v>
      </c>
      <c r="DCC79" s="1715" t="s">
        <v>0</v>
      </c>
      <c r="DCD79" s="1716"/>
      <c r="DCE79" s="1716"/>
      <c r="DCF79" s="1716"/>
      <c r="DCG79" s="1716"/>
      <c r="DCH79" s="244"/>
      <c r="DCI79" s="244" t="s">
        <v>68</v>
      </c>
      <c r="DCJ79" s="245" t="s">
        <v>68</v>
      </c>
      <c r="DCK79" s="1715" t="s">
        <v>0</v>
      </c>
      <c r="DCL79" s="1716"/>
      <c r="DCM79" s="1716"/>
      <c r="DCN79" s="1716"/>
      <c r="DCO79" s="1716"/>
      <c r="DCP79" s="244"/>
      <c r="DCQ79" s="244" t="s">
        <v>68</v>
      </c>
      <c r="DCR79" s="245" t="s">
        <v>68</v>
      </c>
      <c r="DCS79" s="1715" t="s">
        <v>0</v>
      </c>
      <c r="DCT79" s="1716"/>
      <c r="DCU79" s="1716"/>
      <c r="DCV79" s="1716"/>
      <c r="DCW79" s="1716"/>
      <c r="DCX79" s="244"/>
      <c r="DCY79" s="244" t="s">
        <v>68</v>
      </c>
      <c r="DCZ79" s="245" t="s">
        <v>68</v>
      </c>
      <c r="DDA79" s="1715" t="s">
        <v>0</v>
      </c>
      <c r="DDB79" s="1716"/>
      <c r="DDC79" s="1716"/>
      <c r="DDD79" s="1716"/>
      <c r="DDE79" s="1716"/>
      <c r="DDF79" s="244"/>
      <c r="DDG79" s="244" t="s">
        <v>68</v>
      </c>
      <c r="DDH79" s="245" t="s">
        <v>68</v>
      </c>
      <c r="DDI79" s="1715" t="s">
        <v>0</v>
      </c>
      <c r="DDJ79" s="1716"/>
      <c r="DDK79" s="1716"/>
      <c r="DDL79" s="1716"/>
      <c r="DDM79" s="1716"/>
      <c r="DDN79" s="244"/>
      <c r="DDO79" s="244" t="s">
        <v>68</v>
      </c>
      <c r="DDP79" s="245" t="s">
        <v>68</v>
      </c>
      <c r="DDQ79" s="1715" t="s">
        <v>0</v>
      </c>
      <c r="DDR79" s="1716"/>
      <c r="DDS79" s="1716"/>
      <c r="DDT79" s="1716"/>
      <c r="DDU79" s="1716"/>
      <c r="DDV79" s="244"/>
      <c r="DDW79" s="244" t="s">
        <v>68</v>
      </c>
      <c r="DDX79" s="245" t="s">
        <v>68</v>
      </c>
      <c r="DDY79" s="1715" t="s">
        <v>0</v>
      </c>
      <c r="DDZ79" s="1716"/>
      <c r="DEA79" s="1716"/>
      <c r="DEB79" s="1716"/>
      <c r="DEC79" s="1716"/>
      <c r="DED79" s="244"/>
      <c r="DEE79" s="244" t="s">
        <v>68</v>
      </c>
      <c r="DEF79" s="245" t="s">
        <v>68</v>
      </c>
      <c r="DEG79" s="1715" t="s">
        <v>0</v>
      </c>
      <c r="DEH79" s="1716"/>
      <c r="DEI79" s="1716"/>
      <c r="DEJ79" s="1716"/>
      <c r="DEK79" s="1716"/>
      <c r="DEL79" s="244"/>
      <c r="DEM79" s="244" t="s">
        <v>68</v>
      </c>
      <c r="DEN79" s="245" t="s">
        <v>68</v>
      </c>
      <c r="DEO79" s="1715" t="s">
        <v>0</v>
      </c>
      <c r="DEP79" s="1716"/>
      <c r="DEQ79" s="1716"/>
      <c r="DER79" s="1716"/>
      <c r="DES79" s="1716"/>
      <c r="DET79" s="244"/>
      <c r="DEU79" s="244" t="s">
        <v>68</v>
      </c>
      <c r="DEV79" s="245" t="s">
        <v>68</v>
      </c>
      <c r="DEW79" s="1715" t="s">
        <v>0</v>
      </c>
      <c r="DEX79" s="1716"/>
      <c r="DEY79" s="1716"/>
      <c r="DEZ79" s="1716"/>
      <c r="DFA79" s="1716"/>
      <c r="DFB79" s="244"/>
      <c r="DFC79" s="244" t="s">
        <v>68</v>
      </c>
      <c r="DFD79" s="245" t="s">
        <v>68</v>
      </c>
      <c r="DFE79" s="1715" t="s">
        <v>0</v>
      </c>
      <c r="DFF79" s="1716"/>
      <c r="DFG79" s="1716"/>
      <c r="DFH79" s="1716"/>
      <c r="DFI79" s="1716"/>
      <c r="DFJ79" s="244"/>
      <c r="DFK79" s="244" t="s">
        <v>68</v>
      </c>
      <c r="DFL79" s="245" t="s">
        <v>68</v>
      </c>
      <c r="DFM79" s="1715" t="s">
        <v>0</v>
      </c>
      <c r="DFN79" s="1716"/>
      <c r="DFO79" s="1716"/>
      <c r="DFP79" s="1716"/>
      <c r="DFQ79" s="1716"/>
      <c r="DFR79" s="244"/>
      <c r="DFS79" s="244" t="s">
        <v>68</v>
      </c>
      <c r="DFT79" s="245" t="s">
        <v>68</v>
      </c>
      <c r="DFU79" s="1715" t="s">
        <v>0</v>
      </c>
      <c r="DFV79" s="1716"/>
      <c r="DFW79" s="1716"/>
      <c r="DFX79" s="1716"/>
      <c r="DFY79" s="1716"/>
      <c r="DFZ79" s="244"/>
      <c r="DGA79" s="244" t="s">
        <v>68</v>
      </c>
      <c r="DGB79" s="245" t="s">
        <v>68</v>
      </c>
      <c r="DGC79" s="1715" t="s">
        <v>0</v>
      </c>
      <c r="DGD79" s="1716"/>
      <c r="DGE79" s="1716"/>
      <c r="DGF79" s="1716"/>
      <c r="DGG79" s="1716"/>
      <c r="DGH79" s="244"/>
      <c r="DGI79" s="244" t="s">
        <v>68</v>
      </c>
      <c r="DGJ79" s="245" t="s">
        <v>68</v>
      </c>
      <c r="DGK79" s="1715" t="s">
        <v>0</v>
      </c>
      <c r="DGL79" s="1716"/>
      <c r="DGM79" s="1716"/>
      <c r="DGN79" s="1716"/>
      <c r="DGO79" s="1716"/>
      <c r="DGP79" s="244"/>
      <c r="DGQ79" s="244" t="s">
        <v>68</v>
      </c>
      <c r="DGR79" s="245" t="s">
        <v>68</v>
      </c>
      <c r="DGS79" s="1715" t="s">
        <v>0</v>
      </c>
      <c r="DGT79" s="1716"/>
      <c r="DGU79" s="1716"/>
      <c r="DGV79" s="1716"/>
      <c r="DGW79" s="1716"/>
      <c r="DGX79" s="244"/>
      <c r="DGY79" s="244" t="s">
        <v>68</v>
      </c>
      <c r="DGZ79" s="245" t="s">
        <v>68</v>
      </c>
      <c r="DHA79" s="1715" t="s">
        <v>0</v>
      </c>
      <c r="DHB79" s="1716"/>
      <c r="DHC79" s="1716"/>
      <c r="DHD79" s="1716"/>
      <c r="DHE79" s="1716"/>
      <c r="DHF79" s="244"/>
      <c r="DHG79" s="244" t="s">
        <v>68</v>
      </c>
      <c r="DHH79" s="245" t="s">
        <v>68</v>
      </c>
      <c r="DHI79" s="1715" t="s">
        <v>0</v>
      </c>
      <c r="DHJ79" s="1716"/>
      <c r="DHK79" s="1716"/>
      <c r="DHL79" s="1716"/>
      <c r="DHM79" s="1716"/>
      <c r="DHN79" s="244"/>
      <c r="DHO79" s="244" t="s">
        <v>68</v>
      </c>
      <c r="DHP79" s="245" t="s">
        <v>68</v>
      </c>
      <c r="DHQ79" s="1715" t="s">
        <v>0</v>
      </c>
      <c r="DHR79" s="1716"/>
      <c r="DHS79" s="1716"/>
      <c r="DHT79" s="1716"/>
      <c r="DHU79" s="1716"/>
      <c r="DHV79" s="244"/>
      <c r="DHW79" s="244" t="s">
        <v>68</v>
      </c>
      <c r="DHX79" s="245" t="s">
        <v>68</v>
      </c>
      <c r="DHY79" s="1715" t="s">
        <v>0</v>
      </c>
      <c r="DHZ79" s="1716"/>
      <c r="DIA79" s="1716"/>
      <c r="DIB79" s="1716"/>
      <c r="DIC79" s="1716"/>
      <c r="DID79" s="244"/>
      <c r="DIE79" s="244" t="s">
        <v>68</v>
      </c>
      <c r="DIF79" s="245" t="s">
        <v>68</v>
      </c>
      <c r="DIG79" s="1715" t="s">
        <v>0</v>
      </c>
      <c r="DIH79" s="1716"/>
      <c r="DII79" s="1716"/>
      <c r="DIJ79" s="1716"/>
      <c r="DIK79" s="1716"/>
      <c r="DIL79" s="244"/>
      <c r="DIM79" s="244" t="s">
        <v>68</v>
      </c>
      <c r="DIN79" s="245" t="s">
        <v>68</v>
      </c>
      <c r="DIO79" s="1715" t="s">
        <v>0</v>
      </c>
      <c r="DIP79" s="1716"/>
      <c r="DIQ79" s="1716"/>
      <c r="DIR79" s="1716"/>
      <c r="DIS79" s="1716"/>
      <c r="DIT79" s="244"/>
      <c r="DIU79" s="244" t="s">
        <v>68</v>
      </c>
      <c r="DIV79" s="245" t="s">
        <v>68</v>
      </c>
      <c r="DIW79" s="1715" t="s">
        <v>0</v>
      </c>
      <c r="DIX79" s="1716"/>
      <c r="DIY79" s="1716"/>
      <c r="DIZ79" s="1716"/>
      <c r="DJA79" s="1716"/>
      <c r="DJB79" s="244"/>
      <c r="DJC79" s="244" t="s">
        <v>68</v>
      </c>
      <c r="DJD79" s="245" t="s">
        <v>68</v>
      </c>
      <c r="DJE79" s="1715" t="s">
        <v>0</v>
      </c>
      <c r="DJF79" s="1716"/>
      <c r="DJG79" s="1716"/>
      <c r="DJH79" s="1716"/>
      <c r="DJI79" s="1716"/>
      <c r="DJJ79" s="244"/>
      <c r="DJK79" s="244" t="s">
        <v>68</v>
      </c>
      <c r="DJL79" s="245" t="s">
        <v>68</v>
      </c>
      <c r="DJM79" s="1715" t="s">
        <v>0</v>
      </c>
      <c r="DJN79" s="1716"/>
      <c r="DJO79" s="1716"/>
      <c r="DJP79" s="1716"/>
      <c r="DJQ79" s="1716"/>
      <c r="DJR79" s="244"/>
      <c r="DJS79" s="244" t="s">
        <v>68</v>
      </c>
      <c r="DJT79" s="245" t="s">
        <v>68</v>
      </c>
      <c r="DJU79" s="1715" t="s">
        <v>0</v>
      </c>
      <c r="DJV79" s="1716"/>
      <c r="DJW79" s="1716"/>
      <c r="DJX79" s="1716"/>
      <c r="DJY79" s="1716"/>
      <c r="DJZ79" s="244"/>
      <c r="DKA79" s="244" t="s">
        <v>68</v>
      </c>
      <c r="DKB79" s="245" t="s">
        <v>68</v>
      </c>
      <c r="DKC79" s="1715" t="s">
        <v>0</v>
      </c>
      <c r="DKD79" s="1716"/>
      <c r="DKE79" s="1716"/>
      <c r="DKF79" s="1716"/>
      <c r="DKG79" s="1716"/>
      <c r="DKH79" s="244"/>
      <c r="DKI79" s="244" t="s">
        <v>68</v>
      </c>
      <c r="DKJ79" s="245" t="s">
        <v>68</v>
      </c>
      <c r="DKK79" s="1715" t="s">
        <v>0</v>
      </c>
      <c r="DKL79" s="1716"/>
      <c r="DKM79" s="1716"/>
      <c r="DKN79" s="1716"/>
      <c r="DKO79" s="1716"/>
      <c r="DKP79" s="244"/>
      <c r="DKQ79" s="244" t="s">
        <v>68</v>
      </c>
      <c r="DKR79" s="245" t="s">
        <v>68</v>
      </c>
      <c r="DKS79" s="1715" t="s">
        <v>0</v>
      </c>
      <c r="DKT79" s="1716"/>
      <c r="DKU79" s="1716"/>
      <c r="DKV79" s="1716"/>
      <c r="DKW79" s="1716"/>
      <c r="DKX79" s="244"/>
      <c r="DKY79" s="244" t="s">
        <v>68</v>
      </c>
      <c r="DKZ79" s="245" t="s">
        <v>68</v>
      </c>
      <c r="DLA79" s="1715" t="s">
        <v>0</v>
      </c>
      <c r="DLB79" s="1716"/>
      <c r="DLC79" s="1716"/>
      <c r="DLD79" s="1716"/>
      <c r="DLE79" s="1716"/>
      <c r="DLF79" s="244"/>
      <c r="DLG79" s="244" t="s">
        <v>68</v>
      </c>
      <c r="DLH79" s="245" t="s">
        <v>68</v>
      </c>
      <c r="DLI79" s="1715" t="s">
        <v>0</v>
      </c>
      <c r="DLJ79" s="1716"/>
      <c r="DLK79" s="1716"/>
      <c r="DLL79" s="1716"/>
      <c r="DLM79" s="1716"/>
      <c r="DLN79" s="244"/>
      <c r="DLO79" s="244" t="s">
        <v>68</v>
      </c>
      <c r="DLP79" s="245" t="s">
        <v>68</v>
      </c>
      <c r="DLQ79" s="1715" t="s">
        <v>0</v>
      </c>
      <c r="DLR79" s="1716"/>
      <c r="DLS79" s="1716"/>
      <c r="DLT79" s="1716"/>
      <c r="DLU79" s="1716"/>
      <c r="DLV79" s="244"/>
      <c r="DLW79" s="244" t="s">
        <v>68</v>
      </c>
      <c r="DLX79" s="245" t="s">
        <v>68</v>
      </c>
      <c r="DLY79" s="1715" t="s">
        <v>0</v>
      </c>
      <c r="DLZ79" s="1716"/>
      <c r="DMA79" s="1716"/>
      <c r="DMB79" s="1716"/>
      <c r="DMC79" s="1716"/>
      <c r="DMD79" s="244"/>
      <c r="DME79" s="244" t="s">
        <v>68</v>
      </c>
      <c r="DMF79" s="245" t="s">
        <v>68</v>
      </c>
      <c r="DMG79" s="1715" t="s">
        <v>0</v>
      </c>
      <c r="DMH79" s="1716"/>
      <c r="DMI79" s="1716"/>
      <c r="DMJ79" s="1716"/>
      <c r="DMK79" s="1716"/>
      <c r="DML79" s="244"/>
      <c r="DMM79" s="244" t="s">
        <v>68</v>
      </c>
      <c r="DMN79" s="245" t="s">
        <v>68</v>
      </c>
      <c r="DMO79" s="1715" t="s">
        <v>0</v>
      </c>
      <c r="DMP79" s="1716"/>
      <c r="DMQ79" s="1716"/>
      <c r="DMR79" s="1716"/>
      <c r="DMS79" s="1716"/>
      <c r="DMT79" s="244"/>
      <c r="DMU79" s="244" t="s">
        <v>68</v>
      </c>
      <c r="DMV79" s="245" t="s">
        <v>68</v>
      </c>
      <c r="DMW79" s="1715" t="s">
        <v>0</v>
      </c>
      <c r="DMX79" s="1716"/>
      <c r="DMY79" s="1716"/>
      <c r="DMZ79" s="1716"/>
      <c r="DNA79" s="1716"/>
      <c r="DNB79" s="244"/>
      <c r="DNC79" s="244" t="s">
        <v>68</v>
      </c>
      <c r="DND79" s="245" t="s">
        <v>68</v>
      </c>
      <c r="DNE79" s="1715" t="s">
        <v>0</v>
      </c>
      <c r="DNF79" s="1716"/>
      <c r="DNG79" s="1716"/>
      <c r="DNH79" s="1716"/>
      <c r="DNI79" s="1716"/>
      <c r="DNJ79" s="244"/>
      <c r="DNK79" s="244" t="s">
        <v>68</v>
      </c>
      <c r="DNL79" s="245" t="s">
        <v>68</v>
      </c>
      <c r="DNM79" s="1715" t="s">
        <v>0</v>
      </c>
      <c r="DNN79" s="1716"/>
      <c r="DNO79" s="1716"/>
      <c r="DNP79" s="1716"/>
      <c r="DNQ79" s="1716"/>
      <c r="DNR79" s="244"/>
      <c r="DNS79" s="244" t="s">
        <v>68</v>
      </c>
      <c r="DNT79" s="245" t="s">
        <v>68</v>
      </c>
      <c r="DNU79" s="1715" t="s">
        <v>0</v>
      </c>
      <c r="DNV79" s="1716"/>
      <c r="DNW79" s="1716"/>
      <c r="DNX79" s="1716"/>
      <c r="DNY79" s="1716"/>
      <c r="DNZ79" s="244"/>
      <c r="DOA79" s="244" t="s">
        <v>68</v>
      </c>
      <c r="DOB79" s="245" t="s">
        <v>68</v>
      </c>
      <c r="DOC79" s="1715" t="s">
        <v>0</v>
      </c>
      <c r="DOD79" s="1716"/>
      <c r="DOE79" s="1716"/>
      <c r="DOF79" s="1716"/>
      <c r="DOG79" s="1716"/>
      <c r="DOH79" s="244"/>
      <c r="DOI79" s="244" t="s">
        <v>68</v>
      </c>
      <c r="DOJ79" s="245" t="s">
        <v>68</v>
      </c>
      <c r="DOK79" s="1715" t="s">
        <v>0</v>
      </c>
      <c r="DOL79" s="1716"/>
      <c r="DOM79" s="1716"/>
      <c r="DON79" s="1716"/>
      <c r="DOO79" s="1716"/>
      <c r="DOP79" s="244"/>
      <c r="DOQ79" s="244" t="s">
        <v>68</v>
      </c>
      <c r="DOR79" s="245" t="s">
        <v>68</v>
      </c>
      <c r="DOS79" s="1715" t="s">
        <v>0</v>
      </c>
      <c r="DOT79" s="1716"/>
      <c r="DOU79" s="1716"/>
      <c r="DOV79" s="1716"/>
      <c r="DOW79" s="1716"/>
      <c r="DOX79" s="244"/>
      <c r="DOY79" s="244" t="s">
        <v>68</v>
      </c>
      <c r="DOZ79" s="245" t="s">
        <v>68</v>
      </c>
      <c r="DPA79" s="1715" t="s">
        <v>0</v>
      </c>
      <c r="DPB79" s="1716"/>
      <c r="DPC79" s="1716"/>
      <c r="DPD79" s="1716"/>
      <c r="DPE79" s="1716"/>
      <c r="DPF79" s="244"/>
      <c r="DPG79" s="244" t="s">
        <v>68</v>
      </c>
      <c r="DPH79" s="245" t="s">
        <v>68</v>
      </c>
      <c r="DPI79" s="1715" t="s">
        <v>0</v>
      </c>
      <c r="DPJ79" s="1716"/>
      <c r="DPK79" s="1716"/>
      <c r="DPL79" s="1716"/>
      <c r="DPM79" s="1716"/>
      <c r="DPN79" s="244"/>
      <c r="DPO79" s="244" t="s">
        <v>68</v>
      </c>
      <c r="DPP79" s="245" t="s">
        <v>68</v>
      </c>
      <c r="DPQ79" s="1715" t="s">
        <v>0</v>
      </c>
      <c r="DPR79" s="1716"/>
      <c r="DPS79" s="1716"/>
      <c r="DPT79" s="1716"/>
      <c r="DPU79" s="1716"/>
      <c r="DPV79" s="244"/>
      <c r="DPW79" s="244" t="s">
        <v>68</v>
      </c>
      <c r="DPX79" s="245" t="s">
        <v>68</v>
      </c>
      <c r="DPY79" s="1715" t="s">
        <v>0</v>
      </c>
      <c r="DPZ79" s="1716"/>
      <c r="DQA79" s="1716"/>
      <c r="DQB79" s="1716"/>
      <c r="DQC79" s="1716"/>
      <c r="DQD79" s="244"/>
      <c r="DQE79" s="244" t="s">
        <v>68</v>
      </c>
      <c r="DQF79" s="245" t="s">
        <v>68</v>
      </c>
      <c r="DQG79" s="1715" t="s">
        <v>0</v>
      </c>
      <c r="DQH79" s="1716"/>
      <c r="DQI79" s="1716"/>
      <c r="DQJ79" s="1716"/>
      <c r="DQK79" s="1716"/>
      <c r="DQL79" s="244"/>
      <c r="DQM79" s="244" t="s">
        <v>68</v>
      </c>
      <c r="DQN79" s="245" t="s">
        <v>68</v>
      </c>
      <c r="DQO79" s="1715" t="s">
        <v>0</v>
      </c>
      <c r="DQP79" s="1716"/>
      <c r="DQQ79" s="1716"/>
      <c r="DQR79" s="1716"/>
      <c r="DQS79" s="1716"/>
      <c r="DQT79" s="244"/>
      <c r="DQU79" s="244" t="s">
        <v>68</v>
      </c>
      <c r="DQV79" s="245" t="s">
        <v>68</v>
      </c>
      <c r="DQW79" s="1715" t="s">
        <v>0</v>
      </c>
      <c r="DQX79" s="1716"/>
      <c r="DQY79" s="1716"/>
      <c r="DQZ79" s="1716"/>
      <c r="DRA79" s="1716"/>
      <c r="DRB79" s="244"/>
      <c r="DRC79" s="244" t="s">
        <v>68</v>
      </c>
      <c r="DRD79" s="245" t="s">
        <v>68</v>
      </c>
      <c r="DRE79" s="1715" t="s">
        <v>0</v>
      </c>
      <c r="DRF79" s="1716"/>
      <c r="DRG79" s="1716"/>
      <c r="DRH79" s="1716"/>
      <c r="DRI79" s="1716"/>
      <c r="DRJ79" s="244"/>
      <c r="DRK79" s="244" t="s">
        <v>68</v>
      </c>
      <c r="DRL79" s="245" t="s">
        <v>68</v>
      </c>
      <c r="DRM79" s="1715" t="s">
        <v>0</v>
      </c>
      <c r="DRN79" s="1716"/>
      <c r="DRO79" s="1716"/>
      <c r="DRP79" s="1716"/>
      <c r="DRQ79" s="1716"/>
      <c r="DRR79" s="244"/>
      <c r="DRS79" s="244" t="s">
        <v>68</v>
      </c>
      <c r="DRT79" s="245" t="s">
        <v>68</v>
      </c>
      <c r="DRU79" s="1715" t="s">
        <v>0</v>
      </c>
      <c r="DRV79" s="1716"/>
      <c r="DRW79" s="1716"/>
      <c r="DRX79" s="1716"/>
      <c r="DRY79" s="1716"/>
      <c r="DRZ79" s="244"/>
      <c r="DSA79" s="244" t="s">
        <v>68</v>
      </c>
      <c r="DSB79" s="245" t="s">
        <v>68</v>
      </c>
      <c r="DSC79" s="1715" t="s">
        <v>0</v>
      </c>
      <c r="DSD79" s="1716"/>
      <c r="DSE79" s="1716"/>
      <c r="DSF79" s="1716"/>
      <c r="DSG79" s="1716"/>
      <c r="DSH79" s="244"/>
      <c r="DSI79" s="244" t="s">
        <v>68</v>
      </c>
      <c r="DSJ79" s="245" t="s">
        <v>68</v>
      </c>
      <c r="DSK79" s="1715" t="s">
        <v>0</v>
      </c>
      <c r="DSL79" s="1716"/>
      <c r="DSM79" s="1716"/>
      <c r="DSN79" s="1716"/>
      <c r="DSO79" s="1716"/>
      <c r="DSP79" s="244"/>
      <c r="DSQ79" s="244" t="s">
        <v>68</v>
      </c>
      <c r="DSR79" s="245" t="s">
        <v>68</v>
      </c>
      <c r="DSS79" s="1715" t="s">
        <v>0</v>
      </c>
      <c r="DST79" s="1716"/>
      <c r="DSU79" s="1716"/>
      <c r="DSV79" s="1716"/>
      <c r="DSW79" s="1716"/>
      <c r="DSX79" s="244"/>
      <c r="DSY79" s="244" t="s">
        <v>68</v>
      </c>
      <c r="DSZ79" s="245" t="s">
        <v>68</v>
      </c>
      <c r="DTA79" s="1715" t="s">
        <v>0</v>
      </c>
      <c r="DTB79" s="1716"/>
      <c r="DTC79" s="1716"/>
      <c r="DTD79" s="1716"/>
      <c r="DTE79" s="1716"/>
      <c r="DTF79" s="244"/>
      <c r="DTG79" s="244" t="s">
        <v>68</v>
      </c>
      <c r="DTH79" s="245" t="s">
        <v>68</v>
      </c>
      <c r="DTI79" s="1715" t="s">
        <v>0</v>
      </c>
      <c r="DTJ79" s="1716"/>
      <c r="DTK79" s="1716"/>
      <c r="DTL79" s="1716"/>
      <c r="DTM79" s="1716"/>
      <c r="DTN79" s="244"/>
      <c r="DTO79" s="244" t="s">
        <v>68</v>
      </c>
      <c r="DTP79" s="245" t="s">
        <v>68</v>
      </c>
      <c r="DTQ79" s="1715" t="s">
        <v>0</v>
      </c>
      <c r="DTR79" s="1716"/>
      <c r="DTS79" s="1716"/>
      <c r="DTT79" s="1716"/>
      <c r="DTU79" s="1716"/>
      <c r="DTV79" s="244"/>
      <c r="DTW79" s="244" t="s">
        <v>68</v>
      </c>
      <c r="DTX79" s="245" t="s">
        <v>68</v>
      </c>
      <c r="DTY79" s="1715" t="s">
        <v>0</v>
      </c>
      <c r="DTZ79" s="1716"/>
      <c r="DUA79" s="1716"/>
      <c r="DUB79" s="1716"/>
      <c r="DUC79" s="1716"/>
      <c r="DUD79" s="244"/>
      <c r="DUE79" s="244" t="s">
        <v>68</v>
      </c>
      <c r="DUF79" s="245" t="s">
        <v>68</v>
      </c>
      <c r="DUG79" s="1715" t="s">
        <v>0</v>
      </c>
      <c r="DUH79" s="1716"/>
      <c r="DUI79" s="1716"/>
      <c r="DUJ79" s="1716"/>
      <c r="DUK79" s="1716"/>
      <c r="DUL79" s="244"/>
      <c r="DUM79" s="244" t="s">
        <v>68</v>
      </c>
      <c r="DUN79" s="245" t="s">
        <v>68</v>
      </c>
      <c r="DUO79" s="1715" t="s">
        <v>0</v>
      </c>
      <c r="DUP79" s="1716"/>
      <c r="DUQ79" s="1716"/>
      <c r="DUR79" s="1716"/>
      <c r="DUS79" s="1716"/>
      <c r="DUT79" s="244"/>
      <c r="DUU79" s="244" t="s">
        <v>68</v>
      </c>
      <c r="DUV79" s="245" t="s">
        <v>68</v>
      </c>
      <c r="DUW79" s="1715" t="s">
        <v>0</v>
      </c>
      <c r="DUX79" s="1716"/>
      <c r="DUY79" s="1716"/>
      <c r="DUZ79" s="1716"/>
      <c r="DVA79" s="1716"/>
      <c r="DVB79" s="244"/>
      <c r="DVC79" s="244" t="s">
        <v>68</v>
      </c>
      <c r="DVD79" s="245" t="s">
        <v>68</v>
      </c>
      <c r="DVE79" s="1715" t="s">
        <v>0</v>
      </c>
      <c r="DVF79" s="1716"/>
      <c r="DVG79" s="1716"/>
      <c r="DVH79" s="1716"/>
      <c r="DVI79" s="1716"/>
      <c r="DVJ79" s="244"/>
      <c r="DVK79" s="244" t="s">
        <v>68</v>
      </c>
      <c r="DVL79" s="245" t="s">
        <v>68</v>
      </c>
      <c r="DVM79" s="1715" t="s">
        <v>0</v>
      </c>
      <c r="DVN79" s="1716"/>
      <c r="DVO79" s="1716"/>
      <c r="DVP79" s="1716"/>
      <c r="DVQ79" s="1716"/>
      <c r="DVR79" s="244"/>
      <c r="DVS79" s="244" t="s">
        <v>68</v>
      </c>
      <c r="DVT79" s="245" t="s">
        <v>68</v>
      </c>
      <c r="DVU79" s="1715" t="s">
        <v>0</v>
      </c>
      <c r="DVV79" s="1716"/>
      <c r="DVW79" s="1716"/>
      <c r="DVX79" s="1716"/>
      <c r="DVY79" s="1716"/>
      <c r="DVZ79" s="244"/>
      <c r="DWA79" s="244" t="s">
        <v>68</v>
      </c>
      <c r="DWB79" s="245" t="s">
        <v>68</v>
      </c>
      <c r="DWC79" s="1715" t="s">
        <v>0</v>
      </c>
      <c r="DWD79" s="1716"/>
      <c r="DWE79" s="1716"/>
      <c r="DWF79" s="1716"/>
      <c r="DWG79" s="1716"/>
      <c r="DWH79" s="244"/>
      <c r="DWI79" s="244" t="s">
        <v>68</v>
      </c>
      <c r="DWJ79" s="245" t="s">
        <v>68</v>
      </c>
      <c r="DWK79" s="1715" t="s">
        <v>0</v>
      </c>
      <c r="DWL79" s="1716"/>
      <c r="DWM79" s="1716"/>
      <c r="DWN79" s="1716"/>
      <c r="DWO79" s="1716"/>
      <c r="DWP79" s="244"/>
      <c r="DWQ79" s="244" t="s">
        <v>68</v>
      </c>
      <c r="DWR79" s="245" t="s">
        <v>68</v>
      </c>
      <c r="DWS79" s="1715" t="s">
        <v>0</v>
      </c>
      <c r="DWT79" s="1716"/>
      <c r="DWU79" s="1716"/>
      <c r="DWV79" s="1716"/>
      <c r="DWW79" s="1716"/>
      <c r="DWX79" s="244"/>
      <c r="DWY79" s="244" t="s">
        <v>68</v>
      </c>
      <c r="DWZ79" s="245" t="s">
        <v>68</v>
      </c>
      <c r="DXA79" s="1715" t="s">
        <v>0</v>
      </c>
      <c r="DXB79" s="1716"/>
      <c r="DXC79" s="1716"/>
      <c r="DXD79" s="1716"/>
      <c r="DXE79" s="1716"/>
      <c r="DXF79" s="244"/>
      <c r="DXG79" s="244" t="s">
        <v>68</v>
      </c>
      <c r="DXH79" s="245" t="s">
        <v>68</v>
      </c>
      <c r="DXI79" s="1715" t="s">
        <v>0</v>
      </c>
      <c r="DXJ79" s="1716"/>
      <c r="DXK79" s="1716"/>
      <c r="DXL79" s="1716"/>
      <c r="DXM79" s="1716"/>
      <c r="DXN79" s="244"/>
      <c r="DXO79" s="244" t="s">
        <v>68</v>
      </c>
      <c r="DXP79" s="245" t="s">
        <v>68</v>
      </c>
      <c r="DXQ79" s="1715" t="s">
        <v>0</v>
      </c>
      <c r="DXR79" s="1716"/>
      <c r="DXS79" s="1716"/>
      <c r="DXT79" s="1716"/>
      <c r="DXU79" s="1716"/>
      <c r="DXV79" s="244"/>
      <c r="DXW79" s="244" t="s">
        <v>68</v>
      </c>
      <c r="DXX79" s="245" t="s">
        <v>68</v>
      </c>
      <c r="DXY79" s="1715" t="s">
        <v>0</v>
      </c>
      <c r="DXZ79" s="1716"/>
      <c r="DYA79" s="1716"/>
      <c r="DYB79" s="1716"/>
      <c r="DYC79" s="1716"/>
      <c r="DYD79" s="244"/>
      <c r="DYE79" s="244" t="s">
        <v>68</v>
      </c>
      <c r="DYF79" s="245" t="s">
        <v>68</v>
      </c>
      <c r="DYG79" s="1715" t="s">
        <v>0</v>
      </c>
      <c r="DYH79" s="1716"/>
      <c r="DYI79" s="1716"/>
      <c r="DYJ79" s="1716"/>
      <c r="DYK79" s="1716"/>
      <c r="DYL79" s="244"/>
      <c r="DYM79" s="244" t="s">
        <v>68</v>
      </c>
      <c r="DYN79" s="245" t="s">
        <v>68</v>
      </c>
      <c r="DYO79" s="1715" t="s">
        <v>0</v>
      </c>
      <c r="DYP79" s="1716"/>
      <c r="DYQ79" s="1716"/>
      <c r="DYR79" s="1716"/>
      <c r="DYS79" s="1716"/>
      <c r="DYT79" s="244"/>
      <c r="DYU79" s="244" t="s">
        <v>68</v>
      </c>
      <c r="DYV79" s="245" t="s">
        <v>68</v>
      </c>
      <c r="DYW79" s="1715" t="s">
        <v>0</v>
      </c>
      <c r="DYX79" s="1716"/>
      <c r="DYY79" s="1716"/>
      <c r="DYZ79" s="1716"/>
      <c r="DZA79" s="1716"/>
      <c r="DZB79" s="244"/>
      <c r="DZC79" s="244" t="s">
        <v>68</v>
      </c>
      <c r="DZD79" s="245" t="s">
        <v>68</v>
      </c>
      <c r="DZE79" s="1715" t="s">
        <v>0</v>
      </c>
      <c r="DZF79" s="1716"/>
      <c r="DZG79" s="1716"/>
      <c r="DZH79" s="1716"/>
      <c r="DZI79" s="1716"/>
      <c r="DZJ79" s="244"/>
      <c r="DZK79" s="244" t="s">
        <v>68</v>
      </c>
      <c r="DZL79" s="245" t="s">
        <v>68</v>
      </c>
      <c r="DZM79" s="1715" t="s">
        <v>0</v>
      </c>
      <c r="DZN79" s="1716"/>
      <c r="DZO79" s="1716"/>
      <c r="DZP79" s="1716"/>
      <c r="DZQ79" s="1716"/>
      <c r="DZR79" s="244"/>
      <c r="DZS79" s="244" t="s">
        <v>68</v>
      </c>
      <c r="DZT79" s="245" t="s">
        <v>68</v>
      </c>
      <c r="DZU79" s="1715" t="s">
        <v>0</v>
      </c>
      <c r="DZV79" s="1716"/>
      <c r="DZW79" s="1716"/>
      <c r="DZX79" s="1716"/>
      <c r="DZY79" s="1716"/>
      <c r="DZZ79" s="244"/>
      <c r="EAA79" s="244" t="s">
        <v>68</v>
      </c>
      <c r="EAB79" s="245" t="s">
        <v>68</v>
      </c>
      <c r="EAC79" s="1715" t="s">
        <v>0</v>
      </c>
      <c r="EAD79" s="1716"/>
      <c r="EAE79" s="1716"/>
      <c r="EAF79" s="1716"/>
      <c r="EAG79" s="1716"/>
      <c r="EAH79" s="244"/>
      <c r="EAI79" s="244" t="s">
        <v>68</v>
      </c>
      <c r="EAJ79" s="245" t="s">
        <v>68</v>
      </c>
      <c r="EAK79" s="1715" t="s">
        <v>0</v>
      </c>
      <c r="EAL79" s="1716"/>
      <c r="EAM79" s="1716"/>
      <c r="EAN79" s="1716"/>
      <c r="EAO79" s="1716"/>
      <c r="EAP79" s="244"/>
      <c r="EAQ79" s="244" t="s">
        <v>68</v>
      </c>
      <c r="EAR79" s="245" t="s">
        <v>68</v>
      </c>
      <c r="EAS79" s="1715" t="s">
        <v>0</v>
      </c>
      <c r="EAT79" s="1716"/>
      <c r="EAU79" s="1716"/>
      <c r="EAV79" s="1716"/>
      <c r="EAW79" s="1716"/>
      <c r="EAX79" s="244"/>
      <c r="EAY79" s="244" t="s">
        <v>68</v>
      </c>
      <c r="EAZ79" s="245" t="s">
        <v>68</v>
      </c>
      <c r="EBA79" s="1715" t="s">
        <v>0</v>
      </c>
      <c r="EBB79" s="1716"/>
      <c r="EBC79" s="1716"/>
      <c r="EBD79" s="1716"/>
      <c r="EBE79" s="1716"/>
      <c r="EBF79" s="244"/>
      <c r="EBG79" s="244" t="s">
        <v>68</v>
      </c>
      <c r="EBH79" s="245" t="s">
        <v>68</v>
      </c>
      <c r="EBI79" s="1715" t="s">
        <v>0</v>
      </c>
      <c r="EBJ79" s="1716"/>
      <c r="EBK79" s="1716"/>
      <c r="EBL79" s="1716"/>
      <c r="EBM79" s="1716"/>
      <c r="EBN79" s="244"/>
      <c r="EBO79" s="244" t="s">
        <v>68</v>
      </c>
      <c r="EBP79" s="245" t="s">
        <v>68</v>
      </c>
      <c r="EBQ79" s="1715" t="s">
        <v>0</v>
      </c>
      <c r="EBR79" s="1716"/>
      <c r="EBS79" s="1716"/>
      <c r="EBT79" s="1716"/>
      <c r="EBU79" s="1716"/>
      <c r="EBV79" s="244"/>
      <c r="EBW79" s="244" t="s">
        <v>68</v>
      </c>
      <c r="EBX79" s="245" t="s">
        <v>68</v>
      </c>
      <c r="EBY79" s="1715" t="s">
        <v>0</v>
      </c>
      <c r="EBZ79" s="1716"/>
      <c r="ECA79" s="1716"/>
      <c r="ECB79" s="1716"/>
      <c r="ECC79" s="1716"/>
      <c r="ECD79" s="244"/>
      <c r="ECE79" s="244" t="s">
        <v>68</v>
      </c>
      <c r="ECF79" s="245" t="s">
        <v>68</v>
      </c>
      <c r="ECG79" s="1715" t="s">
        <v>0</v>
      </c>
      <c r="ECH79" s="1716"/>
      <c r="ECI79" s="1716"/>
      <c r="ECJ79" s="1716"/>
      <c r="ECK79" s="1716"/>
      <c r="ECL79" s="244"/>
      <c r="ECM79" s="244" t="s">
        <v>68</v>
      </c>
      <c r="ECN79" s="245" t="s">
        <v>68</v>
      </c>
      <c r="ECO79" s="1715" t="s">
        <v>0</v>
      </c>
      <c r="ECP79" s="1716"/>
      <c r="ECQ79" s="1716"/>
      <c r="ECR79" s="1716"/>
      <c r="ECS79" s="1716"/>
      <c r="ECT79" s="244"/>
      <c r="ECU79" s="244" t="s">
        <v>68</v>
      </c>
      <c r="ECV79" s="245" t="s">
        <v>68</v>
      </c>
      <c r="ECW79" s="1715" t="s">
        <v>0</v>
      </c>
      <c r="ECX79" s="1716"/>
      <c r="ECY79" s="1716"/>
      <c r="ECZ79" s="1716"/>
      <c r="EDA79" s="1716"/>
      <c r="EDB79" s="244"/>
      <c r="EDC79" s="244" t="s">
        <v>68</v>
      </c>
      <c r="EDD79" s="245" t="s">
        <v>68</v>
      </c>
      <c r="EDE79" s="1715" t="s">
        <v>0</v>
      </c>
      <c r="EDF79" s="1716"/>
      <c r="EDG79" s="1716"/>
      <c r="EDH79" s="1716"/>
      <c r="EDI79" s="1716"/>
      <c r="EDJ79" s="244"/>
      <c r="EDK79" s="244" t="s">
        <v>68</v>
      </c>
      <c r="EDL79" s="245" t="s">
        <v>68</v>
      </c>
      <c r="EDM79" s="1715" t="s">
        <v>0</v>
      </c>
      <c r="EDN79" s="1716"/>
      <c r="EDO79" s="1716"/>
      <c r="EDP79" s="1716"/>
      <c r="EDQ79" s="1716"/>
      <c r="EDR79" s="244"/>
      <c r="EDS79" s="244" t="s">
        <v>68</v>
      </c>
      <c r="EDT79" s="245" t="s">
        <v>68</v>
      </c>
      <c r="EDU79" s="1715" t="s">
        <v>0</v>
      </c>
      <c r="EDV79" s="1716"/>
      <c r="EDW79" s="1716"/>
      <c r="EDX79" s="1716"/>
      <c r="EDY79" s="1716"/>
      <c r="EDZ79" s="244"/>
      <c r="EEA79" s="244" t="s">
        <v>68</v>
      </c>
      <c r="EEB79" s="245" t="s">
        <v>68</v>
      </c>
      <c r="EEC79" s="1715" t="s">
        <v>0</v>
      </c>
      <c r="EED79" s="1716"/>
      <c r="EEE79" s="1716"/>
      <c r="EEF79" s="1716"/>
      <c r="EEG79" s="1716"/>
      <c r="EEH79" s="244"/>
      <c r="EEI79" s="244" t="s">
        <v>68</v>
      </c>
      <c r="EEJ79" s="245" t="s">
        <v>68</v>
      </c>
      <c r="EEK79" s="1715" t="s">
        <v>0</v>
      </c>
      <c r="EEL79" s="1716"/>
      <c r="EEM79" s="1716"/>
      <c r="EEN79" s="1716"/>
      <c r="EEO79" s="1716"/>
      <c r="EEP79" s="244"/>
      <c r="EEQ79" s="244" t="s">
        <v>68</v>
      </c>
      <c r="EER79" s="245" t="s">
        <v>68</v>
      </c>
      <c r="EES79" s="1715" t="s">
        <v>0</v>
      </c>
      <c r="EET79" s="1716"/>
      <c r="EEU79" s="1716"/>
      <c r="EEV79" s="1716"/>
      <c r="EEW79" s="1716"/>
      <c r="EEX79" s="244"/>
      <c r="EEY79" s="244" t="s">
        <v>68</v>
      </c>
      <c r="EEZ79" s="245" t="s">
        <v>68</v>
      </c>
      <c r="EFA79" s="1715" t="s">
        <v>0</v>
      </c>
      <c r="EFB79" s="1716"/>
      <c r="EFC79" s="1716"/>
      <c r="EFD79" s="1716"/>
      <c r="EFE79" s="1716"/>
      <c r="EFF79" s="244"/>
      <c r="EFG79" s="244" t="s">
        <v>68</v>
      </c>
      <c r="EFH79" s="245" t="s">
        <v>68</v>
      </c>
      <c r="EFI79" s="1715" t="s">
        <v>0</v>
      </c>
      <c r="EFJ79" s="1716"/>
      <c r="EFK79" s="1716"/>
      <c r="EFL79" s="1716"/>
      <c r="EFM79" s="1716"/>
      <c r="EFN79" s="244"/>
      <c r="EFO79" s="244" t="s">
        <v>68</v>
      </c>
      <c r="EFP79" s="245" t="s">
        <v>68</v>
      </c>
      <c r="EFQ79" s="1715" t="s">
        <v>0</v>
      </c>
      <c r="EFR79" s="1716"/>
      <c r="EFS79" s="1716"/>
      <c r="EFT79" s="1716"/>
      <c r="EFU79" s="1716"/>
      <c r="EFV79" s="244"/>
      <c r="EFW79" s="244" t="s">
        <v>68</v>
      </c>
      <c r="EFX79" s="245" t="s">
        <v>68</v>
      </c>
      <c r="EFY79" s="1715" t="s">
        <v>0</v>
      </c>
      <c r="EFZ79" s="1716"/>
      <c r="EGA79" s="1716"/>
      <c r="EGB79" s="1716"/>
      <c r="EGC79" s="1716"/>
      <c r="EGD79" s="244"/>
      <c r="EGE79" s="244" t="s">
        <v>68</v>
      </c>
      <c r="EGF79" s="245" t="s">
        <v>68</v>
      </c>
      <c r="EGG79" s="1715" t="s">
        <v>0</v>
      </c>
      <c r="EGH79" s="1716"/>
      <c r="EGI79" s="1716"/>
      <c r="EGJ79" s="1716"/>
      <c r="EGK79" s="1716"/>
      <c r="EGL79" s="244"/>
      <c r="EGM79" s="244" t="s">
        <v>68</v>
      </c>
      <c r="EGN79" s="245" t="s">
        <v>68</v>
      </c>
      <c r="EGO79" s="1715" t="s">
        <v>0</v>
      </c>
      <c r="EGP79" s="1716"/>
      <c r="EGQ79" s="1716"/>
      <c r="EGR79" s="1716"/>
      <c r="EGS79" s="1716"/>
      <c r="EGT79" s="244"/>
      <c r="EGU79" s="244" t="s">
        <v>68</v>
      </c>
      <c r="EGV79" s="245" t="s">
        <v>68</v>
      </c>
      <c r="EGW79" s="1715" t="s">
        <v>0</v>
      </c>
      <c r="EGX79" s="1716"/>
      <c r="EGY79" s="1716"/>
      <c r="EGZ79" s="1716"/>
      <c r="EHA79" s="1716"/>
      <c r="EHB79" s="244"/>
      <c r="EHC79" s="244" t="s">
        <v>68</v>
      </c>
      <c r="EHD79" s="245" t="s">
        <v>68</v>
      </c>
      <c r="EHE79" s="1715" t="s">
        <v>0</v>
      </c>
      <c r="EHF79" s="1716"/>
      <c r="EHG79" s="1716"/>
      <c r="EHH79" s="1716"/>
      <c r="EHI79" s="1716"/>
      <c r="EHJ79" s="244"/>
      <c r="EHK79" s="244" t="s">
        <v>68</v>
      </c>
      <c r="EHL79" s="245" t="s">
        <v>68</v>
      </c>
      <c r="EHM79" s="1715" t="s">
        <v>0</v>
      </c>
      <c r="EHN79" s="1716"/>
      <c r="EHO79" s="1716"/>
      <c r="EHP79" s="1716"/>
      <c r="EHQ79" s="1716"/>
      <c r="EHR79" s="244"/>
      <c r="EHS79" s="244" t="s">
        <v>68</v>
      </c>
      <c r="EHT79" s="245" t="s">
        <v>68</v>
      </c>
      <c r="EHU79" s="1715" t="s">
        <v>0</v>
      </c>
      <c r="EHV79" s="1716"/>
      <c r="EHW79" s="1716"/>
      <c r="EHX79" s="1716"/>
      <c r="EHY79" s="1716"/>
      <c r="EHZ79" s="244"/>
      <c r="EIA79" s="244" t="s">
        <v>68</v>
      </c>
      <c r="EIB79" s="245" t="s">
        <v>68</v>
      </c>
      <c r="EIC79" s="1715" t="s">
        <v>0</v>
      </c>
      <c r="EID79" s="1716"/>
      <c r="EIE79" s="1716"/>
      <c r="EIF79" s="1716"/>
      <c r="EIG79" s="1716"/>
      <c r="EIH79" s="244"/>
      <c r="EII79" s="244" t="s">
        <v>68</v>
      </c>
      <c r="EIJ79" s="245" t="s">
        <v>68</v>
      </c>
      <c r="EIK79" s="1715" t="s">
        <v>0</v>
      </c>
      <c r="EIL79" s="1716"/>
      <c r="EIM79" s="1716"/>
      <c r="EIN79" s="1716"/>
      <c r="EIO79" s="1716"/>
      <c r="EIP79" s="244"/>
      <c r="EIQ79" s="244" t="s">
        <v>68</v>
      </c>
      <c r="EIR79" s="245" t="s">
        <v>68</v>
      </c>
      <c r="EIS79" s="1715" t="s">
        <v>0</v>
      </c>
      <c r="EIT79" s="1716"/>
      <c r="EIU79" s="1716"/>
      <c r="EIV79" s="1716"/>
      <c r="EIW79" s="1716"/>
      <c r="EIX79" s="244"/>
      <c r="EIY79" s="244" t="s">
        <v>68</v>
      </c>
      <c r="EIZ79" s="245" t="s">
        <v>68</v>
      </c>
      <c r="EJA79" s="1715" t="s">
        <v>0</v>
      </c>
      <c r="EJB79" s="1716"/>
      <c r="EJC79" s="1716"/>
      <c r="EJD79" s="1716"/>
      <c r="EJE79" s="1716"/>
      <c r="EJF79" s="244"/>
      <c r="EJG79" s="244" t="s">
        <v>68</v>
      </c>
      <c r="EJH79" s="245" t="s">
        <v>68</v>
      </c>
      <c r="EJI79" s="1715" t="s">
        <v>0</v>
      </c>
      <c r="EJJ79" s="1716"/>
      <c r="EJK79" s="1716"/>
      <c r="EJL79" s="1716"/>
      <c r="EJM79" s="1716"/>
      <c r="EJN79" s="244"/>
      <c r="EJO79" s="244" t="s">
        <v>68</v>
      </c>
      <c r="EJP79" s="245" t="s">
        <v>68</v>
      </c>
      <c r="EJQ79" s="1715" t="s">
        <v>0</v>
      </c>
      <c r="EJR79" s="1716"/>
      <c r="EJS79" s="1716"/>
      <c r="EJT79" s="1716"/>
      <c r="EJU79" s="1716"/>
      <c r="EJV79" s="244"/>
      <c r="EJW79" s="244" t="s">
        <v>68</v>
      </c>
      <c r="EJX79" s="245" t="s">
        <v>68</v>
      </c>
      <c r="EJY79" s="1715" t="s">
        <v>0</v>
      </c>
      <c r="EJZ79" s="1716"/>
      <c r="EKA79" s="1716"/>
      <c r="EKB79" s="1716"/>
      <c r="EKC79" s="1716"/>
      <c r="EKD79" s="244"/>
      <c r="EKE79" s="244" t="s">
        <v>68</v>
      </c>
      <c r="EKF79" s="245" t="s">
        <v>68</v>
      </c>
      <c r="EKG79" s="1715" t="s">
        <v>0</v>
      </c>
      <c r="EKH79" s="1716"/>
      <c r="EKI79" s="1716"/>
      <c r="EKJ79" s="1716"/>
      <c r="EKK79" s="1716"/>
      <c r="EKL79" s="244"/>
      <c r="EKM79" s="244" t="s">
        <v>68</v>
      </c>
      <c r="EKN79" s="245" t="s">
        <v>68</v>
      </c>
      <c r="EKO79" s="1715" t="s">
        <v>0</v>
      </c>
      <c r="EKP79" s="1716"/>
      <c r="EKQ79" s="1716"/>
      <c r="EKR79" s="1716"/>
      <c r="EKS79" s="1716"/>
      <c r="EKT79" s="244"/>
      <c r="EKU79" s="244" t="s">
        <v>68</v>
      </c>
      <c r="EKV79" s="245" t="s">
        <v>68</v>
      </c>
      <c r="EKW79" s="1715" t="s">
        <v>0</v>
      </c>
      <c r="EKX79" s="1716"/>
      <c r="EKY79" s="1716"/>
      <c r="EKZ79" s="1716"/>
      <c r="ELA79" s="1716"/>
      <c r="ELB79" s="244"/>
      <c r="ELC79" s="244" t="s">
        <v>68</v>
      </c>
      <c r="ELD79" s="245" t="s">
        <v>68</v>
      </c>
      <c r="ELE79" s="1715" t="s">
        <v>0</v>
      </c>
      <c r="ELF79" s="1716"/>
      <c r="ELG79" s="1716"/>
      <c r="ELH79" s="1716"/>
      <c r="ELI79" s="1716"/>
      <c r="ELJ79" s="244"/>
      <c r="ELK79" s="244" t="s">
        <v>68</v>
      </c>
      <c r="ELL79" s="245" t="s">
        <v>68</v>
      </c>
      <c r="ELM79" s="1715" t="s">
        <v>0</v>
      </c>
      <c r="ELN79" s="1716"/>
      <c r="ELO79" s="1716"/>
      <c r="ELP79" s="1716"/>
      <c r="ELQ79" s="1716"/>
      <c r="ELR79" s="244"/>
      <c r="ELS79" s="244" t="s">
        <v>68</v>
      </c>
      <c r="ELT79" s="245" t="s">
        <v>68</v>
      </c>
      <c r="ELU79" s="1715" t="s">
        <v>0</v>
      </c>
      <c r="ELV79" s="1716"/>
      <c r="ELW79" s="1716"/>
      <c r="ELX79" s="1716"/>
      <c r="ELY79" s="1716"/>
      <c r="ELZ79" s="244"/>
      <c r="EMA79" s="244" t="s">
        <v>68</v>
      </c>
      <c r="EMB79" s="245" t="s">
        <v>68</v>
      </c>
      <c r="EMC79" s="1715" t="s">
        <v>0</v>
      </c>
      <c r="EMD79" s="1716"/>
      <c r="EME79" s="1716"/>
      <c r="EMF79" s="1716"/>
      <c r="EMG79" s="1716"/>
      <c r="EMH79" s="244"/>
      <c r="EMI79" s="244" t="s">
        <v>68</v>
      </c>
      <c r="EMJ79" s="245" t="s">
        <v>68</v>
      </c>
      <c r="EMK79" s="1715" t="s">
        <v>0</v>
      </c>
      <c r="EML79" s="1716"/>
      <c r="EMM79" s="1716"/>
      <c r="EMN79" s="1716"/>
      <c r="EMO79" s="1716"/>
      <c r="EMP79" s="244"/>
      <c r="EMQ79" s="244" t="s">
        <v>68</v>
      </c>
      <c r="EMR79" s="245" t="s">
        <v>68</v>
      </c>
      <c r="EMS79" s="1715" t="s">
        <v>0</v>
      </c>
      <c r="EMT79" s="1716"/>
      <c r="EMU79" s="1716"/>
      <c r="EMV79" s="1716"/>
      <c r="EMW79" s="1716"/>
      <c r="EMX79" s="244"/>
      <c r="EMY79" s="244" t="s">
        <v>68</v>
      </c>
      <c r="EMZ79" s="245" t="s">
        <v>68</v>
      </c>
      <c r="ENA79" s="1715" t="s">
        <v>0</v>
      </c>
      <c r="ENB79" s="1716"/>
      <c r="ENC79" s="1716"/>
      <c r="END79" s="1716"/>
      <c r="ENE79" s="1716"/>
      <c r="ENF79" s="244"/>
      <c r="ENG79" s="244" t="s">
        <v>68</v>
      </c>
      <c r="ENH79" s="245" t="s">
        <v>68</v>
      </c>
      <c r="ENI79" s="1715" t="s">
        <v>0</v>
      </c>
      <c r="ENJ79" s="1716"/>
      <c r="ENK79" s="1716"/>
      <c r="ENL79" s="1716"/>
      <c r="ENM79" s="1716"/>
      <c r="ENN79" s="244"/>
      <c r="ENO79" s="244" t="s">
        <v>68</v>
      </c>
      <c r="ENP79" s="245" t="s">
        <v>68</v>
      </c>
      <c r="ENQ79" s="1715" t="s">
        <v>0</v>
      </c>
      <c r="ENR79" s="1716"/>
      <c r="ENS79" s="1716"/>
      <c r="ENT79" s="1716"/>
      <c r="ENU79" s="1716"/>
      <c r="ENV79" s="244"/>
      <c r="ENW79" s="244" t="s">
        <v>68</v>
      </c>
      <c r="ENX79" s="245" t="s">
        <v>68</v>
      </c>
      <c r="ENY79" s="1715" t="s">
        <v>0</v>
      </c>
      <c r="ENZ79" s="1716"/>
      <c r="EOA79" s="1716"/>
      <c r="EOB79" s="1716"/>
      <c r="EOC79" s="1716"/>
      <c r="EOD79" s="244"/>
      <c r="EOE79" s="244" t="s">
        <v>68</v>
      </c>
      <c r="EOF79" s="245" t="s">
        <v>68</v>
      </c>
      <c r="EOG79" s="1715" t="s">
        <v>0</v>
      </c>
      <c r="EOH79" s="1716"/>
      <c r="EOI79" s="1716"/>
      <c r="EOJ79" s="1716"/>
      <c r="EOK79" s="1716"/>
      <c r="EOL79" s="244"/>
      <c r="EOM79" s="244" t="s">
        <v>68</v>
      </c>
      <c r="EON79" s="245" t="s">
        <v>68</v>
      </c>
      <c r="EOO79" s="1715" t="s">
        <v>0</v>
      </c>
      <c r="EOP79" s="1716"/>
      <c r="EOQ79" s="1716"/>
      <c r="EOR79" s="1716"/>
      <c r="EOS79" s="1716"/>
      <c r="EOT79" s="244"/>
      <c r="EOU79" s="244" t="s">
        <v>68</v>
      </c>
      <c r="EOV79" s="245" t="s">
        <v>68</v>
      </c>
      <c r="EOW79" s="1715" t="s">
        <v>0</v>
      </c>
      <c r="EOX79" s="1716"/>
      <c r="EOY79" s="1716"/>
      <c r="EOZ79" s="1716"/>
      <c r="EPA79" s="1716"/>
      <c r="EPB79" s="244"/>
      <c r="EPC79" s="244" t="s">
        <v>68</v>
      </c>
      <c r="EPD79" s="245" t="s">
        <v>68</v>
      </c>
      <c r="EPE79" s="1715" t="s">
        <v>0</v>
      </c>
      <c r="EPF79" s="1716"/>
      <c r="EPG79" s="1716"/>
      <c r="EPH79" s="1716"/>
      <c r="EPI79" s="1716"/>
      <c r="EPJ79" s="244"/>
      <c r="EPK79" s="244" t="s">
        <v>68</v>
      </c>
      <c r="EPL79" s="245" t="s">
        <v>68</v>
      </c>
      <c r="EPM79" s="1715" t="s">
        <v>0</v>
      </c>
      <c r="EPN79" s="1716"/>
      <c r="EPO79" s="1716"/>
      <c r="EPP79" s="1716"/>
      <c r="EPQ79" s="1716"/>
      <c r="EPR79" s="244"/>
      <c r="EPS79" s="244" t="s">
        <v>68</v>
      </c>
      <c r="EPT79" s="245" t="s">
        <v>68</v>
      </c>
      <c r="EPU79" s="1715" t="s">
        <v>0</v>
      </c>
      <c r="EPV79" s="1716"/>
      <c r="EPW79" s="1716"/>
      <c r="EPX79" s="1716"/>
      <c r="EPY79" s="1716"/>
      <c r="EPZ79" s="244"/>
      <c r="EQA79" s="244" t="s">
        <v>68</v>
      </c>
      <c r="EQB79" s="245" t="s">
        <v>68</v>
      </c>
      <c r="EQC79" s="1715" t="s">
        <v>0</v>
      </c>
      <c r="EQD79" s="1716"/>
      <c r="EQE79" s="1716"/>
      <c r="EQF79" s="1716"/>
      <c r="EQG79" s="1716"/>
      <c r="EQH79" s="244"/>
      <c r="EQI79" s="244" t="s">
        <v>68</v>
      </c>
      <c r="EQJ79" s="245" t="s">
        <v>68</v>
      </c>
      <c r="EQK79" s="1715" t="s">
        <v>0</v>
      </c>
      <c r="EQL79" s="1716"/>
      <c r="EQM79" s="1716"/>
      <c r="EQN79" s="1716"/>
      <c r="EQO79" s="1716"/>
      <c r="EQP79" s="244"/>
      <c r="EQQ79" s="244" t="s">
        <v>68</v>
      </c>
      <c r="EQR79" s="245" t="s">
        <v>68</v>
      </c>
      <c r="EQS79" s="1715" t="s">
        <v>0</v>
      </c>
      <c r="EQT79" s="1716"/>
      <c r="EQU79" s="1716"/>
      <c r="EQV79" s="1716"/>
      <c r="EQW79" s="1716"/>
      <c r="EQX79" s="244"/>
      <c r="EQY79" s="244" t="s">
        <v>68</v>
      </c>
      <c r="EQZ79" s="245" t="s">
        <v>68</v>
      </c>
      <c r="ERA79" s="1715" t="s">
        <v>0</v>
      </c>
      <c r="ERB79" s="1716"/>
      <c r="ERC79" s="1716"/>
      <c r="ERD79" s="1716"/>
      <c r="ERE79" s="1716"/>
      <c r="ERF79" s="244"/>
      <c r="ERG79" s="244" t="s">
        <v>68</v>
      </c>
      <c r="ERH79" s="245" t="s">
        <v>68</v>
      </c>
      <c r="ERI79" s="1715" t="s">
        <v>0</v>
      </c>
      <c r="ERJ79" s="1716"/>
      <c r="ERK79" s="1716"/>
      <c r="ERL79" s="1716"/>
      <c r="ERM79" s="1716"/>
      <c r="ERN79" s="244"/>
      <c r="ERO79" s="244" t="s">
        <v>68</v>
      </c>
      <c r="ERP79" s="245" t="s">
        <v>68</v>
      </c>
      <c r="ERQ79" s="1715" t="s">
        <v>0</v>
      </c>
      <c r="ERR79" s="1716"/>
      <c r="ERS79" s="1716"/>
      <c r="ERT79" s="1716"/>
      <c r="ERU79" s="1716"/>
      <c r="ERV79" s="244"/>
      <c r="ERW79" s="244" t="s">
        <v>68</v>
      </c>
      <c r="ERX79" s="245" t="s">
        <v>68</v>
      </c>
      <c r="ERY79" s="1715" t="s">
        <v>0</v>
      </c>
      <c r="ERZ79" s="1716"/>
      <c r="ESA79" s="1716"/>
      <c r="ESB79" s="1716"/>
      <c r="ESC79" s="1716"/>
      <c r="ESD79" s="244"/>
      <c r="ESE79" s="244" t="s">
        <v>68</v>
      </c>
      <c r="ESF79" s="245" t="s">
        <v>68</v>
      </c>
      <c r="ESG79" s="1715" t="s">
        <v>0</v>
      </c>
      <c r="ESH79" s="1716"/>
      <c r="ESI79" s="1716"/>
      <c r="ESJ79" s="1716"/>
      <c r="ESK79" s="1716"/>
      <c r="ESL79" s="244"/>
      <c r="ESM79" s="244" t="s">
        <v>68</v>
      </c>
      <c r="ESN79" s="245" t="s">
        <v>68</v>
      </c>
      <c r="ESO79" s="1715" t="s">
        <v>0</v>
      </c>
      <c r="ESP79" s="1716"/>
      <c r="ESQ79" s="1716"/>
      <c r="ESR79" s="1716"/>
      <c r="ESS79" s="1716"/>
      <c r="EST79" s="244"/>
      <c r="ESU79" s="244" t="s">
        <v>68</v>
      </c>
      <c r="ESV79" s="245" t="s">
        <v>68</v>
      </c>
      <c r="ESW79" s="1715" t="s">
        <v>0</v>
      </c>
      <c r="ESX79" s="1716"/>
      <c r="ESY79" s="1716"/>
      <c r="ESZ79" s="1716"/>
      <c r="ETA79" s="1716"/>
      <c r="ETB79" s="244"/>
      <c r="ETC79" s="244" t="s">
        <v>68</v>
      </c>
      <c r="ETD79" s="245" t="s">
        <v>68</v>
      </c>
      <c r="ETE79" s="1715" t="s">
        <v>0</v>
      </c>
      <c r="ETF79" s="1716"/>
      <c r="ETG79" s="1716"/>
      <c r="ETH79" s="1716"/>
      <c r="ETI79" s="1716"/>
      <c r="ETJ79" s="244"/>
      <c r="ETK79" s="244" t="s">
        <v>68</v>
      </c>
      <c r="ETL79" s="245" t="s">
        <v>68</v>
      </c>
      <c r="ETM79" s="1715" t="s">
        <v>0</v>
      </c>
      <c r="ETN79" s="1716"/>
      <c r="ETO79" s="1716"/>
      <c r="ETP79" s="1716"/>
      <c r="ETQ79" s="1716"/>
      <c r="ETR79" s="244"/>
      <c r="ETS79" s="244" t="s">
        <v>68</v>
      </c>
      <c r="ETT79" s="245" t="s">
        <v>68</v>
      </c>
      <c r="ETU79" s="1715" t="s">
        <v>0</v>
      </c>
      <c r="ETV79" s="1716"/>
      <c r="ETW79" s="1716"/>
      <c r="ETX79" s="1716"/>
      <c r="ETY79" s="1716"/>
      <c r="ETZ79" s="244"/>
      <c r="EUA79" s="244" t="s">
        <v>68</v>
      </c>
      <c r="EUB79" s="245" t="s">
        <v>68</v>
      </c>
      <c r="EUC79" s="1715" t="s">
        <v>0</v>
      </c>
      <c r="EUD79" s="1716"/>
      <c r="EUE79" s="1716"/>
      <c r="EUF79" s="1716"/>
      <c r="EUG79" s="1716"/>
      <c r="EUH79" s="244"/>
      <c r="EUI79" s="244" t="s">
        <v>68</v>
      </c>
      <c r="EUJ79" s="245" t="s">
        <v>68</v>
      </c>
      <c r="EUK79" s="1715" t="s">
        <v>0</v>
      </c>
      <c r="EUL79" s="1716"/>
      <c r="EUM79" s="1716"/>
      <c r="EUN79" s="1716"/>
      <c r="EUO79" s="1716"/>
      <c r="EUP79" s="244"/>
      <c r="EUQ79" s="244" t="s">
        <v>68</v>
      </c>
      <c r="EUR79" s="245" t="s">
        <v>68</v>
      </c>
      <c r="EUS79" s="1715" t="s">
        <v>0</v>
      </c>
      <c r="EUT79" s="1716"/>
      <c r="EUU79" s="1716"/>
      <c r="EUV79" s="1716"/>
      <c r="EUW79" s="1716"/>
      <c r="EUX79" s="244"/>
      <c r="EUY79" s="244" t="s">
        <v>68</v>
      </c>
      <c r="EUZ79" s="245" t="s">
        <v>68</v>
      </c>
      <c r="EVA79" s="1715" t="s">
        <v>0</v>
      </c>
      <c r="EVB79" s="1716"/>
      <c r="EVC79" s="1716"/>
      <c r="EVD79" s="1716"/>
      <c r="EVE79" s="1716"/>
      <c r="EVF79" s="244"/>
      <c r="EVG79" s="244" t="s">
        <v>68</v>
      </c>
      <c r="EVH79" s="245" t="s">
        <v>68</v>
      </c>
      <c r="EVI79" s="1715" t="s">
        <v>0</v>
      </c>
      <c r="EVJ79" s="1716"/>
      <c r="EVK79" s="1716"/>
      <c r="EVL79" s="1716"/>
      <c r="EVM79" s="1716"/>
      <c r="EVN79" s="244"/>
      <c r="EVO79" s="244" t="s">
        <v>68</v>
      </c>
      <c r="EVP79" s="245" t="s">
        <v>68</v>
      </c>
      <c r="EVQ79" s="1715" t="s">
        <v>0</v>
      </c>
      <c r="EVR79" s="1716"/>
      <c r="EVS79" s="1716"/>
      <c r="EVT79" s="1716"/>
      <c r="EVU79" s="1716"/>
      <c r="EVV79" s="244"/>
      <c r="EVW79" s="244" t="s">
        <v>68</v>
      </c>
      <c r="EVX79" s="245" t="s">
        <v>68</v>
      </c>
      <c r="EVY79" s="1715" t="s">
        <v>0</v>
      </c>
      <c r="EVZ79" s="1716"/>
      <c r="EWA79" s="1716"/>
      <c r="EWB79" s="1716"/>
      <c r="EWC79" s="1716"/>
      <c r="EWD79" s="244"/>
      <c r="EWE79" s="244" t="s">
        <v>68</v>
      </c>
      <c r="EWF79" s="245" t="s">
        <v>68</v>
      </c>
      <c r="EWG79" s="1715" t="s">
        <v>0</v>
      </c>
      <c r="EWH79" s="1716"/>
      <c r="EWI79" s="1716"/>
      <c r="EWJ79" s="1716"/>
      <c r="EWK79" s="1716"/>
      <c r="EWL79" s="244"/>
      <c r="EWM79" s="244" t="s">
        <v>68</v>
      </c>
      <c r="EWN79" s="245" t="s">
        <v>68</v>
      </c>
      <c r="EWO79" s="1715" t="s">
        <v>0</v>
      </c>
      <c r="EWP79" s="1716"/>
      <c r="EWQ79" s="1716"/>
      <c r="EWR79" s="1716"/>
      <c r="EWS79" s="1716"/>
      <c r="EWT79" s="244"/>
      <c r="EWU79" s="244" t="s">
        <v>68</v>
      </c>
      <c r="EWV79" s="245" t="s">
        <v>68</v>
      </c>
      <c r="EWW79" s="1715" t="s">
        <v>0</v>
      </c>
      <c r="EWX79" s="1716"/>
      <c r="EWY79" s="1716"/>
      <c r="EWZ79" s="1716"/>
      <c r="EXA79" s="1716"/>
      <c r="EXB79" s="244"/>
      <c r="EXC79" s="244" t="s">
        <v>68</v>
      </c>
      <c r="EXD79" s="245" t="s">
        <v>68</v>
      </c>
      <c r="EXE79" s="1715" t="s">
        <v>0</v>
      </c>
      <c r="EXF79" s="1716"/>
      <c r="EXG79" s="1716"/>
      <c r="EXH79" s="1716"/>
      <c r="EXI79" s="1716"/>
      <c r="EXJ79" s="244"/>
      <c r="EXK79" s="244" t="s">
        <v>68</v>
      </c>
      <c r="EXL79" s="245" t="s">
        <v>68</v>
      </c>
      <c r="EXM79" s="1715" t="s">
        <v>0</v>
      </c>
      <c r="EXN79" s="1716"/>
      <c r="EXO79" s="1716"/>
      <c r="EXP79" s="1716"/>
      <c r="EXQ79" s="1716"/>
      <c r="EXR79" s="244"/>
      <c r="EXS79" s="244" t="s">
        <v>68</v>
      </c>
      <c r="EXT79" s="245" t="s">
        <v>68</v>
      </c>
      <c r="EXU79" s="1715" t="s">
        <v>0</v>
      </c>
      <c r="EXV79" s="1716"/>
      <c r="EXW79" s="1716"/>
      <c r="EXX79" s="1716"/>
      <c r="EXY79" s="1716"/>
      <c r="EXZ79" s="244"/>
      <c r="EYA79" s="244" t="s">
        <v>68</v>
      </c>
      <c r="EYB79" s="245" t="s">
        <v>68</v>
      </c>
      <c r="EYC79" s="1715" t="s">
        <v>0</v>
      </c>
      <c r="EYD79" s="1716"/>
      <c r="EYE79" s="1716"/>
      <c r="EYF79" s="1716"/>
      <c r="EYG79" s="1716"/>
      <c r="EYH79" s="244"/>
      <c r="EYI79" s="244" t="s">
        <v>68</v>
      </c>
      <c r="EYJ79" s="245" t="s">
        <v>68</v>
      </c>
      <c r="EYK79" s="1715" t="s">
        <v>0</v>
      </c>
      <c r="EYL79" s="1716"/>
      <c r="EYM79" s="1716"/>
      <c r="EYN79" s="1716"/>
      <c r="EYO79" s="1716"/>
      <c r="EYP79" s="244"/>
      <c r="EYQ79" s="244" t="s">
        <v>68</v>
      </c>
      <c r="EYR79" s="245" t="s">
        <v>68</v>
      </c>
      <c r="EYS79" s="1715" t="s">
        <v>0</v>
      </c>
      <c r="EYT79" s="1716"/>
      <c r="EYU79" s="1716"/>
      <c r="EYV79" s="1716"/>
      <c r="EYW79" s="1716"/>
      <c r="EYX79" s="244"/>
      <c r="EYY79" s="244" t="s">
        <v>68</v>
      </c>
      <c r="EYZ79" s="245" t="s">
        <v>68</v>
      </c>
      <c r="EZA79" s="1715" t="s">
        <v>0</v>
      </c>
      <c r="EZB79" s="1716"/>
      <c r="EZC79" s="1716"/>
      <c r="EZD79" s="1716"/>
      <c r="EZE79" s="1716"/>
      <c r="EZF79" s="244"/>
      <c r="EZG79" s="244" t="s">
        <v>68</v>
      </c>
      <c r="EZH79" s="245" t="s">
        <v>68</v>
      </c>
      <c r="EZI79" s="1715" t="s">
        <v>0</v>
      </c>
      <c r="EZJ79" s="1716"/>
      <c r="EZK79" s="1716"/>
      <c r="EZL79" s="1716"/>
      <c r="EZM79" s="1716"/>
      <c r="EZN79" s="244"/>
      <c r="EZO79" s="244" t="s">
        <v>68</v>
      </c>
      <c r="EZP79" s="245" t="s">
        <v>68</v>
      </c>
      <c r="EZQ79" s="1715" t="s">
        <v>0</v>
      </c>
      <c r="EZR79" s="1716"/>
      <c r="EZS79" s="1716"/>
      <c r="EZT79" s="1716"/>
      <c r="EZU79" s="1716"/>
      <c r="EZV79" s="244"/>
      <c r="EZW79" s="244" t="s">
        <v>68</v>
      </c>
      <c r="EZX79" s="245" t="s">
        <v>68</v>
      </c>
      <c r="EZY79" s="1715" t="s">
        <v>0</v>
      </c>
      <c r="EZZ79" s="1716"/>
      <c r="FAA79" s="1716"/>
      <c r="FAB79" s="1716"/>
      <c r="FAC79" s="1716"/>
      <c r="FAD79" s="244"/>
      <c r="FAE79" s="244" t="s">
        <v>68</v>
      </c>
      <c r="FAF79" s="245" t="s">
        <v>68</v>
      </c>
      <c r="FAG79" s="1715" t="s">
        <v>0</v>
      </c>
      <c r="FAH79" s="1716"/>
      <c r="FAI79" s="1716"/>
      <c r="FAJ79" s="1716"/>
      <c r="FAK79" s="1716"/>
      <c r="FAL79" s="244"/>
      <c r="FAM79" s="244" t="s">
        <v>68</v>
      </c>
      <c r="FAN79" s="245" t="s">
        <v>68</v>
      </c>
      <c r="FAO79" s="1715" t="s">
        <v>0</v>
      </c>
      <c r="FAP79" s="1716"/>
      <c r="FAQ79" s="1716"/>
      <c r="FAR79" s="1716"/>
      <c r="FAS79" s="1716"/>
      <c r="FAT79" s="244"/>
      <c r="FAU79" s="244" t="s">
        <v>68</v>
      </c>
      <c r="FAV79" s="245" t="s">
        <v>68</v>
      </c>
      <c r="FAW79" s="1715" t="s">
        <v>0</v>
      </c>
      <c r="FAX79" s="1716"/>
      <c r="FAY79" s="1716"/>
      <c r="FAZ79" s="1716"/>
      <c r="FBA79" s="1716"/>
      <c r="FBB79" s="244"/>
      <c r="FBC79" s="244" t="s">
        <v>68</v>
      </c>
      <c r="FBD79" s="245" t="s">
        <v>68</v>
      </c>
      <c r="FBE79" s="1715" t="s">
        <v>0</v>
      </c>
      <c r="FBF79" s="1716"/>
      <c r="FBG79" s="1716"/>
      <c r="FBH79" s="1716"/>
      <c r="FBI79" s="1716"/>
      <c r="FBJ79" s="244"/>
      <c r="FBK79" s="244" t="s">
        <v>68</v>
      </c>
      <c r="FBL79" s="245" t="s">
        <v>68</v>
      </c>
      <c r="FBM79" s="1715" t="s">
        <v>0</v>
      </c>
      <c r="FBN79" s="1716"/>
      <c r="FBO79" s="1716"/>
      <c r="FBP79" s="1716"/>
      <c r="FBQ79" s="1716"/>
      <c r="FBR79" s="244"/>
      <c r="FBS79" s="244" t="s">
        <v>68</v>
      </c>
      <c r="FBT79" s="245" t="s">
        <v>68</v>
      </c>
      <c r="FBU79" s="1715" t="s">
        <v>0</v>
      </c>
      <c r="FBV79" s="1716"/>
      <c r="FBW79" s="1716"/>
      <c r="FBX79" s="1716"/>
      <c r="FBY79" s="1716"/>
      <c r="FBZ79" s="244"/>
      <c r="FCA79" s="244" t="s">
        <v>68</v>
      </c>
      <c r="FCB79" s="245" t="s">
        <v>68</v>
      </c>
      <c r="FCC79" s="1715" t="s">
        <v>0</v>
      </c>
      <c r="FCD79" s="1716"/>
      <c r="FCE79" s="1716"/>
      <c r="FCF79" s="1716"/>
      <c r="FCG79" s="1716"/>
      <c r="FCH79" s="244"/>
      <c r="FCI79" s="244" t="s">
        <v>68</v>
      </c>
      <c r="FCJ79" s="245" t="s">
        <v>68</v>
      </c>
      <c r="FCK79" s="1715" t="s">
        <v>0</v>
      </c>
      <c r="FCL79" s="1716"/>
      <c r="FCM79" s="1716"/>
      <c r="FCN79" s="1716"/>
      <c r="FCO79" s="1716"/>
      <c r="FCP79" s="244"/>
      <c r="FCQ79" s="244" t="s">
        <v>68</v>
      </c>
      <c r="FCR79" s="245" t="s">
        <v>68</v>
      </c>
      <c r="FCS79" s="1715" t="s">
        <v>0</v>
      </c>
      <c r="FCT79" s="1716"/>
      <c r="FCU79" s="1716"/>
      <c r="FCV79" s="1716"/>
      <c r="FCW79" s="1716"/>
      <c r="FCX79" s="244"/>
      <c r="FCY79" s="244" t="s">
        <v>68</v>
      </c>
      <c r="FCZ79" s="245" t="s">
        <v>68</v>
      </c>
      <c r="FDA79" s="1715" t="s">
        <v>0</v>
      </c>
      <c r="FDB79" s="1716"/>
      <c r="FDC79" s="1716"/>
      <c r="FDD79" s="1716"/>
      <c r="FDE79" s="1716"/>
      <c r="FDF79" s="244"/>
      <c r="FDG79" s="244" t="s">
        <v>68</v>
      </c>
      <c r="FDH79" s="245" t="s">
        <v>68</v>
      </c>
      <c r="FDI79" s="1715" t="s">
        <v>0</v>
      </c>
      <c r="FDJ79" s="1716"/>
      <c r="FDK79" s="1716"/>
      <c r="FDL79" s="1716"/>
      <c r="FDM79" s="1716"/>
      <c r="FDN79" s="244"/>
      <c r="FDO79" s="244" t="s">
        <v>68</v>
      </c>
      <c r="FDP79" s="245" t="s">
        <v>68</v>
      </c>
      <c r="FDQ79" s="1715" t="s">
        <v>0</v>
      </c>
      <c r="FDR79" s="1716"/>
      <c r="FDS79" s="1716"/>
      <c r="FDT79" s="1716"/>
      <c r="FDU79" s="1716"/>
      <c r="FDV79" s="244"/>
      <c r="FDW79" s="244" t="s">
        <v>68</v>
      </c>
      <c r="FDX79" s="245" t="s">
        <v>68</v>
      </c>
      <c r="FDY79" s="1715" t="s">
        <v>0</v>
      </c>
      <c r="FDZ79" s="1716"/>
      <c r="FEA79" s="1716"/>
      <c r="FEB79" s="1716"/>
      <c r="FEC79" s="1716"/>
      <c r="FED79" s="244"/>
      <c r="FEE79" s="244" t="s">
        <v>68</v>
      </c>
      <c r="FEF79" s="245" t="s">
        <v>68</v>
      </c>
      <c r="FEG79" s="1715" t="s">
        <v>0</v>
      </c>
      <c r="FEH79" s="1716"/>
      <c r="FEI79" s="1716"/>
      <c r="FEJ79" s="1716"/>
      <c r="FEK79" s="1716"/>
      <c r="FEL79" s="244"/>
      <c r="FEM79" s="244" t="s">
        <v>68</v>
      </c>
      <c r="FEN79" s="245" t="s">
        <v>68</v>
      </c>
      <c r="FEO79" s="1715" t="s">
        <v>0</v>
      </c>
      <c r="FEP79" s="1716"/>
      <c r="FEQ79" s="1716"/>
      <c r="FER79" s="1716"/>
      <c r="FES79" s="1716"/>
      <c r="FET79" s="244"/>
      <c r="FEU79" s="244" t="s">
        <v>68</v>
      </c>
      <c r="FEV79" s="245" t="s">
        <v>68</v>
      </c>
      <c r="FEW79" s="1715" t="s">
        <v>0</v>
      </c>
      <c r="FEX79" s="1716"/>
      <c r="FEY79" s="1716"/>
      <c r="FEZ79" s="1716"/>
      <c r="FFA79" s="1716"/>
      <c r="FFB79" s="244"/>
      <c r="FFC79" s="244" t="s">
        <v>68</v>
      </c>
      <c r="FFD79" s="245" t="s">
        <v>68</v>
      </c>
      <c r="FFE79" s="1715" t="s">
        <v>0</v>
      </c>
      <c r="FFF79" s="1716"/>
      <c r="FFG79" s="1716"/>
      <c r="FFH79" s="1716"/>
      <c r="FFI79" s="1716"/>
      <c r="FFJ79" s="244"/>
      <c r="FFK79" s="244" t="s">
        <v>68</v>
      </c>
      <c r="FFL79" s="245" t="s">
        <v>68</v>
      </c>
      <c r="FFM79" s="1715" t="s">
        <v>0</v>
      </c>
      <c r="FFN79" s="1716"/>
      <c r="FFO79" s="1716"/>
      <c r="FFP79" s="1716"/>
      <c r="FFQ79" s="1716"/>
      <c r="FFR79" s="244"/>
      <c r="FFS79" s="244" t="s">
        <v>68</v>
      </c>
      <c r="FFT79" s="245" t="s">
        <v>68</v>
      </c>
      <c r="FFU79" s="1715" t="s">
        <v>0</v>
      </c>
      <c r="FFV79" s="1716"/>
      <c r="FFW79" s="1716"/>
      <c r="FFX79" s="1716"/>
      <c r="FFY79" s="1716"/>
      <c r="FFZ79" s="244"/>
      <c r="FGA79" s="244" t="s">
        <v>68</v>
      </c>
      <c r="FGB79" s="245" t="s">
        <v>68</v>
      </c>
      <c r="FGC79" s="1715" t="s">
        <v>0</v>
      </c>
      <c r="FGD79" s="1716"/>
      <c r="FGE79" s="1716"/>
      <c r="FGF79" s="1716"/>
      <c r="FGG79" s="1716"/>
      <c r="FGH79" s="244"/>
      <c r="FGI79" s="244" t="s">
        <v>68</v>
      </c>
      <c r="FGJ79" s="245" t="s">
        <v>68</v>
      </c>
      <c r="FGK79" s="1715" t="s">
        <v>0</v>
      </c>
      <c r="FGL79" s="1716"/>
      <c r="FGM79" s="1716"/>
      <c r="FGN79" s="1716"/>
      <c r="FGO79" s="1716"/>
      <c r="FGP79" s="244"/>
      <c r="FGQ79" s="244" t="s">
        <v>68</v>
      </c>
      <c r="FGR79" s="245" t="s">
        <v>68</v>
      </c>
      <c r="FGS79" s="1715" t="s">
        <v>0</v>
      </c>
      <c r="FGT79" s="1716"/>
      <c r="FGU79" s="1716"/>
      <c r="FGV79" s="1716"/>
      <c r="FGW79" s="1716"/>
      <c r="FGX79" s="244"/>
      <c r="FGY79" s="244" t="s">
        <v>68</v>
      </c>
      <c r="FGZ79" s="245" t="s">
        <v>68</v>
      </c>
      <c r="FHA79" s="1715" t="s">
        <v>0</v>
      </c>
      <c r="FHB79" s="1716"/>
      <c r="FHC79" s="1716"/>
      <c r="FHD79" s="1716"/>
      <c r="FHE79" s="1716"/>
      <c r="FHF79" s="244"/>
      <c r="FHG79" s="244" t="s">
        <v>68</v>
      </c>
      <c r="FHH79" s="245" t="s">
        <v>68</v>
      </c>
      <c r="FHI79" s="1715" t="s">
        <v>0</v>
      </c>
      <c r="FHJ79" s="1716"/>
      <c r="FHK79" s="1716"/>
      <c r="FHL79" s="1716"/>
      <c r="FHM79" s="1716"/>
      <c r="FHN79" s="244"/>
      <c r="FHO79" s="244" t="s">
        <v>68</v>
      </c>
      <c r="FHP79" s="245" t="s">
        <v>68</v>
      </c>
      <c r="FHQ79" s="1715" t="s">
        <v>0</v>
      </c>
      <c r="FHR79" s="1716"/>
      <c r="FHS79" s="1716"/>
      <c r="FHT79" s="1716"/>
      <c r="FHU79" s="1716"/>
      <c r="FHV79" s="244"/>
      <c r="FHW79" s="244" t="s">
        <v>68</v>
      </c>
      <c r="FHX79" s="245" t="s">
        <v>68</v>
      </c>
      <c r="FHY79" s="1715" t="s">
        <v>0</v>
      </c>
      <c r="FHZ79" s="1716"/>
      <c r="FIA79" s="1716"/>
      <c r="FIB79" s="1716"/>
      <c r="FIC79" s="1716"/>
      <c r="FID79" s="244"/>
      <c r="FIE79" s="244" t="s">
        <v>68</v>
      </c>
      <c r="FIF79" s="245" t="s">
        <v>68</v>
      </c>
      <c r="FIG79" s="1715" t="s">
        <v>0</v>
      </c>
      <c r="FIH79" s="1716"/>
      <c r="FII79" s="1716"/>
      <c r="FIJ79" s="1716"/>
      <c r="FIK79" s="1716"/>
      <c r="FIL79" s="244"/>
      <c r="FIM79" s="244" t="s">
        <v>68</v>
      </c>
      <c r="FIN79" s="245" t="s">
        <v>68</v>
      </c>
      <c r="FIO79" s="1715" t="s">
        <v>0</v>
      </c>
      <c r="FIP79" s="1716"/>
      <c r="FIQ79" s="1716"/>
      <c r="FIR79" s="1716"/>
      <c r="FIS79" s="1716"/>
      <c r="FIT79" s="244"/>
      <c r="FIU79" s="244" t="s">
        <v>68</v>
      </c>
      <c r="FIV79" s="245" t="s">
        <v>68</v>
      </c>
      <c r="FIW79" s="1715" t="s">
        <v>0</v>
      </c>
      <c r="FIX79" s="1716"/>
      <c r="FIY79" s="1716"/>
      <c r="FIZ79" s="1716"/>
      <c r="FJA79" s="1716"/>
      <c r="FJB79" s="244"/>
      <c r="FJC79" s="244" t="s">
        <v>68</v>
      </c>
      <c r="FJD79" s="245" t="s">
        <v>68</v>
      </c>
      <c r="FJE79" s="1715" t="s">
        <v>0</v>
      </c>
      <c r="FJF79" s="1716"/>
      <c r="FJG79" s="1716"/>
      <c r="FJH79" s="1716"/>
      <c r="FJI79" s="1716"/>
      <c r="FJJ79" s="244"/>
      <c r="FJK79" s="244" t="s">
        <v>68</v>
      </c>
      <c r="FJL79" s="245" t="s">
        <v>68</v>
      </c>
      <c r="FJM79" s="1715" t="s">
        <v>0</v>
      </c>
      <c r="FJN79" s="1716"/>
      <c r="FJO79" s="1716"/>
      <c r="FJP79" s="1716"/>
      <c r="FJQ79" s="1716"/>
      <c r="FJR79" s="244"/>
      <c r="FJS79" s="244" t="s">
        <v>68</v>
      </c>
      <c r="FJT79" s="245" t="s">
        <v>68</v>
      </c>
      <c r="FJU79" s="1715" t="s">
        <v>0</v>
      </c>
      <c r="FJV79" s="1716"/>
      <c r="FJW79" s="1716"/>
      <c r="FJX79" s="1716"/>
      <c r="FJY79" s="1716"/>
      <c r="FJZ79" s="244"/>
      <c r="FKA79" s="244" t="s">
        <v>68</v>
      </c>
      <c r="FKB79" s="245" t="s">
        <v>68</v>
      </c>
      <c r="FKC79" s="1715" t="s">
        <v>0</v>
      </c>
      <c r="FKD79" s="1716"/>
      <c r="FKE79" s="1716"/>
      <c r="FKF79" s="1716"/>
      <c r="FKG79" s="1716"/>
      <c r="FKH79" s="244"/>
      <c r="FKI79" s="244" t="s">
        <v>68</v>
      </c>
      <c r="FKJ79" s="245" t="s">
        <v>68</v>
      </c>
      <c r="FKK79" s="1715" t="s">
        <v>0</v>
      </c>
      <c r="FKL79" s="1716"/>
      <c r="FKM79" s="1716"/>
      <c r="FKN79" s="1716"/>
      <c r="FKO79" s="1716"/>
      <c r="FKP79" s="244"/>
      <c r="FKQ79" s="244" t="s">
        <v>68</v>
      </c>
      <c r="FKR79" s="245" t="s">
        <v>68</v>
      </c>
      <c r="FKS79" s="1715" t="s">
        <v>0</v>
      </c>
      <c r="FKT79" s="1716"/>
      <c r="FKU79" s="1716"/>
      <c r="FKV79" s="1716"/>
      <c r="FKW79" s="1716"/>
      <c r="FKX79" s="244"/>
      <c r="FKY79" s="244" t="s">
        <v>68</v>
      </c>
      <c r="FKZ79" s="245" t="s">
        <v>68</v>
      </c>
      <c r="FLA79" s="1715" t="s">
        <v>0</v>
      </c>
      <c r="FLB79" s="1716"/>
      <c r="FLC79" s="1716"/>
      <c r="FLD79" s="1716"/>
      <c r="FLE79" s="1716"/>
      <c r="FLF79" s="244"/>
      <c r="FLG79" s="244" t="s">
        <v>68</v>
      </c>
      <c r="FLH79" s="245" t="s">
        <v>68</v>
      </c>
      <c r="FLI79" s="1715" t="s">
        <v>0</v>
      </c>
      <c r="FLJ79" s="1716"/>
      <c r="FLK79" s="1716"/>
      <c r="FLL79" s="1716"/>
      <c r="FLM79" s="1716"/>
      <c r="FLN79" s="244"/>
      <c r="FLO79" s="244" t="s">
        <v>68</v>
      </c>
      <c r="FLP79" s="245" t="s">
        <v>68</v>
      </c>
      <c r="FLQ79" s="1715" t="s">
        <v>0</v>
      </c>
      <c r="FLR79" s="1716"/>
      <c r="FLS79" s="1716"/>
      <c r="FLT79" s="1716"/>
      <c r="FLU79" s="1716"/>
      <c r="FLV79" s="244"/>
      <c r="FLW79" s="244" t="s">
        <v>68</v>
      </c>
      <c r="FLX79" s="245" t="s">
        <v>68</v>
      </c>
      <c r="FLY79" s="1715" t="s">
        <v>0</v>
      </c>
      <c r="FLZ79" s="1716"/>
      <c r="FMA79" s="1716"/>
      <c r="FMB79" s="1716"/>
      <c r="FMC79" s="1716"/>
      <c r="FMD79" s="244"/>
      <c r="FME79" s="244" t="s">
        <v>68</v>
      </c>
      <c r="FMF79" s="245" t="s">
        <v>68</v>
      </c>
      <c r="FMG79" s="1715" t="s">
        <v>0</v>
      </c>
      <c r="FMH79" s="1716"/>
      <c r="FMI79" s="1716"/>
      <c r="FMJ79" s="1716"/>
      <c r="FMK79" s="1716"/>
      <c r="FML79" s="244"/>
      <c r="FMM79" s="244" t="s">
        <v>68</v>
      </c>
      <c r="FMN79" s="245" t="s">
        <v>68</v>
      </c>
      <c r="FMO79" s="1715" t="s">
        <v>0</v>
      </c>
      <c r="FMP79" s="1716"/>
      <c r="FMQ79" s="1716"/>
      <c r="FMR79" s="1716"/>
      <c r="FMS79" s="1716"/>
      <c r="FMT79" s="244"/>
      <c r="FMU79" s="244" t="s">
        <v>68</v>
      </c>
      <c r="FMV79" s="245" t="s">
        <v>68</v>
      </c>
      <c r="FMW79" s="1715" t="s">
        <v>0</v>
      </c>
      <c r="FMX79" s="1716"/>
      <c r="FMY79" s="1716"/>
      <c r="FMZ79" s="1716"/>
      <c r="FNA79" s="1716"/>
      <c r="FNB79" s="244"/>
      <c r="FNC79" s="244" t="s">
        <v>68</v>
      </c>
      <c r="FND79" s="245" t="s">
        <v>68</v>
      </c>
      <c r="FNE79" s="1715" t="s">
        <v>0</v>
      </c>
      <c r="FNF79" s="1716"/>
      <c r="FNG79" s="1716"/>
      <c r="FNH79" s="1716"/>
      <c r="FNI79" s="1716"/>
      <c r="FNJ79" s="244"/>
      <c r="FNK79" s="244" t="s">
        <v>68</v>
      </c>
      <c r="FNL79" s="245" t="s">
        <v>68</v>
      </c>
      <c r="FNM79" s="1715" t="s">
        <v>0</v>
      </c>
      <c r="FNN79" s="1716"/>
      <c r="FNO79" s="1716"/>
      <c r="FNP79" s="1716"/>
      <c r="FNQ79" s="1716"/>
      <c r="FNR79" s="244"/>
      <c r="FNS79" s="244" t="s">
        <v>68</v>
      </c>
      <c r="FNT79" s="245" t="s">
        <v>68</v>
      </c>
      <c r="FNU79" s="1715" t="s">
        <v>0</v>
      </c>
      <c r="FNV79" s="1716"/>
      <c r="FNW79" s="1716"/>
      <c r="FNX79" s="1716"/>
      <c r="FNY79" s="1716"/>
      <c r="FNZ79" s="244"/>
      <c r="FOA79" s="244" t="s">
        <v>68</v>
      </c>
      <c r="FOB79" s="245" t="s">
        <v>68</v>
      </c>
      <c r="FOC79" s="1715" t="s">
        <v>0</v>
      </c>
      <c r="FOD79" s="1716"/>
      <c r="FOE79" s="1716"/>
      <c r="FOF79" s="1716"/>
      <c r="FOG79" s="1716"/>
      <c r="FOH79" s="244"/>
      <c r="FOI79" s="244" t="s">
        <v>68</v>
      </c>
      <c r="FOJ79" s="245" t="s">
        <v>68</v>
      </c>
      <c r="FOK79" s="1715" t="s">
        <v>0</v>
      </c>
      <c r="FOL79" s="1716"/>
      <c r="FOM79" s="1716"/>
      <c r="FON79" s="1716"/>
      <c r="FOO79" s="1716"/>
      <c r="FOP79" s="244"/>
      <c r="FOQ79" s="244" t="s">
        <v>68</v>
      </c>
      <c r="FOR79" s="245" t="s">
        <v>68</v>
      </c>
      <c r="FOS79" s="1715" t="s">
        <v>0</v>
      </c>
      <c r="FOT79" s="1716"/>
      <c r="FOU79" s="1716"/>
      <c r="FOV79" s="1716"/>
      <c r="FOW79" s="1716"/>
      <c r="FOX79" s="244"/>
      <c r="FOY79" s="244" t="s">
        <v>68</v>
      </c>
      <c r="FOZ79" s="245" t="s">
        <v>68</v>
      </c>
      <c r="FPA79" s="1715" t="s">
        <v>0</v>
      </c>
      <c r="FPB79" s="1716"/>
      <c r="FPC79" s="1716"/>
      <c r="FPD79" s="1716"/>
      <c r="FPE79" s="1716"/>
      <c r="FPF79" s="244"/>
      <c r="FPG79" s="244" t="s">
        <v>68</v>
      </c>
      <c r="FPH79" s="245" t="s">
        <v>68</v>
      </c>
      <c r="FPI79" s="1715" t="s">
        <v>0</v>
      </c>
      <c r="FPJ79" s="1716"/>
      <c r="FPK79" s="1716"/>
      <c r="FPL79" s="1716"/>
      <c r="FPM79" s="1716"/>
      <c r="FPN79" s="244"/>
      <c r="FPO79" s="244" t="s">
        <v>68</v>
      </c>
      <c r="FPP79" s="245" t="s">
        <v>68</v>
      </c>
      <c r="FPQ79" s="1715" t="s">
        <v>0</v>
      </c>
      <c r="FPR79" s="1716"/>
      <c r="FPS79" s="1716"/>
      <c r="FPT79" s="1716"/>
      <c r="FPU79" s="1716"/>
      <c r="FPV79" s="244"/>
      <c r="FPW79" s="244" t="s">
        <v>68</v>
      </c>
      <c r="FPX79" s="245" t="s">
        <v>68</v>
      </c>
      <c r="FPY79" s="1715" t="s">
        <v>0</v>
      </c>
      <c r="FPZ79" s="1716"/>
      <c r="FQA79" s="1716"/>
      <c r="FQB79" s="1716"/>
      <c r="FQC79" s="1716"/>
      <c r="FQD79" s="244"/>
      <c r="FQE79" s="244" t="s">
        <v>68</v>
      </c>
      <c r="FQF79" s="245" t="s">
        <v>68</v>
      </c>
      <c r="FQG79" s="1715" t="s">
        <v>0</v>
      </c>
      <c r="FQH79" s="1716"/>
      <c r="FQI79" s="1716"/>
      <c r="FQJ79" s="1716"/>
      <c r="FQK79" s="1716"/>
      <c r="FQL79" s="244"/>
      <c r="FQM79" s="244" t="s">
        <v>68</v>
      </c>
      <c r="FQN79" s="245" t="s">
        <v>68</v>
      </c>
      <c r="FQO79" s="1715" t="s">
        <v>0</v>
      </c>
      <c r="FQP79" s="1716"/>
      <c r="FQQ79" s="1716"/>
      <c r="FQR79" s="1716"/>
      <c r="FQS79" s="1716"/>
      <c r="FQT79" s="244"/>
      <c r="FQU79" s="244" t="s">
        <v>68</v>
      </c>
      <c r="FQV79" s="245" t="s">
        <v>68</v>
      </c>
      <c r="FQW79" s="1715" t="s">
        <v>0</v>
      </c>
      <c r="FQX79" s="1716"/>
      <c r="FQY79" s="1716"/>
      <c r="FQZ79" s="1716"/>
      <c r="FRA79" s="1716"/>
      <c r="FRB79" s="244"/>
      <c r="FRC79" s="244" t="s">
        <v>68</v>
      </c>
      <c r="FRD79" s="245" t="s">
        <v>68</v>
      </c>
      <c r="FRE79" s="1715" t="s">
        <v>0</v>
      </c>
      <c r="FRF79" s="1716"/>
      <c r="FRG79" s="1716"/>
      <c r="FRH79" s="1716"/>
      <c r="FRI79" s="1716"/>
      <c r="FRJ79" s="244"/>
      <c r="FRK79" s="244" t="s">
        <v>68</v>
      </c>
      <c r="FRL79" s="245" t="s">
        <v>68</v>
      </c>
      <c r="FRM79" s="1715" t="s">
        <v>0</v>
      </c>
      <c r="FRN79" s="1716"/>
      <c r="FRO79" s="1716"/>
      <c r="FRP79" s="1716"/>
      <c r="FRQ79" s="1716"/>
      <c r="FRR79" s="244"/>
      <c r="FRS79" s="244" t="s">
        <v>68</v>
      </c>
      <c r="FRT79" s="245" t="s">
        <v>68</v>
      </c>
      <c r="FRU79" s="1715" t="s">
        <v>0</v>
      </c>
      <c r="FRV79" s="1716"/>
      <c r="FRW79" s="1716"/>
      <c r="FRX79" s="1716"/>
      <c r="FRY79" s="1716"/>
      <c r="FRZ79" s="244"/>
      <c r="FSA79" s="244" t="s">
        <v>68</v>
      </c>
      <c r="FSB79" s="245" t="s">
        <v>68</v>
      </c>
      <c r="FSC79" s="1715" t="s">
        <v>0</v>
      </c>
      <c r="FSD79" s="1716"/>
      <c r="FSE79" s="1716"/>
      <c r="FSF79" s="1716"/>
      <c r="FSG79" s="1716"/>
      <c r="FSH79" s="244"/>
      <c r="FSI79" s="244" t="s">
        <v>68</v>
      </c>
      <c r="FSJ79" s="245" t="s">
        <v>68</v>
      </c>
      <c r="FSK79" s="1715" t="s">
        <v>0</v>
      </c>
      <c r="FSL79" s="1716"/>
      <c r="FSM79" s="1716"/>
      <c r="FSN79" s="1716"/>
      <c r="FSO79" s="1716"/>
      <c r="FSP79" s="244"/>
      <c r="FSQ79" s="244" t="s">
        <v>68</v>
      </c>
      <c r="FSR79" s="245" t="s">
        <v>68</v>
      </c>
      <c r="FSS79" s="1715" t="s">
        <v>0</v>
      </c>
      <c r="FST79" s="1716"/>
      <c r="FSU79" s="1716"/>
      <c r="FSV79" s="1716"/>
      <c r="FSW79" s="1716"/>
      <c r="FSX79" s="244"/>
      <c r="FSY79" s="244" t="s">
        <v>68</v>
      </c>
      <c r="FSZ79" s="245" t="s">
        <v>68</v>
      </c>
      <c r="FTA79" s="1715" t="s">
        <v>0</v>
      </c>
      <c r="FTB79" s="1716"/>
      <c r="FTC79" s="1716"/>
      <c r="FTD79" s="1716"/>
      <c r="FTE79" s="1716"/>
      <c r="FTF79" s="244"/>
      <c r="FTG79" s="244" t="s">
        <v>68</v>
      </c>
      <c r="FTH79" s="245" t="s">
        <v>68</v>
      </c>
      <c r="FTI79" s="1715" t="s">
        <v>0</v>
      </c>
      <c r="FTJ79" s="1716"/>
      <c r="FTK79" s="1716"/>
      <c r="FTL79" s="1716"/>
      <c r="FTM79" s="1716"/>
      <c r="FTN79" s="244"/>
      <c r="FTO79" s="244" t="s">
        <v>68</v>
      </c>
      <c r="FTP79" s="245" t="s">
        <v>68</v>
      </c>
      <c r="FTQ79" s="1715" t="s">
        <v>0</v>
      </c>
      <c r="FTR79" s="1716"/>
      <c r="FTS79" s="1716"/>
      <c r="FTT79" s="1716"/>
      <c r="FTU79" s="1716"/>
      <c r="FTV79" s="244"/>
      <c r="FTW79" s="244" t="s">
        <v>68</v>
      </c>
      <c r="FTX79" s="245" t="s">
        <v>68</v>
      </c>
      <c r="FTY79" s="1715" t="s">
        <v>0</v>
      </c>
      <c r="FTZ79" s="1716"/>
      <c r="FUA79" s="1716"/>
      <c r="FUB79" s="1716"/>
      <c r="FUC79" s="1716"/>
      <c r="FUD79" s="244"/>
      <c r="FUE79" s="244" t="s">
        <v>68</v>
      </c>
      <c r="FUF79" s="245" t="s">
        <v>68</v>
      </c>
      <c r="FUG79" s="1715" t="s">
        <v>0</v>
      </c>
      <c r="FUH79" s="1716"/>
      <c r="FUI79" s="1716"/>
      <c r="FUJ79" s="1716"/>
      <c r="FUK79" s="1716"/>
      <c r="FUL79" s="244"/>
      <c r="FUM79" s="244" t="s">
        <v>68</v>
      </c>
      <c r="FUN79" s="245" t="s">
        <v>68</v>
      </c>
      <c r="FUO79" s="1715" t="s">
        <v>0</v>
      </c>
      <c r="FUP79" s="1716"/>
      <c r="FUQ79" s="1716"/>
      <c r="FUR79" s="1716"/>
      <c r="FUS79" s="1716"/>
      <c r="FUT79" s="244"/>
      <c r="FUU79" s="244" t="s">
        <v>68</v>
      </c>
      <c r="FUV79" s="245" t="s">
        <v>68</v>
      </c>
      <c r="FUW79" s="1715" t="s">
        <v>0</v>
      </c>
      <c r="FUX79" s="1716"/>
      <c r="FUY79" s="1716"/>
      <c r="FUZ79" s="1716"/>
      <c r="FVA79" s="1716"/>
      <c r="FVB79" s="244"/>
      <c r="FVC79" s="244" t="s">
        <v>68</v>
      </c>
      <c r="FVD79" s="245" t="s">
        <v>68</v>
      </c>
      <c r="FVE79" s="1715" t="s">
        <v>0</v>
      </c>
      <c r="FVF79" s="1716"/>
      <c r="FVG79" s="1716"/>
      <c r="FVH79" s="1716"/>
      <c r="FVI79" s="1716"/>
      <c r="FVJ79" s="244"/>
      <c r="FVK79" s="244" t="s">
        <v>68</v>
      </c>
      <c r="FVL79" s="245" t="s">
        <v>68</v>
      </c>
      <c r="FVM79" s="1715" t="s">
        <v>0</v>
      </c>
      <c r="FVN79" s="1716"/>
      <c r="FVO79" s="1716"/>
      <c r="FVP79" s="1716"/>
      <c r="FVQ79" s="1716"/>
      <c r="FVR79" s="244"/>
      <c r="FVS79" s="244" t="s">
        <v>68</v>
      </c>
      <c r="FVT79" s="245" t="s">
        <v>68</v>
      </c>
      <c r="FVU79" s="1715" t="s">
        <v>0</v>
      </c>
      <c r="FVV79" s="1716"/>
      <c r="FVW79" s="1716"/>
      <c r="FVX79" s="1716"/>
      <c r="FVY79" s="1716"/>
      <c r="FVZ79" s="244"/>
      <c r="FWA79" s="244" t="s">
        <v>68</v>
      </c>
      <c r="FWB79" s="245" t="s">
        <v>68</v>
      </c>
      <c r="FWC79" s="1715" t="s">
        <v>0</v>
      </c>
      <c r="FWD79" s="1716"/>
      <c r="FWE79" s="1716"/>
      <c r="FWF79" s="1716"/>
      <c r="FWG79" s="1716"/>
      <c r="FWH79" s="244"/>
      <c r="FWI79" s="244" t="s">
        <v>68</v>
      </c>
      <c r="FWJ79" s="245" t="s">
        <v>68</v>
      </c>
      <c r="FWK79" s="1715" t="s">
        <v>0</v>
      </c>
      <c r="FWL79" s="1716"/>
      <c r="FWM79" s="1716"/>
      <c r="FWN79" s="1716"/>
      <c r="FWO79" s="1716"/>
      <c r="FWP79" s="244"/>
      <c r="FWQ79" s="244" t="s">
        <v>68</v>
      </c>
      <c r="FWR79" s="245" t="s">
        <v>68</v>
      </c>
      <c r="FWS79" s="1715" t="s">
        <v>0</v>
      </c>
      <c r="FWT79" s="1716"/>
      <c r="FWU79" s="1716"/>
      <c r="FWV79" s="1716"/>
      <c r="FWW79" s="1716"/>
      <c r="FWX79" s="244"/>
      <c r="FWY79" s="244" t="s">
        <v>68</v>
      </c>
      <c r="FWZ79" s="245" t="s">
        <v>68</v>
      </c>
      <c r="FXA79" s="1715" t="s">
        <v>0</v>
      </c>
      <c r="FXB79" s="1716"/>
      <c r="FXC79" s="1716"/>
      <c r="FXD79" s="1716"/>
      <c r="FXE79" s="1716"/>
      <c r="FXF79" s="244"/>
      <c r="FXG79" s="244" t="s">
        <v>68</v>
      </c>
      <c r="FXH79" s="245" t="s">
        <v>68</v>
      </c>
      <c r="FXI79" s="1715" t="s">
        <v>0</v>
      </c>
      <c r="FXJ79" s="1716"/>
      <c r="FXK79" s="1716"/>
      <c r="FXL79" s="1716"/>
      <c r="FXM79" s="1716"/>
      <c r="FXN79" s="244"/>
      <c r="FXO79" s="244" t="s">
        <v>68</v>
      </c>
      <c r="FXP79" s="245" t="s">
        <v>68</v>
      </c>
      <c r="FXQ79" s="1715" t="s">
        <v>0</v>
      </c>
      <c r="FXR79" s="1716"/>
      <c r="FXS79" s="1716"/>
      <c r="FXT79" s="1716"/>
      <c r="FXU79" s="1716"/>
      <c r="FXV79" s="244"/>
      <c r="FXW79" s="244" t="s">
        <v>68</v>
      </c>
      <c r="FXX79" s="245" t="s">
        <v>68</v>
      </c>
      <c r="FXY79" s="1715" t="s">
        <v>0</v>
      </c>
      <c r="FXZ79" s="1716"/>
      <c r="FYA79" s="1716"/>
      <c r="FYB79" s="1716"/>
      <c r="FYC79" s="1716"/>
      <c r="FYD79" s="244"/>
      <c r="FYE79" s="244" t="s">
        <v>68</v>
      </c>
      <c r="FYF79" s="245" t="s">
        <v>68</v>
      </c>
      <c r="FYG79" s="1715" t="s">
        <v>0</v>
      </c>
      <c r="FYH79" s="1716"/>
      <c r="FYI79" s="1716"/>
      <c r="FYJ79" s="1716"/>
      <c r="FYK79" s="1716"/>
      <c r="FYL79" s="244"/>
      <c r="FYM79" s="244" t="s">
        <v>68</v>
      </c>
      <c r="FYN79" s="245" t="s">
        <v>68</v>
      </c>
      <c r="FYO79" s="1715" t="s">
        <v>0</v>
      </c>
      <c r="FYP79" s="1716"/>
      <c r="FYQ79" s="1716"/>
      <c r="FYR79" s="1716"/>
      <c r="FYS79" s="1716"/>
      <c r="FYT79" s="244"/>
      <c r="FYU79" s="244" t="s">
        <v>68</v>
      </c>
      <c r="FYV79" s="245" t="s">
        <v>68</v>
      </c>
      <c r="FYW79" s="1715" t="s">
        <v>0</v>
      </c>
      <c r="FYX79" s="1716"/>
      <c r="FYY79" s="1716"/>
      <c r="FYZ79" s="1716"/>
      <c r="FZA79" s="1716"/>
      <c r="FZB79" s="244"/>
      <c r="FZC79" s="244" t="s">
        <v>68</v>
      </c>
      <c r="FZD79" s="245" t="s">
        <v>68</v>
      </c>
      <c r="FZE79" s="1715" t="s">
        <v>0</v>
      </c>
      <c r="FZF79" s="1716"/>
      <c r="FZG79" s="1716"/>
      <c r="FZH79" s="1716"/>
      <c r="FZI79" s="1716"/>
      <c r="FZJ79" s="244"/>
      <c r="FZK79" s="244" t="s">
        <v>68</v>
      </c>
      <c r="FZL79" s="245" t="s">
        <v>68</v>
      </c>
      <c r="FZM79" s="1715" t="s">
        <v>0</v>
      </c>
      <c r="FZN79" s="1716"/>
      <c r="FZO79" s="1716"/>
      <c r="FZP79" s="1716"/>
      <c r="FZQ79" s="1716"/>
      <c r="FZR79" s="244"/>
      <c r="FZS79" s="244" t="s">
        <v>68</v>
      </c>
      <c r="FZT79" s="245" t="s">
        <v>68</v>
      </c>
      <c r="FZU79" s="1715" t="s">
        <v>0</v>
      </c>
      <c r="FZV79" s="1716"/>
      <c r="FZW79" s="1716"/>
      <c r="FZX79" s="1716"/>
      <c r="FZY79" s="1716"/>
      <c r="FZZ79" s="244"/>
      <c r="GAA79" s="244" t="s">
        <v>68</v>
      </c>
      <c r="GAB79" s="245" t="s">
        <v>68</v>
      </c>
      <c r="GAC79" s="1715" t="s">
        <v>0</v>
      </c>
      <c r="GAD79" s="1716"/>
      <c r="GAE79" s="1716"/>
      <c r="GAF79" s="1716"/>
      <c r="GAG79" s="1716"/>
      <c r="GAH79" s="244"/>
      <c r="GAI79" s="244" t="s">
        <v>68</v>
      </c>
      <c r="GAJ79" s="245" t="s">
        <v>68</v>
      </c>
      <c r="GAK79" s="1715" t="s">
        <v>0</v>
      </c>
      <c r="GAL79" s="1716"/>
      <c r="GAM79" s="1716"/>
      <c r="GAN79" s="1716"/>
      <c r="GAO79" s="1716"/>
      <c r="GAP79" s="244"/>
      <c r="GAQ79" s="244" t="s">
        <v>68</v>
      </c>
      <c r="GAR79" s="245" t="s">
        <v>68</v>
      </c>
      <c r="GAS79" s="1715" t="s">
        <v>0</v>
      </c>
      <c r="GAT79" s="1716"/>
      <c r="GAU79" s="1716"/>
      <c r="GAV79" s="1716"/>
      <c r="GAW79" s="1716"/>
      <c r="GAX79" s="244"/>
      <c r="GAY79" s="244" t="s">
        <v>68</v>
      </c>
      <c r="GAZ79" s="245" t="s">
        <v>68</v>
      </c>
      <c r="GBA79" s="1715" t="s">
        <v>0</v>
      </c>
      <c r="GBB79" s="1716"/>
      <c r="GBC79" s="1716"/>
      <c r="GBD79" s="1716"/>
      <c r="GBE79" s="1716"/>
      <c r="GBF79" s="244"/>
      <c r="GBG79" s="244" t="s">
        <v>68</v>
      </c>
      <c r="GBH79" s="245" t="s">
        <v>68</v>
      </c>
      <c r="GBI79" s="1715" t="s">
        <v>0</v>
      </c>
      <c r="GBJ79" s="1716"/>
      <c r="GBK79" s="1716"/>
      <c r="GBL79" s="1716"/>
      <c r="GBM79" s="1716"/>
      <c r="GBN79" s="244"/>
      <c r="GBO79" s="244" t="s">
        <v>68</v>
      </c>
      <c r="GBP79" s="245" t="s">
        <v>68</v>
      </c>
      <c r="GBQ79" s="1715" t="s">
        <v>0</v>
      </c>
      <c r="GBR79" s="1716"/>
      <c r="GBS79" s="1716"/>
      <c r="GBT79" s="1716"/>
      <c r="GBU79" s="1716"/>
      <c r="GBV79" s="244"/>
      <c r="GBW79" s="244" t="s">
        <v>68</v>
      </c>
      <c r="GBX79" s="245" t="s">
        <v>68</v>
      </c>
      <c r="GBY79" s="1715" t="s">
        <v>0</v>
      </c>
      <c r="GBZ79" s="1716"/>
      <c r="GCA79" s="1716"/>
      <c r="GCB79" s="1716"/>
      <c r="GCC79" s="1716"/>
      <c r="GCD79" s="244"/>
      <c r="GCE79" s="244" t="s">
        <v>68</v>
      </c>
      <c r="GCF79" s="245" t="s">
        <v>68</v>
      </c>
      <c r="GCG79" s="1715" t="s">
        <v>0</v>
      </c>
      <c r="GCH79" s="1716"/>
      <c r="GCI79" s="1716"/>
      <c r="GCJ79" s="1716"/>
      <c r="GCK79" s="1716"/>
      <c r="GCL79" s="244"/>
      <c r="GCM79" s="244" t="s">
        <v>68</v>
      </c>
      <c r="GCN79" s="245" t="s">
        <v>68</v>
      </c>
      <c r="GCO79" s="1715" t="s">
        <v>0</v>
      </c>
      <c r="GCP79" s="1716"/>
      <c r="GCQ79" s="1716"/>
      <c r="GCR79" s="1716"/>
      <c r="GCS79" s="1716"/>
      <c r="GCT79" s="244"/>
      <c r="GCU79" s="244" t="s">
        <v>68</v>
      </c>
      <c r="GCV79" s="245" t="s">
        <v>68</v>
      </c>
      <c r="GCW79" s="1715" t="s">
        <v>0</v>
      </c>
      <c r="GCX79" s="1716"/>
      <c r="GCY79" s="1716"/>
      <c r="GCZ79" s="1716"/>
      <c r="GDA79" s="1716"/>
      <c r="GDB79" s="244"/>
      <c r="GDC79" s="244" t="s">
        <v>68</v>
      </c>
      <c r="GDD79" s="245" t="s">
        <v>68</v>
      </c>
      <c r="GDE79" s="1715" t="s">
        <v>0</v>
      </c>
      <c r="GDF79" s="1716"/>
      <c r="GDG79" s="1716"/>
      <c r="GDH79" s="1716"/>
      <c r="GDI79" s="1716"/>
      <c r="GDJ79" s="244"/>
      <c r="GDK79" s="244" t="s">
        <v>68</v>
      </c>
      <c r="GDL79" s="245" t="s">
        <v>68</v>
      </c>
      <c r="GDM79" s="1715" t="s">
        <v>0</v>
      </c>
      <c r="GDN79" s="1716"/>
      <c r="GDO79" s="1716"/>
      <c r="GDP79" s="1716"/>
      <c r="GDQ79" s="1716"/>
      <c r="GDR79" s="244"/>
      <c r="GDS79" s="244" t="s">
        <v>68</v>
      </c>
      <c r="GDT79" s="245" t="s">
        <v>68</v>
      </c>
      <c r="GDU79" s="1715" t="s">
        <v>0</v>
      </c>
      <c r="GDV79" s="1716"/>
      <c r="GDW79" s="1716"/>
      <c r="GDX79" s="1716"/>
      <c r="GDY79" s="1716"/>
      <c r="GDZ79" s="244"/>
      <c r="GEA79" s="244" t="s">
        <v>68</v>
      </c>
      <c r="GEB79" s="245" t="s">
        <v>68</v>
      </c>
      <c r="GEC79" s="1715" t="s">
        <v>0</v>
      </c>
      <c r="GED79" s="1716"/>
      <c r="GEE79" s="1716"/>
      <c r="GEF79" s="1716"/>
      <c r="GEG79" s="1716"/>
      <c r="GEH79" s="244"/>
      <c r="GEI79" s="244" t="s">
        <v>68</v>
      </c>
      <c r="GEJ79" s="245" t="s">
        <v>68</v>
      </c>
      <c r="GEK79" s="1715" t="s">
        <v>0</v>
      </c>
      <c r="GEL79" s="1716"/>
      <c r="GEM79" s="1716"/>
      <c r="GEN79" s="1716"/>
      <c r="GEO79" s="1716"/>
      <c r="GEP79" s="244"/>
      <c r="GEQ79" s="244" t="s">
        <v>68</v>
      </c>
      <c r="GER79" s="245" t="s">
        <v>68</v>
      </c>
      <c r="GES79" s="1715" t="s">
        <v>0</v>
      </c>
      <c r="GET79" s="1716"/>
      <c r="GEU79" s="1716"/>
      <c r="GEV79" s="1716"/>
      <c r="GEW79" s="1716"/>
      <c r="GEX79" s="244"/>
      <c r="GEY79" s="244" t="s">
        <v>68</v>
      </c>
      <c r="GEZ79" s="245" t="s">
        <v>68</v>
      </c>
      <c r="GFA79" s="1715" t="s">
        <v>0</v>
      </c>
      <c r="GFB79" s="1716"/>
      <c r="GFC79" s="1716"/>
      <c r="GFD79" s="1716"/>
      <c r="GFE79" s="1716"/>
      <c r="GFF79" s="244"/>
      <c r="GFG79" s="244" t="s">
        <v>68</v>
      </c>
      <c r="GFH79" s="245" t="s">
        <v>68</v>
      </c>
      <c r="GFI79" s="1715" t="s">
        <v>0</v>
      </c>
      <c r="GFJ79" s="1716"/>
      <c r="GFK79" s="1716"/>
      <c r="GFL79" s="1716"/>
      <c r="GFM79" s="1716"/>
      <c r="GFN79" s="244"/>
      <c r="GFO79" s="244" t="s">
        <v>68</v>
      </c>
      <c r="GFP79" s="245" t="s">
        <v>68</v>
      </c>
      <c r="GFQ79" s="1715" t="s">
        <v>0</v>
      </c>
      <c r="GFR79" s="1716"/>
      <c r="GFS79" s="1716"/>
      <c r="GFT79" s="1716"/>
      <c r="GFU79" s="1716"/>
      <c r="GFV79" s="244"/>
      <c r="GFW79" s="244" t="s">
        <v>68</v>
      </c>
      <c r="GFX79" s="245" t="s">
        <v>68</v>
      </c>
      <c r="GFY79" s="1715" t="s">
        <v>0</v>
      </c>
      <c r="GFZ79" s="1716"/>
      <c r="GGA79" s="1716"/>
      <c r="GGB79" s="1716"/>
      <c r="GGC79" s="1716"/>
      <c r="GGD79" s="244"/>
      <c r="GGE79" s="244" t="s">
        <v>68</v>
      </c>
      <c r="GGF79" s="245" t="s">
        <v>68</v>
      </c>
      <c r="GGG79" s="1715" t="s">
        <v>0</v>
      </c>
      <c r="GGH79" s="1716"/>
      <c r="GGI79" s="1716"/>
      <c r="GGJ79" s="1716"/>
      <c r="GGK79" s="1716"/>
      <c r="GGL79" s="244"/>
      <c r="GGM79" s="244" t="s">
        <v>68</v>
      </c>
      <c r="GGN79" s="245" t="s">
        <v>68</v>
      </c>
      <c r="GGO79" s="1715" t="s">
        <v>0</v>
      </c>
      <c r="GGP79" s="1716"/>
      <c r="GGQ79" s="1716"/>
      <c r="GGR79" s="1716"/>
      <c r="GGS79" s="1716"/>
      <c r="GGT79" s="244"/>
      <c r="GGU79" s="244" t="s">
        <v>68</v>
      </c>
      <c r="GGV79" s="245" t="s">
        <v>68</v>
      </c>
      <c r="GGW79" s="1715" t="s">
        <v>0</v>
      </c>
      <c r="GGX79" s="1716"/>
      <c r="GGY79" s="1716"/>
      <c r="GGZ79" s="1716"/>
      <c r="GHA79" s="1716"/>
      <c r="GHB79" s="244"/>
      <c r="GHC79" s="244" t="s">
        <v>68</v>
      </c>
      <c r="GHD79" s="245" t="s">
        <v>68</v>
      </c>
      <c r="GHE79" s="1715" t="s">
        <v>0</v>
      </c>
      <c r="GHF79" s="1716"/>
      <c r="GHG79" s="1716"/>
      <c r="GHH79" s="1716"/>
      <c r="GHI79" s="1716"/>
      <c r="GHJ79" s="244"/>
      <c r="GHK79" s="244" t="s">
        <v>68</v>
      </c>
      <c r="GHL79" s="245" t="s">
        <v>68</v>
      </c>
      <c r="GHM79" s="1715" t="s">
        <v>0</v>
      </c>
      <c r="GHN79" s="1716"/>
      <c r="GHO79" s="1716"/>
      <c r="GHP79" s="1716"/>
      <c r="GHQ79" s="1716"/>
      <c r="GHR79" s="244"/>
      <c r="GHS79" s="244" t="s">
        <v>68</v>
      </c>
      <c r="GHT79" s="245" t="s">
        <v>68</v>
      </c>
      <c r="GHU79" s="1715" t="s">
        <v>0</v>
      </c>
      <c r="GHV79" s="1716"/>
      <c r="GHW79" s="1716"/>
      <c r="GHX79" s="1716"/>
      <c r="GHY79" s="1716"/>
      <c r="GHZ79" s="244"/>
      <c r="GIA79" s="244" t="s">
        <v>68</v>
      </c>
      <c r="GIB79" s="245" t="s">
        <v>68</v>
      </c>
      <c r="GIC79" s="1715" t="s">
        <v>0</v>
      </c>
      <c r="GID79" s="1716"/>
      <c r="GIE79" s="1716"/>
      <c r="GIF79" s="1716"/>
      <c r="GIG79" s="1716"/>
      <c r="GIH79" s="244"/>
      <c r="GII79" s="244" t="s">
        <v>68</v>
      </c>
      <c r="GIJ79" s="245" t="s">
        <v>68</v>
      </c>
      <c r="GIK79" s="1715" t="s">
        <v>0</v>
      </c>
      <c r="GIL79" s="1716"/>
      <c r="GIM79" s="1716"/>
      <c r="GIN79" s="1716"/>
      <c r="GIO79" s="1716"/>
      <c r="GIP79" s="244"/>
      <c r="GIQ79" s="244" t="s">
        <v>68</v>
      </c>
      <c r="GIR79" s="245" t="s">
        <v>68</v>
      </c>
      <c r="GIS79" s="1715" t="s">
        <v>0</v>
      </c>
      <c r="GIT79" s="1716"/>
      <c r="GIU79" s="1716"/>
      <c r="GIV79" s="1716"/>
      <c r="GIW79" s="1716"/>
      <c r="GIX79" s="244"/>
      <c r="GIY79" s="244" t="s">
        <v>68</v>
      </c>
      <c r="GIZ79" s="245" t="s">
        <v>68</v>
      </c>
      <c r="GJA79" s="1715" t="s">
        <v>0</v>
      </c>
      <c r="GJB79" s="1716"/>
      <c r="GJC79" s="1716"/>
      <c r="GJD79" s="1716"/>
      <c r="GJE79" s="1716"/>
      <c r="GJF79" s="244"/>
      <c r="GJG79" s="244" t="s">
        <v>68</v>
      </c>
      <c r="GJH79" s="245" t="s">
        <v>68</v>
      </c>
      <c r="GJI79" s="1715" t="s">
        <v>0</v>
      </c>
      <c r="GJJ79" s="1716"/>
      <c r="GJK79" s="1716"/>
      <c r="GJL79" s="1716"/>
      <c r="GJM79" s="1716"/>
      <c r="GJN79" s="244"/>
      <c r="GJO79" s="244" t="s">
        <v>68</v>
      </c>
      <c r="GJP79" s="245" t="s">
        <v>68</v>
      </c>
      <c r="GJQ79" s="1715" t="s">
        <v>0</v>
      </c>
      <c r="GJR79" s="1716"/>
      <c r="GJS79" s="1716"/>
      <c r="GJT79" s="1716"/>
      <c r="GJU79" s="1716"/>
      <c r="GJV79" s="244"/>
      <c r="GJW79" s="244" t="s">
        <v>68</v>
      </c>
      <c r="GJX79" s="245" t="s">
        <v>68</v>
      </c>
      <c r="GJY79" s="1715" t="s">
        <v>0</v>
      </c>
      <c r="GJZ79" s="1716"/>
      <c r="GKA79" s="1716"/>
      <c r="GKB79" s="1716"/>
      <c r="GKC79" s="1716"/>
      <c r="GKD79" s="244"/>
      <c r="GKE79" s="244" t="s">
        <v>68</v>
      </c>
      <c r="GKF79" s="245" t="s">
        <v>68</v>
      </c>
      <c r="GKG79" s="1715" t="s">
        <v>0</v>
      </c>
      <c r="GKH79" s="1716"/>
      <c r="GKI79" s="1716"/>
      <c r="GKJ79" s="1716"/>
      <c r="GKK79" s="1716"/>
      <c r="GKL79" s="244"/>
      <c r="GKM79" s="244" t="s">
        <v>68</v>
      </c>
      <c r="GKN79" s="245" t="s">
        <v>68</v>
      </c>
      <c r="GKO79" s="1715" t="s">
        <v>0</v>
      </c>
      <c r="GKP79" s="1716"/>
      <c r="GKQ79" s="1716"/>
      <c r="GKR79" s="1716"/>
      <c r="GKS79" s="1716"/>
      <c r="GKT79" s="244"/>
      <c r="GKU79" s="244" t="s">
        <v>68</v>
      </c>
      <c r="GKV79" s="245" t="s">
        <v>68</v>
      </c>
      <c r="GKW79" s="1715" t="s">
        <v>0</v>
      </c>
      <c r="GKX79" s="1716"/>
      <c r="GKY79" s="1716"/>
      <c r="GKZ79" s="1716"/>
      <c r="GLA79" s="1716"/>
      <c r="GLB79" s="244"/>
      <c r="GLC79" s="244" t="s">
        <v>68</v>
      </c>
      <c r="GLD79" s="245" t="s">
        <v>68</v>
      </c>
      <c r="GLE79" s="1715" t="s">
        <v>0</v>
      </c>
      <c r="GLF79" s="1716"/>
      <c r="GLG79" s="1716"/>
      <c r="GLH79" s="1716"/>
      <c r="GLI79" s="1716"/>
      <c r="GLJ79" s="244"/>
      <c r="GLK79" s="244" t="s">
        <v>68</v>
      </c>
      <c r="GLL79" s="245" t="s">
        <v>68</v>
      </c>
      <c r="GLM79" s="1715" t="s">
        <v>0</v>
      </c>
      <c r="GLN79" s="1716"/>
      <c r="GLO79" s="1716"/>
      <c r="GLP79" s="1716"/>
      <c r="GLQ79" s="1716"/>
      <c r="GLR79" s="244"/>
      <c r="GLS79" s="244" t="s">
        <v>68</v>
      </c>
      <c r="GLT79" s="245" t="s">
        <v>68</v>
      </c>
      <c r="GLU79" s="1715" t="s">
        <v>0</v>
      </c>
      <c r="GLV79" s="1716"/>
      <c r="GLW79" s="1716"/>
      <c r="GLX79" s="1716"/>
      <c r="GLY79" s="1716"/>
      <c r="GLZ79" s="244"/>
      <c r="GMA79" s="244" t="s">
        <v>68</v>
      </c>
      <c r="GMB79" s="245" t="s">
        <v>68</v>
      </c>
      <c r="GMC79" s="1715" t="s">
        <v>0</v>
      </c>
      <c r="GMD79" s="1716"/>
      <c r="GME79" s="1716"/>
      <c r="GMF79" s="1716"/>
      <c r="GMG79" s="1716"/>
      <c r="GMH79" s="244"/>
      <c r="GMI79" s="244" t="s">
        <v>68</v>
      </c>
      <c r="GMJ79" s="245" t="s">
        <v>68</v>
      </c>
      <c r="GMK79" s="1715" t="s">
        <v>0</v>
      </c>
      <c r="GML79" s="1716"/>
      <c r="GMM79" s="1716"/>
      <c r="GMN79" s="1716"/>
      <c r="GMO79" s="1716"/>
      <c r="GMP79" s="244"/>
      <c r="GMQ79" s="244" t="s">
        <v>68</v>
      </c>
      <c r="GMR79" s="245" t="s">
        <v>68</v>
      </c>
      <c r="GMS79" s="1715" t="s">
        <v>0</v>
      </c>
      <c r="GMT79" s="1716"/>
      <c r="GMU79" s="1716"/>
      <c r="GMV79" s="1716"/>
      <c r="GMW79" s="1716"/>
      <c r="GMX79" s="244"/>
      <c r="GMY79" s="244" t="s">
        <v>68</v>
      </c>
      <c r="GMZ79" s="245" t="s">
        <v>68</v>
      </c>
      <c r="GNA79" s="1715" t="s">
        <v>0</v>
      </c>
      <c r="GNB79" s="1716"/>
      <c r="GNC79" s="1716"/>
      <c r="GND79" s="1716"/>
      <c r="GNE79" s="1716"/>
      <c r="GNF79" s="244"/>
      <c r="GNG79" s="244" t="s">
        <v>68</v>
      </c>
      <c r="GNH79" s="245" t="s">
        <v>68</v>
      </c>
      <c r="GNI79" s="1715" t="s">
        <v>0</v>
      </c>
      <c r="GNJ79" s="1716"/>
      <c r="GNK79" s="1716"/>
      <c r="GNL79" s="1716"/>
      <c r="GNM79" s="1716"/>
      <c r="GNN79" s="244"/>
      <c r="GNO79" s="244" t="s">
        <v>68</v>
      </c>
      <c r="GNP79" s="245" t="s">
        <v>68</v>
      </c>
      <c r="GNQ79" s="1715" t="s">
        <v>0</v>
      </c>
      <c r="GNR79" s="1716"/>
      <c r="GNS79" s="1716"/>
      <c r="GNT79" s="1716"/>
      <c r="GNU79" s="1716"/>
      <c r="GNV79" s="244"/>
      <c r="GNW79" s="244" t="s">
        <v>68</v>
      </c>
      <c r="GNX79" s="245" t="s">
        <v>68</v>
      </c>
      <c r="GNY79" s="1715" t="s">
        <v>0</v>
      </c>
      <c r="GNZ79" s="1716"/>
      <c r="GOA79" s="1716"/>
      <c r="GOB79" s="1716"/>
      <c r="GOC79" s="1716"/>
      <c r="GOD79" s="244"/>
      <c r="GOE79" s="244" t="s">
        <v>68</v>
      </c>
      <c r="GOF79" s="245" t="s">
        <v>68</v>
      </c>
      <c r="GOG79" s="1715" t="s">
        <v>0</v>
      </c>
      <c r="GOH79" s="1716"/>
      <c r="GOI79" s="1716"/>
      <c r="GOJ79" s="1716"/>
      <c r="GOK79" s="1716"/>
      <c r="GOL79" s="244"/>
      <c r="GOM79" s="244" t="s">
        <v>68</v>
      </c>
      <c r="GON79" s="245" t="s">
        <v>68</v>
      </c>
      <c r="GOO79" s="1715" t="s">
        <v>0</v>
      </c>
      <c r="GOP79" s="1716"/>
      <c r="GOQ79" s="1716"/>
      <c r="GOR79" s="1716"/>
      <c r="GOS79" s="1716"/>
      <c r="GOT79" s="244"/>
      <c r="GOU79" s="244" t="s">
        <v>68</v>
      </c>
      <c r="GOV79" s="245" t="s">
        <v>68</v>
      </c>
      <c r="GOW79" s="1715" t="s">
        <v>0</v>
      </c>
      <c r="GOX79" s="1716"/>
      <c r="GOY79" s="1716"/>
      <c r="GOZ79" s="1716"/>
      <c r="GPA79" s="1716"/>
      <c r="GPB79" s="244"/>
      <c r="GPC79" s="244" t="s">
        <v>68</v>
      </c>
      <c r="GPD79" s="245" t="s">
        <v>68</v>
      </c>
      <c r="GPE79" s="1715" t="s">
        <v>0</v>
      </c>
      <c r="GPF79" s="1716"/>
      <c r="GPG79" s="1716"/>
      <c r="GPH79" s="1716"/>
      <c r="GPI79" s="1716"/>
      <c r="GPJ79" s="244"/>
      <c r="GPK79" s="244" t="s">
        <v>68</v>
      </c>
      <c r="GPL79" s="245" t="s">
        <v>68</v>
      </c>
      <c r="GPM79" s="1715" t="s">
        <v>0</v>
      </c>
      <c r="GPN79" s="1716"/>
      <c r="GPO79" s="1716"/>
      <c r="GPP79" s="1716"/>
      <c r="GPQ79" s="1716"/>
      <c r="GPR79" s="244"/>
      <c r="GPS79" s="244" t="s">
        <v>68</v>
      </c>
      <c r="GPT79" s="245" t="s">
        <v>68</v>
      </c>
      <c r="GPU79" s="1715" t="s">
        <v>0</v>
      </c>
      <c r="GPV79" s="1716"/>
      <c r="GPW79" s="1716"/>
      <c r="GPX79" s="1716"/>
      <c r="GPY79" s="1716"/>
      <c r="GPZ79" s="244"/>
      <c r="GQA79" s="244" t="s">
        <v>68</v>
      </c>
      <c r="GQB79" s="245" t="s">
        <v>68</v>
      </c>
      <c r="GQC79" s="1715" t="s">
        <v>0</v>
      </c>
      <c r="GQD79" s="1716"/>
      <c r="GQE79" s="1716"/>
      <c r="GQF79" s="1716"/>
      <c r="GQG79" s="1716"/>
      <c r="GQH79" s="244"/>
      <c r="GQI79" s="244" t="s">
        <v>68</v>
      </c>
      <c r="GQJ79" s="245" t="s">
        <v>68</v>
      </c>
      <c r="GQK79" s="1715" t="s">
        <v>0</v>
      </c>
      <c r="GQL79" s="1716"/>
      <c r="GQM79" s="1716"/>
      <c r="GQN79" s="1716"/>
      <c r="GQO79" s="1716"/>
      <c r="GQP79" s="244"/>
      <c r="GQQ79" s="244" t="s">
        <v>68</v>
      </c>
      <c r="GQR79" s="245" t="s">
        <v>68</v>
      </c>
      <c r="GQS79" s="1715" t="s">
        <v>0</v>
      </c>
      <c r="GQT79" s="1716"/>
      <c r="GQU79" s="1716"/>
      <c r="GQV79" s="1716"/>
      <c r="GQW79" s="1716"/>
      <c r="GQX79" s="244"/>
      <c r="GQY79" s="244" t="s">
        <v>68</v>
      </c>
      <c r="GQZ79" s="245" t="s">
        <v>68</v>
      </c>
      <c r="GRA79" s="1715" t="s">
        <v>0</v>
      </c>
      <c r="GRB79" s="1716"/>
      <c r="GRC79" s="1716"/>
      <c r="GRD79" s="1716"/>
      <c r="GRE79" s="1716"/>
      <c r="GRF79" s="244"/>
      <c r="GRG79" s="244" t="s">
        <v>68</v>
      </c>
      <c r="GRH79" s="245" t="s">
        <v>68</v>
      </c>
      <c r="GRI79" s="1715" t="s">
        <v>0</v>
      </c>
      <c r="GRJ79" s="1716"/>
      <c r="GRK79" s="1716"/>
      <c r="GRL79" s="1716"/>
      <c r="GRM79" s="1716"/>
      <c r="GRN79" s="244"/>
      <c r="GRO79" s="244" t="s">
        <v>68</v>
      </c>
      <c r="GRP79" s="245" t="s">
        <v>68</v>
      </c>
      <c r="GRQ79" s="1715" t="s">
        <v>0</v>
      </c>
      <c r="GRR79" s="1716"/>
      <c r="GRS79" s="1716"/>
      <c r="GRT79" s="1716"/>
      <c r="GRU79" s="1716"/>
      <c r="GRV79" s="244"/>
      <c r="GRW79" s="244" t="s">
        <v>68</v>
      </c>
      <c r="GRX79" s="245" t="s">
        <v>68</v>
      </c>
      <c r="GRY79" s="1715" t="s">
        <v>0</v>
      </c>
      <c r="GRZ79" s="1716"/>
      <c r="GSA79" s="1716"/>
      <c r="GSB79" s="1716"/>
      <c r="GSC79" s="1716"/>
      <c r="GSD79" s="244"/>
      <c r="GSE79" s="244" t="s">
        <v>68</v>
      </c>
      <c r="GSF79" s="245" t="s">
        <v>68</v>
      </c>
      <c r="GSG79" s="1715" t="s">
        <v>0</v>
      </c>
      <c r="GSH79" s="1716"/>
      <c r="GSI79" s="1716"/>
      <c r="GSJ79" s="1716"/>
      <c r="GSK79" s="1716"/>
      <c r="GSL79" s="244"/>
      <c r="GSM79" s="244" t="s">
        <v>68</v>
      </c>
      <c r="GSN79" s="245" t="s">
        <v>68</v>
      </c>
      <c r="GSO79" s="1715" t="s">
        <v>0</v>
      </c>
      <c r="GSP79" s="1716"/>
      <c r="GSQ79" s="1716"/>
      <c r="GSR79" s="1716"/>
      <c r="GSS79" s="1716"/>
      <c r="GST79" s="244"/>
      <c r="GSU79" s="244" t="s">
        <v>68</v>
      </c>
      <c r="GSV79" s="245" t="s">
        <v>68</v>
      </c>
      <c r="GSW79" s="1715" t="s">
        <v>0</v>
      </c>
      <c r="GSX79" s="1716"/>
      <c r="GSY79" s="1716"/>
      <c r="GSZ79" s="1716"/>
      <c r="GTA79" s="1716"/>
      <c r="GTB79" s="244"/>
      <c r="GTC79" s="244" t="s">
        <v>68</v>
      </c>
      <c r="GTD79" s="245" t="s">
        <v>68</v>
      </c>
      <c r="GTE79" s="1715" t="s">
        <v>0</v>
      </c>
      <c r="GTF79" s="1716"/>
      <c r="GTG79" s="1716"/>
      <c r="GTH79" s="1716"/>
      <c r="GTI79" s="1716"/>
      <c r="GTJ79" s="244"/>
      <c r="GTK79" s="244" t="s">
        <v>68</v>
      </c>
      <c r="GTL79" s="245" t="s">
        <v>68</v>
      </c>
      <c r="GTM79" s="1715" t="s">
        <v>0</v>
      </c>
      <c r="GTN79" s="1716"/>
      <c r="GTO79" s="1716"/>
      <c r="GTP79" s="1716"/>
      <c r="GTQ79" s="1716"/>
      <c r="GTR79" s="244"/>
      <c r="GTS79" s="244" t="s">
        <v>68</v>
      </c>
      <c r="GTT79" s="245" t="s">
        <v>68</v>
      </c>
      <c r="GTU79" s="1715" t="s">
        <v>0</v>
      </c>
      <c r="GTV79" s="1716"/>
      <c r="GTW79" s="1716"/>
      <c r="GTX79" s="1716"/>
      <c r="GTY79" s="1716"/>
      <c r="GTZ79" s="244"/>
      <c r="GUA79" s="244" t="s">
        <v>68</v>
      </c>
      <c r="GUB79" s="245" t="s">
        <v>68</v>
      </c>
      <c r="GUC79" s="1715" t="s">
        <v>0</v>
      </c>
      <c r="GUD79" s="1716"/>
      <c r="GUE79" s="1716"/>
      <c r="GUF79" s="1716"/>
      <c r="GUG79" s="1716"/>
      <c r="GUH79" s="244"/>
      <c r="GUI79" s="244" t="s">
        <v>68</v>
      </c>
      <c r="GUJ79" s="245" t="s">
        <v>68</v>
      </c>
      <c r="GUK79" s="1715" t="s">
        <v>0</v>
      </c>
      <c r="GUL79" s="1716"/>
      <c r="GUM79" s="1716"/>
      <c r="GUN79" s="1716"/>
      <c r="GUO79" s="1716"/>
      <c r="GUP79" s="244"/>
      <c r="GUQ79" s="244" t="s">
        <v>68</v>
      </c>
      <c r="GUR79" s="245" t="s">
        <v>68</v>
      </c>
      <c r="GUS79" s="1715" t="s">
        <v>0</v>
      </c>
      <c r="GUT79" s="1716"/>
      <c r="GUU79" s="1716"/>
      <c r="GUV79" s="1716"/>
      <c r="GUW79" s="1716"/>
      <c r="GUX79" s="244"/>
      <c r="GUY79" s="244" t="s">
        <v>68</v>
      </c>
      <c r="GUZ79" s="245" t="s">
        <v>68</v>
      </c>
      <c r="GVA79" s="1715" t="s">
        <v>0</v>
      </c>
      <c r="GVB79" s="1716"/>
      <c r="GVC79" s="1716"/>
      <c r="GVD79" s="1716"/>
      <c r="GVE79" s="1716"/>
      <c r="GVF79" s="244"/>
      <c r="GVG79" s="244" t="s">
        <v>68</v>
      </c>
      <c r="GVH79" s="245" t="s">
        <v>68</v>
      </c>
      <c r="GVI79" s="1715" t="s">
        <v>0</v>
      </c>
      <c r="GVJ79" s="1716"/>
      <c r="GVK79" s="1716"/>
      <c r="GVL79" s="1716"/>
      <c r="GVM79" s="1716"/>
      <c r="GVN79" s="244"/>
      <c r="GVO79" s="244" t="s">
        <v>68</v>
      </c>
      <c r="GVP79" s="245" t="s">
        <v>68</v>
      </c>
      <c r="GVQ79" s="1715" t="s">
        <v>0</v>
      </c>
      <c r="GVR79" s="1716"/>
      <c r="GVS79" s="1716"/>
      <c r="GVT79" s="1716"/>
      <c r="GVU79" s="1716"/>
      <c r="GVV79" s="244"/>
      <c r="GVW79" s="244" t="s">
        <v>68</v>
      </c>
      <c r="GVX79" s="245" t="s">
        <v>68</v>
      </c>
      <c r="GVY79" s="1715" t="s">
        <v>0</v>
      </c>
      <c r="GVZ79" s="1716"/>
      <c r="GWA79" s="1716"/>
      <c r="GWB79" s="1716"/>
      <c r="GWC79" s="1716"/>
      <c r="GWD79" s="244"/>
      <c r="GWE79" s="244" t="s">
        <v>68</v>
      </c>
      <c r="GWF79" s="245" t="s">
        <v>68</v>
      </c>
      <c r="GWG79" s="1715" t="s">
        <v>0</v>
      </c>
      <c r="GWH79" s="1716"/>
      <c r="GWI79" s="1716"/>
      <c r="GWJ79" s="1716"/>
      <c r="GWK79" s="1716"/>
      <c r="GWL79" s="244"/>
      <c r="GWM79" s="244" t="s">
        <v>68</v>
      </c>
      <c r="GWN79" s="245" t="s">
        <v>68</v>
      </c>
      <c r="GWO79" s="1715" t="s">
        <v>0</v>
      </c>
      <c r="GWP79" s="1716"/>
      <c r="GWQ79" s="1716"/>
      <c r="GWR79" s="1716"/>
      <c r="GWS79" s="1716"/>
      <c r="GWT79" s="244"/>
      <c r="GWU79" s="244" t="s">
        <v>68</v>
      </c>
      <c r="GWV79" s="245" t="s">
        <v>68</v>
      </c>
      <c r="GWW79" s="1715" t="s">
        <v>0</v>
      </c>
      <c r="GWX79" s="1716"/>
      <c r="GWY79" s="1716"/>
      <c r="GWZ79" s="1716"/>
      <c r="GXA79" s="1716"/>
      <c r="GXB79" s="244"/>
      <c r="GXC79" s="244" t="s">
        <v>68</v>
      </c>
      <c r="GXD79" s="245" t="s">
        <v>68</v>
      </c>
      <c r="GXE79" s="1715" t="s">
        <v>0</v>
      </c>
      <c r="GXF79" s="1716"/>
      <c r="GXG79" s="1716"/>
      <c r="GXH79" s="1716"/>
      <c r="GXI79" s="1716"/>
      <c r="GXJ79" s="244"/>
      <c r="GXK79" s="244" t="s">
        <v>68</v>
      </c>
      <c r="GXL79" s="245" t="s">
        <v>68</v>
      </c>
      <c r="GXM79" s="1715" t="s">
        <v>0</v>
      </c>
      <c r="GXN79" s="1716"/>
      <c r="GXO79" s="1716"/>
      <c r="GXP79" s="1716"/>
      <c r="GXQ79" s="1716"/>
      <c r="GXR79" s="244"/>
      <c r="GXS79" s="244" t="s">
        <v>68</v>
      </c>
      <c r="GXT79" s="245" t="s">
        <v>68</v>
      </c>
      <c r="GXU79" s="1715" t="s">
        <v>0</v>
      </c>
      <c r="GXV79" s="1716"/>
      <c r="GXW79" s="1716"/>
      <c r="GXX79" s="1716"/>
      <c r="GXY79" s="1716"/>
      <c r="GXZ79" s="244"/>
      <c r="GYA79" s="244" t="s">
        <v>68</v>
      </c>
      <c r="GYB79" s="245" t="s">
        <v>68</v>
      </c>
      <c r="GYC79" s="1715" t="s">
        <v>0</v>
      </c>
      <c r="GYD79" s="1716"/>
      <c r="GYE79" s="1716"/>
      <c r="GYF79" s="1716"/>
      <c r="GYG79" s="1716"/>
      <c r="GYH79" s="244"/>
      <c r="GYI79" s="244" t="s">
        <v>68</v>
      </c>
      <c r="GYJ79" s="245" t="s">
        <v>68</v>
      </c>
      <c r="GYK79" s="1715" t="s">
        <v>0</v>
      </c>
      <c r="GYL79" s="1716"/>
      <c r="GYM79" s="1716"/>
      <c r="GYN79" s="1716"/>
      <c r="GYO79" s="1716"/>
      <c r="GYP79" s="244"/>
      <c r="GYQ79" s="244" t="s">
        <v>68</v>
      </c>
      <c r="GYR79" s="245" t="s">
        <v>68</v>
      </c>
      <c r="GYS79" s="1715" t="s">
        <v>0</v>
      </c>
      <c r="GYT79" s="1716"/>
      <c r="GYU79" s="1716"/>
      <c r="GYV79" s="1716"/>
      <c r="GYW79" s="1716"/>
      <c r="GYX79" s="244"/>
      <c r="GYY79" s="244" t="s">
        <v>68</v>
      </c>
      <c r="GYZ79" s="245" t="s">
        <v>68</v>
      </c>
      <c r="GZA79" s="1715" t="s">
        <v>0</v>
      </c>
      <c r="GZB79" s="1716"/>
      <c r="GZC79" s="1716"/>
      <c r="GZD79" s="1716"/>
      <c r="GZE79" s="1716"/>
      <c r="GZF79" s="244"/>
      <c r="GZG79" s="244" t="s">
        <v>68</v>
      </c>
      <c r="GZH79" s="245" t="s">
        <v>68</v>
      </c>
      <c r="GZI79" s="1715" t="s">
        <v>0</v>
      </c>
      <c r="GZJ79" s="1716"/>
      <c r="GZK79" s="1716"/>
      <c r="GZL79" s="1716"/>
      <c r="GZM79" s="1716"/>
      <c r="GZN79" s="244"/>
      <c r="GZO79" s="244" t="s">
        <v>68</v>
      </c>
      <c r="GZP79" s="245" t="s">
        <v>68</v>
      </c>
      <c r="GZQ79" s="1715" t="s">
        <v>0</v>
      </c>
      <c r="GZR79" s="1716"/>
      <c r="GZS79" s="1716"/>
      <c r="GZT79" s="1716"/>
      <c r="GZU79" s="1716"/>
      <c r="GZV79" s="244"/>
      <c r="GZW79" s="244" t="s">
        <v>68</v>
      </c>
      <c r="GZX79" s="245" t="s">
        <v>68</v>
      </c>
      <c r="GZY79" s="1715" t="s">
        <v>0</v>
      </c>
      <c r="GZZ79" s="1716"/>
      <c r="HAA79" s="1716"/>
      <c r="HAB79" s="1716"/>
      <c r="HAC79" s="1716"/>
      <c r="HAD79" s="244"/>
      <c r="HAE79" s="244" t="s">
        <v>68</v>
      </c>
      <c r="HAF79" s="245" t="s">
        <v>68</v>
      </c>
      <c r="HAG79" s="1715" t="s">
        <v>0</v>
      </c>
      <c r="HAH79" s="1716"/>
      <c r="HAI79" s="1716"/>
      <c r="HAJ79" s="1716"/>
      <c r="HAK79" s="1716"/>
      <c r="HAL79" s="244"/>
      <c r="HAM79" s="244" t="s">
        <v>68</v>
      </c>
      <c r="HAN79" s="245" t="s">
        <v>68</v>
      </c>
      <c r="HAO79" s="1715" t="s">
        <v>0</v>
      </c>
      <c r="HAP79" s="1716"/>
      <c r="HAQ79" s="1716"/>
      <c r="HAR79" s="1716"/>
      <c r="HAS79" s="1716"/>
      <c r="HAT79" s="244"/>
      <c r="HAU79" s="244" t="s">
        <v>68</v>
      </c>
      <c r="HAV79" s="245" t="s">
        <v>68</v>
      </c>
      <c r="HAW79" s="1715" t="s">
        <v>0</v>
      </c>
      <c r="HAX79" s="1716"/>
      <c r="HAY79" s="1716"/>
      <c r="HAZ79" s="1716"/>
      <c r="HBA79" s="1716"/>
      <c r="HBB79" s="244"/>
      <c r="HBC79" s="244" t="s">
        <v>68</v>
      </c>
      <c r="HBD79" s="245" t="s">
        <v>68</v>
      </c>
      <c r="HBE79" s="1715" t="s">
        <v>0</v>
      </c>
      <c r="HBF79" s="1716"/>
      <c r="HBG79" s="1716"/>
      <c r="HBH79" s="1716"/>
      <c r="HBI79" s="1716"/>
      <c r="HBJ79" s="244"/>
      <c r="HBK79" s="244" t="s">
        <v>68</v>
      </c>
      <c r="HBL79" s="245" t="s">
        <v>68</v>
      </c>
      <c r="HBM79" s="1715" t="s">
        <v>0</v>
      </c>
      <c r="HBN79" s="1716"/>
      <c r="HBO79" s="1716"/>
      <c r="HBP79" s="1716"/>
      <c r="HBQ79" s="1716"/>
      <c r="HBR79" s="244"/>
      <c r="HBS79" s="244" t="s">
        <v>68</v>
      </c>
      <c r="HBT79" s="245" t="s">
        <v>68</v>
      </c>
      <c r="HBU79" s="1715" t="s">
        <v>0</v>
      </c>
      <c r="HBV79" s="1716"/>
      <c r="HBW79" s="1716"/>
      <c r="HBX79" s="1716"/>
      <c r="HBY79" s="1716"/>
      <c r="HBZ79" s="244"/>
      <c r="HCA79" s="244" t="s">
        <v>68</v>
      </c>
      <c r="HCB79" s="245" t="s">
        <v>68</v>
      </c>
      <c r="HCC79" s="1715" t="s">
        <v>0</v>
      </c>
      <c r="HCD79" s="1716"/>
      <c r="HCE79" s="1716"/>
      <c r="HCF79" s="1716"/>
      <c r="HCG79" s="1716"/>
      <c r="HCH79" s="244"/>
      <c r="HCI79" s="244" t="s">
        <v>68</v>
      </c>
      <c r="HCJ79" s="245" t="s">
        <v>68</v>
      </c>
      <c r="HCK79" s="1715" t="s">
        <v>0</v>
      </c>
      <c r="HCL79" s="1716"/>
      <c r="HCM79" s="1716"/>
      <c r="HCN79" s="1716"/>
      <c r="HCO79" s="1716"/>
      <c r="HCP79" s="244"/>
      <c r="HCQ79" s="244" t="s">
        <v>68</v>
      </c>
      <c r="HCR79" s="245" t="s">
        <v>68</v>
      </c>
      <c r="HCS79" s="1715" t="s">
        <v>0</v>
      </c>
      <c r="HCT79" s="1716"/>
      <c r="HCU79" s="1716"/>
      <c r="HCV79" s="1716"/>
      <c r="HCW79" s="1716"/>
      <c r="HCX79" s="244"/>
      <c r="HCY79" s="244" t="s">
        <v>68</v>
      </c>
      <c r="HCZ79" s="245" t="s">
        <v>68</v>
      </c>
      <c r="HDA79" s="1715" t="s">
        <v>0</v>
      </c>
      <c r="HDB79" s="1716"/>
      <c r="HDC79" s="1716"/>
      <c r="HDD79" s="1716"/>
      <c r="HDE79" s="1716"/>
      <c r="HDF79" s="244"/>
      <c r="HDG79" s="244" t="s">
        <v>68</v>
      </c>
      <c r="HDH79" s="245" t="s">
        <v>68</v>
      </c>
      <c r="HDI79" s="1715" t="s">
        <v>0</v>
      </c>
      <c r="HDJ79" s="1716"/>
      <c r="HDK79" s="1716"/>
      <c r="HDL79" s="1716"/>
      <c r="HDM79" s="1716"/>
      <c r="HDN79" s="244"/>
      <c r="HDO79" s="244" t="s">
        <v>68</v>
      </c>
      <c r="HDP79" s="245" t="s">
        <v>68</v>
      </c>
      <c r="HDQ79" s="1715" t="s">
        <v>0</v>
      </c>
      <c r="HDR79" s="1716"/>
      <c r="HDS79" s="1716"/>
      <c r="HDT79" s="1716"/>
      <c r="HDU79" s="1716"/>
      <c r="HDV79" s="244"/>
      <c r="HDW79" s="244" t="s">
        <v>68</v>
      </c>
      <c r="HDX79" s="245" t="s">
        <v>68</v>
      </c>
      <c r="HDY79" s="1715" t="s">
        <v>0</v>
      </c>
      <c r="HDZ79" s="1716"/>
      <c r="HEA79" s="1716"/>
      <c r="HEB79" s="1716"/>
      <c r="HEC79" s="1716"/>
      <c r="HED79" s="244"/>
      <c r="HEE79" s="244" t="s">
        <v>68</v>
      </c>
      <c r="HEF79" s="245" t="s">
        <v>68</v>
      </c>
      <c r="HEG79" s="1715" t="s">
        <v>0</v>
      </c>
      <c r="HEH79" s="1716"/>
      <c r="HEI79" s="1716"/>
      <c r="HEJ79" s="1716"/>
      <c r="HEK79" s="1716"/>
      <c r="HEL79" s="244"/>
      <c r="HEM79" s="244" t="s">
        <v>68</v>
      </c>
      <c r="HEN79" s="245" t="s">
        <v>68</v>
      </c>
      <c r="HEO79" s="1715" t="s">
        <v>0</v>
      </c>
      <c r="HEP79" s="1716"/>
      <c r="HEQ79" s="1716"/>
      <c r="HER79" s="1716"/>
      <c r="HES79" s="1716"/>
      <c r="HET79" s="244"/>
      <c r="HEU79" s="244" t="s">
        <v>68</v>
      </c>
      <c r="HEV79" s="245" t="s">
        <v>68</v>
      </c>
      <c r="HEW79" s="1715" t="s">
        <v>0</v>
      </c>
      <c r="HEX79" s="1716"/>
      <c r="HEY79" s="1716"/>
      <c r="HEZ79" s="1716"/>
      <c r="HFA79" s="1716"/>
      <c r="HFB79" s="244"/>
      <c r="HFC79" s="244" t="s">
        <v>68</v>
      </c>
      <c r="HFD79" s="245" t="s">
        <v>68</v>
      </c>
      <c r="HFE79" s="1715" t="s">
        <v>0</v>
      </c>
      <c r="HFF79" s="1716"/>
      <c r="HFG79" s="1716"/>
      <c r="HFH79" s="1716"/>
      <c r="HFI79" s="1716"/>
      <c r="HFJ79" s="244"/>
      <c r="HFK79" s="244" t="s">
        <v>68</v>
      </c>
      <c r="HFL79" s="245" t="s">
        <v>68</v>
      </c>
      <c r="HFM79" s="1715" t="s">
        <v>0</v>
      </c>
      <c r="HFN79" s="1716"/>
      <c r="HFO79" s="1716"/>
      <c r="HFP79" s="1716"/>
      <c r="HFQ79" s="1716"/>
      <c r="HFR79" s="244"/>
      <c r="HFS79" s="244" t="s">
        <v>68</v>
      </c>
      <c r="HFT79" s="245" t="s">
        <v>68</v>
      </c>
      <c r="HFU79" s="1715" t="s">
        <v>0</v>
      </c>
      <c r="HFV79" s="1716"/>
      <c r="HFW79" s="1716"/>
      <c r="HFX79" s="1716"/>
      <c r="HFY79" s="1716"/>
      <c r="HFZ79" s="244"/>
      <c r="HGA79" s="244" t="s">
        <v>68</v>
      </c>
      <c r="HGB79" s="245" t="s">
        <v>68</v>
      </c>
      <c r="HGC79" s="1715" t="s">
        <v>0</v>
      </c>
      <c r="HGD79" s="1716"/>
      <c r="HGE79" s="1716"/>
      <c r="HGF79" s="1716"/>
      <c r="HGG79" s="1716"/>
      <c r="HGH79" s="244"/>
      <c r="HGI79" s="244" t="s">
        <v>68</v>
      </c>
      <c r="HGJ79" s="245" t="s">
        <v>68</v>
      </c>
      <c r="HGK79" s="1715" t="s">
        <v>0</v>
      </c>
      <c r="HGL79" s="1716"/>
      <c r="HGM79" s="1716"/>
      <c r="HGN79" s="1716"/>
      <c r="HGO79" s="1716"/>
      <c r="HGP79" s="244"/>
      <c r="HGQ79" s="244" t="s">
        <v>68</v>
      </c>
      <c r="HGR79" s="245" t="s">
        <v>68</v>
      </c>
      <c r="HGS79" s="1715" t="s">
        <v>0</v>
      </c>
      <c r="HGT79" s="1716"/>
      <c r="HGU79" s="1716"/>
      <c r="HGV79" s="1716"/>
      <c r="HGW79" s="1716"/>
      <c r="HGX79" s="244"/>
      <c r="HGY79" s="244" t="s">
        <v>68</v>
      </c>
      <c r="HGZ79" s="245" t="s">
        <v>68</v>
      </c>
      <c r="HHA79" s="1715" t="s">
        <v>0</v>
      </c>
      <c r="HHB79" s="1716"/>
      <c r="HHC79" s="1716"/>
      <c r="HHD79" s="1716"/>
      <c r="HHE79" s="1716"/>
      <c r="HHF79" s="244"/>
      <c r="HHG79" s="244" t="s">
        <v>68</v>
      </c>
      <c r="HHH79" s="245" t="s">
        <v>68</v>
      </c>
      <c r="HHI79" s="1715" t="s">
        <v>0</v>
      </c>
      <c r="HHJ79" s="1716"/>
      <c r="HHK79" s="1716"/>
      <c r="HHL79" s="1716"/>
      <c r="HHM79" s="1716"/>
      <c r="HHN79" s="244"/>
      <c r="HHO79" s="244" t="s">
        <v>68</v>
      </c>
      <c r="HHP79" s="245" t="s">
        <v>68</v>
      </c>
      <c r="HHQ79" s="1715" t="s">
        <v>0</v>
      </c>
      <c r="HHR79" s="1716"/>
      <c r="HHS79" s="1716"/>
      <c r="HHT79" s="1716"/>
      <c r="HHU79" s="1716"/>
      <c r="HHV79" s="244"/>
      <c r="HHW79" s="244" t="s">
        <v>68</v>
      </c>
      <c r="HHX79" s="245" t="s">
        <v>68</v>
      </c>
      <c r="HHY79" s="1715" t="s">
        <v>0</v>
      </c>
      <c r="HHZ79" s="1716"/>
      <c r="HIA79" s="1716"/>
      <c r="HIB79" s="1716"/>
      <c r="HIC79" s="1716"/>
      <c r="HID79" s="244"/>
      <c r="HIE79" s="244" t="s">
        <v>68</v>
      </c>
      <c r="HIF79" s="245" t="s">
        <v>68</v>
      </c>
      <c r="HIG79" s="1715" t="s">
        <v>0</v>
      </c>
      <c r="HIH79" s="1716"/>
      <c r="HII79" s="1716"/>
      <c r="HIJ79" s="1716"/>
      <c r="HIK79" s="1716"/>
      <c r="HIL79" s="244"/>
      <c r="HIM79" s="244" t="s">
        <v>68</v>
      </c>
      <c r="HIN79" s="245" t="s">
        <v>68</v>
      </c>
      <c r="HIO79" s="1715" t="s">
        <v>0</v>
      </c>
      <c r="HIP79" s="1716"/>
      <c r="HIQ79" s="1716"/>
      <c r="HIR79" s="1716"/>
      <c r="HIS79" s="1716"/>
      <c r="HIT79" s="244"/>
      <c r="HIU79" s="244" t="s">
        <v>68</v>
      </c>
      <c r="HIV79" s="245" t="s">
        <v>68</v>
      </c>
      <c r="HIW79" s="1715" t="s">
        <v>0</v>
      </c>
      <c r="HIX79" s="1716"/>
      <c r="HIY79" s="1716"/>
      <c r="HIZ79" s="1716"/>
      <c r="HJA79" s="1716"/>
      <c r="HJB79" s="244"/>
      <c r="HJC79" s="244" t="s">
        <v>68</v>
      </c>
      <c r="HJD79" s="245" t="s">
        <v>68</v>
      </c>
      <c r="HJE79" s="1715" t="s">
        <v>0</v>
      </c>
      <c r="HJF79" s="1716"/>
      <c r="HJG79" s="1716"/>
      <c r="HJH79" s="1716"/>
      <c r="HJI79" s="1716"/>
      <c r="HJJ79" s="244"/>
      <c r="HJK79" s="244" t="s">
        <v>68</v>
      </c>
      <c r="HJL79" s="245" t="s">
        <v>68</v>
      </c>
      <c r="HJM79" s="1715" t="s">
        <v>0</v>
      </c>
      <c r="HJN79" s="1716"/>
      <c r="HJO79" s="1716"/>
      <c r="HJP79" s="1716"/>
      <c r="HJQ79" s="1716"/>
      <c r="HJR79" s="244"/>
      <c r="HJS79" s="244" t="s">
        <v>68</v>
      </c>
      <c r="HJT79" s="245" t="s">
        <v>68</v>
      </c>
      <c r="HJU79" s="1715" t="s">
        <v>0</v>
      </c>
      <c r="HJV79" s="1716"/>
      <c r="HJW79" s="1716"/>
      <c r="HJX79" s="1716"/>
      <c r="HJY79" s="1716"/>
      <c r="HJZ79" s="244"/>
      <c r="HKA79" s="244" t="s">
        <v>68</v>
      </c>
      <c r="HKB79" s="245" t="s">
        <v>68</v>
      </c>
      <c r="HKC79" s="1715" t="s">
        <v>0</v>
      </c>
      <c r="HKD79" s="1716"/>
      <c r="HKE79" s="1716"/>
      <c r="HKF79" s="1716"/>
      <c r="HKG79" s="1716"/>
      <c r="HKH79" s="244"/>
      <c r="HKI79" s="244" t="s">
        <v>68</v>
      </c>
      <c r="HKJ79" s="245" t="s">
        <v>68</v>
      </c>
      <c r="HKK79" s="1715" t="s">
        <v>0</v>
      </c>
      <c r="HKL79" s="1716"/>
      <c r="HKM79" s="1716"/>
      <c r="HKN79" s="1716"/>
      <c r="HKO79" s="1716"/>
      <c r="HKP79" s="244"/>
      <c r="HKQ79" s="244" t="s">
        <v>68</v>
      </c>
      <c r="HKR79" s="245" t="s">
        <v>68</v>
      </c>
      <c r="HKS79" s="1715" t="s">
        <v>0</v>
      </c>
      <c r="HKT79" s="1716"/>
      <c r="HKU79" s="1716"/>
      <c r="HKV79" s="1716"/>
      <c r="HKW79" s="1716"/>
      <c r="HKX79" s="244"/>
      <c r="HKY79" s="244" t="s">
        <v>68</v>
      </c>
      <c r="HKZ79" s="245" t="s">
        <v>68</v>
      </c>
      <c r="HLA79" s="1715" t="s">
        <v>0</v>
      </c>
      <c r="HLB79" s="1716"/>
      <c r="HLC79" s="1716"/>
      <c r="HLD79" s="1716"/>
      <c r="HLE79" s="1716"/>
      <c r="HLF79" s="244"/>
      <c r="HLG79" s="244" t="s">
        <v>68</v>
      </c>
      <c r="HLH79" s="245" t="s">
        <v>68</v>
      </c>
      <c r="HLI79" s="1715" t="s">
        <v>0</v>
      </c>
      <c r="HLJ79" s="1716"/>
      <c r="HLK79" s="1716"/>
      <c r="HLL79" s="1716"/>
      <c r="HLM79" s="1716"/>
      <c r="HLN79" s="244"/>
      <c r="HLO79" s="244" t="s">
        <v>68</v>
      </c>
      <c r="HLP79" s="245" t="s">
        <v>68</v>
      </c>
      <c r="HLQ79" s="1715" t="s">
        <v>0</v>
      </c>
      <c r="HLR79" s="1716"/>
      <c r="HLS79" s="1716"/>
      <c r="HLT79" s="1716"/>
      <c r="HLU79" s="1716"/>
      <c r="HLV79" s="244"/>
      <c r="HLW79" s="244" t="s">
        <v>68</v>
      </c>
      <c r="HLX79" s="245" t="s">
        <v>68</v>
      </c>
      <c r="HLY79" s="1715" t="s">
        <v>0</v>
      </c>
      <c r="HLZ79" s="1716"/>
      <c r="HMA79" s="1716"/>
      <c r="HMB79" s="1716"/>
      <c r="HMC79" s="1716"/>
      <c r="HMD79" s="244"/>
      <c r="HME79" s="244" t="s">
        <v>68</v>
      </c>
      <c r="HMF79" s="245" t="s">
        <v>68</v>
      </c>
      <c r="HMG79" s="1715" t="s">
        <v>0</v>
      </c>
      <c r="HMH79" s="1716"/>
      <c r="HMI79" s="1716"/>
      <c r="HMJ79" s="1716"/>
      <c r="HMK79" s="1716"/>
      <c r="HML79" s="244"/>
      <c r="HMM79" s="244" t="s">
        <v>68</v>
      </c>
      <c r="HMN79" s="245" t="s">
        <v>68</v>
      </c>
      <c r="HMO79" s="1715" t="s">
        <v>0</v>
      </c>
      <c r="HMP79" s="1716"/>
      <c r="HMQ79" s="1716"/>
      <c r="HMR79" s="1716"/>
      <c r="HMS79" s="1716"/>
      <c r="HMT79" s="244"/>
      <c r="HMU79" s="244" t="s">
        <v>68</v>
      </c>
      <c r="HMV79" s="245" t="s">
        <v>68</v>
      </c>
      <c r="HMW79" s="1715" t="s">
        <v>0</v>
      </c>
      <c r="HMX79" s="1716"/>
      <c r="HMY79" s="1716"/>
      <c r="HMZ79" s="1716"/>
      <c r="HNA79" s="1716"/>
      <c r="HNB79" s="244"/>
      <c r="HNC79" s="244" t="s">
        <v>68</v>
      </c>
      <c r="HND79" s="245" t="s">
        <v>68</v>
      </c>
      <c r="HNE79" s="1715" t="s">
        <v>0</v>
      </c>
      <c r="HNF79" s="1716"/>
      <c r="HNG79" s="1716"/>
      <c r="HNH79" s="1716"/>
      <c r="HNI79" s="1716"/>
      <c r="HNJ79" s="244"/>
      <c r="HNK79" s="244" t="s">
        <v>68</v>
      </c>
      <c r="HNL79" s="245" t="s">
        <v>68</v>
      </c>
      <c r="HNM79" s="1715" t="s">
        <v>0</v>
      </c>
      <c r="HNN79" s="1716"/>
      <c r="HNO79" s="1716"/>
      <c r="HNP79" s="1716"/>
      <c r="HNQ79" s="1716"/>
      <c r="HNR79" s="244"/>
      <c r="HNS79" s="244" t="s">
        <v>68</v>
      </c>
      <c r="HNT79" s="245" t="s">
        <v>68</v>
      </c>
      <c r="HNU79" s="1715" t="s">
        <v>0</v>
      </c>
      <c r="HNV79" s="1716"/>
      <c r="HNW79" s="1716"/>
      <c r="HNX79" s="1716"/>
      <c r="HNY79" s="1716"/>
      <c r="HNZ79" s="244"/>
      <c r="HOA79" s="244" t="s">
        <v>68</v>
      </c>
      <c r="HOB79" s="245" t="s">
        <v>68</v>
      </c>
      <c r="HOC79" s="1715" t="s">
        <v>0</v>
      </c>
      <c r="HOD79" s="1716"/>
      <c r="HOE79" s="1716"/>
      <c r="HOF79" s="1716"/>
      <c r="HOG79" s="1716"/>
      <c r="HOH79" s="244"/>
      <c r="HOI79" s="244" t="s">
        <v>68</v>
      </c>
      <c r="HOJ79" s="245" t="s">
        <v>68</v>
      </c>
      <c r="HOK79" s="1715" t="s">
        <v>0</v>
      </c>
      <c r="HOL79" s="1716"/>
      <c r="HOM79" s="1716"/>
      <c r="HON79" s="1716"/>
      <c r="HOO79" s="1716"/>
      <c r="HOP79" s="244"/>
      <c r="HOQ79" s="244" t="s">
        <v>68</v>
      </c>
      <c r="HOR79" s="245" t="s">
        <v>68</v>
      </c>
      <c r="HOS79" s="1715" t="s">
        <v>0</v>
      </c>
      <c r="HOT79" s="1716"/>
      <c r="HOU79" s="1716"/>
      <c r="HOV79" s="1716"/>
      <c r="HOW79" s="1716"/>
      <c r="HOX79" s="244"/>
      <c r="HOY79" s="244" t="s">
        <v>68</v>
      </c>
      <c r="HOZ79" s="245" t="s">
        <v>68</v>
      </c>
      <c r="HPA79" s="1715" t="s">
        <v>0</v>
      </c>
      <c r="HPB79" s="1716"/>
      <c r="HPC79" s="1716"/>
      <c r="HPD79" s="1716"/>
      <c r="HPE79" s="1716"/>
      <c r="HPF79" s="244"/>
      <c r="HPG79" s="244" t="s">
        <v>68</v>
      </c>
      <c r="HPH79" s="245" t="s">
        <v>68</v>
      </c>
      <c r="HPI79" s="1715" t="s">
        <v>0</v>
      </c>
      <c r="HPJ79" s="1716"/>
      <c r="HPK79" s="1716"/>
      <c r="HPL79" s="1716"/>
      <c r="HPM79" s="1716"/>
      <c r="HPN79" s="244"/>
      <c r="HPO79" s="244" t="s">
        <v>68</v>
      </c>
      <c r="HPP79" s="245" t="s">
        <v>68</v>
      </c>
      <c r="HPQ79" s="1715" t="s">
        <v>0</v>
      </c>
      <c r="HPR79" s="1716"/>
      <c r="HPS79" s="1716"/>
      <c r="HPT79" s="1716"/>
      <c r="HPU79" s="1716"/>
      <c r="HPV79" s="244"/>
      <c r="HPW79" s="244" t="s">
        <v>68</v>
      </c>
      <c r="HPX79" s="245" t="s">
        <v>68</v>
      </c>
      <c r="HPY79" s="1715" t="s">
        <v>0</v>
      </c>
      <c r="HPZ79" s="1716"/>
      <c r="HQA79" s="1716"/>
      <c r="HQB79" s="1716"/>
      <c r="HQC79" s="1716"/>
      <c r="HQD79" s="244"/>
      <c r="HQE79" s="244" t="s">
        <v>68</v>
      </c>
      <c r="HQF79" s="245" t="s">
        <v>68</v>
      </c>
      <c r="HQG79" s="1715" t="s">
        <v>0</v>
      </c>
      <c r="HQH79" s="1716"/>
      <c r="HQI79" s="1716"/>
      <c r="HQJ79" s="1716"/>
      <c r="HQK79" s="1716"/>
      <c r="HQL79" s="244"/>
      <c r="HQM79" s="244" t="s">
        <v>68</v>
      </c>
      <c r="HQN79" s="245" t="s">
        <v>68</v>
      </c>
      <c r="HQO79" s="1715" t="s">
        <v>0</v>
      </c>
      <c r="HQP79" s="1716"/>
      <c r="HQQ79" s="1716"/>
      <c r="HQR79" s="1716"/>
      <c r="HQS79" s="1716"/>
      <c r="HQT79" s="244"/>
      <c r="HQU79" s="244" t="s">
        <v>68</v>
      </c>
      <c r="HQV79" s="245" t="s">
        <v>68</v>
      </c>
      <c r="HQW79" s="1715" t="s">
        <v>0</v>
      </c>
      <c r="HQX79" s="1716"/>
      <c r="HQY79" s="1716"/>
      <c r="HQZ79" s="1716"/>
      <c r="HRA79" s="1716"/>
      <c r="HRB79" s="244"/>
      <c r="HRC79" s="244" t="s">
        <v>68</v>
      </c>
      <c r="HRD79" s="245" t="s">
        <v>68</v>
      </c>
      <c r="HRE79" s="1715" t="s">
        <v>0</v>
      </c>
      <c r="HRF79" s="1716"/>
      <c r="HRG79" s="1716"/>
      <c r="HRH79" s="1716"/>
      <c r="HRI79" s="1716"/>
      <c r="HRJ79" s="244"/>
      <c r="HRK79" s="244" t="s">
        <v>68</v>
      </c>
      <c r="HRL79" s="245" t="s">
        <v>68</v>
      </c>
      <c r="HRM79" s="1715" t="s">
        <v>0</v>
      </c>
      <c r="HRN79" s="1716"/>
      <c r="HRO79" s="1716"/>
      <c r="HRP79" s="1716"/>
      <c r="HRQ79" s="1716"/>
      <c r="HRR79" s="244"/>
      <c r="HRS79" s="244" t="s">
        <v>68</v>
      </c>
      <c r="HRT79" s="245" t="s">
        <v>68</v>
      </c>
      <c r="HRU79" s="1715" t="s">
        <v>0</v>
      </c>
      <c r="HRV79" s="1716"/>
      <c r="HRW79" s="1716"/>
      <c r="HRX79" s="1716"/>
      <c r="HRY79" s="1716"/>
      <c r="HRZ79" s="244"/>
      <c r="HSA79" s="244" t="s">
        <v>68</v>
      </c>
      <c r="HSB79" s="245" t="s">
        <v>68</v>
      </c>
      <c r="HSC79" s="1715" t="s">
        <v>0</v>
      </c>
      <c r="HSD79" s="1716"/>
      <c r="HSE79" s="1716"/>
      <c r="HSF79" s="1716"/>
      <c r="HSG79" s="1716"/>
      <c r="HSH79" s="244"/>
      <c r="HSI79" s="244" t="s">
        <v>68</v>
      </c>
      <c r="HSJ79" s="245" t="s">
        <v>68</v>
      </c>
      <c r="HSK79" s="1715" t="s">
        <v>0</v>
      </c>
      <c r="HSL79" s="1716"/>
      <c r="HSM79" s="1716"/>
      <c r="HSN79" s="1716"/>
      <c r="HSO79" s="1716"/>
      <c r="HSP79" s="244"/>
      <c r="HSQ79" s="244" t="s">
        <v>68</v>
      </c>
      <c r="HSR79" s="245" t="s">
        <v>68</v>
      </c>
      <c r="HSS79" s="1715" t="s">
        <v>0</v>
      </c>
      <c r="HST79" s="1716"/>
      <c r="HSU79" s="1716"/>
      <c r="HSV79" s="1716"/>
      <c r="HSW79" s="1716"/>
      <c r="HSX79" s="244"/>
      <c r="HSY79" s="244" t="s">
        <v>68</v>
      </c>
      <c r="HSZ79" s="245" t="s">
        <v>68</v>
      </c>
      <c r="HTA79" s="1715" t="s">
        <v>0</v>
      </c>
      <c r="HTB79" s="1716"/>
      <c r="HTC79" s="1716"/>
      <c r="HTD79" s="1716"/>
      <c r="HTE79" s="1716"/>
      <c r="HTF79" s="244"/>
      <c r="HTG79" s="244" t="s">
        <v>68</v>
      </c>
      <c r="HTH79" s="245" t="s">
        <v>68</v>
      </c>
      <c r="HTI79" s="1715" t="s">
        <v>0</v>
      </c>
      <c r="HTJ79" s="1716"/>
      <c r="HTK79" s="1716"/>
      <c r="HTL79" s="1716"/>
      <c r="HTM79" s="1716"/>
      <c r="HTN79" s="244"/>
      <c r="HTO79" s="244" t="s">
        <v>68</v>
      </c>
      <c r="HTP79" s="245" t="s">
        <v>68</v>
      </c>
      <c r="HTQ79" s="1715" t="s">
        <v>0</v>
      </c>
      <c r="HTR79" s="1716"/>
      <c r="HTS79" s="1716"/>
      <c r="HTT79" s="1716"/>
      <c r="HTU79" s="1716"/>
      <c r="HTV79" s="244"/>
      <c r="HTW79" s="244" t="s">
        <v>68</v>
      </c>
      <c r="HTX79" s="245" t="s">
        <v>68</v>
      </c>
      <c r="HTY79" s="1715" t="s">
        <v>0</v>
      </c>
      <c r="HTZ79" s="1716"/>
      <c r="HUA79" s="1716"/>
      <c r="HUB79" s="1716"/>
      <c r="HUC79" s="1716"/>
      <c r="HUD79" s="244"/>
      <c r="HUE79" s="244" t="s">
        <v>68</v>
      </c>
      <c r="HUF79" s="245" t="s">
        <v>68</v>
      </c>
      <c r="HUG79" s="1715" t="s">
        <v>0</v>
      </c>
      <c r="HUH79" s="1716"/>
      <c r="HUI79" s="1716"/>
      <c r="HUJ79" s="1716"/>
      <c r="HUK79" s="1716"/>
      <c r="HUL79" s="244"/>
      <c r="HUM79" s="244" t="s">
        <v>68</v>
      </c>
      <c r="HUN79" s="245" t="s">
        <v>68</v>
      </c>
      <c r="HUO79" s="1715" t="s">
        <v>0</v>
      </c>
      <c r="HUP79" s="1716"/>
      <c r="HUQ79" s="1716"/>
      <c r="HUR79" s="1716"/>
      <c r="HUS79" s="1716"/>
      <c r="HUT79" s="244"/>
      <c r="HUU79" s="244" t="s">
        <v>68</v>
      </c>
      <c r="HUV79" s="245" t="s">
        <v>68</v>
      </c>
      <c r="HUW79" s="1715" t="s">
        <v>0</v>
      </c>
      <c r="HUX79" s="1716"/>
      <c r="HUY79" s="1716"/>
      <c r="HUZ79" s="1716"/>
      <c r="HVA79" s="1716"/>
      <c r="HVB79" s="244"/>
      <c r="HVC79" s="244" t="s">
        <v>68</v>
      </c>
      <c r="HVD79" s="245" t="s">
        <v>68</v>
      </c>
      <c r="HVE79" s="1715" t="s">
        <v>0</v>
      </c>
      <c r="HVF79" s="1716"/>
      <c r="HVG79" s="1716"/>
      <c r="HVH79" s="1716"/>
      <c r="HVI79" s="1716"/>
      <c r="HVJ79" s="244"/>
      <c r="HVK79" s="244" t="s">
        <v>68</v>
      </c>
      <c r="HVL79" s="245" t="s">
        <v>68</v>
      </c>
      <c r="HVM79" s="1715" t="s">
        <v>0</v>
      </c>
      <c r="HVN79" s="1716"/>
      <c r="HVO79" s="1716"/>
      <c r="HVP79" s="1716"/>
      <c r="HVQ79" s="1716"/>
      <c r="HVR79" s="244"/>
      <c r="HVS79" s="244" t="s">
        <v>68</v>
      </c>
      <c r="HVT79" s="245" t="s">
        <v>68</v>
      </c>
      <c r="HVU79" s="1715" t="s">
        <v>0</v>
      </c>
      <c r="HVV79" s="1716"/>
      <c r="HVW79" s="1716"/>
      <c r="HVX79" s="1716"/>
      <c r="HVY79" s="1716"/>
      <c r="HVZ79" s="244"/>
      <c r="HWA79" s="244" t="s">
        <v>68</v>
      </c>
      <c r="HWB79" s="245" t="s">
        <v>68</v>
      </c>
      <c r="HWC79" s="1715" t="s">
        <v>0</v>
      </c>
      <c r="HWD79" s="1716"/>
      <c r="HWE79" s="1716"/>
      <c r="HWF79" s="1716"/>
      <c r="HWG79" s="1716"/>
      <c r="HWH79" s="244"/>
      <c r="HWI79" s="244" t="s">
        <v>68</v>
      </c>
      <c r="HWJ79" s="245" t="s">
        <v>68</v>
      </c>
      <c r="HWK79" s="1715" t="s">
        <v>0</v>
      </c>
      <c r="HWL79" s="1716"/>
      <c r="HWM79" s="1716"/>
      <c r="HWN79" s="1716"/>
      <c r="HWO79" s="1716"/>
      <c r="HWP79" s="244"/>
      <c r="HWQ79" s="244" t="s">
        <v>68</v>
      </c>
      <c r="HWR79" s="245" t="s">
        <v>68</v>
      </c>
      <c r="HWS79" s="1715" t="s">
        <v>0</v>
      </c>
      <c r="HWT79" s="1716"/>
      <c r="HWU79" s="1716"/>
      <c r="HWV79" s="1716"/>
      <c r="HWW79" s="1716"/>
      <c r="HWX79" s="244"/>
      <c r="HWY79" s="244" t="s">
        <v>68</v>
      </c>
      <c r="HWZ79" s="245" t="s">
        <v>68</v>
      </c>
      <c r="HXA79" s="1715" t="s">
        <v>0</v>
      </c>
      <c r="HXB79" s="1716"/>
      <c r="HXC79" s="1716"/>
      <c r="HXD79" s="1716"/>
      <c r="HXE79" s="1716"/>
      <c r="HXF79" s="244"/>
      <c r="HXG79" s="244" t="s">
        <v>68</v>
      </c>
      <c r="HXH79" s="245" t="s">
        <v>68</v>
      </c>
      <c r="HXI79" s="1715" t="s">
        <v>0</v>
      </c>
      <c r="HXJ79" s="1716"/>
      <c r="HXK79" s="1716"/>
      <c r="HXL79" s="1716"/>
      <c r="HXM79" s="1716"/>
      <c r="HXN79" s="244"/>
      <c r="HXO79" s="244" t="s">
        <v>68</v>
      </c>
      <c r="HXP79" s="245" t="s">
        <v>68</v>
      </c>
      <c r="HXQ79" s="1715" t="s">
        <v>0</v>
      </c>
      <c r="HXR79" s="1716"/>
      <c r="HXS79" s="1716"/>
      <c r="HXT79" s="1716"/>
      <c r="HXU79" s="1716"/>
      <c r="HXV79" s="244"/>
      <c r="HXW79" s="244" t="s">
        <v>68</v>
      </c>
      <c r="HXX79" s="245" t="s">
        <v>68</v>
      </c>
      <c r="HXY79" s="1715" t="s">
        <v>0</v>
      </c>
      <c r="HXZ79" s="1716"/>
      <c r="HYA79" s="1716"/>
      <c r="HYB79" s="1716"/>
      <c r="HYC79" s="1716"/>
      <c r="HYD79" s="244"/>
      <c r="HYE79" s="244" t="s">
        <v>68</v>
      </c>
      <c r="HYF79" s="245" t="s">
        <v>68</v>
      </c>
      <c r="HYG79" s="1715" t="s">
        <v>0</v>
      </c>
      <c r="HYH79" s="1716"/>
      <c r="HYI79" s="1716"/>
      <c r="HYJ79" s="1716"/>
      <c r="HYK79" s="1716"/>
      <c r="HYL79" s="244"/>
      <c r="HYM79" s="244" t="s">
        <v>68</v>
      </c>
      <c r="HYN79" s="245" t="s">
        <v>68</v>
      </c>
      <c r="HYO79" s="1715" t="s">
        <v>0</v>
      </c>
      <c r="HYP79" s="1716"/>
      <c r="HYQ79" s="1716"/>
      <c r="HYR79" s="1716"/>
      <c r="HYS79" s="1716"/>
      <c r="HYT79" s="244"/>
      <c r="HYU79" s="244" t="s">
        <v>68</v>
      </c>
      <c r="HYV79" s="245" t="s">
        <v>68</v>
      </c>
      <c r="HYW79" s="1715" t="s">
        <v>0</v>
      </c>
      <c r="HYX79" s="1716"/>
      <c r="HYY79" s="1716"/>
      <c r="HYZ79" s="1716"/>
      <c r="HZA79" s="1716"/>
      <c r="HZB79" s="244"/>
      <c r="HZC79" s="244" t="s">
        <v>68</v>
      </c>
      <c r="HZD79" s="245" t="s">
        <v>68</v>
      </c>
      <c r="HZE79" s="1715" t="s">
        <v>0</v>
      </c>
      <c r="HZF79" s="1716"/>
      <c r="HZG79" s="1716"/>
      <c r="HZH79" s="1716"/>
      <c r="HZI79" s="1716"/>
      <c r="HZJ79" s="244"/>
      <c r="HZK79" s="244" t="s">
        <v>68</v>
      </c>
      <c r="HZL79" s="245" t="s">
        <v>68</v>
      </c>
      <c r="HZM79" s="1715" t="s">
        <v>0</v>
      </c>
      <c r="HZN79" s="1716"/>
      <c r="HZO79" s="1716"/>
      <c r="HZP79" s="1716"/>
      <c r="HZQ79" s="1716"/>
      <c r="HZR79" s="244"/>
      <c r="HZS79" s="244" t="s">
        <v>68</v>
      </c>
      <c r="HZT79" s="245" t="s">
        <v>68</v>
      </c>
      <c r="HZU79" s="1715" t="s">
        <v>0</v>
      </c>
      <c r="HZV79" s="1716"/>
      <c r="HZW79" s="1716"/>
      <c r="HZX79" s="1716"/>
      <c r="HZY79" s="1716"/>
      <c r="HZZ79" s="244"/>
      <c r="IAA79" s="244" t="s">
        <v>68</v>
      </c>
      <c r="IAB79" s="245" t="s">
        <v>68</v>
      </c>
      <c r="IAC79" s="1715" t="s">
        <v>0</v>
      </c>
      <c r="IAD79" s="1716"/>
      <c r="IAE79" s="1716"/>
      <c r="IAF79" s="1716"/>
      <c r="IAG79" s="1716"/>
      <c r="IAH79" s="244"/>
      <c r="IAI79" s="244" t="s">
        <v>68</v>
      </c>
      <c r="IAJ79" s="245" t="s">
        <v>68</v>
      </c>
      <c r="IAK79" s="1715" t="s">
        <v>0</v>
      </c>
      <c r="IAL79" s="1716"/>
      <c r="IAM79" s="1716"/>
      <c r="IAN79" s="1716"/>
      <c r="IAO79" s="1716"/>
      <c r="IAP79" s="244"/>
      <c r="IAQ79" s="244" t="s">
        <v>68</v>
      </c>
      <c r="IAR79" s="245" t="s">
        <v>68</v>
      </c>
      <c r="IAS79" s="1715" t="s">
        <v>0</v>
      </c>
      <c r="IAT79" s="1716"/>
      <c r="IAU79" s="1716"/>
      <c r="IAV79" s="1716"/>
      <c r="IAW79" s="1716"/>
      <c r="IAX79" s="244"/>
      <c r="IAY79" s="244" t="s">
        <v>68</v>
      </c>
      <c r="IAZ79" s="245" t="s">
        <v>68</v>
      </c>
      <c r="IBA79" s="1715" t="s">
        <v>0</v>
      </c>
      <c r="IBB79" s="1716"/>
      <c r="IBC79" s="1716"/>
      <c r="IBD79" s="1716"/>
      <c r="IBE79" s="1716"/>
      <c r="IBF79" s="244"/>
      <c r="IBG79" s="244" t="s">
        <v>68</v>
      </c>
      <c r="IBH79" s="245" t="s">
        <v>68</v>
      </c>
      <c r="IBI79" s="1715" t="s">
        <v>0</v>
      </c>
      <c r="IBJ79" s="1716"/>
      <c r="IBK79" s="1716"/>
      <c r="IBL79" s="1716"/>
      <c r="IBM79" s="1716"/>
      <c r="IBN79" s="244"/>
      <c r="IBO79" s="244" t="s">
        <v>68</v>
      </c>
      <c r="IBP79" s="245" t="s">
        <v>68</v>
      </c>
      <c r="IBQ79" s="1715" t="s">
        <v>0</v>
      </c>
      <c r="IBR79" s="1716"/>
      <c r="IBS79" s="1716"/>
      <c r="IBT79" s="1716"/>
      <c r="IBU79" s="1716"/>
      <c r="IBV79" s="244"/>
      <c r="IBW79" s="244" t="s">
        <v>68</v>
      </c>
      <c r="IBX79" s="245" t="s">
        <v>68</v>
      </c>
      <c r="IBY79" s="1715" t="s">
        <v>0</v>
      </c>
      <c r="IBZ79" s="1716"/>
      <c r="ICA79" s="1716"/>
      <c r="ICB79" s="1716"/>
      <c r="ICC79" s="1716"/>
      <c r="ICD79" s="244"/>
      <c r="ICE79" s="244" t="s">
        <v>68</v>
      </c>
      <c r="ICF79" s="245" t="s">
        <v>68</v>
      </c>
      <c r="ICG79" s="1715" t="s">
        <v>0</v>
      </c>
      <c r="ICH79" s="1716"/>
      <c r="ICI79" s="1716"/>
      <c r="ICJ79" s="1716"/>
      <c r="ICK79" s="1716"/>
      <c r="ICL79" s="244"/>
      <c r="ICM79" s="244" t="s">
        <v>68</v>
      </c>
      <c r="ICN79" s="245" t="s">
        <v>68</v>
      </c>
      <c r="ICO79" s="1715" t="s">
        <v>0</v>
      </c>
      <c r="ICP79" s="1716"/>
      <c r="ICQ79" s="1716"/>
      <c r="ICR79" s="1716"/>
      <c r="ICS79" s="1716"/>
      <c r="ICT79" s="244"/>
      <c r="ICU79" s="244" t="s">
        <v>68</v>
      </c>
      <c r="ICV79" s="245" t="s">
        <v>68</v>
      </c>
      <c r="ICW79" s="1715" t="s">
        <v>0</v>
      </c>
      <c r="ICX79" s="1716"/>
      <c r="ICY79" s="1716"/>
      <c r="ICZ79" s="1716"/>
      <c r="IDA79" s="1716"/>
      <c r="IDB79" s="244"/>
      <c r="IDC79" s="244" t="s">
        <v>68</v>
      </c>
      <c r="IDD79" s="245" t="s">
        <v>68</v>
      </c>
      <c r="IDE79" s="1715" t="s">
        <v>0</v>
      </c>
      <c r="IDF79" s="1716"/>
      <c r="IDG79" s="1716"/>
      <c r="IDH79" s="1716"/>
      <c r="IDI79" s="1716"/>
      <c r="IDJ79" s="244"/>
      <c r="IDK79" s="244" t="s">
        <v>68</v>
      </c>
      <c r="IDL79" s="245" t="s">
        <v>68</v>
      </c>
      <c r="IDM79" s="1715" t="s">
        <v>0</v>
      </c>
      <c r="IDN79" s="1716"/>
      <c r="IDO79" s="1716"/>
      <c r="IDP79" s="1716"/>
      <c r="IDQ79" s="1716"/>
      <c r="IDR79" s="244"/>
      <c r="IDS79" s="244" t="s">
        <v>68</v>
      </c>
      <c r="IDT79" s="245" t="s">
        <v>68</v>
      </c>
      <c r="IDU79" s="1715" t="s">
        <v>0</v>
      </c>
      <c r="IDV79" s="1716"/>
      <c r="IDW79" s="1716"/>
      <c r="IDX79" s="1716"/>
      <c r="IDY79" s="1716"/>
      <c r="IDZ79" s="244"/>
      <c r="IEA79" s="244" t="s">
        <v>68</v>
      </c>
      <c r="IEB79" s="245" t="s">
        <v>68</v>
      </c>
      <c r="IEC79" s="1715" t="s">
        <v>0</v>
      </c>
      <c r="IED79" s="1716"/>
      <c r="IEE79" s="1716"/>
      <c r="IEF79" s="1716"/>
      <c r="IEG79" s="1716"/>
      <c r="IEH79" s="244"/>
      <c r="IEI79" s="244" t="s">
        <v>68</v>
      </c>
      <c r="IEJ79" s="245" t="s">
        <v>68</v>
      </c>
      <c r="IEK79" s="1715" t="s">
        <v>0</v>
      </c>
      <c r="IEL79" s="1716"/>
      <c r="IEM79" s="1716"/>
      <c r="IEN79" s="1716"/>
      <c r="IEO79" s="1716"/>
      <c r="IEP79" s="244"/>
      <c r="IEQ79" s="244" t="s">
        <v>68</v>
      </c>
      <c r="IER79" s="245" t="s">
        <v>68</v>
      </c>
      <c r="IES79" s="1715" t="s">
        <v>0</v>
      </c>
      <c r="IET79" s="1716"/>
      <c r="IEU79" s="1716"/>
      <c r="IEV79" s="1716"/>
      <c r="IEW79" s="1716"/>
      <c r="IEX79" s="244"/>
      <c r="IEY79" s="244" t="s">
        <v>68</v>
      </c>
      <c r="IEZ79" s="245" t="s">
        <v>68</v>
      </c>
      <c r="IFA79" s="1715" t="s">
        <v>0</v>
      </c>
      <c r="IFB79" s="1716"/>
      <c r="IFC79" s="1716"/>
      <c r="IFD79" s="1716"/>
      <c r="IFE79" s="1716"/>
      <c r="IFF79" s="244"/>
      <c r="IFG79" s="244" t="s">
        <v>68</v>
      </c>
      <c r="IFH79" s="245" t="s">
        <v>68</v>
      </c>
      <c r="IFI79" s="1715" t="s">
        <v>0</v>
      </c>
      <c r="IFJ79" s="1716"/>
      <c r="IFK79" s="1716"/>
      <c r="IFL79" s="1716"/>
      <c r="IFM79" s="1716"/>
      <c r="IFN79" s="244"/>
      <c r="IFO79" s="244" t="s">
        <v>68</v>
      </c>
      <c r="IFP79" s="245" t="s">
        <v>68</v>
      </c>
      <c r="IFQ79" s="1715" t="s">
        <v>0</v>
      </c>
      <c r="IFR79" s="1716"/>
      <c r="IFS79" s="1716"/>
      <c r="IFT79" s="1716"/>
      <c r="IFU79" s="1716"/>
      <c r="IFV79" s="244"/>
      <c r="IFW79" s="244" t="s">
        <v>68</v>
      </c>
      <c r="IFX79" s="245" t="s">
        <v>68</v>
      </c>
      <c r="IFY79" s="1715" t="s">
        <v>0</v>
      </c>
      <c r="IFZ79" s="1716"/>
      <c r="IGA79" s="1716"/>
      <c r="IGB79" s="1716"/>
      <c r="IGC79" s="1716"/>
      <c r="IGD79" s="244"/>
      <c r="IGE79" s="244" t="s">
        <v>68</v>
      </c>
      <c r="IGF79" s="245" t="s">
        <v>68</v>
      </c>
      <c r="IGG79" s="1715" t="s">
        <v>0</v>
      </c>
      <c r="IGH79" s="1716"/>
      <c r="IGI79" s="1716"/>
      <c r="IGJ79" s="1716"/>
      <c r="IGK79" s="1716"/>
      <c r="IGL79" s="244"/>
      <c r="IGM79" s="244" t="s">
        <v>68</v>
      </c>
      <c r="IGN79" s="245" t="s">
        <v>68</v>
      </c>
      <c r="IGO79" s="1715" t="s">
        <v>0</v>
      </c>
      <c r="IGP79" s="1716"/>
      <c r="IGQ79" s="1716"/>
      <c r="IGR79" s="1716"/>
      <c r="IGS79" s="1716"/>
      <c r="IGT79" s="244"/>
      <c r="IGU79" s="244" t="s">
        <v>68</v>
      </c>
      <c r="IGV79" s="245" t="s">
        <v>68</v>
      </c>
      <c r="IGW79" s="1715" t="s">
        <v>0</v>
      </c>
      <c r="IGX79" s="1716"/>
      <c r="IGY79" s="1716"/>
      <c r="IGZ79" s="1716"/>
      <c r="IHA79" s="1716"/>
      <c r="IHB79" s="244"/>
      <c r="IHC79" s="244" t="s">
        <v>68</v>
      </c>
      <c r="IHD79" s="245" t="s">
        <v>68</v>
      </c>
      <c r="IHE79" s="1715" t="s">
        <v>0</v>
      </c>
      <c r="IHF79" s="1716"/>
      <c r="IHG79" s="1716"/>
      <c r="IHH79" s="1716"/>
      <c r="IHI79" s="1716"/>
      <c r="IHJ79" s="244"/>
      <c r="IHK79" s="244" t="s">
        <v>68</v>
      </c>
      <c r="IHL79" s="245" t="s">
        <v>68</v>
      </c>
      <c r="IHM79" s="1715" t="s">
        <v>0</v>
      </c>
      <c r="IHN79" s="1716"/>
      <c r="IHO79" s="1716"/>
      <c r="IHP79" s="1716"/>
      <c r="IHQ79" s="1716"/>
      <c r="IHR79" s="244"/>
      <c r="IHS79" s="244" t="s">
        <v>68</v>
      </c>
      <c r="IHT79" s="245" t="s">
        <v>68</v>
      </c>
      <c r="IHU79" s="1715" t="s">
        <v>0</v>
      </c>
      <c r="IHV79" s="1716"/>
      <c r="IHW79" s="1716"/>
      <c r="IHX79" s="1716"/>
      <c r="IHY79" s="1716"/>
      <c r="IHZ79" s="244"/>
      <c r="IIA79" s="244" t="s">
        <v>68</v>
      </c>
      <c r="IIB79" s="245" t="s">
        <v>68</v>
      </c>
      <c r="IIC79" s="1715" t="s">
        <v>0</v>
      </c>
      <c r="IID79" s="1716"/>
      <c r="IIE79" s="1716"/>
      <c r="IIF79" s="1716"/>
      <c r="IIG79" s="1716"/>
      <c r="IIH79" s="244"/>
      <c r="III79" s="244" t="s">
        <v>68</v>
      </c>
      <c r="IIJ79" s="245" t="s">
        <v>68</v>
      </c>
      <c r="IIK79" s="1715" t="s">
        <v>0</v>
      </c>
      <c r="IIL79" s="1716"/>
      <c r="IIM79" s="1716"/>
      <c r="IIN79" s="1716"/>
      <c r="IIO79" s="1716"/>
      <c r="IIP79" s="244"/>
      <c r="IIQ79" s="244" t="s">
        <v>68</v>
      </c>
      <c r="IIR79" s="245" t="s">
        <v>68</v>
      </c>
      <c r="IIS79" s="1715" t="s">
        <v>0</v>
      </c>
      <c r="IIT79" s="1716"/>
      <c r="IIU79" s="1716"/>
      <c r="IIV79" s="1716"/>
      <c r="IIW79" s="1716"/>
      <c r="IIX79" s="244"/>
      <c r="IIY79" s="244" t="s">
        <v>68</v>
      </c>
      <c r="IIZ79" s="245" t="s">
        <v>68</v>
      </c>
      <c r="IJA79" s="1715" t="s">
        <v>0</v>
      </c>
      <c r="IJB79" s="1716"/>
      <c r="IJC79" s="1716"/>
      <c r="IJD79" s="1716"/>
      <c r="IJE79" s="1716"/>
      <c r="IJF79" s="244"/>
      <c r="IJG79" s="244" t="s">
        <v>68</v>
      </c>
      <c r="IJH79" s="245" t="s">
        <v>68</v>
      </c>
      <c r="IJI79" s="1715" t="s">
        <v>0</v>
      </c>
      <c r="IJJ79" s="1716"/>
      <c r="IJK79" s="1716"/>
      <c r="IJL79" s="1716"/>
      <c r="IJM79" s="1716"/>
      <c r="IJN79" s="244"/>
      <c r="IJO79" s="244" t="s">
        <v>68</v>
      </c>
      <c r="IJP79" s="245" t="s">
        <v>68</v>
      </c>
      <c r="IJQ79" s="1715" t="s">
        <v>0</v>
      </c>
      <c r="IJR79" s="1716"/>
      <c r="IJS79" s="1716"/>
      <c r="IJT79" s="1716"/>
      <c r="IJU79" s="1716"/>
      <c r="IJV79" s="244"/>
      <c r="IJW79" s="244" t="s">
        <v>68</v>
      </c>
      <c r="IJX79" s="245" t="s">
        <v>68</v>
      </c>
      <c r="IJY79" s="1715" t="s">
        <v>0</v>
      </c>
      <c r="IJZ79" s="1716"/>
      <c r="IKA79" s="1716"/>
      <c r="IKB79" s="1716"/>
      <c r="IKC79" s="1716"/>
      <c r="IKD79" s="244"/>
      <c r="IKE79" s="244" t="s">
        <v>68</v>
      </c>
      <c r="IKF79" s="245" t="s">
        <v>68</v>
      </c>
      <c r="IKG79" s="1715" t="s">
        <v>0</v>
      </c>
      <c r="IKH79" s="1716"/>
      <c r="IKI79" s="1716"/>
      <c r="IKJ79" s="1716"/>
      <c r="IKK79" s="1716"/>
      <c r="IKL79" s="244"/>
      <c r="IKM79" s="244" t="s">
        <v>68</v>
      </c>
      <c r="IKN79" s="245" t="s">
        <v>68</v>
      </c>
      <c r="IKO79" s="1715" t="s">
        <v>0</v>
      </c>
      <c r="IKP79" s="1716"/>
      <c r="IKQ79" s="1716"/>
      <c r="IKR79" s="1716"/>
      <c r="IKS79" s="1716"/>
      <c r="IKT79" s="244"/>
      <c r="IKU79" s="244" t="s">
        <v>68</v>
      </c>
      <c r="IKV79" s="245" t="s">
        <v>68</v>
      </c>
      <c r="IKW79" s="1715" t="s">
        <v>0</v>
      </c>
      <c r="IKX79" s="1716"/>
      <c r="IKY79" s="1716"/>
      <c r="IKZ79" s="1716"/>
      <c r="ILA79" s="1716"/>
      <c r="ILB79" s="244"/>
      <c r="ILC79" s="244" t="s">
        <v>68</v>
      </c>
      <c r="ILD79" s="245" t="s">
        <v>68</v>
      </c>
      <c r="ILE79" s="1715" t="s">
        <v>0</v>
      </c>
      <c r="ILF79" s="1716"/>
      <c r="ILG79" s="1716"/>
      <c r="ILH79" s="1716"/>
      <c r="ILI79" s="1716"/>
      <c r="ILJ79" s="244"/>
      <c r="ILK79" s="244" t="s">
        <v>68</v>
      </c>
      <c r="ILL79" s="245" t="s">
        <v>68</v>
      </c>
      <c r="ILM79" s="1715" t="s">
        <v>0</v>
      </c>
      <c r="ILN79" s="1716"/>
      <c r="ILO79" s="1716"/>
      <c r="ILP79" s="1716"/>
      <c r="ILQ79" s="1716"/>
      <c r="ILR79" s="244"/>
      <c r="ILS79" s="244" t="s">
        <v>68</v>
      </c>
      <c r="ILT79" s="245" t="s">
        <v>68</v>
      </c>
      <c r="ILU79" s="1715" t="s">
        <v>0</v>
      </c>
      <c r="ILV79" s="1716"/>
      <c r="ILW79" s="1716"/>
      <c r="ILX79" s="1716"/>
      <c r="ILY79" s="1716"/>
      <c r="ILZ79" s="244"/>
      <c r="IMA79" s="244" t="s">
        <v>68</v>
      </c>
      <c r="IMB79" s="245" t="s">
        <v>68</v>
      </c>
      <c r="IMC79" s="1715" t="s">
        <v>0</v>
      </c>
      <c r="IMD79" s="1716"/>
      <c r="IME79" s="1716"/>
      <c r="IMF79" s="1716"/>
      <c r="IMG79" s="1716"/>
      <c r="IMH79" s="244"/>
      <c r="IMI79" s="244" t="s">
        <v>68</v>
      </c>
      <c r="IMJ79" s="245" t="s">
        <v>68</v>
      </c>
      <c r="IMK79" s="1715" t="s">
        <v>0</v>
      </c>
      <c r="IML79" s="1716"/>
      <c r="IMM79" s="1716"/>
      <c r="IMN79" s="1716"/>
      <c r="IMO79" s="1716"/>
      <c r="IMP79" s="244"/>
      <c r="IMQ79" s="244" t="s">
        <v>68</v>
      </c>
      <c r="IMR79" s="245" t="s">
        <v>68</v>
      </c>
      <c r="IMS79" s="1715" t="s">
        <v>0</v>
      </c>
      <c r="IMT79" s="1716"/>
      <c r="IMU79" s="1716"/>
      <c r="IMV79" s="1716"/>
      <c r="IMW79" s="1716"/>
      <c r="IMX79" s="244"/>
      <c r="IMY79" s="244" t="s">
        <v>68</v>
      </c>
      <c r="IMZ79" s="245" t="s">
        <v>68</v>
      </c>
      <c r="INA79" s="1715" t="s">
        <v>0</v>
      </c>
      <c r="INB79" s="1716"/>
      <c r="INC79" s="1716"/>
      <c r="IND79" s="1716"/>
      <c r="INE79" s="1716"/>
      <c r="INF79" s="244"/>
      <c r="ING79" s="244" t="s">
        <v>68</v>
      </c>
      <c r="INH79" s="245" t="s">
        <v>68</v>
      </c>
      <c r="INI79" s="1715" t="s">
        <v>0</v>
      </c>
      <c r="INJ79" s="1716"/>
      <c r="INK79" s="1716"/>
      <c r="INL79" s="1716"/>
      <c r="INM79" s="1716"/>
      <c r="INN79" s="244"/>
      <c r="INO79" s="244" t="s">
        <v>68</v>
      </c>
      <c r="INP79" s="245" t="s">
        <v>68</v>
      </c>
      <c r="INQ79" s="1715" t="s">
        <v>0</v>
      </c>
      <c r="INR79" s="1716"/>
      <c r="INS79" s="1716"/>
      <c r="INT79" s="1716"/>
      <c r="INU79" s="1716"/>
      <c r="INV79" s="244"/>
      <c r="INW79" s="244" t="s">
        <v>68</v>
      </c>
      <c r="INX79" s="245" t="s">
        <v>68</v>
      </c>
      <c r="INY79" s="1715" t="s">
        <v>0</v>
      </c>
      <c r="INZ79" s="1716"/>
      <c r="IOA79" s="1716"/>
      <c r="IOB79" s="1716"/>
      <c r="IOC79" s="1716"/>
      <c r="IOD79" s="244"/>
      <c r="IOE79" s="244" t="s">
        <v>68</v>
      </c>
      <c r="IOF79" s="245" t="s">
        <v>68</v>
      </c>
      <c r="IOG79" s="1715" t="s">
        <v>0</v>
      </c>
      <c r="IOH79" s="1716"/>
      <c r="IOI79" s="1716"/>
      <c r="IOJ79" s="1716"/>
      <c r="IOK79" s="1716"/>
      <c r="IOL79" s="244"/>
      <c r="IOM79" s="244" t="s">
        <v>68</v>
      </c>
      <c r="ION79" s="245" t="s">
        <v>68</v>
      </c>
      <c r="IOO79" s="1715" t="s">
        <v>0</v>
      </c>
      <c r="IOP79" s="1716"/>
      <c r="IOQ79" s="1716"/>
      <c r="IOR79" s="1716"/>
      <c r="IOS79" s="1716"/>
      <c r="IOT79" s="244"/>
      <c r="IOU79" s="244" t="s">
        <v>68</v>
      </c>
      <c r="IOV79" s="245" t="s">
        <v>68</v>
      </c>
      <c r="IOW79" s="1715" t="s">
        <v>0</v>
      </c>
      <c r="IOX79" s="1716"/>
      <c r="IOY79" s="1716"/>
      <c r="IOZ79" s="1716"/>
      <c r="IPA79" s="1716"/>
      <c r="IPB79" s="244"/>
      <c r="IPC79" s="244" t="s">
        <v>68</v>
      </c>
      <c r="IPD79" s="245" t="s">
        <v>68</v>
      </c>
      <c r="IPE79" s="1715" t="s">
        <v>0</v>
      </c>
      <c r="IPF79" s="1716"/>
      <c r="IPG79" s="1716"/>
      <c r="IPH79" s="1716"/>
      <c r="IPI79" s="1716"/>
      <c r="IPJ79" s="244"/>
      <c r="IPK79" s="244" t="s">
        <v>68</v>
      </c>
      <c r="IPL79" s="245" t="s">
        <v>68</v>
      </c>
      <c r="IPM79" s="1715" t="s">
        <v>0</v>
      </c>
      <c r="IPN79" s="1716"/>
      <c r="IPO79" s="1716"/>
      <c r="IPP79" s="1716"/>
      <c r="IPQ79" s="1716"/>
      <c r="IPR79" s="244"/>
      <c r="IPS79" s="244" t="s">
        <v>68</v>
      </c>
      <c r="IPT79" s="245" t="s">
        <v>68</v>
      </c>
      <c r="IPU79" s="1715" t="s">
        <v>0</v>
      </c>
      <c r="IPV79" s="1716"/>
      <c r="IPW79" s="1716"/>
      <c r="IPX79" s="1716"/>
      <c r="IPY79" s="1716"/>
      <c r="IPZ79" s="244"/>
      <c r="IQA79" s="244" t="s">
        <v>68</v>
      </c>
      <c r="IQB79" s="245" t="s">
        <v>68</v>
      </c>
      <c r="IQC79" s="1715" t="s">
        <v>0</v>
      </c>
      <c r="IQD79" s="1716"/>
      <c r="IQE79" s="1716"/>
      <c r="IQF79" s="1716"/>
      <c r="IQG79" s="1716"/>
      <c r="IQH79" s="244"/>
      <c r="IQI79" s="244" t="s">
        <v>68</v>
      </c>
      <c r="IQJ79" s="245" t="s">
        <v>68</v>
      </c>
      <c r="IQK79" s="1715" t="s">
        <v>0</v>
      </c>
      <c r="IQL79" s="1716"/>
      <c r="IQM79" s="1716"/>
      <c r="IQN79" s="1716"/>
      <c r="IQO79" s="1716"/>
      <c r="IQP79" s="244"/>
      <c r="IQQ79" s="244" t="s">
        <v>68</v>
      </c>
      <c r="IQR79" s="245" t="s">
        <v>68</v>
      </c>
      <c r="IQS79" s="1715" t="s">
        <v>0</v>
      </c>
      <c r="IQT79" s="1716"/>
      <c r="IQU79" s="1716"/>
      <c r="IQV79" s="1716"/>
      <c r="IQW79" s="1716"/>
      <c r="IQX79" s="244"/>
      <c r="IQY79" s="244" t="s">
        <v>68</v>
      </c>
      <c r="IQZ79" s="245" t="s">
        <v>68</v>
      </c>
      <c r="IRA79" s="1715" t="s">
        <v>0</v>
      </c>
      <c r="IRB79" s="1716"/>
      <c r="IRC79" s="1716"/>
      <c r="IRD79" s="1716"/>
      <c r="IRE79" s="1716"/>
      <c r="IRF79" s="244"/>
      <c r="IRG79" s="244" t="s">
        <v>68</v>
      </c>
      <c r="IRH79" s="245" t="s">
        <v>68</v>
      </c>
      <c r="IRI79" s="1715" t="s">
        <v>0</v>
      </c>
      <c r="IRJ79" s="1716"/>
      <c r="IRK79" s="1716"/>
      <c r="IRL79" s="1716"/>
      <c r="IRM79" s="1716"/>
      <c r="IRN79" s="244"/>
      <c r="IRO79" s="244" t="s">
        <v>68</v>
      </c>
      <c r="IRP79" s="245" t="s">
        <v>68</v>
      </c>
      <c r="IRQ79" s="1715" t="s">
        <v>0</v>
      </c>
      <c r="IRR79" s="1716"/>
      <c r="IRS79" s="1716"/>
      <c r="IRT79" s="1716"/>
      <c r="IRU79" s="1716"/>
      <c r="IRV79" s="244"/>
      <c r="IRW79" s="244" t="s">
        <v>68</v>
      </c>
      <c r="IRX79" s="245" t="s">
        <v>68</v>
      </c>
      <c r="IRY79" s="1715" t="s">
        <v>0</v>
      </c>
      <c r="IRZ79" s="1716"/>
      <c r="ISA79" s="1716"/>
      <c r="ISB79" s="1716"/>
      <c r="ISC79" s="1716"/>
      <c r="ISD79" s="244"/>
      <c r="ISE79" s="244" t="s">
        <v>68</v>
      </c>
      <c r="ISF79" s="245" t="s">
        <v>68</v>
      </c>
      <c r="ISG79" s="1715" t="s">
        <v>0</v>
      </c>
      <c r="ISH79" s="1716"/>
      <c r="ISI79" s="1716"/>
      <c r="ISJ79" s="1716"/>
      <c r="ISK79" s="1716"/>
      <c r="ISL79" s="244"/>
      <c r="ISM79" s="244" t="s">
        <v>68</v>
      </c>
      <c r="ISN79" s="245" t="s">
        <v>68</v>
      </c>
      <c r="ISO79" s="1715" t="s">
        <v>0</v>
      </c>
      <c r="ISP79" s="1716"/>
      <c r="ISQ79" s="1716"/>
      <c r="ISR79" s="1716"/>
      <c r="ISS79" s="1716"/>
      <c r="IST79" s="244"/>
      <c r="ISU79" s="244" t="s">
        <v>68</v>
      </c>
      <c r="ISV79" s="245" t="s">
        <v>68</v>
      </c>
      <c r="ISW79" s="1715" t="s">
        <v>0</v>
      </c>
      <c r="ISX79" s="1716"/>
      <c r="ISY79" s="1716"/>
      <c r="ISZ79" s="1716"/>
      <c r="ITA79" s="1716"/>
      <c r="ITB79" s="244"/>
      <c r="ITC79" s="244" t="s">
        <v>68</v>
      </c>
      <c r="ITD79" s="245" t="s">
        <v>68</v>
      </c>
      <c r="ITE79" s="1715" t="s">
        <v>0</v>
      </c>
      <c r="ITF79" s="1716"/>
      <c r="ITG79" s="1716"/>
      <c r="ITH79" s="1716"/>
      <c r="ITI79" s="1716"/>
      <c r="ITJ79" s="244"/>
      <c r="ITK79" s="244" t="s">
        <v>68</v>
      </c>
      <c r="ITL79" s="245" t="s">
        <v>68</v>
      </c>
      <c r="ITM79" s="1715" t="s">
        <v>0</v>
      </c>
      <c r="ITN79" s="1716"/>
      <c r="ITO79" s="1716"/>
      <c r="ITP79" s="1716"/>
      <c r="ITQ79" s="1716"/>
      <c r="ITR79" s="244"/>
      <c r="ITS79" s="244" t="s">
        <v>68</v>
      </c>
      <c r="ITT79" s="245" t="s">
        <v>68</v>
      </c>
      <c r="ITU79" s="1715" t="s">
        <v>0</v>
      </c>
      <c r="ITV79" s="1716"/>
      <c r="ITW79" s="1716"/>
      <c r="ITX79" s="1716"/>
      <c r="ITY79" s="1716"/>
      <c r="ITZ79" s="244"/>
      <c r="IUA79" s="244" t="s">
        <v>68</v>
      </c>
      <c r="IUB79" s="245" t="s">
        <v>68</v>
      </c>
      <c r="IUC79" s="1715" t="s">
        <v>0</v>
      </c>
      <c r="IUD79" s="1716"/>
      <c r="IUE79" s="1716"/>
      <c r="IUF79" s="1716"/>
      <c r="IUG79" s="1716"/>
      <c r="IUH79" s="244"/>
      <c r="IUI79" s="244" t="s">
        <v>68</v>
      </c>
      <c r="IUJ79" s="245" t="s">
        <v>68</v>
      </c>
      <c r="IUK79" s="1715" t="s">
        <v>0</v>
      </c>
      <c r="IUL79" s="1716"/>
      <c r="IUM79" s="1716"/>
      <c r="IUN79" s="1716"/>
      <c r="IUO79" s="1716"/>
      <c r="IUP79" s="244"/>
      <c r="IUQ79" s="244" t="s">
        <v>68</v>
      </c>
      <c r="IUR79" s="245" t="s">
        <v>68</v>
      </c>
      <c r="IUS79" s="1715" t="s">
        <v>0</v>
      </c>
      <c r="IUT79" s="1716"/>
      <c r="IUU79" s="1716"/>
      <c r="IUV79" s="1716"/>
      <c r="IUW79" s="1716"/>
      <c r="IUX79" s="244"/>
      <c r="IUY79" s="244" t="s">
        <v>68</v>
      </c>
      <c r="IUZ79" s="245" t="s">
        <v>68</v>
      </c>
      <c r="IVA79" s="1715" t="s">
        <v>0</v>
      </c>
      <c r="IVB79" s="1716"/>
      <c r="IVC79" s="1716"/>
      <c r="IVD79" s="1716"/>
      <c r="IVE79" s="1716"/>
      <c r="IVF79" s="244"/>
      <c r="IVG79" s="244" t="s">
        <v>68</v>
      </c>
      <c r="IVH79" s="245" t="s">
        <v>68</v>
      </c>
      <c r="IVI79" s="1715" t="s">
        <v>0</v>
      </c>
      <c r="IVJ79" s="1716"/>
      <c r="IVK79" s="1716"/>
      <c r="IVL79" s="1716"/>
      <c r="IVM79" s="1716"/>
      <c r="IVN79" s="244"/>
      <c r="IVO79" s="244" t="s">
        <v>68</v>
      </c>
      <c r="IVP79" s="245" t="s">
        <v>68</v>
      </c>
      <c r="IVQ79" s="1715" t="s">
        <v>0</v>
      </c>
      <c r="IVR79" s="1716"/>
      <c r="IVS79" s="1716"/>
      <c r="IVT79" s="1716"/>
      <c r="IVU79" s="1716"/>
      <c r="IVV79" s="244"/>
      <c r="IVW79" s="244" t="s">
        <v>68</v>
      </c>
      <c r="IVX79" s="245" t="s">
        <v>68</v>
      </c>
      <c r="IVY79" s="1715" t="s">
        <v>0</v>
      </c>
      <c r="IVZ79" s="1716"/>
      <c r="IWA79" s="1716"/>
      <c r="IWB79" s="1716"/>
      <c r="IWC79" s="1716"/>
      <c r="IWD79" s="244"/>
      <c r="IWE79" s="244" t="s">
        <v>68</v>
      </c>
      <c r="IWF79" s="245" t="s">
        <v>68</v>
      </c>
      <c r="IWG79" s="1715" t="s">
        <v>0</v>
      </c>
      <c r="IWH79" s="1716"/>
      <c r="IWI79" s="1716"/>
      <c r="IWJ79" s="1716"/>
      <c r="IWK79" s="1716"/>
      <c r="IWL79" s="244"/>
      <c r="IWM79" s="244" t="s">
        <v>68</v>
      </c>
      <c r="IWN79" s="245" t="s">
        <v>68</v>
      </c>
      <c r="IWO79" s="1715" t="s">
        <v>0</v>
      </c>
      <c r="IWP79" s="1716"/>
      <c r="IWQ79" s="1716"/>
      <c r="IWR79" s="1716"/>
      <c r="IWS79" s="1716"/>
      <c r="IWT79" s="244"/>
      <c r="IWU79" s="244" t="s">
        <v>68</v>
      </c>
      <c r="IWV79" s="245" t="s">
        <v>68</v>
      </c>
      <c r="IWW79" s="1715" t="s">
        <v>0</v>
      </c>
      <c r="IWX79" s="1716"/>
      <c r="IWY79" s="1716"/>
      <c r="IWZ79" s="1716"/>
      <c r="IXA79" s="1716"/>
      <c r="IXB79" s="244"/>
      <c r="IXC79" s="244" t="s">
        <v>68</v>
      </c>
      <c r="IXD79" s="245" t="s">
        <v>68</v>
      </c>
      <c r="IXE79" s="1715" t="s">
        <v>0</v>
      </c>
      <c r="IXF79" s="1716"/>
      <c r="IXG79" s="1716"/>
      <c r="IXH79" s="1716"/>
      <c r="IXI79" s="1716"/>
      <c r="IXJ79" s="244"/>
      <c r="IXK79" s="244" t="s">
        <v>68</v>
      </c>
      <c r="IXL79" s="245" t="s">
        <v>68</v>
      </c>
      <c r="IXM79" s="1715" t="s">
        <v>0</v>
      </c>
      <c r="IXN79" s="1716"/>
      <c r="IXO79" s="1716"/>
      <c r="IXP79" s="1716"/>
      <c r="IXQ79" s="1716"/>
      <c r="IXR79" s="244"/>
      <c r="IXS79" s="244" t="s">
        <v>68</v>
      </c>
      <c r="IXT79" s="245" t="s">
        <v>68</v>
      </c>
      <c r="IXU79" s="1715" t="s">
        <v>0</v>
      </c>
      <c r="IXV79" s="1716"/>
      <c r="IXW79" s="1716"/>
      <c r="IXX79" s="1716"/>
      <c r="IXY79" s="1716"/>
      <c r="IXZ79" s="244"/>
      <c r="IYA79" s="244" t="s">
        <v>68</v>
      </c>
      <c r="IYB79" s="245" t="s">
        <v>68</v>
      </c>
      <c r="IYC79" s="1715" t="s">
        <v>0</v>
      </c>
      <c r="IYD79" s="1716"/>
      <c r="IYE79" s="1716"/>
      <c r="IYF79" s="1716"/>
      <c r="IYG79" s="1716"/>
      <c r="IYH79" s="244"/>
      <c r="IYI79" s="244" t="s">
        <v>68</v>
      </c>
      <c r="IYJ79" s="245" t="s">
        <v>68</v>
      </c>
      <c r="IYK79" s="1715" t="s">
        <v>0</v>
      </c>
      <c r="IYL79" s="1716"/>
      <c r="IYM79" s="1716"/>
      <c r="IYN79" s="1716"/>
      <c r="IYO79" s="1716"/>
      <c r="IYP79" s="244"/>
      <c r="IYQ79" s="244" t="s">
        <v>68</v>
      </c>
      <c r="IYR79" s="245" t="s">
        <v>68</v>
      </c>
      <c r="IYS79" s="1715" t="s">
        <v>0</v>
      </c>
      <c r="IYT79" s="1716"/>
      <c r="IYU79" s="1716"/>
      <c r="IYV79" s="1716"/>
      <c r="IYW79" s="1716"/>
      <c r="IYX79" s="244"/>
      <c r="IYY79" s="244" t="s">
        <v>68</v>
      </c>
      <c r="IYZ79" s="245" t="s">
        <v>68</v>
      </c>
      <c r="IZA79" s="1715" t="s">
        <v>0</v>
      </c>
      <c r="IZB79" s="1716"/>
      <c r="IZC79" s="1716"/>
      <c r="IZD79" s="1716"/>
      <c r="IZE79" s="1716"/>
      <c r="IZF79" s="244"/>
      <c r="IZG79" s="244" t="s">
        <v>68</v>
      </c>
      <c r="IZH79" s="245" t="s">
        <v>68</v>
      </c>
      <c r="IZI79" s="1715" t="s">
        <v>0</v>
      </c>
      <c r="IZJ79" s="1716"/>
      <c r="IZK79" s="1716"/>
      <c r="IZL79" s="1716"/>
      <c r="IZM79" s="1716"/>
      <c r="IZN79" s="244"/>
      <c r="IZO79" s="244" t="s">
        <v>68</v>
      </c>
      <c r="IZP79" s="245" t="s">
        <v>68</v>
      </c>
      <c r="IZQ79" s="1715" t="s">
        <v>0</v>
      </c>
      <c r="IZR79" s="1716"/>
      <c r="IZS79" s="1716"/>
      <c r="IZT79" s="1716"/>
      <c r="IZU79" s="1716"/>
      <c r="IZV79" s="244"/>
      <c r="IZW79" s="244" t="s">
        <v>68</v>
      </c>
      <c r="IZX79" s="245" t="s">
        <v>68</v>
      </c>
      <c r="IZY79" s="1715" t="s">
        <v>0</v>
      </c>
      <c r="IZZ79" s="1716"/>
      <c r="JAA79" s="1716"/>
      <c r="JAB79" s="1716"/>
      <c r="JAC79" s="1716"/>
      <c r="JAD79" s="244"/>
      <c r="JAE79" s="244" t="s">
        <v>68</v>
      </c>
      <c r="JAF79" s="245" t="s">
        <v>68</v>
      </c>
      <c r="JAG79" s="1715" t="s">
        <v>0</v>
      </c>
      <c r="JAH79" s="1716"/>
      <c r="JAI79" s="1716"/>
      <c r="JAJ79" s="1716"/>
      <c r="JAK79" s="1716"/>
      <c r="JAL79" s="244"/>
      <c r="JAM79" s="244" t="s">
        <v>68</v>
      </c>
      <c r="JAN79" s="245" t="s">
        <v>68</v>
      </c>
      <c r="JAO79" s="1715" t="s">
        <v>0</v>
      </c>
      <c r="JAP79" s="1716"/>
      <c r="JAQ79" s="1716"/>
      <c r="JAR79" s="1716"/>
      <c r="JAS79" s="1716"/>
      <c r="JAT79" s="244"/>
      <c r="JAU79" s="244" t="s">
        <v>68</v>
      </c>
      <c r="JAV79" s="245" t="s">
        <v>68</v>
      </c>
      <c r="JAW79" s="1715" t="s">
        <v>0</v>
      </c>
      <c r="JAX79" s="1716"/>
      <c r="JAY79" s="1716"/>
      <c r="JAZ79" s="1716"/>
      <c r="JBA79" s="1716"/>
      <c r="JBB79" s="244"/>
      <c r="JBC79" s="244" t="s">
        <v>68</v>
      </c>
      <c r="JBD79" s="245" t="s">
        <v>68</v>
      </c>
      <c r="JBE79" s="1715" t="s">
        <v>0</v>
      </c>
      <c r="JBF79" s="1716"/>
      <c r="JBG79" s="1716"/>
      <c r="JBH79" s="1716"/>
      <c r="JBI79" s="1716"/>
      <c r="JBJ79" s="244"/>
      <c r="JBK79" s="244" t="s">
        <v>68</v>
      </c>
      <c r="JBL79" s="245" t="s">
        <v>68</v>
      </c>
      <c r="JBM79" s="1715" t="s">
        <v>0</v>
      </c>
      <c r="JBN79" s="1716"/>
      <c r="JBO79" s="1716"/>
      <c r="JBP79" s="1716"/>
      <c r="JBQ79" s="1716"/>
      <c r="JBR79" s="244"/>
      <c r="JBS79" s="244" t="s">
        <v>68</v>
      </c>
      <c r="JBT79" s="245" t="s">
        <v>68</v>
      </c>
      <c r="JBU79" s="1715" t="s">
        <v>0</v>
      </c>
      <c r="JBV79" s="1716"/>
      <c r="JBW79" s="1716"/>
      <c r="JBX79" s="1716"/>
      <c r="JBY79" s="1716"/>
      <c r="JBZ79" s="244"/>
      <c r="JCA79" s="244" t="s">
        <v>68</v>
      </c>
      <c r="JCB79" s="245" t="s">
        <v>68</v>
      </c>
      <c r="JCC79" s="1715" t="s">
        <v>0</v>
      </c>
      <c r="JCD79" s="1716"/>
      <c r="JCE79" s="1716"/>
      <c r="JCF79" s="1716"/>
      <c r="JCG79" s="1716"/>
      <c r="JCH79" s="244"/>
      <c r="JCI79" s="244" t="s">
        <v>68</v>
      </c>
      <c r="JCJ79" s="245" t="s">
        <v>68</v>
      </c>
      <c r="JCK79" s="1715" t="s">
        <v>0</v>
      </c>
      <c r="JCL79" s="1716"/>
      <c r="JCM79" s="1716"/>
      <c r="JCN79" s="1716"/>
      <c r="JCO79" s="1716"/>
      <c r="JCP79" s="244"/>
      <c r="JCQ79" s="244" t="s">
        <v>68</v>
      </c>
      <c r="JCR79" s="245" t="s">
        <v>68</v>
      </c>
      <c r="JCS79" s="1715" t="s">
        <v>0</v>
      </c>
      <c r="JCT79" s="1716"/>
      <c r="JCU79" s="1716"/>
      <c r="JCV79" s="1716"/>
      <c r="JCW79" s="1716"/>
      <c r="JCX79" s="244"/>
      <c r="JCY79" s="244" t="s">
        <v>68</v>
      </c>
      <c r="JCZ79" s="245" t="s">
        <v>68</v>
      </c>
      <c r="JDA79" s="1715" t="s">
        <v>0</v>
      </c>
      <c r="JDB79" s="1716"/>
      <c r="JDC79" s="1716"/>
      <c r="JDD79" s="1716"/>
      <c r="JDE79" s="1716"/>
      <c r="JDF79" s="244"/>
      <c r="JDG79" s="244" t="s">
        <v>68</v>
      </c>
      <c r="JDH79" s="245" t="s">
        <v>68</v>
      </c>
      <c r="JDI79" s="1715" t="s">
        <v>0</v>
      </c>
      <c r="JDJ79" s="1716"/>
      <c r="JDK79" s="1716"/>
      <c r="JDL79" s="1716"/>
      <c r="JDM79" s="1716"/>
      <c r="JDN79" s="244"/>
      <c r="JDO79" s="244" t="s">
        <v>68</v>
      </c>
      <c r="JDP79" s="245" t="s">
        <v>68</v>
      </c>
      <c r="JDQ79" s="1715" t="s">
        <v>0</v>
      </c>
      <c r="JDR79" s="1716"/>
      <c r="JDS79" s="1716"/>
      <c r="JDT79" s="1716"/>
      <c r="JDU79" s="1716"/>
      <c r="JDV79" s="244"/>
      <c r="JDW79" s="244" t="s">
        <v>68</v>
      </c>
      <c r="JDX79" s="245" t="s">
        <v>68</v>
      </c>
      <c r="JDY79" s="1715" t="s">
        <v>0</v>
      </c>
      <c r="JDZ79" s="1716"/>
      <c r="JEA79" s="1716"/>
      <c r="JEB79" s="1716"/>
      <c r="JEC79" s="1716"/>
      <c r="JED79" s="244"/>
      <c r="JEE79" s="244" t="s">
        <v>68</v>
      </c>
      <c r="JEF79" s="245" t="s">
        <v>68</v>
      </c>
      <c r="JEG79" s="1715" t="s">
        <v>0</v>
      </c>
      <c r="JEH79" s="1716"/>
      <c r="JEI79" s="1716"/>
      <c r="JEJ79" s="1716"/>
      <c r="JEK79" s="1716"/>
      <c r="JEL79" s="244"/>
      <c r="JEM79" s="244" t="s">
        <v>68</v>
      </c>
      <c r="JEN79" s="245" t="s">
        <v>68</v>
      </c>
      <c r="JEO79" s="1715" t="s">
        <v>0</v>
      </c>
      <c r="JEP79" s="1716"/>
      <c r="JEQ79" s="1716"/>
      <c r="JER79" s="1716"/>
      <c r="JES79" s="1716"/>
      <c r="JET79" s="244"/>
      <c r="JEU79" s="244" t="s">
        <v>68</v>
      </c>
      <c r="JEV79" s="245" t="s">
        <v>68</v>
      </c>
      <c r="JEW79" s="1715" t="s">
        <v>0</v>
      </c>
      <c r="JEX79" s="1716"/>
      <c r="JEY79" s="1716"/>
      <c r="JEZ79" s="1716"/>
      <c r="JFA79" s="1716"/>
      <c r="JFB79" s="244"/>
      <c r="JFC79" s="244" t="s">
        <v>68</v>
      </c>
      <c r="JFD79" s="245" t="s">
        <v>68</v>
      </c>
      <c r="JFE79" s="1715" t="s">
        <v>0</v>
      </c>
      <c r="JFF79" s="1716"/>
      <c r="JFG79" s="1716"/>
      <c r="JFH79" s="1716"/>
      <c r="JFI79" s="1716"/>
      <c r="JFJ79" s="244"/>
      <c r="JFK79" s="244" t="s">
        <v>68</v>
      </c>
      <c r="JFL79" s="245" t="s">
        <v>68</v>
      </c>
      <c r="JFM79" s="1715" t="s">
        <v>0</v>
      </c>
      <c r="JFN79" s="1716"/>
      <c r="JFO79" s="1716"/>
      <c r="JFP79" s="1716"/>
      <c r="JFQ79" s="1716"/>
      <c r="JFR79" s="244"/>
      <c r="JFS79" s="244" t="s">
        <v>68</v>
      </c>
      <c r="JFT79" s="245" t="s">
        <v>68</v>
      </c>
      <c r="JFU79" s="1715" t="s">
        <v>0</v>
      </c>
      <c r="JFV79" s="1716"/>
      <c r="JFW79" s="1716"/>
      <c r="JFX79" s="1716"/>
      <c r="JFY79" s="1716"/>
      <c r="JFZ79" s="244"/>
      <c r="JGA79" s="244" t="s">
        <v>68</v>
      </c>
      <c r="JGB79" s="245" t="s">
        <v>68</v>
      </c>
      <c r="JGC79" s="1715" t="s">
        <v>0</v>
      </c>
      <c r="JGD79" s="1716"/>
      <c r="JGE79" s="1716"/>
      <c r="JGF79" s="1716"/>
      <c r="JGG79" s="1716"/>
      <c r="JGH79" s="244"/>
      <c r="JGI79" s="244" t="s">
        <v>68</v>
      </c>
      <c r="JGJ79" s="245" t="s">
        <v>68</v>
      </c>
      <c r="JGK79" s="1715" t="s">
        <v>0</v>
      </c>
      <c r="JGL79" s="1716"/>
      <c r="JGM79" s="1716"/>
      <c r="JGN79" s="1716"/>
      <c r="JGO79" s="1716"/>
      <c r="JGP79" s="244"/>
      <c r="JGQ79" s="244" t="s">
        <v>68</v>
      </c>
      <c r="JGR79" s="245" t="s">
        <v>68</v>
      </c>
      <c r="JGS79" s="1715" t="s">
        <v>0</v>
      </c>
      <c r="JGT79" s="1716"/>
      <c r="JGU79" s="1716"/>
      <c r="JGV79" s="1716"/>
      <c r="JGW79" s="1716"/>
      <c r="JGX79" s="244"/>
      <c r="JGY79" s="244" t="s">
        <v>68</v>
      </c>
      <c r="JGZ79" s="245" t="s">
        <v>68</v>
      </c>
      <c r="JHA79" s="1715" t="s">
        <v>0</v>
      </c>
      <c r="JHB79" s="1716"/>
      <c r="JHC79" s="1716"/>
      <c r="JHD79" s="1716"/>
      <c r="JHE79" s="1716"/>
      <c r="JHF79" s="244"/>
      <c r="JHG79" s="244" t="s">
        <v>68</v>
      </c>
      <c r="JHH79" s="245" t="s">
        <v>68</v>
      </c>
      <c r="JHI79" s="1715" t="s">
        <v>0</v>
      </c>
      <c r="JHJ79" s="1716"/>
      <c r="JHK79" s="1716"/>
      <c r="JHL79" s="1716"/>
      <c r="JHM79" s="1716"/>
      <c r="JHN79" s="244"/>
      <c r="JHO79" s="244" t="s">
        <v>68</v>
      </c>
      <c r="JHP79" s="245" t="s">
        <v>68</v>
      </c>
      <c r="JHQ79" s="1715" t="s">
        <v>0</v>
      </c>
      <c r="JHR79" s="1716"/>
      <c r="JHS79" s="1716"/>
      <c r="JHT79" s="1716"/>
      <c r="JHU79" s="1716"/>
      <c r="JHV79" s="244"/>
      <c r="JHW79" s="244" t="s">
        <v>68</v>
      </c>
      <c r="JHX79" s="245" t="s">
        <v>68</v>
      </c>
      <c r="JHY79" s="1715" t="s">
        <v>0</v>
      </c>
      <c r="JHZ79" s="1716"/>
      <c r="JIA79" s="1716"/>
      <c r="JIB79" s="1716"/>
      <c r="JIC79" s="1716"/>
      <c r="JID79" s="244"/>
      <c r="JIE79" s="244" t="s">
        <v>68</v>
      </c>
      <c r="JIF79" s="245" t="s">
        <v>68</v>
      </c>
      <c r="JIG79" s="1715" t="s">
        <v>0</v>
      </c>
      <c r="JIH79" s="1716"/>
      <c r="JII79" s="1716"/>
      <c r="JIJ79" s="1716"/>
      <c r="JIK79" s="1716"/>
      <c r="JIL79" s="244"/>
      <c r="JIM79" s="244" t="s">
        <v>68</v>
      </c>
      <c r="JIN79" s="245" t="s">
        <v>68</v>
      </c>
      <c r="JIO79" s="1715" t="s">
        <v>0</v>
      </c>
      <c r="JIP79" s="1716"/>
      <c r="JIQ79" s="1716"/>
      <c r="JIR79" s="1716"/>
      <c r="JIS79" s="1716"/>
      <c r="JIT79" s="244"/>
      <c r="JIU79" s="244" t="s">
        <v>68</v>
      </c>
      <c r="JIV79" s="245" t="s">
        <v>68</v>
      </c>
      <c r="JIW79" s="1715" t="s">
        <v>0</v>
      </c>
      <c r="JIX79" s="1716"/>
      <c r="JIY79" s="1716"/>
      <c r="JIZ79" s="1716"/>
      <c r="JJA79" s="1716"/>
      <c r="JJB79" s="244"/>
      <c r="JJC79" s="244" t="s">
        <v>68</v>
      </c>
      <c r="JJD79" s="245" t="s">
        <v>68</v>
      </c>
      <c r="JJE79" s="1715" t="s">
        <v>0</v>
      </c>
      <c r="JJF79" s="1716"/>
      <c r="JJG79" s="1716"/>
      <c r="JJH79" s="1716"/>
      <c r="JJI79" s="1716"/>
      <c r="JJJ79" s="244"/>
      <c r="JJK79" s="244" t="s">
        <v>68</v>
      </c>
      <c r="JJL79" s="245" t="s">
        <v>68</v>
      </c>
      <c r="JJM79" s="1715" t="s">
        <v>0</v>
      </c>
      <c r="JJN79" s="1716"/>
      <c r="JJO79" s="1716"/>
      <c r="JJP79" s="1716"/>
      <c r="JJQ79" s="1716"/>
      <c r="JJR79" s="244"/>
      <c r="JJS79" s="244" t="s">
        <v>68</v>
      </c>
      <c r="JJT79" s="245" t="s">
        <v>68</v>
      </c>
      <c r="JJU79" s="1715" t="s">
        <v>0</v>
      </c>
      <c r="JJV79" s="1716"/>
      <c r="JJW79" s="1716"/>
      <c r="JJX79" s="1716"/>
      <c r="JJY79" s="1716"/>
      <c r="JJZ79" s="244"/>
      <c r="JKA79" s="244" t="s">
        <v>68</v>
      </c>
      <c r="JKB79" s="245" t="s">
        <v>68</v>
      </c>
      <c r="JKC79" s="1715" t="s">
        <v>0</v>
      </c>
      <c r="JKD79" s="1716"/>
      <c r="JKE79" s="1716"/>
      <c r="JKF79" s="1716"/>
      <c r="JKG79" s="1716"/>
      <c r="JKH79" s="244"/>
      <c r="JKI79" s="244" t="s">
        <v>68</v>
      </c>
      <c r="JKJ79" s="245" t="s">
        <v>68</v>
      </c>
      <c r="JKK79" s="1715" t="s">
        <v>0</v>
      </c>
      <c r="JKL79" s="1716"/>
      <c r="JKM79" s="1716"/>
      <c r="JKN79" s="1716"/>
      <c r="JKO79" s="1716"/>
      <c r="JKP79" s="244"/>
      <c r="JKQ79" s="244" t="s">
        <v>68</v>
      </c>
      <c r="JKR79" s="245" t="s">
        <v>68</v>
      </c>
      <c r="JKS79" s="1715" t="s">
        <v>0</v>
      </c>
      <c r="JKT79" s="1716"/>
      <c r="JKU79" s="1716"/>
      <c r="JKV79" s="1716"/>
      <c r="JKW79" s="1716"/>
      <c r="JKX79" s="244"/>
      <c r="JKY79" s="244" t="s">
        <v>68</v>
      </c>
      <c r="JKZ79" s="245" t="s">
        <v>68</v>
      </c>
      <c r="JLA79" s="1715" t="s">
        <v>0</v>
      </c>
      <c r="JLB79" s="1716"/>
      <c r="JLC79" s="1716"/>
      <c r="JLD79" s="1716"/>
      <c r="JLE79" s="1716"/>
      <c r="JLF79" s="244"/>
      <c r="JLG79" s="244" t="s">
        <v>68</v>
      </c>
      <c r="JLH79" s="245" t="s">
        <v>68</v>
      </c>
      <c r="JLI79" s="1715" t="s">
        <v>0</v>
      </c>
      <c r="JLJ79" s="1716"/>
      <c r="JLK79" s="1716"/>
      <c r="JLL79" s="1716"/>
      <c r="JLM79" s="1716"/>
      <c r="JLN79" s="244"/>
      <c r="JLO79" s="244" t="s">
        <v>68</v>
      </c>
      <c r="JLP79" s="245" t="s">
        <v>68</v>
      </c>
      <c r="JLQ79" s="1715" t="s">
        <v>0</v>
      </c>
      <c r="JLR79" s="1716"/>
      <c r="JLS79" s="1716"/>
      <c r="JLT79" s="1716"/>
      <c r="JLU79" s="1716"/>
      <c r="JLV79" s="244"/>
      <c r="JLW79" s="244" t="s">
        <v>68</v>
      </c>
      <c r="JLX79" s="245" t="s">
        <v>68</v>
      </c>
      <c r="JLY79" s="1715" t="s">
        <v>0</v>
      </c>
      <c r="JLZ79" s="1716"/>
      <c r="JMA79" s="1716"/>
      <c r="JMB79" s="1716"/>
      <c r="JMC79" s="1716"/>
      <c r="JMD79" s="244"/>
      <c r="JME79" s="244" t="s">
        <v>68</v>
      </c>
      <c r="JMF79" s="245" t="s">
        <v>68</v>
      </c>
      <c r="JMG79" s="1715" t="s">
        <v>0</v>
      </c>
      <c r="JMH79" s="1716"/>
      <c r="JMI79" s="1716"/>
      <c r="JMJ79" s="1716"/>
      <c r="JMK79" s="1716"/>
      <c r="JML79" s="244"/>
      <c r="JMM79" s="244" t="s">
        <v>68</v>
      </c>
      <c r="JMN79" s="245" t="s">
        <v>68</v>
      </c>
      <c r="JMO79" s="1715" t="s">
        <v>0</v>
      </c>
      <c r="JMP79" s="1716"/>
      <c r="JMQ79" s="1716"/>
      <c r="JMR79" s="1716"/>
      <c r="JMS79" s="1716"/>
      <c r="JMT79" s="244"/>
      <c r="JMU79" s="244" t="s">
        <v>68</v>
      </c>
      <c r="JMV79" s="245" t="s">
        <v>68</v>
      </c>
      <c r="JMW79" s="1715" t="s">
        <v>0</v>
      </c>
      <c r="JMX79" s="1716"/>
      <c r="JMY79" s="1716"/>
      <c r="JMZ79" s="1716"/>
      <c r="JNA79" s="1716"/>
      <c r="JNB79" s="244"/>
      <c r="JNC79" s="244" t="s">
        <v>68</v>
      </c>
      <c r="JND79" s="245" t="s">
        <v>68</v>
      </c>
      <c r="JNE79" s="1715" t="s">
        <v>0</v>
      </c>
      <c r="JNF79" s="1716"/>
      <c r="JNG79" s="1716"/>
      <c r="JNH79" s="1716"/>
      <c r="JNI79" s="1716"/>
      <c r="JNJ79" s="244"/>
      <c r="JNK79" s="244" t="s">
        <v>68</v>
      </c>
      <c r="JNL79" s="245" t="s">
        <v>68</v>
      </c>
      <c r="JNM79" s="1715" t="s">
        <v>0</v>
      </c>
      <c r="JNN79" s="1716"/>
      <c r="JNO79" s="1716"/>
      <c r="JNP79" s="1716"/>
      <c r="JNQ79" s="1716"/>
      <c r="JNR79" s="244"/>
      <c r="JNS79" s="244" t="s">
        <v>68</v>
      </c>
      <c r="JNT79" s="245" t="s">
        <v>68</v>
      </c>
      <c r="JNU79" s="1715" t="s">
        <v>0</v>
      </c>
      <c r="JNV79" s="1716"/>
      <c r="JNW79" s="1716"/>
      <c r="JNX79" s="1716"/>
      <c r="JNY79" s="1716"/>
      <c r="JNZ79" s="244"/>
      <c r="JOA79" s="244" t="s">
        <v>68</v>
      </c>
      <c r="JOB79" s="245" t="s">
        <v>68</v>
      </c>
      <c r="JOC79" s="1715" t="s">
        <v>0</v>
      </c>
      <c r="JOD79" s="1716"/>
      <c r="JOE79" s="1716"/>
      <c r="JOF79" s="1716"/>
      <c r="JOG79" s="1716"/>
      <c r="JOH79" s="244"/>
      <c r="JOI79" s="244" t="s">
        <v>68</v>
      </c>
      <c r="JOJ79" s="245" t="s">
        <v>68</v>
      </c>
      <c r="JOK79" s="1715" t="s">
        <v>0</v>
      </c>
      <c r="JOL79" s="1716"/>
      <c r="JOM79" s="1716"/>
      <c r="JON79" s="1716"/>
      <c r="JOO79" s="1716"/>
      <c r="JOP79" s="244"/>
      <c r="JOQ79" s="244" t="s">
        <v>68</v>
      </c>
      <c r="JOR79" s="245" t="s">
        <v>68</v>
      </c>
      <c r="JOS79" s="1715" t="s">
        <v>0</v>
      </c>
      <c r="JOT79" s="1716"/>
      <c r="JOU79" s="1716"/>
      <c r="JOV79" s="1716"/>
      <c r="JOW79" s="1716"/>
      <c r="JOX79" s="244"/>
      <c r="JOY79" s="244" t="s">
        <v>68</v>
      </c>
      <c r="JOZ79" s="245" t="s">
        <v>68</v>
      </c>
      <c r="JPA79" s="1715" t="s">
        <v>0</v>
      </c>
      <c r="JPB79" s="1716"/>
      <c r="JPC79" s="1716"/>
      <c r="JPD79" s="1716"/>
      <c r="JPE79" s="1716"/>
      <c r="JPF79" s="244"/>
      <c r="JPG79" s="244" t="s">
        <v>68</v>
      </c>
      <c r="JPH79" s="245" t="s">
        <v>68</v>
      </c>
      <c r="JPI79" s="1715" t="s">
        <v>0</v>
      </c>
      <c r="JPJ79" s="1716"/>
      <c r="JPK79" s="1716"/>
      <c r="JPL79" s="1716"/>
      <c r="JPM79" s="1716"/>
      <c r="JPN79" s="244"/>
      <c r="JPO79" s="244" t="s">
        <v>68</v>
      </c>
      <c r="JPP79" s="245" t="s">
        <v>68</v>
      </c>
      <c r="JPQ79" s="1715" t="s">
        <v>0</v>
      </c>
      <c r="JPR79" s="1716"/>
      <c r="JPS79" s="1716"/>
      <c r="JPT79" s="1716"/>
      <c r="JPU79" s="1716"/>
      <c r="JPV79" s="244"/>
      <c r="JPW79" s="244" t="s">
        <v>68</v>
      </c>
      <c r="JPX79" s="245" t="s">
        <v>68</v>
      </c>
      <c r="JPY79" s="1715" t="s">
        <v>0</v>
      </c>
      <c r="JPZ79" s="1716"/>
      <c r="JQA79" s="1716"/>
      <c r="JQB79" s="1716"/>
      <c r="JQC79" s="1716"/>
      <c r="JQD79" s="244"/>
      <c r="JQE79" s="244" t="s">
        <v>68</v>
      </c>
      <c r="JQF79" s="245" t="s">
        <v>68</v>
      </c>
      <c r="JQG79" s="1715" t="s">
        <v>0</v>
      </c>
      <c r="JQH79" s="1716"/>
      <c r="JQI79" s="1716"/>
      <c r="JQJ79" s="1716"/>
      <c r="JQK79" s="1716"/>
      <c r="JQL79" s="244"/>
      <c r="JQM79" s="244" t="s">
        <v>68</v>
      </c>
      <c r="JQN79" s="245" t="s">
        <v>68</v>
      </c>
      <c r="JQO79" s="1715" t="s">
        <v>0</v>
      </c>
      <c r="JQP79" s="1716"/>
      <c r="JQQ79" s="1716"/>
      <c r="JQR79" s="1716"/>
      <c r="JQS79" s="1716"/>
      <c r="JQT79" s="244"/>
      <c r="JQU79" s="244" t="s">
        <v>68</v>
      </c>
      <c r="JQV79" s="245" t="s">
        <v>68</v>
      </c>
      <c r="JQW79" s="1715" t="s">
        <v>0</v>
      </c>
      <c r="JQX79" s="1716"/>
      <c r="JQY79" s="1716"/>
      <c r="JQZ79" s="1716"/>
      <c r="JRA79" s="1716"/>
      <c r="JRB79" s="244"/>
      <c r="JRC79" s="244" t="s">
        <v>68</v>
      </c>
      <c r="JRD79" s="245" t="s">
        <v>68</v>
      </c>
      <c r="JRE79" s="1715" t="s">
        <v>0</v>
      </c>
      <c r="JRF79" s="1716"/>
      <c r="JRG79" s="1716"/>
      <c r="JRH79" s="1716"/>
      <c r="JRI79" s="1716"/>
      <c r="JRJ79" s="244"/>
      <c r="JRK79" s="244" t="s">
        <v>68</v>
      </c>
      <c r="JRL79" s="245" t="s">
        <v>68</v>
      </c>
      <c r="JRM79" s="1715" t="s">
        <v>0</v>
      </c>
      <c r="JRN79" s="1716"/>
      <c r="JRO79" s="1716"/>
      <c r="JRP79" s="1716"/>
      <c r="JRQ79" s="1716"/>
      <c r="JRR79" s="244"/>
      <c r="JRS79" s="244" t="s">
        <v>68</v>
      </c>
      <c r="JRT79" s="245" t="s">
        <v>68</v>
      </c>
      <c r="JRU79" s="1715" t="s">
        <v>0</v>
      </c>
      <c r="JRV79" s="1716"/>
      <c r="JRW79" s="1716"/>
      <c r="JRX79" s="1716"/>
      <c r="JRY79" s="1716"/>
      <c r="JRZ79" s="244"/>
      <c r="JSA79" s="244" t="s">
        <v>68</v>
      </c>
      <c r="JSB79" s="245" t="s">
        <v>68</v>
      </c>
      <c r="JSC79" s="1715" t="s">
        <v>0</v>
      </c>
      <c r="JSD79" s="1716"/>
      <c r="JSE79" s="1716"/>
      <c r="JSF79" s="1716"/>
      <c r="JSG79" s="1716"/>
      <c r="JSH79" s="244"/>
      <c r="JSI79" s="244" t="s">
        <v>68</v>
      </c>
      <c r="JSJ79" s="245" t="s">
        <v>68</v>
      </c>
      <c r="JSK79" s="1715" t="s">
        <v>0</v>
      </c>
      <c r="JSL79" s="1716"/>
      <c r="JSM79" s="1716"/>
      <c r="JSN79" s="1716"/>
      <c r="JSO79" s="1716"/>
      <c r="JSP79" s="244"/>
      <c r="JSQ79" s="244" t="s">
        <v>68</v>
      </c>
      <c r="JSR79" s="245" t="s">
        <v>68</v>
      </c>
      <c r="JSS79" s="1715" t="s">
        <v>0</v>
      </c>
      <c r="JST79" s="1716"/>
      <c r="JSU79" s="1716"/>
      <c r="JSV79" s="1716"/>
      <c r="JSW79" s="1716"/>
      <c r="JSX79" s="244"/>
      <c r="JSY79" s="244" t="s">
        <v>68</v>
      </c>
      <c r="JSZ79" s="245" t="s">
        <v>68</v>
      </c>
      <c r="JTA79" s="1715" t="s">
        <v>0</v>
      </c>
      <c r="JTB79" s="1716"/>
      <c r="JTC79" s="1716"/>
      <c r="JTD79" s="1716"/>
      <c r="JTE79" s="1716"/>
      <c r="JTF79" s="244"/>
      <c r="JTG79" s="244" t="s">
        <v>68</v>
      </c>
      <c r="JTH79" s="245" t="s">
        <v>68</v>
      </c>
      <c r="JTI79" s="1715" t="s">
        <v>0</v>
      </c>
      <c r="JTJ79" s="1716"/>
      <c r="JTK79" s="1716"/>
      <c r="JTL79" s="1716"/>
      <c r="JTM79" s="1716"/>
      <c r="JTN79" s="244"/>
      <c r="JTO79" s="244" t="s">
        <v>68</v>
      </c>
      <c r="JTP79" s="245" t="s">
        <v>68</v>
      </c>
      <c r="JTQ79" s="1715" t="s">
        <v>0</v>
      </c>
      <c r="JTR79" s="1716"/>
      <c r="JTS79" s="1716"/>
      <c r="JTT79" s="1716"/>
      <c r="JTU79" s="1716"/>
      <c r="JTV79" s="244"/>
      <c r="JTW79" s="244" t="s">
        <v>68</v>
      </c>
      <c r="JTX79" s="245" t="s">
        <v>68</v>
      </c>
      <c r="JTY79" s="1715" t="s">
        <v>0</v>
      </c>
      <c r="JTZ79" s="1716"/>
      <c r="JUA79" s="1716"/>
      <c r="JUB79" s="1716"/>
      <c r="JUC79" s="1716"/>
      <c r="JUD79" s="244"/>
      <c r="JUE79" s="244" t="s">
        <v>68</v>
      </c>
      <c r="JUF79" s="245" t="s">
        <v>68</v>
      </c>
      <c r="JUG79" s="1715" t="s">
        <v>0</v>
      </c>
      <c r="JUH79" s="1716"/>
      <c r="JUI79" s="1716"/>
      <c r="JUJ79" s="1716"/>
      <c r="JUK79" s="1716"/>
      <c r="JUL79" s="244"/>
      <c r="JUM79" s="244" t="s">
        <v>68</v>
      </c>
      <c r="JUN79" s="245" t="s">
        <v>68</v>
      </c>
      <c r="JUO79" s="1715" t="s">
        <v>0</v>
      </c>
      <c r="JUP79" s="1716"/>
      <c r="JUQ79" s="1716"/>
      <c r="JUR79" s="1716"/>
      <c r="JUS79" s="1716"/>
      <c r="JUT79" s="244"/>
      <c r="JUU79" s="244" t="s">
        <v>68</v>
      </c>
      <c r="JUV79" s="245" t="s">
        <v>68</v>
      </c>
      <c r="JUW79" s="1715" t="s">
        <v>0</v>
      </c>
      <c r="JUX79" s="1716"/>
      <c r="JUY79" s="1716"/>
      <c r="JUZ79" s="1716"/>
      <c r="JVA79" s="1716"/>
      <c r="JVB79" s="244"/>
      <c r="JVC79" s="244" t="s">
        <v>68</v>
      </c>
      <c r="JVD79" s="245" t="s">
        <v>68</v>
      </c>
      <c r="JVE79" s="1715" t="s">
        <v>0</v>
      </c>
      <c r="JVF79" s="1716"/>
      <c r="JVG79" s="1716"/>
      <c r="JVH79" s="1716"/>
      <c r="JVI79" s="1716"/>
      <c r="JVJ79" s="244"/>
      <c r="JVK79" s="244" t="s">
        <v>68</v>
      </c>
      <c r="JVL79" s="245" t="s">
        <v>68</v>
      </c>
      <c r="JVM79" s="1715" t="s">
        <v>0</v>
      </c>
      <c r="JVN79" s="1716"/>
      <c r="JVO79" s="1716"/>
      <c r="JVP79" s="1716"/>
      <c r="JVQ79" s="1716"/>
      <c r="JVR79" s="244"/>
      <c r="JVS79" s="244" t="s">
        <v>68</v>
      </c>
      <c r="JVT79" s="245" t="s">
        <v>68</v>
      </c>
      <c r="JVU79" s="1715" t="s">
        <v>0</v>
      </c>
      <c r="JVV79" s="1716"/>
      <c r="JVW79" s="1716"/>
      <c r="JVX79" s="1716"/>
      <c r="JVY79" s="1716"/>
      <c r="JVZ79" s="244"/>
      <c r="JWA79" s="244" t="s">
        <v>68</v>
      </c>
      <c r="JWB79" s="245" t="s">
        <v>68</v>
      </c>
      <c r="JWC79" s="1715" t="s">
        <v>0</v>
      </c>
      <c r="JWD79" s="1716"/>
      <c r="JWE79" s="1716"/>
      <c r="JWF79" s="1716"/>
      <c r="JWG79" s="1716"/>
      <c r="JWH79" s="244"/>
      <c r="JWI79" s="244" t="s">
        <v>68</v>
      </c>
      <c r="JWJ79" s="245" t="s">
        <v>68</v>
      </c>
      <c r="JWK79" s="1715" t="s">
        <v>0</v>
      </c>
      <c r="JWL79" s="1716"/>
      <c r="JWM79" s="1716"/>
      <c r="JWN79" s="1716"/>
      <c r="JWO79" s="1716"/>
      <c r="JWP79" s="244"/>
      <c r="JWQ79" s="244" t="s">
        <v>68</v>
      </c>
      <c r="JWR79" s="245" t="s">
        <v>68</v>
      </c>
      <c r="JWS79" s="1715" t="s">
        <v>0</v>
      </c>
      <c r="JWT79" s="1716"/>
      <c r="JWU79" s="1716"/>
      <c r="JWV79" s="1716"/>
      <c r="JWW79" s="1716"/>
      <c r="JWX79" s="244"/>
      <c r="JWY79" s="244" t="s">
        <v>68</v>
      </c>
      <c r="JWZ79" s="245" t="s">
        <v>68</v>
      </c>
      <c r="JXA79" s="1715" t="s">
        <v>0</v>
      </c>
      <c r="JXB79" s="1716"/>
      <c r="JXC79" s="1716"/>
      <c r="JXD79" s="1716"/>
      <c r="JXE79" s="1716"/>
      <c r="JXF79" s="244"/>
      <c r="JXG79" s="244" t="s">
        <v>68</v>
      </c>
      <c r="JXH79" s="245" t="s">
        <v>68</v>
      </c>
      <c r="JXI79" s="1715" t="s">
        <v>0</v>
      </c>
      <c r="JXJ79" s="1716"/>
      <c r="JXK79" s="1716"/>
      <c r="JXL79" s="1716"/>
      <c r="JXM79" s="1716"/>
      <c r="JXN79" s="244"/>
      <c r="JXO79" s="244" t="s">
        <v>68</v>
      </c>
      <c r="JXP79" s="245" t="s">
        <v>68</v>
      </c>
      <c r="JXQ79" s="1715" t="s">
        <v>0</v>
      </c>
      <c r="JXR79" s="1716"/>
      <c r="JXS79" s="1716"/>
      <c r="JXT79" s="1716"/>
      <c r="JXU79" s="1716"/>
      <c r="JXV79" s="244"/>
      <c r="JXW79" s="244" t="s">
        <v>68</v>
      </c>
      <c r="JXX79" s="245" t="s">
        <v>68</v>
      </c>
      <c r="JXY79" s="1715" t="s">
        <v>0</v>
      </c>
      <c r="JXZ79" s="1716"/>
      <c r="JYA79" s="1716"/>
      <c r="JYB79" s="1716"/>
      <c r="JYC79" s="1716"/>
      <c r="JYD79" s="244"/>
      <c r="JYE79" s="244" t="s">
        <v>68</v>
      </c>
      <c r="JYF79" s="245" t="s">
        <v>68</v>
      </c>
      <c r="JYG79" s="1715" t="s">
        <v>0</v>
      </c>
      <c r="JYH79" s="1716"/>
      <c r="JYI79" s="1716"/>
      <c r="JYJ79" s="1716"/>
      <c r="JYK79" s="1716"/>
      <c r="JYL79" s="244"/>
      <c r="JYM79" s="244" t="s">
        <v>68</v>
      </c>
      <c r="JYN79" s="245" t="s">
        <v>68</v>
      </c>
      <c r="JYO79" s="1715" t="s">
        <v>0</v>
      </c>
      <c r="JYP79" s="1716"/>
      <c r="JYQ79" s="1716"/>
      <c r="JYR79" s="1716"/>
      <c r="JYS79" s="1716"/>
      <c r="JYT79" s="244"/>
      <c r="JYU79" s="244" t="s">
        <v>68</v>
      </c>
      <c r="JYV79" s="245" t="s">
        <v>68</v>
      </c>
      <c r="JYW79" s="1715" t="s">
        <v>0</v>
      </c>
      <c r="JYX79" s="1716"/>
      <c r="JYY79" s="1716"/>
      <c r="JYZ79" s="1716"/>
      <c r="JZA79" s="1716"/>
      <c r="JZB79" s="244"/>
      <c r="JZC79" s="244" t="s">
        <v>68</v>
      </c>
      <c r="JZD79" s="245" t="s">
        <v>68</v>
      </c>
      <c r="JZE79" s="1715" t="s">
        <v>0</v>
      </c>
      <c r="JZF79" s="1716"/>
      <c r="JZG79" s="1716"/>
      <c r="JZH79" s="1716"/>
      <c r="JZI79" s="1716"/>
      <c r="JZJ79" s="244"/>
      <c r="JZK79" s="244" t="s">
        <v>68</v>
      </c>
      <c r="JZL79" s="245" t="s">
        <v>68</v>
      </c>
      <c r="JZM79" s="1715" t="s">
        <v>0</v>
      </c>
      <c r="JZN79" s="1716"/>
      <c r="JZO79" s="1716"/>
      <c r="JZP79" s="1716"/>
      <c r="JZQ79" s="1716"/>
      <c r="JZR79" s="244"/>
      <c r="JZS79" s="244" t="s">
        <v>68</v>
      </c>
      <c r="JZT79" s="245" t="s">
        <v>68</v>
      </c>
      <c r="JZU79" s="1715" t="s">
        <v>0</v>
      </c>
      <c r="JZV79" s="1716"/>
      <c r="JZW79" s="1716"/>
      <c r="JZX79" s="1716"/>
      <c r="JZY79" s="1716"/>
      <c r="JZZ79" s="244"/>
      <c r="KAA79" s="244" t="s">
        <v>68</v>
      </c>
      <c r="KAB79" s="245" t="s">
        <v>68</v>
      </c>
      <c r="KAC79" s="1715" t="s">
        <v>0</v>
      </c>
      <c r="KAD79" s="1716"/>
      <c r="KAE79" s="1716"/>
      <c r="KAF79" s="1716"/>
      <c r="KAG79" s="1716"/>
      <c r="KAH79" s="244"/>
      <c r="KAI79" s="244" t="s">
        <v>68</v>
      </c>
      <c r="KAJ79" s="245" t="s">
        <v>68</v>
      </c>
      <c r="KAK79" s="1715" t="s">
        <v>0</v>
      </c>
      <c r="KAL79" s="1716"/>
      <c r="KAM79" s="1716"/>
      <c r="KAN79" s="1716"/>
      <c r="KAO79" s="1716"/>
      <c r="KAP79" s="244"/>
      <c r="KAQ79" s="244" t="s">
        <v>68</v>
      </c>
      <c r="KAR79" s="245" t="s">
        <v>68</v>
      </c>
      <c r="KAS79" s="1715" t="s">
        <v>0</v>
      </c>
      <c r="KAT79" s="1716"/>
      <c r="KAU79" s="1716"/>
      <c r="KAV79" s="1716"/>
      <c r="KAW79" s="1716"/>
      <c r="KAX79" s="244"/>
      <c r="KAY79" s="244" t="s">
        <v>68</v>
      </c>
      <c r="KAZ79" s="245" t="s">
        <v>68</v>
      </c>
      <c r="KBA79" s="1715" t="s">
        <v>0</v>
      </c>
      <c r="KBB79" s="1716"/>
      <c r="KBC79" s="1716"/>
      <c r="KBD79" s="1716"/>
      <c r="KBE79" s="1716"/>
      <c r="KBF79" s="244"/>
      <c r="KBG79" s="244" t="s">
        <v>68</v>
      </c>
      <c r="KBH79" s="245" t="s">
        <v>68</v>
      </c>
      <c r="KBI79" s="1715" t="s">
        <v>0</v>
      </c>
      <c r="KBJ79" s="1716"/>
      <c r="KBK79" s="1716"/>
      <c r="KBL79" s="1716"/>
      <c r="KBM79" s="1716"/>
      <c r="KBN79" s="244"/>
      <c r="KBO79" s="244" t="s">
        <v>68</v>
      </c>
      <c r="KBP79" s="245" t="s">
        <v>68</v>
      </c>
      <c r="KBQ79" s="1715" t="s">
        <v>0</v>
      </c>
      <c r="KBR79" s="1716"/>
      <c r="KBS79" s="1716"/>
      <c r="KBT79" s="1716"/>
      <c r="KBU79" s="1716"/>
      <c r="KBV79" s="244"/>
      <c r="KBW79" s="244" t="s">
        <v>68</v>
      </c>
      <c r="KBX79" s="245" t="s">
        <v>68</v>
      </c>
      <c r="KBY79" s="1715" t="s">
        <v>0</v>
      </c>
      <c r="KBZ79" s="1716"/>
      <c r="KCA79" s="1716"/>
      <c r="KCB79" s="1716"/>
      <c r="KCC79" s="1716"/>
      <c r="KCD79" s="244"/>
      <c r="KCE79" s="244" t="s">
        <v>68</v>
      </c>
      <c r="KCF79" s="245" t="s">
        <v>68</v>
      </c>
      <c r="KCG79" s="1715" t="s">
        <v>0</v>
      </c>
      <c r="KCH79" s="1716"/>
      <c r="KCI79" s="1716"/>
      <c r="KCJ79" s="1716"/>
      <c r="KCK79" s="1716"/>
      <c r="KCL79" s="244"/>
      <c r="KCM79" s="244" t="s">
        <v>68</v>
      </c>
      <c r="KCN79" s="245" t="s">
        <v>68</v>
      </c>
      <c r="KCO79" s="1715" t="s">
        <v>0</v>
      </c>
      <c r="KCP79" s="1716"/>
      <c r="KCQ79" s="1716"/>
      <c r="KCR79" s="1716"/>
      <c r="KCS79" s="1716"/>
      <c r="KCT79" s="244"/>
      <c r="KCU79" s="244" t="s">
        <v>68</v>
      </c>
      <c r="KCV79" s="245" t="s">
        <v>68</v>
      </c>
      <c r="KCW79" s="1715" t="s">
        <v>0</v>
      </c>
      <c r="KCX79" s="1716"/>
      <c r="KCY79" s="1716"/>
      <c r="KCZ79" s="1716"/>
      <c r="KDA79" s="1716"/>
      <c r="KDB79" s="244"/>
      <c r="KDC79" s="244" t="s">
        <v>68</v>
      </c>
      <c r="KDD79" s="245" t="s">
        <v>68</v>
      </c>
      <c r="KDE79" s="1715" t="s">
        <v>0</v>
      </c>
      <c r="KDF79" s="1716"/>
      <c r="KDG79" s="1716"/>
      <c r="KDH79" s="1716"/>
      <c r="KDI79" s="1716"/>
      <c r="KDJ79" s="244"/>
      <c r="KDK79" s="244" t="s">
        <v>68</v>
      </c>
      <c r="KDL79" s="245" t="s">
        <v>68</v>
      </c>
      <c r="KDM79" s="1715" t="s">
        <v>0</v>
      </c>
      <c r="KDN79" s="1716"/>
      <c r="KDO79" s="1716"/>
      <c r="KDP79" s="1716"/>
      <c r="KDQ79" s="1716"/>
      <c r="KDR79" s="244"/>
      <c r="KDS79" s="244" t="s">
        <v>68</v>
      </c>
      <c r="KDT79" s="245" t="s">
        <v>68</v>
      </c>
      <c r="KDU79" s="1715" t="s">
        <v>0</v>
      </c>
      <c r="KDV79" s="1716"/>
      <c r="KDW79" s="1716"/>
      <c r="KDX79" s="1716"/>
      <c r="KDY79" s="1716"/>
      <c r="KDZ79" s="244"/>
      <c r="KEA79" s="244" t="s">
        <v>68</v>
      </c>
      <c r="KEB79" s="245" t="s">
        <v>68</v>
      </c>
      <c r="KEC79" s="1715" t="s">
        <v>0</v>
      </c>
      <c r="KED79" s="1716"/>
      <c r="KEE79" s="1716"/>
      <c r="KEF79" s="1716"/>
      <c r="KEG79" s="1716"/>
      <c r="KEH79" s="244"/>
      <c r="KEI79" s="244" t="s">
        <v>68</v>
      </c>
      <c r="KEJ79" s="245" t="s">
        <v>68</v>
      </c>
      <c r="KEK79" s="1715" t="s">
        <v>0</v>
      </c>
      <c r="KEL79" s="1716"/>
      <c r="KEM79" s="1716"/>
      <c r="KEN79" s="1716"/>
      <c r="KEO79" s="1716"/>
      <c r="KEP79" s="244"/>
      <c r="KEQ79" s="244" t="s">
        <v>68</v>
      </c>
      <c r="KER79" s="245" t="s">
        <v>68</v>
      </c>
      <c r="KES79" s="1715" t="s">
        <v>0</v>
      </c>
      <c r="KET79" s="1716"/>
      <c r="KEU79" s="1716"/>
      <c r="KEV79" s="1716"/>
      <c r="KEW79" s="1716"/>
      <c r="KEX79" s="244"/>
      <c r="KEY79" s="244" t="s">
        <v>68</v>
      </c>
      <c r="KEZ79" s="245" t="s">
        <v>68</v>
      </c>
      <c r="KFA79" s="1715" t="s">
        <v>0</v>
      </c>
      <c r="KFB79" s="1716"/>
      <c r="KFC79" s="1716"/>
      <c r="KFD79" s="1716"/>
      <c r="KFE79" s="1716"/>
      <c r="KFF79" s="244"/>
      <c r="KFG79" s="244" t="s">
        <v>68</v>
      </c>
      <c r="KFH79" s="245" t="s">
        <v>68</v>
      </c>
      <c r="KFI79" s="1715" t="s">
        <v>0</v>
      </c>
      <c r="KFJ79" s="1716"/>
      <c r="KFK79" s="1716"/>
      <c r="KFL79" s="1716"/>
      <c r="KFM79" s="1716"/>
      <c r="KFN79" s="244"/>
      <c r="KFO79" s="244" t="s">
        <v>68</v>
      </c>
      <c r="KFP79" s="245" t="s">
        <v>68</v>
      </c>
      <c r="KFQ79" s="1715" t="s">
        <v>0</v>
      </c>
      <c r="KFR79" s="1716"/>
      <c r="KFS79" s="1716"/>
      <c r="KFT79" s="1716"/>
      <c r="KFU79" s="1716"/>
      <c r="KFV79" s="244"/>
      <c r="KFW79" s="244" t="s">
        <v>68</v>
      </c>
      <c r="KFX79" s="245" t="s">
        <v>68</v>
      </c>
      <c r="KFY79" s="1715" t="s">
        <v>0</v>
      </c>
      <c r="KFZ79" s="1716"/>
      <c r="KGA79" s="1716"/>
      <c r="KGB79" s="1716"/>
      <c r="KGC79" s="1716"/>
      <c r="KGD79" s="244"/>
      <c r="KGE79" s="244" t="s">
        <v>68</v>
      </c>
      <c r="KGF79" s="245" t="s">
        <v>68</v>
      </c>
      <c r="KGG79" s="1715" t="s">
        <v>0</v>
      </c>
      <c r="KGH79" s="1716"/>
      <c r="KGI79" s="1716"/>
      <c r="KGJ79" s="1716"/>
      <c r="KGK79" s="1716"/>
      <c r="KGL79" s="244"/>
      <c r="KGM79" s="244" t="s">
        <v>68</v>
      </c>
      <c r="KGN79" s="245" t="s">
        <v>68</v>
      </c>
      <c r="KGO79" s="1715" t="s">
        <v>0</v>
      </c>
      <c r="KGP79" s="1716"/>
      <c r="KGQ79" s="1716"/>
      <c r="KGR79" s="1716"/>
      <c r="KGS79" s="1716"/>
      <c r="KGT79" s="244"/>
      <c r="KGU79" s="244" t="s">
        <v>68</v>
      </c>
      <c r="KGV79" s="245" t="s">
        <v>68</v>
      </c>
      <c r="KGW79" s="1715" t="s">
        <v>0</v>
      </c>
      <c r="KGX79" s="1716"/>
      <c r="KGY79" s="1716"/>
      <c r="KGZ79" s="1716"/>
      <c r="KHA79" s="1716"/>
      <c r="KHB79" s="244"/>
      <c r="KHC79" s="244" t="s">
        <v>68</v>
      </c>
      <c r="KHD79" s="245" t="s">
        <v>68</v>
      </c>
      <c r="KHE79" s="1715" t="s">
        <v>0</v>
      </c>
      <c r="KHF79" s="1716"/>
      <c r="KHG79" s="1716"/>
      <c r="KHH79" s="1716"/>
      <c r="KHI79" s="1716"/>
      <c r="KHJ79" s="244"/>
      <c r="KHK79" s="244" t="s">
        <v>68</v>
      </c>
      <c r="KHL79" s="245" t="s">
        <v>68</v>
      </c>
      <c r="KHM79" s="1715" t="s">
        <v>0</v>
      </c>
      <c r="KHN79" s="1716"/>
      <c r="KHO79" s="1716"/>
      <c r="KHP79" s="1716"/>
      <c r="KHQ79" s="1716"/>
      <c r="KHR79" s="244"/>
      <c r="KHS79" s="244" t="s">
        <v>68</v>
      </c>
      <c r="KHT79" s="245" t="s">
        <v>68</v>
      </c>
      <c r="KHU79" s="1715" t="s">
        <v>0</v>
      </c>
      <c r="KHV79" s="1716"/>
      <c r="KHW79" s="1716"/>
      <c r="KHX79" s="1716"/>
      <c r="KHY79" s="1716"/>
      <c r="KHZ79" s="244"/>
      <c r="KIA79" s="244" t="s">
        <v>68</v>
      </c>
      <c r="KIB79" s="245" t="s">
        <v>68</v>
      </c>
      <c r="KIC79" s="1715" t="s">
        <v>0</v>
      </c>
      <c r="KID79" s="1716"/>
      <c r="KIE79" s="1716"/>
      <c r="KIF79" s="1716"/>
      <c r="KIG79" s="1716"/>
      <c r="KIH79" s="244"/>
      <c r="KII79" s="244" t="s">
        <v>68</v>
      </c>
      <c r="KIJ79" s="245" t="s">
        <v>68</v>
      </c>
      <c r="KIK79" s="1715" t="s">
        <v>0</v>
      </c>
      <c r="KIL79" s="1716"/>
      <c r="KIM79" s="1716"/>
      <c r="KIN79" s="1716"/>
      <c r="KIO79" s="1716"/>
      <c r="KIP79" s="244"/>
      <c r="KIQ79" s="244" t="s">
        <v>68</v>
      </c>
      <c r="KIR79" s="245" t="s">
        <v>68</v>
      </c>
      <c r="KIS79" s="1715" t="s">
        <v>0</v>
      </c>
      <c r="KIT79" s="1716"/>
      <c r="KIU79" s="1716"/>
      <c r="KIV79" s="1716"/>
      <c r="KIW79" s="1716"/>
      <c r="KIX79" s="244"/>
      <c r="KIY79" s="244" t="s">
        <v>68</v>
      </c>
      <c r="KIZ79" s="245" t="s">
        <v>68</v>
      </c>
      <c r="KJA79" s="1715" t="s">
        <v>0</v>
      </c>
      <c r="KJB79" s="1716"/>
      <c r="KJC79" s="1716"/>
      <c r="KJD79" s="1716"/>
      <c r="KJE79" s="1716"/>
      <c r="KJF79" s="244"/>
      <c r="KJG79" s="244" t="s">
        <v>68</v>
      </c>
      <c r="KJH79" s="245" t="s">
        <v>68</v>
      </c>
      <c r="KJI79" s="1715" t="s">
        <v>0</v>
      </c>
      <c r="KJJ79" s="1716"/>
      <c r="KJK79" s="1716"/>
      <c r="KJL79" s="1716"/>
      <c r="KJM79" s="1716"/>
      <c r="KJN79" s="244"/>
      <c r="KJO79" s="244" t="s">
        <v>68</v>
      </c>
      <c r="KJP79" s="245" t="s">
        <v>68</v>
      </c>
      <c r="KJQ79" s="1715" t="s">
        <v>0</v>
      </c>
      <c r="KJR79" s="1716"/>
      <c r="KJS79" s="1716"/>
      <c r="KJT79" s="1716"/>
      <c r="KJU79" s="1716"/>
      <c r="KJV79" s="244"/>
      <c r="KJW79" s="244" t="s">
        <v>68</v>
      </c>
      <c r="KJX79" s="245" t="s">
        <v>68</v>
      </c>
      <c r="KJY79" s="1715" t="s">
        <v>0</v>
      </c>
      <c r="KJZ79" s="1716"/>
      <c r="KKA79" s="1716"/>
      <c r="KKB79" s="1716"/>
      <c r="KKC79" s="1716"/>
      <c r="KKD79" s="244"/>
      <c r="KKE79" s="244" t="s">
        <v>68</v>
      </c>
      <c r="KKF79" s="245" t="s">
        <v>68</v>
      </c>
      <c r="KKG79" s="1715" t="s">
        <v>0</v>
      </c>
      <c r="KKH79" s="1716"/>
      <c r="KKI79" s="1716"/>
      <c r="KKJ79" s="1716"/>
      <c r="KKK79" s="1716"/>
      <c r="KKL79" s="244"/>
      <c r="KKM79" s="244" t="s">
        <v>68</v>
      </c>
      <c r="KKN79" s="245" t="s">
        <v>68</v>
      </c>
      <c r="KKO79" s="1715" t="s">
        <v>0</v>
      </c>
      <c r="KKP79" s="1716"/>
      <c r="KKQ79" s="1716"/>
      <c r="KKR79" s="1716"/>
      <c r="KKS79" s="1716"/>
      <c r="KKT79" s="244"/>
      <c r="KKU79" s="244" t="s">
        <v>68</v>
      </c>
      <c r="KKV79" s="245" t="s">
        <v>68</v>
      </c>
      <c r="KKW79" s="1715" t="s">
        <v>0</v>
      </c>
      <c r="KKX79" s="1716"/>
      <c r="KKY79" s="1716"/>
      <c r="KKZ79" s="1716"/>
      <c r="KLA79" s="1716"/>
      <c r="KLB79" s="244"/>
      <c r="KLC79" s="244" t="s">
        <v>68</v>
      </c>
      <c r="KLD79" s="245" t="s">
        <v>68</v>
      </c>
      <c r="KLE79" s="1715" t="s">
        <v>0</v>
      </c>
      <c r="KLF79" s="1716"/>
      <c r="KLG79" s="1716"/>
      <c r="KLH79" s="1716"/>
      <c r="KLI79" s="1716"/>
      <c r="KLJ79" s="244"/>
      <c r="KLK79" s="244" t="s">
        <v>68</v>
      </c>
      <c r="KLL79" s="245" t="s">
        <v>68</v>
      </c>
      <c r="KLM79" s="1715" t="s">
        <v>0</v>
      </c>
      <c r="KLN79" s="1716"/>
      <c r="KLO79" s="1716"/>
      <c r="KLP79" s="1716"/>
      <c r="KLQ79" s="1716"/>
      <c r="KLR79" s="244"/>
      <c r="KLS79" s="244" t="s">
        <v>68</v>
      </c>
      <c r="KLT79" s="245" t="s">
        <v>68</v>
      </c>
      <c r="KLU79" s="1715" t="s">
        <v>0</v>
      </c>
      <c r="KLV79" s="1716"/>
      <c r="KLW79" s="1716"/>
      <c r="KLX79" s="1716"/>
      <c r="KLY79" s="1716"/>
      <c r="KLZ79" s="244"/>
      <c r="KMA79" s="244" t="s">
        <v>68</v>
      </c>
      <c r="KMB79" s="245" t="s">
        <v>68</v>
      </c>
      <c r="KMC79" s="1715" t="s">
        <v>0</v>
      </c>
      <c r="KMD79" s="1716"/>
      <c r="KME79" s="1716"/>
      <c r="KMF79" s="1716"/>
      <c r="KMG79" s="1716"/>
      <c r="KMH79" s="244"/>
      <c r="KMI79" s="244" t="s">
        <v>68</v>
      </c>
      <c r="KMJ79" s="245" t="s">
        <v>68</v>
      </c>
      <c r="KMK79" s="1715" t="s">
        <v>0</v>
      </c>
      <c r="KML79" s="1716"/>
      <c r="KMM79" s="1716"/>
      <c r="KMN79" s="1716"/>
      <c r="KMO79" s="1716"/>
      <c r="KMP79" s="244"/>
      <c r="KMQ79" s="244" t="s">
        <v>68</v>
      </c>
      <c r="KMR79" s="245" t="s">
        <v>68</v>
      </c>
      <c r="KMS79" s="1715" t="s">
        <v>0</v>
      </c>
      <c r="KMT79" s="1716"/>
      <c r="KMU79" s="1716"/>
      <c r="KMV79" s="1716"/>
      <c r="KMW79" s="1716"/>
      <c r="KMX79" s="244"/>
      <c r="KMY79" s="244" t="s">
        <v>68</v>
      </c>
      <c r="KMZ79" s="245" t="s">
        <v>68</v>
      </c>
      <c r="KNA79" s="1715" t="s">
        <v>0</v>
      </c>
      <c r="KNB79" s="1716"/>
      <c r="KNC79" s="1716"/>
      <c r="KND79" s="1716"/>
      <c r="KNE79" s="1716"/>
      <c r="KNF79" s="244"/>
      <c r="KNG79" s="244" t="s">
        <v>68</v>
      </c>
      <c r="KNH79" s="245" t="s">
        <v>68</v>
      </c>
      <c r="KNI79" s="1715" t="s">
        <v>0</v>
      </c>
      <c r="KNJ79" s="1716"/>
      <c r="KNK79" s="1716"/>
      <c r="KNL79" s="1716"/>
      <c r="KNM79" s="1716"/>
      <c r="KNN79" s="244"/>
      <c r="KNO79" s="244" t="s">
        <v>68</v>
      </c>
      <c r="KNP79" s="245" t="s">
        <v>68</v>
      </c>
      <c r="KNQ79" s="1715" t="s">
        <v>0</v>
      </c>
      <c r="KNR79" s="1716"/>
      <c r="KNS79" s="1716"/>
      <c r="KNT79" s="1716"/>
      <c r="KNU79" s="1716"/>
      <c r="KNV79" s="244"/>
      <c r="KNW79" s="244" t="s">
        <v>68</v>
      </c>
      <c r="KNX79" s="245" t="s">
        <v>68</v>
      </c>
      <c r="KNY79" s="1715" t="s">
        <v>0</v>
      </c>
      <c r="KNZ79" s="1716"/>
      <c r="KOA79" s="1716"/>
      <c r="KOB79" s="1716"/>
      <c r="KOC79" s="1716"/>
      <c r="KOD79" s="244"/>
      <c r="KOE79" s="244" t="s">
        <v>68</v>
      </c>
      <c r="KOF79" s="245" t="s">
        <v>68</v>
      </c>
      <c r="KOG79" s="1715" t="s">
        <v>0</v>
      </c>
      <c r="KOH79" s="1716"/>
      <c r="KOI79" s="1716"/>
      <c r="KOJ79" s="1716"/>
      <c r="KOK79" s="1716"/>
      <c r="KOL79" s="244"/>
      <c r="KOM79" s="244" t="s">
        <v>68</v>
      </c>
      <c r="KON79" s="245" t="s">
        <v>68</v>
      </c>
      <c r="KOO79" s="1715" t="s">
        <v>0</v>
      </c>
      <c r="KOP79" s="1716"/>
      <c r="KOQ79" s="1716"/>
      <c r="KOR79" s="1716"/>
      <c r="KOS79" s="1716"/>
      <c r="KOT79" s="244"/>
      <c r="KOU79" s="244" t="s">
        <v>68</v>
      </c>
      <c r="KOV79" s="245" t="s">
        <v>68</v>
      </c>
      <c r="KOW79" s="1715" t="s">
        <v>0</v>
      </c>
      <c r="KOX79" s="1716"/>
      <c r="KOY79" s="1716"/>
      <c r="KOZ79" s="1716"/>
      <c r="KPA79" s="1716"/>
      <c r="KPB79" s="244"/>
      <c r="KPC79" s="244" t="s">
        <v>68</v>
      </c>
      <c r="KPD79" s="245" t="s">
        <v>68</v>
      </c>
      <c r="KPE79" s="1715" t="s">
        <v>0</v>
      </c>
      <c r="KPF79" s="1716"/>
      <c r="KPG79" s="1716"/>
      <c r="KPH79" s="1716"/>
      <c r="KPI79" s="1716"/>
      <c r="KPJ79" s="244"/>
      <c r="KPK79" s="244" t="s">
        <v>68</v>
      </c>
      <c r="KPL79" s="245" t="s">
        <v>68</v>
      </c>
      <c r="KPM79" s="1715" t="s">
        <v>0</v>
      </c>
      <c r="KPN79" s="1716"/>
      <c r="KPO79" s="1716"/>
      <c r="KPP79" s="1716"/>
      <c r="KPQ79" s="1716"/>
      <c r="KPR79" s="244"/>
      <c r="KPS79" s="244" t="s">
        <v>68</v>
      </c>
      <c r="KPT79" s="245" t="s">
        <v>68</v>
      </c>
      <c r="KPU79" s="1715" t="s">
        <v>0</v>
      </c>
      <c r="KPV79" s="1716"/>
      <c r="KPW79" s="1716"/>
      <c r="KPX79" s="1716"/>
      <c r="KPY79" s="1716"/>
      <c r="KPZ79" s="244"/>
      <c r="KQA79" s="244" t="s">
        <v>68</v>
      </c>
      <c r="KQB79" s="245" t="s">
        <v>68</v>
      </c>
      <c r="KQC79" s="1715" t="s">
        <v>0</v>
      </c>
      <c r="KQD79" s="1716"/>
      <c r="KQE79" s="1716"/>
      <c r="KQF79" s="1716"/>
      <c r="KQG79" s="1716"/>
      <c r="KQH79" s="244"/>
      <c r="KQI79" s="244" t="s">
        <v>68</v>
      </c>
      <c r="KQJ79" s="245" t="s">
        <v>68</v>
      </c>
      <c r="KQK79" s="1715" t="s">
        <v>0</v>
      </c>
      <c r="KQL79" s="1716"/>
      <c r="KQM79" s="1716"/>
      <c r="KQN79" s="1716"/>
      <c r="KQO79" s="1716"/>
      <c r="KQP79" s="244"/>
      <c r="KQQ79" s="244" t="s">
        <v>68</v>
      </c>
      <c r="KQR79" s="245" t="s">
        <v>68</v>
      </c>
      <c r="KQS79" s="1715" t="s">
        <v>0</v>
      </c>
      <c r="KQT79" s="1716"/>
      <c r="KQU79" s="1716"/>
      <c r="KQV79" s="1716"/>
      <c r="KQW79" s="1716"/>
      <c r="KQX79" s="244"/>
      <c r="KQY79" s="244" t="s">
        <v>68</v>
      </c>
      <c r="KQZ79" s="245" t="s">
        <v>68</v>
      </c>
      <c r="KRA79" s="1715" t="s">
        <v>0</v>
      </c>
      <c r="KRB79" s="1716"/>
      <c r="KRC79" s="1716"/>
      <c r="KRD79" s="1716"/>
      <c r="KRE79" s="1716"/>
      <c r="KRF79" s="244"/>
      <c r="KRG79" s="244" t="s">
        <v>68</v>
      </c>
      <c r="KRH79" s="245" t="s">
        <v>68</v>
      </c>
      <c r="KRI79" s="1715" t="s">
        <v>0</v>
      </c>
      <c r="KRJ79" s="1716"/>
      <c r="KRK79" s="1716"/>
      <c r="KRL79" s="1716"/>
      <c r="KRM79" s="1716"/>
      <c r="KRN79" s="244"/>
      <c r="KRO79" s="244" t="s">
        <v>68</v>
      </c>
      <c r="KRP79" s="245" t="s">
        <v>68</v>
      </c>
      <c r="KRQ79" s="1715" t="s">
        <v>0</v>
      </c>
      <c r="KRR79" s="1716"/>
      <c r="KRS79" s="1716"/>
      <c r="KRT79" s="1716"/>
      <c r="KRU79" s="1716"/>
      <c r="KRV79" s="244"/>
      <c r="KRW79" s="244" t="s">
        <v>68</v>
      </c>
      <c r="KRX79" s="245" t="s">
        <v>68</v>
      </c>
      <c r="KRY79" s="1715" t="s">
        <v>0</v>
      </c>
      <c r="KRZ79" s="1716"/>
      <c r="KSA79" s="1716"/>
      <c r="KSB79" s="1716"/>
      <c r="KSC79" s="1716"/>
      <c r="KSD79" s="244"/>
      <c r="KSE79" s="244" t="s">
        <v>68</v>
      </c>
      <c r="KSF79" s="245" t="s">
        <v>68</v>
      </c>
      <c r="KSG79" s="1715" t="s">
        <v>0</v>
      </c>
      <c r="KSH79" s="1716"/>
      <c r="KSI79" s="1716"/>
      <c r="KSJ79" s="1716"/>
      <c r="KSK79" s="1716"/>
      <c r="KSL79" s="244"/>
      <c r="KSM79" s="244" t="s">
        <v>68</v>
      </c>
      <c r="KSN79" s="245" t="s">
        <v>68</v>
      </c>
      <c r="KSO79" s="1715" t="s">
        <v>0</v>
      </c>
      <c r="KSP79" s="1716"/>
      <c r="KSQ79" s="1716"/>
      <c r="KSR79" s="1716"/>
      <c r="KSS79" s="1716"/>
      <c r="KST79" s="244"/>
      <c r="KSU79" s="244" t="s">
        <v>68</v>
      </c>
      <c r="KSV79" s="245" t="s">
        <v>68</v>
      </c>
      <c r="KSW79" s="1715" t="s">
        <v>0</v>
      </c>
      <c r="KSX79" s="1716"/>
      <c r="KSY79" s="1716"/>
      <c r="KSZ79" s="1716"/>
      <c r="KTA79" s="1716"/>
      <c r="KTB79" s="244"/>
      <c r="KTC79" s="244" t="s">
        <v>68</v>
      </c>
      <c r="KTD79" s="245" t="s">
        <v>68</v>
      </c>
      <c r="KTE79" s="1715" t="s">
        <v>0</v>
      </c>
      <c r="KTF79" s="1716"/>
      <c r="KTG79" s="1716"/>
      <c r="KTH79" s="1716"/>
      <c r="KTI79" s="1716"/>
      <c r="KTJ79" s="244"/>
      <c r="KTK79" s="244" t="s">
        <v>68</v>
      </c>
      <c r="KTL79" s="245" t="s">
        <v>68</v>
      </c>
      <c r="KTM79" s="1715" t="s">
        <v>0</v>
      </c>
      <c r="KTN79" s="1716"/>
      <c r="KTO79" s="1716"/>
      <c r="KTP79" s="1716"/>
      <c r="KTQ79" s="1716"/>
      <c r="KTR79" s="244"/>
      <c r="KTS79" s="244" t="s">
        <v>68</v>
      </c>
      <c r="KTT79" s="245" t="s">
        <v>68</v>
      </c>
      <c r="KTU79" s="1715" t="s">
        <v>0</v>
      </c>
      <c r="KTV79" s="1716"/>
      <c r="KTW79" s="1716"/>
      <c r="KTX79" s="1716"/>
      <c r="KTY79" s="1716"/>
      <c r="KTZ79" s="244"/>
      <c r="KUA79" s="244" t="s">
        <v>68</v>
      </c>
      <c r="KUB79" s="245" t="s">
        <v>68</v>
      </c>
      <c r="KUC79" s="1715" t="s">
        <v>0</v>
      </c>
      <c r="KUD79" s="1716"/>
      <c r="KUE79" s="1716"/>
      <c r="KUF79" s="1716"/>
      <c r="KUG79" s="1716"/>
      <c r="KUH79" s="244"/>
      <c r="KUI79" s="244" t="s">
        <v>68</v>
      </c>
      <c r="KUJ79" s="245" t="s">
        <v>68</v>
      </c>
      <c r="KUK79" s="1715" t="s">
        <v>0</v>
      </c>
      <c r="KUL79" s="1716"/>
      <c r="KUM79" s="1716"/>
      <c r="KUN79" s="1716"/>
      <c r="KUO79" s="1716"/>
      <c r="KUP79" s="244"/>
      <c r="KUQ79" s="244" t="s">
        <v>68</v>
      </c>
      <c r="KUR79" s="245" t="s">
        <v>68</v>
      </c>
      <c r="KUS79" s="1715" t="s">
        <v>0</v>
      </c>
      <c r="KUT79" s="1716"/>
      <c r="KUU79" s="1716"/>
      <c r="KUV79" s="1716"/>
      <c r="KUW79" s="1716"/>
      <c r="KUX79" s="244"/>
      <c r="KUY79" s="244" t="s">
        <v>68</v>
      </c>
      <c r="KUZ79" s="245" t="s">
        <v>68</v>
      </c>
      <c r="KVA79" s="1715" t="s">
        <v>0</v>
      </c>
      <c r="KVB79" s="1716"/>
      <c r="KVC79" s="1716"/>
      <c r="KVD79" s="1716"/>
      <c r="KVE79" s="1716"/>
      <c r="KVF79" s="244"/>
      <c r="KVG79" s="244" t="s">
        <v>68</v>
      </c>
      <c r="KVH79" s="245" t="s">
        <v>68</v>
      </c>
      <c r="KVI79" s="1715" t="s">
        <v>0</v>
      </c>
      <c r="KVJ79" s="1716"/>
      <c r="KVK79" s="1716"/>
      <c r="KVL79" s="1716"/>
      <c r="KVM79" s="1716"/>
      <c r="KVN79" s="244"/>
      <c r="KVO79" s="244" t="s">
        <v>68</v>
      </c>
      <c r="KVP79" s="245" t="s">
        <v>68</v>
      </c>
      <c r="KVQ79" s="1715" t="s">
        <v>0</v>
      </c>
      <c r="KVR79" s="1716"/>
      <c r="KVS79" s="1716"/>
      <c r="KVT79" s="1716"/>
      <c r="KVU79" s="1716"/>
      <c r="KVV79" s="244"/>
      <c r="KVW79" s="244" t="s">
        <v>68</v>
      </c>
      <c r="KVX79" s="245" t="s">
        <v>68</v>
      </c>
      <c r="KVY79" s="1715" t="s">
        <v>0</v>
      </c>
      <c r="KVZ79" s="1716"/>
      <c r="KWA79" s="1716"/>
      <c r="KWB79" s="1716"/>
      <c r="KWC79" s="1716"/>
      <c r="KWD79" s="244"/>
      <c r="KWE79" s="244" t="s">
        <v>68</v>
      </c>
      <c r="KWF79" s="245" t="s">
        <v>68</v>
      </c>
      <c r="KWG79" s="1715" t="s">
        <v>0</v>
      </c>
      <c r="KWH79" s="1716"/>
      <c r="KWI79" s="1716"/>
      <c r="KWJ79" s="1716"/>
      <c r="KWK79" s="1716"/>
      <c r="KWL79" s="244"/>
      <c r="KWM79" s="244" t="s">
        <v>68</v>
      </c>
      <c r="KWN79" s="245" t="s">
        <v>68</v>
      </c>
      <c r="KWO79" s="1715" t="s">
        <v>0</v>
      </c>
      <c r="KWP79" s="1716"/>
      <c r="KWQ79" s="1716"/>
      <c r="KWR79" s="1716"/>
      <c r="KWS79" s="1716"/>
      <c r="KWT79" s="244"/>
      <c r="KWU79" s="244" t="s">
        <v>68</v>
      </c>
      <c r="KWV79" s="245" t="s">
        <v>68</v>
      </c>
      <c r="KWW79" s="1715" t="s">
        <v>0</v>
      </c>
      <c r="KWX79" s="1716"/>
      <c r="KWY79" s="1716"/>
      <c r="KWZ79" s="1716"/>
      <c r="KXA79" s="1716"/>
      <c r="KXB79" s="244"/>
      <c r="KXC79" s="244" t="s">
        <v>68</v>
      </c>
      <c r="KXD79" s="245" t="s">
        <v>68</v>
      </c>
      <c r="KXE79" s="1715" t="s">
        <v>0</v>
      </c>
      <c r="KXF79" s="1716"/>
      <c r="KXG79" s="1716"/>
      <c r="KXH79" s="1716"/>
      <c r="KXI79" s="1716"/>
      <c r="KXJ79" s="244"/>
      <c r="KXK79" s="244" t="s">
        <v>68</v>
      </c>
      <c r="KXL79" s="245" t="s">
        <v>68</v>
      </c>
      <c r="KXM79" s="1715" t="s">
        <v>0</v>
      </c>
      <c r="KXN79" s="1716"/>
      <c r="KXO79" s="1716"/>
      <c r="KXP79" s="1716"/>
      <c r="KXQ79" s="1716"/>
      <c r="KXR79" s="244"/>
      <c r="KXS79" s="244" t="s">
        <v>68</v>
      </c>
      <c r="KXT79" s="245" t="s">
        <v>68</v>
      </c>
      <c r="KXU79" s="1715" t="s">
        <v>0</v>
      </c>
      <c r="KXV79" s="1716"/>
      <c r="KXW79" s="1716"/>
      <c r="KXX79" s="1716"/>
      <c r="KXY79" s="1716"/>
      <c r="KXZ79" s="244"/>
      <c r="KYA79" s="244" t="s">
        <v>68</v>
      </c>
      <c r="KYB79" s="245" t="s">
        <v>68</v>
      </c>
      <c r="KYC79" s="1715" t="s">
        <v>0</v>
      </c>
      <c r="KYD79" s="1716"/>
      <c r="KYE79" s="1716"/>
      <c r="KYF79" s="1716"/>
      <c r="KYG79" s="1716"/>
      <c r="KYH79" s="244"/>
      <c r="KYI79" s="244" t="s">
        <v>68</v>
      </c>
      <c r="KYJ79" s="245" t="s">
        <v>68</v>
      </c>
      <c r="KYK79" s="1715" t="s">
        <v>0</v>
      </c>
      <c r="KYL79" s="1716"/>
      <c r="KYM79" s="1716"/>
      <c r="KYN79" s="1716"/>
      <c r="KYO79" s="1716"/>
      <c r="KYP79" s="244"/>
      <c r="KYQ79" s="244" t="s">
        <v>68</v>
      </c>
      <c r="KYR79" s="245" t="s">
        <v>68</v>
      </c>
      <c r="KYS79" s="1715" t="s">
        <v>0</v>
      </c>
      <c r="KYT79" s="1716"/>
      <c r="KYU79" s="1716"/>
      <c r="KYV79" s="1716"/>
      <c r="KYW79" s="1716"/>
      <c r="KYX79" s="244"/>
      <c r="KYY79" s="244" t="s">
        <v>68</v>
      </c>
      <c r="KYZ79" s="245" t="s">
        <v>68</v>
      </c>
      <c r="KZA79" s="1715" t="s">
        <v>0</v>
      </c>
      <c r="KZB79" s="1716"/>
      <c r="KZC79" s="1716"/>
      <c r="KZD79" s="1716"/>
      <c r="KZE79" s="1716"/>
      <c r="KZF79" s="244"/>
      <c r="KZG79" s="244" t="s">
        <v>68</v>
      </c>
      <c r="KZH79" s="245" t="s">
        <v>68</v>
      </c>
      <c r="KZI79" s="1715" t="s">
        <v>0</v>
      </c>
      <c r="KZJ79" s="1716"/>
      <c r="KZK79" s="1716"/>
      <c r="KZL79" s="1716"/>
      <c r="KZM79" s="1716"/>
      <c r="KZN79" s="244"/>
      <c r="KZO79" s="244" t="s">
        <v>68</v>
      </c>
      <c r="KZP79" s="245" t="s">
        <v>68</v>
      </c>
      <c r="KZQ79" s="1715" t="s">
        <v>0</v>
      </c>
      <c r="KZR79" s="1716"/>
      <c r="KZS79" s="1716"/>
      <c r="KZT79" s="1716"/>
      <c r="KZU79" s="1716"/>
      <c r="KZV79" s="244"/>
      <c r="KZW79" s="244" t="s">
        <v>68</v>
      </c>
      <c r="KZX79" s="245" t="s">
        <v>68</v>
      </c>
      <c r="KZY79" s="1715" t="s">
        <v>0</v>
      </c>
      <c r="KZZ79" s="1716"/>
      <c r="LAA79" s="1716"/>
      <c r="LAB79" s="1716"/>
      <c r="LAC79" s="1716"/>
      <c r="LAD79" s="244"/>
      <c r="LAE79" s="244" t="s">
        <v>68</v>
      </c>
      <c r="LAF79" s="245" t="s">
        <v>68</v>
      </c>
      <c r="LAG79" s="1715" t="s">
        <v>0</v>
      </c>
      <c r="LAH79" s="1716"/>
      <c r="LAI79" s="1716"/>
      <c r="LAJ79" s="1716"/>
      <c r="LAK79" s="1716"/>
      <c r="LAL79" s="244"/>
      <c r="LAM79" s="244" t="s">
        <v>68</v>
      </c>
      <c r="LAN79" s="245" t="s">
        <v>68</v>
      </c>
      <c r="LAO79" s="1715" t="s">
        <v>0</v>
      </c>
      <c r="LAP79" s="1716"/>
      <c r="LAQ79" s="1716"/>
      <c r="LAR79" s="1716"/>
      <c r="LAS79" s="1716"/>
      <c r="LAT79" s="244"/>
      <c r="LAU79" s="244" t="s">
        <v>68</v>
      </c>
      <c r="LAV79" s="245" t="s">
        <v>68</v>
      </c>
      <c r="LAW79" s="1715" t="s">
        <v>0</v>
      </c>
      <c r="LAX79" s="1716"/>
      <c r="LAY79" s="1716"/>
      <c r="LAZ79" s="1716"/>
      <c r="LBA79" s="1716"/>
      <c r="LBB79" s="244"/>
      <c r="LBC79" s="244" t="s">
        <v>68</v>
      </c>
      <c r="LBD79" s="245" t="s">
        <v>68</v>
      </c>
      <c r="LBE79" s="1715" t="s">
        <v>0</v>
      </c>
      <c r="LBF79" s="1716"/>
      <c r="LBG79" s="1716"/>
      <c r="LBH79" s="1716"/>
      <c r="LBI79" s="1716"/>
      <c r="LBJ79" s="244"/>
      <c r="LBK79" s="244" t="s">
        <v>68</v>
      </c>
      <c r="LBL79" s="245" t="s">
        <v>68</v>
      </c>
      <c r="LBM79" s="1715" t="s">
        <v>0</v>
      </c>
      <c r="LBN79" s="1716"/>
      <c r="LBO79" s="1716"/>
      <c r="LBP79" s="1716"/>
      <c r="LBQ79" s="1716"/>
      <c r="LBR79" s="244"/>
      <c r="LBS79" s="244" t="s">
        <v>68</v>
      </c>
      <c r="LBT79" s="245" t="s">
        <v>68</v>
      </c>
      <c r="LBU79" s="1715" t="s">
        <v>0</v>
      </c>
      <c r="LBV79" s="1716"/>
      <c r="LBW79" s="1716"/>
      <c r="LBX79" s="1716"/>
      <c r="LBY79" s="1716"/>
      <c r="LBZ79" s="244"/>
      <c r="LCA79" s="244" t="s">
        <v>68</v>
      </c>
      <c r="LCB79" s="245" t="s">
        <v>68</v>
      </c>
      <c r="LCC79" s="1715" t="s">
        <v>0</v>
      </c>
      <c r="LCD79" s="1716"/>
      <c r="LCE79" s="1716"/>
      <c r="LCF79" s="1716"/>
      <c r="LCG79" s="1716"/>
      <c r="LCH79" s="244"/>
      <c r="LCI79" s="244" t="s">
        <v>68</v>
      </c>
      <c r="LCJ79" s="245" t="s">
        <v>68</v>
      </c>
      <c r="LCK79" s="1715" t="s">
        <v>0</v>
      </c>
      <c r="LCL79" s="1716"/>
      <c r="LCM79" s="1716"/>
      <c r="LCN79" s="1716"/>
      <c r="LCO79" s="1716"/>
      <c r="LCP79" s="244"/>
      <c r="LCQ79" s="244" t="s">
        <v>68</v>
      </c>
      <c r="LCR79" s="245" t="s">
        <v>68</v>
      </c>
      <c r="LCS79" s="1715" t="s">
        <v>0</v>
      </c>
      <c r="LCT79" s="1716"/>
      <c r="LCU79" s="1716"/>
      <c r="LCV79" s="1716"/>
      <c r="LCW79" s="1716"/>
      <c r="LCX79" s="244"/>
      <c r="LCY79" s="244" t="s">
        <v>68</v>
      </c>
      <c r="LCZ79" s="245" t="s">
        <v>68</v>
      </c>
      <c r="LDA79" s="1715" t="s">
        <v>0</v>
      </c>
      <c r="LDB79" s="1716"/>
      <c r="LDC79" s="1716"/>
      <c r="LDD79" s="1716"/>
      <c r="LDE79" s="1716"/>
      <c r="LDF79" s="244"/>
      <c r="LDG79" s="244" t="s">
        <v>68</v>
      </c>
      <c r="LDH79" s="245" t="s">
        <v>68</v>
      </c>
      <c r="LDI79" s="1715" t="s">
        <v>0</v>
      </c>
      <c r="LDJ79" s="1716"/>
      <c r="LDK79" s="1716"/>
      <c r="LDL79" s="1716"/>
      <c r="LDM79" s="1716"/>
      <c r="LDN79" s="244"/>
      <c r="LDO79" s="244" t="s">
        <v>68</v>
      </c>
      <c r="LDP79" s="245" t="s">
        <v>68</v>
      </c>
      <c r="LDQ79" s="1715" t="s">
        <v>0</v>
      </c>
      <c r="LDR79" s="1716"/>
      <c r="LDS79" s="1716"/>
      <c r="LDT79" s="1716"/>
      <c r="LDU79" s="1716"/>
      <c r="LDV79" s="244"/>
      <c r="LDW79" s="244" t="s">
        <v>68</v>
      </c>
      <c r="LDX79" s="245" t="s">
        <v>68</v>
      </c>
      <c r="LDY79" s="1715" t="s">
        <v>0</v>
      </c>
      <c r="LDZ79" s="1716"/>
      <c r="LEA79" s="1716"/>
      <c r="LEB79" s="1716"/>
      <c r="LEC79" s="1716"/>
      <c r="LED79" s="244"/>
      <c r="LEE79" s="244" t="s">
        <v>68</v>
      </c>
      <c r="LEF79" s="245" t="s">
        <v>68</v>
      </c>
      <c r="LEG79" s="1715" t="s">
        <v>0</v>
      </c>
      <c r="LEH79" s="1716"/>
      <c r="LEI79" s="1716"/>
      <c r="LEJ79" s="1716"/>
      <c r="LEK79" s="1716"/>
      <c r="LEL79" s="244"/>
      <c r="LEM79" s="244" t="s">
        <v>68</v>
      </c>
      <c r="LEN79" s="245" t="s">
        <v>68</v>
      </c>
      <c r="LEO79" s="1715" t="s">
        <v>0</v>
      </c>
      <c r="LEP79" s="1716"/>
      <c r="LEQ79" s="1716"/>
      <c r="LER79" s="1716"/>
      <c r="LES79" s="1716"/>
      <c r="LET79" s="244"/>
      <c r="LEU79" s="244" t="s">
        <v>68</v>
      </c>
      <c r="LEV79" s="245" t="s">
        <v>68</v>
      </c>
      <c r="LEW79" s="1715" t="s">
        <v>0</v>
      </c>
      <c r="LEX79" s="1716"/>
      <c r="LEY79" s="1716"/>
      <c r="LEZ79" s="1716"/>
      <c r="LFA79" s="1716"/>
      <c r="LFB79" s="244"/>
      <c r="LFC79" s="244" t="s">
        <v>68</v>
      </c>
      <c r="LFD79" s="245" t="s">
        <v>68</v>
      </c>
      <c r="LFE79" s="1715" t="s">
        <v>0</v>
      </c>
      <c r="LFF79" s="1716"/>
      <c r="LFG79" s="1716"/>
      <c r="LFH79" s="1716"/>
      <c r="LFI79" s="1716"/>
      <c r="LFJ79" s="244"/>
      <c r="LFK79" s="244" t="s">
        <v>68</v>
      </c>
      <c r="LFL79" s="245" t="s">
        <v>68</v>
      </c>
      <c r="LFM79" s="1715" t="s">
        <v>0</v>
      </c>
      <c r="LFN79" s="1716"/>
      <c r="LFO79" s="1716"/>
      <c r="LFP79" s="1716"/>
      <c r="LFQ79" s="1716"/>
      <c r="LFR79" s="244"/>
      <c r="LFS79" s="244" t="s">
        <v>68</v>
      </c>
      <c r="LFT79" s="245" t="s">
        <v>68</v>
      </c>
      <c r="LFU79" s="1715" t="s">
        <v>0</v>
      </c>
      <c r="LFV79" s="1716"/>
      <c r="LFW79" s="1716"/>
      <c r="LFX79" s="1716"/>
      <c r="LFY79" s="1716"/>
      <c r="LFZ79" s="244"/>
      <c r="LGA79" s="244" t="s">
        <v>68</v>
      </c>
      <c r="LGB79" s="245" t="s">
        <v>68</v>
      </c>
      <c r="LGC79" s="1715" t="s">
        <v>0</v>
      </c>
      <c r="LGD79" s="1716"/>
      <c r="LGE79" s="1716"/>
      <c r="LGF79" s="1716"/>
      <c r="LGG79" s="1716"/>
      <c r="LGH79" s="244"/>
      <c r="LGI79" s="244" t="s">
        <v>68</v>
      </c>
      <c r="LGJ79" s="245" t="s">
        <v>68</v>
      </c>
      <c r="LGK79" s="1715" t="s">
        <v>0</v>
      </c>
      <c r="LGL79" s="1716"/>
      <c r="LGM79" s="1716"/>
      <c r="LGN79" s="1716"/>
      <c r="LGO79" s="1716"/>
      <c r="LGP79" s="244"/>
      <c r="LGQ79" s="244" t="s">
        <v>68</v>
      </c>
      <c r="LGR79" s="245" t="s">
        <v>68</v>
      </c>
      <c r="LGS79" s="1715" t="s">
        <v>0</v>
      </c>
      <c r="LGT79" s="1716"/>
      <c r="LGU79" s="1716"/>
      <c r="LGV79" s="1716"/>
      <c r="LGW79" s="1716"/>
      <c r="LGX79" s="244"/>
      <c r="LGY79" s="244" t="s">
        <v>68</v>
      </c>
      <c r="LGZ79" s="245" t="s">
        <v>68</v>
      </c>
      <c r="LHA79" s="1715" t="s">
        <v>0</v>
      </c>
      <c r="LHB79" s="1716"/>
      <c r="LHC79" s="1716"/>
      <c r="LHD79" s="1716"/>
      <c r="LHE79" s="1716"/>
      <c r="LHF79" s="244"/>
      <c r="LHG79" s="244" t="s">
        <v>68</v>
      </c>
      <c r="LHH79" s="245" t="s">
        <v>68</v>
      </c>
      <c r="LHI79" s="1715" t="s">
        <v>0</v>
      </c>
      <c r="LHJ79" s="1716"/>
      <c r="LHK79" s="1716"/>
      <c r="LHL79" s="1716"/>
      <c r="LHM79" s="1716"/>
      <c r="LHN79" s="244"/>
      <c r="LHO79" s="244" t="s">
        <v>68</v>
      </c>
      <c r="LHP79" s="245" t="s">
        <v>68</v>
      </c>
      <c r="LHQ79" s="1715" t="s">
        <v>0</v>
      </c>
      <c r="LHR79" s="1716"/>
      <c r="LHS79" s="1716"/>
      <c r="LHT79" s="1716"/>
      <c r="LHU79" s="1716"/>
      <c r="LHV79" s="244"/>
      <c r="LHW79" s="244" t="s">
        <v>68</v>
      </c>
      <c r="LHX79" s="245" t="s">
        <v>68</v>
      </c>
      <c r="LHY79" s="1715" t="s">
        <v>0</v>
      </c>
      <c r="LHZ79" s="1716"/>
      <c r="LIA79" s="1716"/>
      <c r="LIB79" s="1716"/>
      <c r="LIC79" s="1716"/>
      <c r="LID79" s="244"/>
      <c r="LIE79" s="244" t="s">
        <v>68</v>
      </c>
      <c r="LIF79" s="245" t="s">
        <v>68</v>
      </c>
      <c r="LIG79" s="1715" t="s">
        <v>0</v>
      </c>
      <c r="LIH79" s="1716"/>
      <c r="LII79" s="1716"/>
      <c r="LIJ79" s="1716"/>
      <c r="LIK79" s="1716"/>
      <c r="LIL79" s="244"/>
      <c r="LIM79" s="244" t="s">
        <v>68</v>
      </c>
      <c r="LIN79" s="245" t="s">
        <v>68</v>
      </c>
      <c r="LIO79" s="1715" t="s">
        <v>0</v>
      </c>
      <c r="LIP79" s="1716"/>
      <c r="LIQ79" s="1716"/>
      <c r="LIR79" s="1716"/>
      <c r="LIS79" s="1716"/>
      <c r="LIT79" s="244"/>
      <c r="LIU79" s="244" t="s">
        <v>68</v>
      </c>
      <c r="LIV79" s="245" t="s">
        <v>68</v>
      </c>
      <c r="LIW79" s="1715" t="s">
        <v>0</v>
      </c>
      <c r="LIX79" s="1716"/>
      <c r="LIY79" s="1716"/>
      <c r="LIZ79" s="1716"/>
      <c r="LJA79" s="1716"/>
      <c r="LJB79" s="244"/>
      <c r="LJC79" s="244" t="s">
        <v>68</v>
      </c>
      <c r="LJD79" s="245" t="s">
        <v>68</v>
      </c>
      <c r="LJE79" s="1715" t="s">
        <v>0</v>
      </c>
      <c r="LJF79" s="1716"/>
      <c r="LJG79" s="1716"/>
      <c r="LJH79" s="1716"/>
      <c r="LJI79" s="1716"/>
      <c r="LJJ79" s="244"/>
      <c r="LJK79" s="244" t="s">
        <v>68</v>
      </c>
      <c r="LJL79" s="245" t="s">
        <v>68</v>
      </c>
      <c r="LJM79" s="1715" t="s">
        <v>0</v>
      </c>
      <c r="LJN79" s="1716"/>
      <c r="LJO79" s="1716"/>
      <c r="LJP79" s="1716"/>
      <c r="LJQ79" s="1716"/>
      <c r="LJR79" s="244"/>
      <c r="LJS79" s="244" t="s">
        <v>68</v>
      </c>
      <c r="LJT79" s="245" t="s">
        <v>68</v>
      </c>
      <c r="LJU79" s="1715" t="s">
        <v>0</v>
      </c>
      <c r="LJV79" s="1716"/>
      <c r="LJW79" s="1716"/>
      <c r="LJX79" s="1716"/>
      <c r="LJY79" s="1716"/>
      <c r="LJZ79" s="244"/>
      <c r="LKA79" s="244" t="s">
        <v>68</v>
      </c>
      <c r="LKB79" s="245" t="s">
        <v>68</v>
      </c>
      <c r="LKC79" s="1715" t="s">
        <v>0</v>
      </c>
      <c r="LKD79" s="1716"/>
      <c r="LKE79" s="1716"/>
      <c r="LKF79" s="1716"/>
      <c r="LKG79" s="1716"/>
      <c r="LKH79" s="244"/>
      <c r="LKI79" s="244" t="s">
        <v>68</v>
      </c>
      <c r="LKJ79" s="245" t="s">
        <v>68</v>
      </c>
      <c r="LKK79" s="1715" t="s">
        <v>0</v>
      </c>
      <c r="LKL79" s="1716"/>
      <c r="LKM79" s="1716"/>
      <c r="LKN79" s="1716"/>
      <c r="LKO79" s="1716"/>
      <c r="LKP79" s="244"/>
      <c r="LKQ79" s="244" t="s">
        <v>68</v>
      </c>
      <c r="LKR79" s="245" t="s">
        <v>68</v>
      </c>
      <c r="LKS79" s="1715" t="s">
        <v>0</v>
      </c>
      <c r="LKT79" s="1716"/>
      <c r="LKU79" s="1716"/>
      <c r="LKV79" s="1716"/>
      <c r="LKW79" s="1716"/>
      <c r="LKX79" s="244"/>
      <c r="LKY79" s="244" t="s">
        <v>68</v>
      </c>
      <c r="LKZ79" s="245" t="s">
        <v>68</v>
      </c>
      <c r="LLA79" s="1715" t="s">
        <v>0</v>
      </c>
      <c r="LLB79" s="1716"/>
      <c r="LLC79" s="1716"/>
      <c r="LLD79" s="1716"/>
      <c r="LLE79" s="1716"/>
      <c r="LLF79" s="244"/>
      <c r="LLG79" s="244" t="s">
        <v>68</v>
      </c>
      <c r="LLH79" s="245" t="s">
        <v>68</v>
      </c>
      <c r="LLI79" s="1715" t="s">
        <v>0</v>
      </c>
      <c r="LLJ79" s="1716"/>
      <c r="LLK79" s="1716"/>
      <c r="LLL79" s="1716"/>
      <c r="LLM79" s="1716"/>
      <c r="LLN79" s="244"/>
      <c r="LLO79" s="244" t="s">
        <v>68</v>
      </c>
      <c r="LLP79" s="245" t="s">
        <v>68</v>
      </c>
      <c r="LLQ79" s="1715" t="s">
        <v>0</v>
      </c>
      <c r="LLR79" s="1716"/>
      <c r="LLS79" s="1716"/>
      <c r="LLT79" s="1716"/>
      <c r="LLU79" s="1716"/>
      <c r="LLV79" s="244"/>
      <c r="LLW79" s="244" t="s">
        <v>68</v>
      </c>
      <c r="LLX79" s="245" t="s">
        <v>68</v>
      </c>
      <c r="LLY79" s="1715" t="s">
        <v>0</v>
      </c>
      <c r="LLZ79" s="1716"/>
      <c r="LMA79" s="1716"/>
      <c r="LMB79" s="1716"/>
      <c r="LMC79" s="1716"/>
      <c r="LMD79" s="244"/>
      <c r="LME79" s="244" t="s">
        <v>68</v>
      </c>
      <c r="LMF79" s="245" t="s">
        <v>68</v>
      </c>
      <c r="LMG79" s="1715" t="s">
        <v>0</v>
      </c>
      <c r="LMH79" s="1716"/>
      <c r="LMI79" s="1716"/>
      <c r="LMJ79" s="1716"/>
      <c r="LMK79" s="1716"/>
      <c r="LML79" s="244"/>
      <c r="LMM79" s="244" t="s">
        <v>68</v>
      </c>
      <c r="LMN79" s="245" t="s">
        <v>68</v>
      </c>
      <c r="LMO79" s="1715" t="s">
        <v>0</v>
      </c>
      <c r="LMP79" s="1716"/>
      <c r="LMQ79" s="1716"/>
      <c r="LMR79" s="1716"/>
      <c r="LMS79" s="1716"/>
      <c r="LMT79" s="244"/>
      <c r="LMU79" s="244" t="s">
        <v>68</v>
      </c>
      <c r="LMV79" s="245" t="s">
        <v>68</v>
      </c>
      <c r="LMW79" s="1715" t="s">
        <v>0</v>
      </c>
      <c r="LMX79" s="1716"/>
      <c r="LMY79" s="1716"/>
      <c r="LMZ79" s="1716"/>
      <c r="LNA79" s="1716"/>
      <c r="LNB79" s="244"/>
      <c r="LNC79" s="244" t="s">
        <v>68</v>
      </c>
      <c r="LND79" s="245" t="s">
        <v>68</v>
      </c>
      <c r="LNE79" s="1715" t="s">
        <v>0</v>
      </c>
      <c r="LNF79" s="1716"/>
      <c r="LNG79" s="1716"/>
      <c r="LNH79" s="1716"/>
      <c r="LNI79" s="1716"/>
      <c r="LNJ79" s="244"/>
      <c r="LNK79" s="244" t="s">
        <v>68</v>
      </c>
      <c r="LNL79" s="245" t="s">
        <v>68</v>
      </c>
      <c r="LNM79" s="1715" t="s">
        <v>0</v>
      </c>
      <c r="LNN79" s="1716"/>
      <c r="LNO79" s="1716"/>
      <c r="LNP79" s="1716"/>
      <c r="LNQ79" s="1716"/>
      <c r="LNR79" s="244"/>
      <c r="LNS79" s="244" t="s">
        <v>68</v>
      </c>
      <c r="LNT79" s="245" t="s">
        <v>68</v>
      </c>
      <c r="LNU79" s="1715" t="s">
        <v>0</v>
      </c>
      <c r="LNV79" s="1716"/>
      <c r="LNW79" s="1716"/>
      <c r="LNX79" s="1716"/>
      <c r="LNY79" s="1716"/>
      <c r="LNZ79" s="244"/>
      <c r="LOA79" s="244" t="s">
        <v>68</v>
      </c>
      <c r="LOB79" s="245" t="s">
        <v>68</v>
      </c>
      <c r="LOC79" s="1715" t="s">
        <v>0</v>
      </c>
      <c r="LOD79" s="1716"/>
      <c r="LOE79" s="1716"/>
      <c r="LOF79" s="1716"/>
      <c r="LOG79" s="1716"/>
      <c r="LOH79" s="244"/>
      <c r="LOI79" s="244" t="s">
        <v>68</v>
      </c>
      <c r="LOJ79" s="245" t="s">
        <v>68</v>
      </c>
      <c r="LOK79" s="1715" t="s">
        <v>0</v>
      </c>
      <c r="LOL79" s="1716"/>
      <c r="LOM79" s="1716"/>
      <c r="LON79" s="1716"/>
      <c r="LOO79" s="1716"/>
      <c r="LOP79" s="244"/>
      <c r="LOQ79" s="244" t="s">
        <v>68</v>
      </c>
      <c r="LOR79" s="245" t="s">
        <v>68</v>
      </c>
      <c r="LOS79" s="1715" t="s">
        <v>0</v>
      </c>
      <c r="LOT79" s="1716"/>
      <c r="LOU79" s="1716"/>
      <c r="LOV79" s="1716"/>
      <c r="LOW79" s="1716"/>
      <c r="LOX79" s="244"/>
      <c r="LOY79" s="244" t="s">
        <v>68</v>
      </c>
      <c r="LOZ79" s="245" t="s">
        <v>68</v>
      </c>
      <c r="LPA79" s="1715" t="s">
        <v>0</v>
      </c>
      <c r="LPB79" s="1716"/>
      <c r="LPC79" s="1716"/>
      <c r="LPD79" s="1716"/>
      <c r="LPE79" s="1716"/>
      <c r="LPF79" s="244"/>
      <c r="LPG79" s="244" t="s">
        <v>68</v>
      </c>
      <c r="LPH79" s="245" t="s">
        <v>68</v>
      </c>
      <c r="LPI79" s="1715" t="s">
        <v>0</v>
      </c>
      <c r="LPJ79" s="1716"/>
      <c r="LPK79" s="1716"/>
      <c r="LPL79" s="1716"/>
      <c r="LPM79" s="1716"/>
      <c r="LPN79" s="244"/>
      <c r="LPO79" s="244" t="s">
        <v>68</v>
      </c>
      <c r="LPP79" s="245" t="s">
        <v>68</v>
      </c>
      <c r="LPQ79" s="1715" t="s">
        <v>0</v>
      </c>
      <c r="LPR79" s="1716"/>
      <c r="LPS79" s="1716"/>
      <c r="LPT79" s="1716"/>
      <c r="LPU79" s="1716"/>
      <c r="LPV79" s="244"/>
      <c r="LPW79" s="244" t="s">
        <v>68</v>
      </c>
      <c r="LPX79" s="245" t="s">
        <v>68</v>
      </c>
      <c r="LPY79" s="1715" t="s">
        <v>0</v>
      </c>
      <c r="LPZ79" s="1716"/>
      <c r="LQA79" s="1716"/>
      <c r="LQB79" s="1716"/>
      <c r="LQC79" s="1716"/>
      <c r="LQD79" s="244"/>
      <c r="LQE79" s="244" t="s">
        <v>68</v>
      </c>
      <c r="LQF79" s="245" t="s">
        <v>68</v>
      </c>
      <c r="LQG79" s="1715" t="s">
        <v>0</v>
      </c>
      <c r="LQH79" s="1716"/>
      <c r="LQI79" s="1716"/>
      <c r="LQJ79" s="1716"/>
      <c r="LQK79" s="1716"/>
      <c r="LQL79" s="244"/>
      <c r="LQM79" s="244" t="s">
        <v>68</v>
      </c>
      <c r="LQN79" s="245" t="s">
        <v>68</v>
      </c>
      <c r="LQO79" s="1715" t="s">
        <v>0</v>
      </c>
      <c r="LQP79" s="1716"/>
      <c r="LQQ79" s="1716"/>
      <c r="LQR79" s="1716"/>
      <c r="LQS79" s="1716"/>
      <c r="LQT79" s="244"/>
      <c r="LQU79" s="244" t="s">
        <v>68</v>
      </c>
      <c r="LQV79" s="245" t="s">
        <v>68</v>
      </c>
      <c r="LQW79" s="1715" t="s">
        <v>0</v>
      </c>
      <c r="LQX79" s="1716"/>
      <c r="LQY79" s="1716"/>
      <c r="LQZ79" s="1716"/>
      <c r="LRA79" s="1716"/>
      <c r="LRB79" s="244"/>
      <c r="LRC79" s="244" t="s">
        <v>68</v>
      </c>
      <c r="LRD79" s="245" t="s">
        <v>68</v>
      </c>
      <c r="LRE79" s="1715" t="s">
        <v>0</v>
      </c>
      <c r="LRF79" s="1716"/>
      <c r="LRG79" s="1716"/>
      <c r="LRH79" s="1716"/>
      <c r="LRI79" s="1716"/>
      <c r="LRJ79" s="244"/>
      <c r="LRK79" s="244" t="s">
        <v>68</v>
      </c>
      <c r="LRL79" s="245" t="s">
        <v>68</v>
      </c>
      <c r="LRM79" s="1715" t="s">
        <v>0</v>
      </c>
      <c r="LRN79" s="1716"/>
      <c r="LRO79" s="1716"/>
      <c r="LRP79" s="1716"/>
      <c r="LRQ79" s="1716"/>
      <c r="LRR79" s="244"/>
      <c r="LRS79" s="244" t="s">
        <v>68</v>
      </c>
      <c r="LRT79" s="245" t="s">
        <v>68</v>
      </c>
      <c r="LRU79" s="1715" t="s">
        <v>0</v>
      </c>
      <c r="LRV79" s="1716"/>
      <c r="LRW79" s="1716"/>
      <c r="LRX79" s="1716"/>
      <c r="LRY79" s="1716"/>
      <c r="LRZ79" s="244"/>
      <c r="LSA79" s="244" t="s">
        <v>68</v>
      </c>
      <c r="LSB79" s="245" t="s">
        <v>68</v>
      </c>
      <c r="LSC79" s="1715" t="s">
        <v>0</v>
      </c>
      <c r="LSD79" s="1716"/>
      <c r="LSE79" s="1716"/>
      <c r="LSF79" s="1716"/>
      <c r="LSG79" s="1716"/>
      <c r="LSH79" s="244"/>
      <c r="LSI79" s="244" t="s">
        <v>68</v>
      </c>
      <c r="LSJ79" s="245" t="s">
        <v>68</v>
      </c>
      <c r="LSK79" s="1715" t="s">
        <v>0</v>
      </c>
      <c r="LSL79" s="1716"/>
      <c r="LSM79" s="1716"/>
      <c r="LSN79" s="1716"/>
      <c r="LSO79" s="1716"/>
      <c r="LSP79" s="244"/>
      <c r="LSQ79" s="244" t="s">
        <v>68</v>
      </c>
      <c r="LSR79" s="245" t="s">
        <v>68</v>
      </c>
      <c r="LSS79" s="1715" t="s">
        <v>0</v>
      </c>
      <c r="LST79" s="1716"/>
      <c r="LSU79" s="1716"/>
      <c r="LSV79" s="1716"/>
      <c r="LSW79" s="1716"/>
      <c r="LSX79" s="244"/>
      <c r="LSY79" s="244" t="s">
        <v>68</v>
      </c>
      <c r="LSZ79" s="245" t="s">
        <v>68</v>
      </c>
      <c r="LTA79" s="1715" t="s">
        <v>0</v>
      </c>
      <c r="LTB79" s="1716"/>
      <c r="LTC79" s="1716"/>
      <c r="LTD79" s="1716"/>
      <c r="LTE79" s="1716"/>
      <c r="LTF79" s="244"/>
      <c r="LTG79" s="244" t="s">
        <v>68</v>
      </c>
      <c r="LTH79" s="245" t="s">
        <v>68</v>
      </c>
      <c r="LTI79" s="1715" t="s">
        <v>0</v>
      </c>
      <c r="LTJ79" s="1716"/>
      <c r="LTK79" s="1716"/>
      <c r="LTL79" s="1716"/>
      <c r="LTM79" s="1716"/>
      <c r="LTN79" s="244"/>
      <c r="LTO79" s="244" t="s">
        <v>68</v>
      </c>
      <c r="LTP79" s="245" t="s">
        <v>68</v>
      </c>
      <c r="LTQ79" s="1715" t="s">
        <v>0</v>
      </c>
      <c r="LTR79" s="1716"/>
      <c r="LTS79" s="1716"/>
      <c r="LTT79" s="1716"/>
      <c r="LTU79" s="1716"/>
      <c r="LTV79" s="244"/>
      <c r="LTW79" s="244" t="s">
        <v>68</v>
      </c>
      <c r="LTX79" s="245" t="s">
        <v>68</v>
      </c>
      <c r="LTY79" s="1715" t="s">
        <v>0</v>
      </c>
      <c r="LTZ79" s="1716"/>
      <c r="LUA79" s="1716"/>
      <c r="LUB79" s="1716"/>
      <c r="LUC79" s="1716"/>
      <c r="LUD79" s="244"/>
      <c r="LUE79" s="244" t="s">
        <v>68</v>
      </c>
      <c r="LUF79" s="245" t="s">
        <v>68</v>
      </c>
      <c r="LUG79" s="1715" t="s">
        <v>0</v>
      </c>
      <c r="LUH79" s="1716"/>
      <c r="LUI79" s="1716"/>
      <c r="LUJ79" s="1716"/>
      <c r="LUK79" s="1716"/>
      <c r="LUL79" s="244"/>
      <c r="LUM79" s="244" t="s">
        <v>68</v>
      </c>
      <c r="LUN79" s="245" t="s">
        <v>68</v>
      </c>
      <c r="LUO79" s="1715" t="s">
        <v>0</v>
      </c>
      <c r="LUP79" s="1716"/>
      <c r="LUQ79" s="1716"/>
      <c r="LUR79" s="1716"/>
      <c r="LUS79" s="1716"/>
      <c r="LUT79" s="244"/>
      <c r="LUU79" s="244" t="s">
        <v>68</v>
      </c>
      <c r="LUV79" s="245" t="s">
        <v>68</v>
      </c>
      <c r="LUW79" s="1715" t="s">
        <v>0</v>
      </c>
      <c r="LUX79" s="1716"/>
      <c r="LUY79" s="1716"/>
      <c r="LUZ79" s="1716"/>
      <c r="LVA79" s="1716"/>
      <c r="LVB79" s="244"/>
      <c r="LVC79" s="244" t="s">
        <v>68</v>
      </c>
      <c r="LVD79" s="245" t="s">
        <v>68</v>
      </c>
      <c r="LVE79" s="1715" t="s">
        <v>0</v>
      </c>
      <c r="LVF79" s="1716"/>
      <c r="LVG79" s="1716"/>
      <c r="LVH79" s="1716"/>
      <c r="LVI79" s="1716"/>
      <c r="LVJ79" s="244"/>
      <c r="LVK79" s="244" t="s">
        <v>68</v>
      </c>
      <c r="LVL79" s="245" t="s">
        <v>68</v>
      </c>
      <c r="LVM79" s="1715" t="s">
        <v>0</v>
      </c>
      <c r="LVN79" s="1716"/>
      <c r="LVO79" s="1716"/>
      <c r="LVP79" s="1716"/>
      <c r="LVQ79" s="1716"/>
      <c r="LVR79" s="244"/>
      <c r="LVS79" s="244" t="s">
        <v>68</v>
      </c>
      <c r="LVT79" s="245" t="s">
        <v>68</v>
      </c>
      <c r="LVU79" s="1715" t="s">
        <v>0</v>
      </c>
      <c r="LVV79" s="1716"/>
      <c r="LVW79" s="1716"/>
      <c r="LVX79" s="1716"/>
      <c r="LVY79" s="1716"/>
      <c r="LVZ79" s="244"/>
      <c r="LWA79" s="244" t="s">
        <v>68</v>
      </c>
      <c r="LWB79" s="245" t="s">
        <v>68</v>
      </c>
      <c r="LWC79" s="1715" t="s">
        <v>0</v>
      </c>
      <c r="LWD79" s="1716"/>
      <c r="LWE79" s="1716"/>
      <c r="LWF79" s="1716"/>
      <c r="LWG79" s="1716"/>
      <c r="LWH79" s="244"/>
      <c r="LWI79" s="244" t="s">
        <v>68</v>
      </c>
      <c r="LWJ79" s="245" t="s">
        <v>68</v>
      </c>
      <c r="LWK79" s="1715" t="s">
        <v>0</v>
      </c>
      <c r="LWL79" s="1716"/>
      <c r="LWM79" s="1716"/>
      <c r="LWN79" s="1716"/>
      <c r="LWO79" s="1716"/>
      <c r="LWP79" s="244"/>
      <c r="LWQ79" s="244" t="s">
        <v>68</v>
      </c>
      <c r="LWR79" s="245" t="s">
        <v>68</v>
      </c>
      <c r="LWS79" s="1715" t="s">
        <v>0</v>
      </c>
      <c r="LWT79" s="1716"/>
      <c r="LWU79" s="1716"/>
      <c r="LWV79" s="1716"/>
      <c r="LWW79" s="1716"/>
      <c r="LWX79" s="244"/>
      <c r="LWY79" s="244" t="s">
        <v>68</v>
      </c>
      <c r="LWZ79" s="245" t="s">
        <v>68</v>
      </c>
      <c r="LXA79" s="1715" t="s">
        <v>0</v>
      </c>
      <c r="LXB79" s="1716"/>
      <c r="LXC79" s="1716"/>
      <c r="LXD79" s="1716"/>
      <c r="LXE79" s="1716"/>
      <c r="LXF79" s="244"/>
      <c r="LXG79" s="244" t="s">
        <v>68</v>
      </c>
      <c r="LXH79" s="245" t="s">
        <v>68</v>
      </c>
      <c r="LXI79" s="1715" t="s">
        <v>0</v>
      </c>
      <c r="LXJ79" s="1716"/>
      <c r="LXK79" s="1716"/>
      <c r="LXL79" s="1716"/>
      <c r="LXM79" s="1716"/>
      <c r="LXN79" s="244"/>
      <c r="LXO79" s="244" t="s">
        <v>68</v>
      </c>
      <c r="LXP79" s="245" t="s">
        <v>68</v>
      </c>
      <c r="LXQ79" s="1715" t="s">
        <v>0</v>
      </c>
      <c r="LXR79" s="1716"/>
      <c r="LXS79" s="1716"/>
      <c r="LXT79" s="1716"/>
      <c r="LXU79" s="1716"/>
      <c r="LXV79" s="244"/>
      <c r="LXW79" s="244" t="s">
        <v>68</v>
      </c>
      <c r="LXX79" s="245" t="s">
        <v>68</v>
      </c>
      <c r="LXY79" s="1715" t="s">
        <v>0</v>
      </c>
      <c r="LXZ79" s="1716"/>
      <c r="LYA79" s="1716"/>
      <c r="LYB79" s="1716"/>
      <c r="LYC79" s="1716"/>
      <c r="LYD79" s="244"/>
      <c r="LYE79" s="244" t="s">
        <v>68</v>
      </c>
      <c r="LYF79" s="245" t="s">
        <v>68</v>
      </c>
      <c r="LYG79" s="1715" t="s">
        <v>0</v>
      </c>
      <c r="LYH79" s="1716"/>
      <c r="LYI79" s="1716"/>
      <c r="LYJ79" s="1716"/>
      <c r="LYK79" s="1716"/>
      <c r="LYL79" s="244"/>
      <c r="LYM79" s="244" t="s">
        <v>68</v>
      </c>
      <c r="LYN79" s="245" t="s">
        <v>68</v>
      </c>
      <c r="LYO79" s="1715" t="s">
        <v>0</v>
      </c>
      <c r="LYP79" s="1716"/>
      <c r="LYQ79" s="1716"/>
      <c r="LYR79" s="1716"/>
      <c r="LYS79" s="1716"/>
      <c r="LYT79" s="244"/>
      <c r="LYU79" s="244" t="s">
        <v>68</v>
      </c>
      <c r="LYV79" s="245" t="s">
        <v>68</v>
      </c>
      <c r="LYW79" s="1715" t="s">
        <v>0</v>
      </c>
      <c r="LYX79" s="1716"/>
      <c r="LYY79" s="1716"/>
      <c r="LYZ79" s="1716"/>
      <c r="LZA79" s="1716"/>
      <c r="LZB79" s="244"/>
      <c r="LZC79" s="244" t="s">
        <v>68</v>
      </c>
      <c r="LZD79" s="245" t="s">
        <v>68</v>
      </c>
      <c r="LZE79" s="1715" t="s">
        <v>0</v>
      </c>
      <c r="LZF79" s="1716"/>
      <c r="LZG79" s="1716"/>
      <c r="LZH79" s="1716"/>
      <c r="LZI79" s="1716"/>
      <c r="LZJ79" s="244"/>
      <c r="LZK79" s="244" t="s">
        <v>68</v>
      </c>
      <c r="LZL79" s="245" t="s">
        <v>68</v>
      </c>
      <c r="LZM79" s="1715" t="s">
        <v>0</v>
      </c>
      <c r="LZN79" s="1716"/>
      <c r="LZO79" s="1716"/>
      <c r="LZP79" s="1716"/>
      <c r="LZQ79" s="1716"/>
      <c r="LZR79" s="244"/>
      <c r="LZS79" s="244" t="s">
        <v>68</v>
      </c>
      <c r="LZT79" s="245" t="s">
        <v>68</v>
      </c>
      <c r="LZU79" s="1715" t="s">
        <v>0</v>
      </c>
      <c r="LZV79" s="1716"/>
      <c r="LZW79" s="1716"/>
      <c r="LZX79" s="1716"/>
      <c r="LZY79" s="1716"/>
      <c r="LZZ79" s="244"/>
      <c r="MAA79" s="244" t="s">
        <v>68</v>
      </c>
      <c r="MAB79" s="245" t="s">
        <v>68</v>
      </c>
      <c r="MAC79" s="1715" t="s">
        <v>0</v>
      </c>
      <c r="MAD79" s="1716"/>
      <c r="MAE79" s="1716"/>
      <c r="MAF79" s="1716"/>
      <c r="MAG79" s="1716"/>
      <c r="MAH79" s="244"/>
      <c r="MAI79" s="244" t="s">
        <v>68</v>
      </c>
      <c r="MAJ79" s="245" t="s">
        <v>68</v>
      </c>
      <c r="MAK79" s="1715" t="s">
        <v>0</v>
      </c>
      <c r="MAL79" s="1716"/>
      <c r="MAM79" s="1716"/>
      <c r="MAN79" s="1716"/>
      <c r="MAO79" s="1716"/>
      <c r="MAP79" s="244"/>
      <c r="MAQ79" s="244" t="s">
        <v>68</v>
      </c>
      <c r="MAR79" s="245" t="s">
        <v>68</v>
      </c>
      <c r="MAS79" s="1715" t="s">
        <v>0</v>
      </c>
      <c r="MAT79" s="1716"/>
      <c r="MAU79" s="1716"/>
      <c r="MAV79" s="1716"/>
      <c r="MAW79" s="1716"/>
      <c r="MAX79" s="244"/>
      <c r="MAY79" s="244" t="s">
        <v>68</v>
      </c>
      <c r="MAZ79" s="245" t="s">
        <v>68</v>
      </c>
      <c r="MBA79" s="1715" t="s">
        <v>0</v>
      </c>
      <c r="MBB79" s="1716"/>
      <c r="MBC79" s="1716"/>
      <c r="MBD79" s="1716"/>
      <c r="MBE79" s="1716"/>
      <c r="MBF79" s="244"/>
      <c r="MBG79" s="244" t="s">
        <v>68</v>
      </c>
      <c r="MBH79" s="245" t="s">
        <v>68</v>
      </c>
      <c r="MBI79" s="1715" t="s">
        <v>0</v>
      </c>
      <c r="MBJ79" s="1716"/>
      <c r="MBK79" s="1716"/>
      <c r="MBL79" s="1716"/>
      <c r="MBM79" s="1716"/>
      <c r="MBN79" s="244"/>
      <c r="MBO79" s="244" t="s">
        <v>68</v>
      </c>
      <c r="MBP79" s="245" t="s">
        <v>68</v>
      </c>
      <c r="MBQ79" s="1715" t="s">
        <v>0</v>
      </c>
      <c r="MBR79" s="1716"/>
      <c r="MBS79" s="1716"/>
      <c r="MBT79" s="1716"/>
      <c r="MBU79" s="1716"/>
      <c r="MBV79" s="244"/>
      <c r="MBW79" s="244" t="s">
        <v>68</v>
      </c>
      <c r="MBX79" s="245" t="s">
        <v>68</v>
      </c>
      <c r="MBY79" s="1715" t="s">
        <v>0</v>
      </c>
      <c r="MBZ79" s="1716"/>
      <c r="MCA79" s="1716"/>
      <c r="MCB79" s="1716"/>
      <c r="MCC79" s="1716"/>
      <c r="MCD79" s="244"/>
      <c r="MCE79" s="244" t="s">
        <v>68</v>
      </c>
      <c r="MCF79" s="245" t="s">
        <v>68</v>
      </c>
      <c r="MCG79" s="1715" t="s">
        <v>0</v>
      </c>
      <c r="MCH79" s="1716"/>
      <c r="MCI79" s="1716"/>
      <c r="MCJ79" s="1716"/>
      <c r="MCK79" s="1716"/>
      <c r="MCL79" s="244"/>
      <c r="MCM79" s="244" t="s">
        <v>68</v>
      </c>
      <c r="MCN79" s="245" t="s">
        <v>68</v>
      </c>
      <c r="MCO79" s="1715" t="s">
        <v>0</v>
      </c>
      <c r="MCP79" s="1716"/>
      <c r="MCQ79" s="1716"/>
      <c r="MCR79" s="1716"/>
      <c r="MCS79" s="1716"/>
      <c r="MCT79" s="244"/>
      <c r="MCU79" s="244" t="s">
        <v>68</v>
      </c>
      <c r="MCV79" s="245" t="s">
        <v>68</v>
      </c>
      <c r="MCW79" s="1715" t="s">
        <v>0</v>
      </c>
      <c r="MCX79" s="1716"/>
      <c r="MCY79" s="1716"/>
      <c r="MCZ79" s="1716"/>
      <c r="MDA79" s="1716"/>
      <c r="MDB79" s="244"/>
      <c r="MDC79" s="244" t="s">
        <v>68</v>
      </c>
      <c r="MDD79" s="245" t="s">
        <v>68</v>
      </c>
      <c r="MDE79" s="1715" t="s">
        <v>0</v>
      </c>
      <c r="MDF79" s="1716"/>
      <c r="MDG79" s="1716"/>
      <c r="MDH79" s="1716"/>
      <c r="MDI79" s="1716"/>
      <c r="MDJ79" s="244"/>
      <c r="MDK79" s="244" t="s">
        <v>68</v>
      </c>
      <c r="MDL79" s="245" t="s">
        <v>68</v>
      </c>
      <c r="MDM79" s="1715" t="s">
        <v>0</v>
      </c>
      <c r="MDN79" s="1716"/>
      <c r="MDO79" s="1716"/>
      <c r="MDP79" s="1716"/>
      <c r="MDQ79" s="1716"/>
      <c r="MDR79" s="244"/>
      <c r="MDS79" s="244" t="s">
        <v>68</v>
      </c>
      <c r="MDT79" s="245" t="s">
        <v>68</v>
      </c>
      <c r="MDU79" s="1715" t="s">
        <v>0</v>
      </c>
      <c r="MDV79" s="1716"/>
      <c r="MDW79" s="1716"/>
      <c r="MDX79" s="1716"/>
      <c r="MDY79" s="1716"/>
      <c r="MDZ79" s="244"/>
      <c r="MEA79" s="244" t="s">
        <v>68</v>
      </c>
      <c r="MEB79" s="245" t="s">
        <v>68</v>
      </c>
      <c r="MEC79" s="1715" t="s">
        <v>0</v>
      </c>
      <c r="MED79" s="1716"/>
      <c r="MEE79" s="1716"/>
      <c r="MEF79" s="1716"/>
      <c r="MEG79" s="1716"/>
      <c r="MEH79" s="244"/>
      <c r="MEI79" s="244" t="s">
        <v>68</v>
      </c>
      <c r="MEJ79" s="245" t="s">
        <v>68</v>
      </c>
      <c r="MEK79" s="1715" t="s">
        <v>0</v>
      </c>
      <c r="MEL79" s="1716"/>
      <c r="MEM79" s="1716"/>
      <c r="MEN79" s="1716"/>
      <c r="MEO79" s="1716"/>
      <c r="MEP79" s="244"/>
      <c r="MEQ79" s="244" t="s">
        <v>68</v>
      </c>
      <c r="MER79" s="245" t="s">
        <v>68</v>
      </c>
      <c r="MES79" s="1715" t="s">
        <v>0</v>
      </c>
      <c r="MET79" s="1716"/>
      <c r="MEU79" s="1716"/>
      <c r="MEV79" s="1716"/>
      <c r="MEW79" s="1716"/>
      <c r="MEX79" s="244"/>
      <c r="MEY79" s="244" t="s">
        <v>68</v>
      </c>
      <c r="MEZ79" s="245" t="s">
        <v>68</v>
      </c>
      <c r="MFA79" s="1715" t="s">
        <v>0</v>
      </c>
      <c r="MFB79" s="1716"/>
      <c r="MFC79" s="1716"/>
      <c r="MFD79" s="1716"/>
      <c r="MFE79" s="1716"/>
      <c r="MFF79" s="244"/>
      <c r="MFG79" s="244" t="s">
        <v>68</v>
      </c>
      <c r="MFH79" s="245" t="s">
        <v>68</v>
      </c>
      <c r="MFI79" s="1715" t="s">
        <v>0</v>
      </c>
      <c r="MFJ79" s="1716"/>
      <c r="MFK79" s="1716"/>
      <c r="MFL79" s="1716"/>
      <c r="MFM79" s="1716"/>
      <c r="MFN79" s="244"/>
      <c r="MFO79" s="244" t="s">
        <v>68</v>
      </c>
      <c r="MFP79" s="245" t="s">
        <v>68</v>
      </c>
      <c r="MFQ79" s="1715" t="s">
        <v>0</v>
      </c>
      <c r="MFR79" s="1716"/>
      <c r="MFS79" s="1716"/>
      <c r="MFT79" s="1716"/>
      <c r="MFU79" s="1716"/>
      <c r="MFV79" s="244"/>
      <c r="MFW79" s="244" t="s">
        <v>68</v>
      </c>
      <c r="MFX79" s="245" t="s">
        <v>68</v>
      </c>
      <c r="MFY79" s="1715" t="s">
        <v>0</v>
      </c>
      <c r="MFZ79" s="1716"/>
      <c r="MGA79" s="1716"/>
      <c r="MGB79" s="1716"/>
      <c r="MGC79" s="1716"/>
      <c r="MGD79" s="244"/>
      <c r="MGE79" s="244" t="s">
        <v>68</v>
      </c>
      <c r="MGF79" s="245" t="s">
        <v>68</v>
      </c>
      <c r="MGG79" s="1715" t="s">
        <v>0</v>
      </c>
      <c r="MGH79" s="1716"/>
      <c r="MGI79" s="1716"/>
      <c r="MGJ79" s="1716"/>
      <c r="MGK79" s="1716"/>
      <c r="MGL79" s="244"/>
      <c r="MGM79" s="244" t="s">
        <v>68</v>
      </c>
      <c r="MGN79" s="245" t="s">
        <v>68</v>
      </c>
      <c r="MGO79" s="1715" t="s">
        <v>0</v>
      </c>
      <c r="MGP79" s="1716"/>
      <c r="MGQ79" s="1716"/>
      <c r="MGR79" s="1716"/>
      <c r="MGS79" s="1716"/>
      <c r="MGT79" s="244"/>
      <c r="MGU79" s="244" t="s">
        <v>68</v>
      </c>
      <c r="MGV79" s="245" t="s">
        <v>68</v>
      </c>
      <c r="MGW79" s="1715" t="s">
        <v>0</v>
      </c>
      <c r="MGX79" s="1716"/>
      <c r="MGY79" s="1716"/>
      <c r="MGZ79" s="1716"/>
      <c r="MHA79" s="1716"/>
      <c r="MHB79" s="244"/>
      <c r="MHC79" s="244" t="s">
        <v>68</v>
      </c>
      <c r="MHD79" s="245" t="s">
        <v>68</v>
      </c>
      <c r="MHE79" s="1715" t="s">
        <v>0</v>
      </c>
      <c r="MHF79" s="1716"/>
      <c r="MHG79" s="1716"/>
      <c r="MHH79" s="1716"/>
      <c r="MHI79" s="1716"/>
      <c r="MHJ79" s="244"/>
      <c r="MHK79" s="244" t="s">
        <v>68</v>
      </c>
      <c r="MHL79" s="245" t="s">
        <v>68</v>
      </c>
      <c r="MHM79" s="1715" t="s">
        <v>0</v>
      </c>
      <c r="MHN79" s="1716"/>
      <c r="MHO79" s="1716"/>
      <c r="MHP79" s="1716"/>
      <c r="MHQ79" s="1716"/>
      <c r="MHR79" s="244"/>
      <c r="MHS79" s="244" t="s">
        <v>68</v>
      </c>
      <c r="MHT79" s="245" t="s">
        <v>68</v>
      </c>
      <c r="MHU79" s="1715" t="s">
        <v>0</v>
      </c>
      <c r="MHV79" s="1716"/>
      <c r="MHW79" s="1716"/>
      <c r="MHX79" s="1716"/>
      <c r="MHY79" s="1716"/>
      <c r="MHZ79" s="244"/>
      <c r="MIA79" s="244" t="s">
        <v>68</v>
      </c>
      <c r="MIB79" s="245" t="s">
        <v>68</v>
      </c>
      <c r="MIC79" s="1715" t="s">
        <v>0</v>
      </c>
      <c r="MID79" s="1716"/>
      <c r="MIE79" s="1716"/>
      <c r="MIF79" s="1716"/>
      <c r="MIG79" s="1716"/>
      <c r="MIH79" s="244"/>
      <c r="MII79" s="244" t="s">
        <v>68</v>
      </c>
      <c r="MIJ79" s="245" t="s">
        <v>68</v>
      </c>
      <c r="MIK79" s="1715" t="s">
        <v>0</v>
      </c>
      <c r="MIL79" s="1716"/>
      <c r="MIM79" s="1716"/>
      <c r="MIN79" s="1716"/>
      <c r="MIO79" s="1716"/>
      <c r="MIP79" s="244"/>
      <c r="MIQ79" s="244" t="s">
        <v>68</v>
      </c>
      <c r="MIR79" s="245" t="s">
        <v>68</v>
      </c>
      <c r="MIS79" s="1715" t="s">
        <v>0</v>
      </c>
      <c r="MIT79" s="1716"/>
      <c r="MIU79" s="1716"/>
      <c r="MIV79" s="1716"/>
      <c r="MIW79" s="1716"/>
      <c r="MIX79" s="244"/>
      <c r="MIY79" s="244" t="s">
        <v>68</v>
      </c>
      <c r="MIZ79" s="245" t="s">
        <v>68</v>
      </c>
      <c r="MJA79" s="1715" t="s">
        <v>0</v>
      </c>
      <c r="MJB79" s="1716"/>
      <c r="MJC79" s="1716"/>
      <c r="MJD79" s="1716"/>
      <c r="MJE79" s="1716"/>
      <c r="MJF79" s="244"/>
      <c r="MJG79" s="244" t="s">
        <v>68</v>
      </c>
      <c r="MJH79" s="245" t="s">
        <v>68</v>
      </c>
      <c r="MJI79" s="1715" t="s">
        <v>0</v>
      </c>
      <c r="MJJ79" s="1716"/>
      <c r="MJK79" s="1716"/>
      <c r="MJL79" s="1716"/>
      <c r="MJM79" s="1716"/>
      <c r="MJN79" s="244"/>
      <c r="MJO79" s="244" t="s">
        <v>68</v>
      </c>
      <c r="MJP79" s="245" t="s">
        <v>68</v>
      </c>
      <c r="MJQ79" s="1715" t="s">
        <v>0</v>
      </c>
      <c r="MJR79" s="1716"/>
      <c r="MJS79" s="1716"/>
      <c r="MJT79" s="1716"/>
      <c r="MJU79" s="1716"/>
      <c r="MJV79" s="244"/>
      <c r="MJW79" s="244" t="s">
        <v>68</v>
      </c>
      <c r="MJX79" s="245" t="s">
        <v>68</v>
      </c>
      <c r="MJY79" s="1715" t="s">
        <v>0</v>
      </c>
      <c r="MJZ79" s="1716"/>
      <c r="MKA79" s="1716"/>
      <c r="MKB79" s="1716"/>
      <c r="MKC79" s="1716"/>
      <c r="MKD79" s="244"/>
      <c r="MKE79" s="244" t="s">
        <v>68</v>
      </c>
      <c r="MKF79" s="245" t="s">
        <v>68</v>
      </c>
      <c r="MKG79" s="1715" t="s">
        <v>0</v>
      </c>
      <c r="MKH79" s="1716"/>
      <c r="MKI79" s="1716"/>
      <c r="MKJ79" s="1716"/>
      <c r="MKK79" s="1716"/>
      <c r="MKL79" s="244"/>
      <c r="MKM79" s="244" t="s">
        <v>68</v>
      </c>
      <c r="MKN79" s="245" t="s">
        <v>68</v>
      </c>
      <c r="MKO79" s="1715" t="s">
        <v>0</v>
      </c>
      <c r="MKP79" s="1716"/>
      <c r="MKQ79" s="1716"/>
      <c r="MKR79" s="1716"/>
      <c r="MKS79" s="1716"/>
      <c r="MKT79" s="244"/>
      <c r="MKU79" s="244" t="s">
        <v>68</v>
      </c>
      <c r="MKV79" s="245" t="s">
        <v>68</v>
      </c>
      <c r="MKW79" s="1715" t="s">
        <v>0</v>
      </c>
      <c r="MKX79" s="1716"/>
      <c r="MKY79" s="1716"/>
      <c r="MKZ79" s="1716"/>
      <c r="MLA79" s="1716"/>
      <c r="MLB79" s="244"/>
      <c r="MLC79" s="244" t="s">
        <v>68</v>
      </c>
      <c r="MLD79" s="245" t="s">
        <v>68</v>
      </c>
      <c r="MLE79" s="1715" t="s">
        <v>0</v>
      </c>
      <c r="MLF79" s="1716"/>
      <c r="MLG79" s="1716"/>
      <c r="MLH79" s="1716"/>
      <c r="MLI79" s="1716"/>
      <c r="MLJ79" s="244"/>
      <c r="MLK79" s="244" t="s">
        <v>68</v>
      </c>
      <c r="MLL79" s="245" t="s">
        <v>68</v>
      </c>
      <c r="MLM79" s="1715" t="s">
        <v>0</v>
      </c>
      <c r="MLN79" s="1716"/>
      <c r="MLO79" s="1716"/>
      <c r="MLP79" s="1716"/>
      <c r="MLQ79" s="1716"/>
      <c r="MLR79" s="244"/>
      <c r="MLS79" s="244" t="s">
        <v>68</v>
      </c>
      <c r="MLT79" s="245" t="s">
        <v>68</v>
      </c>
      <c r="MLU79" s="1715" t="s">
        <v>0</v>
      </c>
      <c r="MLV79" s="1716"/>
      <c r="MLW79" s="1716"/>
      <c r="MLX79" s="1716"/>
      <c r="MLY79" s="1716"/>
      <c r="MLZ79" s="244"/>
      <c r="MMA79" s="244" t="s">
        <v>68</v>
      </c>
      <c r="MMB79" s="245" t="s">
        <v>68</v>
      </c>
      <c r="MMC79" s="1715" t="s">
        <v>0</v>
      </c>
      <c r="MMD79" s="1716"/>
      <c r="MME79" s="1716"/>
      <c r="MMF79" s="1716"/>
      <c r="MMG79" s="1716"/>
      <c r="MMH79" s="244"/>
      <c r="MMI79" s="244" t="s">
        <v>68</v>
      </c>
      <c r="MMJ79" s="245" t="s">
        <v>68</v>
      </c>
      <c r="MMK79" s="1715" t="s">
        <v>0</v>
      </c>
      <c r="MML79" s="1716"/>
      <c r="MMM79" s="1716"/>
      <c r="MMN79" s="1716"/>
      <c r="MMO79" s="1716"/>
      <c r="MMP79" s="244"/>
      <c r="MMQ79" s="244" t="s">
        <v>68</v>
      </c>
      <c r="MMR79" s="245" t="s">
        <v>68</v>
      </c>
      <c r="MMS79" s="1715" t="s">
        <v>0</v>
      </c>
      <c r="MMT79" s="1716"/>
      <c r="MMU79" s="1716"/>
      <c r="MMV79" s="1716"/>
      <c r="MMW79" s="1716"/>
      <c r="MMX79" s="244"/>
      <c r="MMY79" s="244" t="s">
        <v>68</v>
      </c>
      <c r="MMZ79" s="245" t="s">
        <v>68</v>
      </c>
      <c r="MNA79" s="1715" t="s">
        <v>0</v>
      </c>
      <c r="MNB79" s="1716"/>
      <c r="MNC79" s="1716"/>
      <c r="MND79" s="1716"/>
      <c r="MNE79" s="1716"/>
      <c r="MNF79" s="244"/>
      <c r="MNG79" s="244" t="s">
        <v>68</v>
      </c>
      <c r="MNH79" s="245" t="s">
        <v>68</v>
      </c>
      <c r="MNI79" s="1715" t="s">
        <v>0</v>
      </c>
      <c r="MNJ79" s="1716"/>
      <c r="MNK79" s="1716"/>
      <c r="MNL79" s="1716"/>
      <c r="MNM79" s="1716"/>
      <c r="MNN79" s="244"/>
      <c r="MNO79" s="244" t="s">
        <v>68</v>
      </c>
      <c r="MNP79" s="245" t="s">
        <v>68</v>
      </c>
      <c r="MNQ79" s="1715" t="s">
        <v>0</v>
      </c>
      <c r="MNR79" s="1716"/>
      <c r="MNS79" s="1716"/>
      <c r="MNT79" s="1716"/>
      <c r="MNU79" s="1716"/>
      <c r="MNV79" s="244"/>
      <c r="MNW79" s="244" t="s">
        <v>68</v>
      </c>
      <c r="MNX79" s="245" t="s">
        <v>68</v>
      </c>
      <c r="MNY79" s="1715" t="s">
        <v>0</v>
      </c>
      <c r="MNZ79" s="1716"/>
      <c r="MOA79" s="1716"/>
      <c r="MOB79" s="1716"/>
      <c r="MOC79" s="1716"/>
      <c r="MOD79" s="244"/>
      <c r="MOE79" s="244" t="s">
        <v>68</v>
      </c>
      <c r="MOF79" s="245" t="s">
        <v>68</v>
      </c>
      <c r="MOG79" s="1715" t="s">
        <v>0</v>
      </c>
      <c r="MOH79" s="1716"/>
      <c r="MOI79" s="1716"/>
      <c r="MOJ79" s="1716"/>
      <c r="MOK79" s="1716"/>
      <c r="MOL79" s="244"/>
      <c r="MOM79" s="244" t="s">
        <v>68</v>
      </c>
      <c r="MON79" s="245" t="s">
        <v>68</v>
      </c>
      <c r="MOO79" s="1715" t="s">
        <v>0</v>
      </c>
      <c r="MOP79" s="1716"/>
      <c r="MOQ79" s="1716"/>
      <c r="MOR79" s="1716"/>
      <c r="MOS79" s="1716"/>
      <c r="MOT79" s="244"/>
      <c r="MOU79" s="244" t="s">
        <v>68</v>
      </c>
      <c r="MOV79" s="245" t="s">
        <v>68</v>
      </c>
      <c r="MOW79" s="1715" t="s">
        <v>0</v>
      </c>
      <c r="MOX79" s="1716"/>
      <c r="MOY79" s="1716"/>
      <c r="MOZ79" s="1716"/>
      <c r="MPA79" s="1716"/>
      <c r="MPB79" s="244"/>
      <c r="MPC79" s="244" t="s">
        <v>68</v>
      </c>
      <c r="MPD79" s="245" t="s">
        <v>68</v>
      </c>
      <c r="MPE79" s="1715" t="s">
        <v>0</v>
      </c>
      <c r="MPF79" s="1716"/>
      <c r="MPG79" s="1716"/>
      <c r="MPH79" s="1716"/>
      <c r="MPI79" s="1716"/>
      <c r="MPJ79" s="244"/>
      <c r="MPK79" s="244" t="s">
        <v>68</v>
      </c>
      <c r="MPL79" s="245" t="s">
        <v>68</v>
      </c>
      <c r="MPM79" s="1715" t="s">
        <v>0</v>
      </c>
      <c r="MPN79" s="1716"/>
      <c r="MPO79" s="1716"/>
      <c r="MPP79" s="1716"/>
      <c r="MPQ79" s="1716"/>
      <c r="MPR79" s="244"/>
      <c r="MPS79" s="244" t="s">
        <v>68</v>
      </c>
      <c r="MPT79" s="245" t="s">
        <v>68</v>
      </c>
      <c r="MPU79" s="1715" t="s">
        <v>0</v>
      </c>
      <c r="MPV79" s="1716"/>
      <c r="MPW79" s="1716"/>
      <c r="MPX79" s="1716"/>
      <c r="MPY79" s="1716"/>
      <c r="MPZ79" s="244"/>
      <c r="MQA79" s="244" t="s">
        <v>68</v>
      </c>
      <c r="MQB79" s="245" t="s">
        <v>68</v>
      </c>
      <c r="MQC79" s="1715" t="s">
        <v>0</v>
      </c>
      <c r="MQD79" s="1716"/>
      <c r="MQE79" s="1716"/>
      <c r="MQF79" s="1716"/>
      <c r="MQG79" s="1716"/>
      <c r="MQH79" s="244"/>
      <c r="MQI79" s="244" t="s">
        <v>68</v>
      </c>
      <c r="MQJ79" s="245" t="s">
        <v>68</v>
      </c>
      <c r="MQK79" s="1715" t="s">
        <v>0</v>
      </c>
      <c r="MQL79" s="1716"/>
      <c r="MQM79" s="1716"/>
      <c r="MQN79" s="1716"/>
      <c r="MQO79" s="1716"/>
      <c r="MQP79" s="244"/>
      <c r="MQQ79" s="244" t="s">
        <v>68</v>
      </c>
      <c r="MQR79" s="245" t="s">
        <v>68</v>
      </c>
      <c r="MQS79" s="1715" t="s">
        <v>0</v>
      </c>
      <c r="MQT79" s="1716"/>
      <c r="MQU79" s="1716"/>
      <c r="MQV79" s="1716"/>
      <c r="MQW79" s="1716"/>
      <c r="MQX79" s="244"/>
      <c r="MQY79" s="244" t="s">
        <v>68</v>
      </c>
      <c r="MQZ79" s="245" t="s">
        <v>68</v>
      </c>
      <c r="MRA79" s="1715" t="s">
        <v>0</v>
      </c>
      <c r="MRB79" s="1716"/>
      <c r="MRC79" s="1716"/>
      <c r="MRD79" s="1716"/>
      <c r="MRE79" s="1716"/>
      <c r="MRF79" s="244"/>
      <c r="MRG79" s="244" t="s">
        <v>68</v>
      </c>
      <c r="MRH79" s="245" t="s">
        <v>68</v>
      </c>
      <c r="MRI79" s="1715" t="s">
        <v>0</v>
      </c>
      <c r="MRJ79" s="1716"/>
      <c r="MRK79" s="1716"/>
      <c r="MRL79" s="1716"/>
      <c r="MRM79" s="1716"/>
      <c r="MRN79" s="244"/>
      <c r="MRO79" s="244" t="s">
        <v>68</v>
      </c>
      <c r="MRP79" s="245" t="s">
        <v>68</v>
      </c>
      <c r="MRQ79" s="1715" t="s">
        <v>0</v>
      </c>
      <c r="MRR79" s="1716"/>
      <c r="MRS79" s="1716"/>
      <c r="MRT79" s="1716"/>
      <c r="MRU79" s="1716"/>
      <c r="MRV79" s="244"/>
      <c r="MRW79" s="244" t="s">
        <v>68</v>
      </c>
      <c r="MRX79" s="245" t="s">
        <v>68</v>
      </c>
      <c r="MRY79" s="1715" t="s">
        <v>0</v>
      </c>
      <c r="MRZ79" s="1716"/>
      <c r="MSA79" s="1716"/>
      <c r="MSB79" s="1716"/>
      <c r="MSC79" s="1716"/>
      <c r="MSD79" s="244"/>
      <c r="MSE79" s="244" t="s">
        <v>68</v>
      </c>
      <c r="MSF79" s="245" t="s">
        <v>68</v>
      </c>
      <c r="MSG79" s="1715" t="s">
        <v>0</v>
      </c>
      <c r="MSH79" s="1716"/>
      <c r="MSI79" s="1716"/>
      <c r="MSJ79" s="1716"/>
      <c r="MSK79" s="1716"/>
      <c r="MSL79" s="244"/>
      <c r="MSM79" s="244" t="s">
        <v>68</v>
      </c>
      <c r="MSN79" s="245" t="s">
        <v>68</v>
      </c>
      <c r="MSO79" s="1715" t="s">
        <v>0</v>
      </c>
      <c r="MSP79" s="1716"/>
      <c r="MSQ79" s="1716"/>
      <c r="MSR79" s="1716"/>
      <c r="MSS79" s="1716"/>
      <c r="MST79" s="244"/>
      <c r="MSU79" s="244" t="s">
        <v>68</v>
      </c>
      <c r="MSV79" s="245" t="s">
        <v>68</v>
      </c>
      <c r="MSW79" s="1715" t="s">
        <v>0</v>
      </c>
      <c r="MSX79" s="1716"/>
      <c r="MSY79" s="1716"/>
      <c r="MSZ79" s="1716"/>
      <c r="MTA79" s="1716"/>
      <c r="MTB79" s="244"/>
      <c r="MTC79" s="244" t="s">
        <v>68</v>
      </c>
      <c r="MTD79" s="245" t="s">
        <v>68</v>
      </c>
      <c r="MTE79" s="1715" t="s">
        <v>0</v>
      </c>
      <c r="MTF79" s="1716"/>
      <c r="MTG79" s="1716"/>
      <c r="MTH79" s="1716"/>
      <c r="MTI79" s="1716"/>
      <c r="MTJ79" s="244"/>
      <c r="MTK79" s="244" t="s">
        <v>68</v>
      </c>
      <c r="MTL79" s="245" t="s">
        <v>68</v>
      </c>
      <c r="MTM79" s="1715" t="s">
        <v>0</v>
      </c>
      <c r="MTN79" s="1716"/>
      <c r="MTO79" s="1716"/>
      <c r="MTP79" s="1716"/>
      <c r="MTQ79" s="1716"/>
      <c r="MTR79" s="244"/>
      <c r="MTS79" s="244" t="s">
        <v>68</v>
      </c>
      <c r="MTT79" s="245" t="s">
        <v>68</v>
      </c>
      <c r="MTU79" s="1715" t="s">
        <v>0</v>
      </c>
      <c r="MTV79" s="1716"/>
      <c r="MTW79" s="1716"/>
      <c r="MTX79" s="1716"/>
      <c r="MTY79" s="1716"/>
      <c r="MTZ79" s="244"/>
      <c r="MUA79" s="244" t="s">
        <v>68</v>
      </c>
      <c r="MUB79" s="245" t="s">
        <v>68</v>
      </c>
      <c r="MUC79" s="1715" t="s">
        <v>0</v>
      </c>
      <c r="MUD79" s="1716"/>
      <c r="MUE79" s="1716"/>
      <c r="MUF79" s="1716"/>
      <c r="MUG79" s="1716"/>
      <c r="MUH79" s="244"/>
      <c r="MUI79" s="244" t="s">
        <v>68</v>
      </c>
      <c r="MUJ79" s="245" t="s">
        <v>68</v>
      </c>
      <c r="MUK79" s="1715" t="s">
        <v>0</v>
      </c>
      <c r="MUL79" s="1716"/>
      <c r="MUM79" s="1716"/>
      <c r="MUN79" s="1716"/>
      <c r="MUO79" s="1716"/>
      <c r="MUP79" s="244"/>
      <c r="MUQ79" s="244" t="s">
        <v>68</v>
      </c>
      <c r="MUR79" s="245" t="s">
        <v>68</v>
      </c>
      <c r="MUS79" s="1715" t="s">
        <v>0</v>
      </c>
      <c r="MUT79" s="1716"/>
      <c r="MUU79" s="1716"/>
      <c r="MUV79" s="1716"/>
      <c r="MUW79" s="1716"/>
      <c r="MUX79" s="244"/>
      <c r="MUY79" s="244" t="s">
        <v>68</v>
      </c>
      <c r="MUZ79" s="245" t="s">
        <v>68</v>
      </c>
      <c r="MVA79" s="1715" t="s">
        <v>0</v>
      </c>
      <c r="MVB79" s="1716"/>
      <c r="MVC79" s="1716"/>
      <c r="MVD79" s="1716"/>
      <c r="MVE79" s="1716"/>
      <c r="MVF79" s="244"/>
      <c r="MVG79" s="244" t="s">
        <v>68</v>
      </c>
      <c r="MVH79" s="245" t="s">
        <v>68</v>
      </c>
      <c r="MVI79" s="1715" t="s">
        <v>0</v>
      </c>
      <c r="MVJ79" s="1716"/>
      <c r="MVK79" s="1716"/>
      <c r="MVL79" s="1716"/>
      <c r="MVM79" s="1716"/>
      <c r="MVN79" s="244"/>
      <c r="MVO79" s="244" t="s">
        <v>68</v>
      </c>
      <c r="MVP79" s="245" t="s">
        <v>68</v>
      </c>
      <c r="MVQ79" s="1715" t="s">
        <v>0</v>
      </c>
      <c r="MVR79" s="1716"/>
      <c r="MVS79" s="1716"/>
      <c r="MVT79" s="1716"/>
      <c r="MVU79" s="1716"/>
      <c r="MVV79" s="244"/>
      <c r="MVW79" s="244" t="s">
        <v>68</v>
      </c>
      <c r="MVX79" s="245" t="s">
        <v>68</v>
      </c>
      <c r="MVY79" s="1715" t="s">
        <v>0</v>
      </c>
      <c r="MVZ79" s="1716"/>
      <c r="MWA79" s="1716"/>
      <c r="MWB79" s="1716"/>
      <c r="MWC79" s="1716"/>
      <c r="MWD79" s="244"/>
      <c r="MWE79" s="244" t="s">
        <v>68</v>
      </c>
      <c r="MWF79" s="245" t="s">
        <v>68</v>
      </c>
      <c r="MWG79" s="1715" t="s">
        <v>0</v>
      </c>
      <c r="MWH79" s="1716"/>
      <c r="MWI79" s="1716"/>
      <c r="MWJ79" s="1716"/>
      <c r="MWK79" s="1716"/>
      <c r="MWL79" s="244"/>
      <c r="MWM79" s="244" t="s">
        <v>68</v>
      </c>
      <c r="MWN79" s="245" t="s">
        <v>68</v>
      </c>
      <c r="MWO79" s="1715" t="s">
        <v>0</v>
      </c>
      <c r="MWP79" s="1716"/>
      <c r="MWQ79" s="1716"/>
      <c r="MWR79" s="1716"/>
      <c r="MWS79" s="1716"/>
      <c r="MWT79" s="244"/>
      <c r="MWU79" s="244" t="s">
        <v>68</v>
      </c>
      <c r="MWV79" s="245" t="s">
        <v>68</v>
      </c>
      <c r="MWW79" s="1715" t="s">
        <v>0</v>
      </c>
      <c r="MWX79" s="1716"/>
      <c r="MWY79" s="1716"/>
      <c r="MWZ79" s="1716"/>
      <c r="MXA79" s="1716"/>
      <c r="MXB79" s="244"/>
      <c r="MXC79" s="244" t="s">
        <v>68</v>
      </c>
      <c r="MXD79" s="245" t="s">
        <v>68</v>
      </c>
      <c r="MXE79" s="1715" t="s">
        <v>0</v>
      </c>
      <c r="MXF79" s="1716"/>
      <c r="MXG79" s="1716"/>
      <c r="MXH79" s="1716"/>
      <c r="MXI79" s="1716"/>
      <c r="MXJ79" s="244"/>
      <c r="MXK79" s="244" t="s">
        <v>68</v>
      </c>
      <c r="MXL79" s="245" t="s">
        <v>68</v>
      </c>
      <c r="MXM79" s="1715" t="s">
        <v>0</v>
      </c>
      <c r="MXN79" s="1716"/>
      <c r="MXO79" s="1716"/>
      <c r="MXP79" s="1716"/>
      <c r="MXQ79" s="1716"/>
      <c r="MXR79" s="244"/>
      <c r="MXS79" s="244" t="s">
        <v>68</v>
      </c>
      <c r="MXT79" s="245" t="s">
        <v>68</v>
      </c>
      <c r="MXU79" s="1715" t="s">
        <v>0</v>
      </c>
      <c r="MXV79" s="1716"/>
      <c r="MXW79" s="1716"/>
      <c r="MXX79" s="1716"/>
      <c r="MXY79" s="1716"/>
      <c r="MXZ79" s="244"/>
      <c r="MYA79" s="244" t="s">
        <v>68</v>
      </c>
      <c r="MYB79" s="245" t="s">
        <v>68</v>
      </c>
      <c r="MYC79" s="1715" t="s">
        <v>0</v>
      </c>
      <c r="MYD79" s="1716"/>
      <c r="MYE79" s="1716"/>
      <c r="MYF79" s="1716"/>
      <c r="MYG79" s="1716"/>
      <c r="MYH79" s="244"/>
      <c r="MYI79" s="244" t="s">
        <v>68</v>
      </c>
      <c r="MYJ79" s="245" t="s">
        <v>68</v>
      </c>
      <c r="MYK79" s="1715" t="s">
        <v>0</v>
      </c>
      <c r="MYL79" s="1716"/>
      <c r="MYM79" s="1716"/>
      <c r="MYN79" s="1716"/>
      <c r="MYO79" s="1716"/>
      <c r="MYP79" s="244"/>
      <c r="MYQ79" s="244" t="s">
        <v>68</v>
      </c>
      <c r="MYR79" s="245" t="s">
        <v>68</v>
      </c>
      <c r="MYS79" s="1715" t="s">
        <v>0</v>
      </c>
      <c r="MYT79" s="1716"/>
      <c r="MYU79" s="1716"/>
      <c r="MYV79" s="1716"/>
      <c r="MYW79" s="1716"/>
      <c r="MYX79" s="244"/>
      <c r="MYY79" s="244" t="s">
        <v>68</v>
      </c>
      <c r="MYZ79" s="245" t="s">
        <v>68</v>
      </c>
      <c r="MZA79" s="1715" t="s">
        <v>0</v>
      </c>
      <c r="MZB79" s="1716"/>
      <c r="MZC79" s="1716"/>
      <c r="MZD79" s="1716"/>
      <c r="MZE79" s="1716"/>
      <c r="MZF79" s="244"/>
      <c r="MZG79" s="244" t="s">
        <v>68</v>
      </c>
      <c r="MZH79" s="245" t="s">
        <v>68</v>
      </c>
      <c r="MZI79" s="1715" t="s">
        <v>0</v>
      </c>
      <c r="MZJ79" s="1716"/>
      <c r="MZK79" s="1716"/>
      <c r="MZL79" s="1716"/>
      <c r="MZM79" s="1716"/>
      <c r="MZN79" s="244"/>
      <c r="MZO79" s="244" t="s">
        <v>68</v>
      </c>
      <c r="MZP79" s="245" t="s">
        <v>68</v>
      </c>
      <c r="MZQ79" s="1715" t="s">
        <v>0</v>
      </c>
      <c r="MZR79" s="1716"/>
      <c r="MZS79" s="1716"/>
      <c r="MZT79" s="1716"/>
      <c r="MZU79" s="1716"/>
      <c r="MZV79" s="244"/>
      <c r="MZW79" s="244" t="s">
        <v>68</v>
      </c>
      <c r="MZX79" s="245" t="s">
        <v>68</v>
      </c>
      <c r="MZY79" s="1715" t="s">
        <v>0</v>
      </c>
      <c r="MZZ79" s="1716"/>
      <c r="NAA79" s="1716"/>
      <c r="NAB79" s="1716"/>
      <c r="NAC79" s="1716"/>
      <c r="NAD79" s="244"/>
      <c r="NAE79" s="244" t="s">
        <v>68</v>
      </c>
      <c r="NAF79" s="245" t="s">
        <v>68</v>
      </c>
      <c r="NAG79" s="1715" t="s">
        <v>0</v>
      </c>
      <c r="NAH79" s="1716"/>
      <c r="NAI79" s="1716"/>
      <c r="NAJ79" s="1716"/>
      <c r="NAK79" s="1716"/>
      <c r="NAL79" s="244"/>
      <c r="NAM79" s="244" t="s">
        <v>68</v>
      </c>
      <c r="NAN79" s="245" t="s">
        <v>68</v>
      </c>
      <c r="NAO79" s="1715" t="s">
        <v>0</v>
      </c>
      <c r="NAP79" s="1716"/>
      <c r="NAQ79" s="1716"/>
      <c r="NAR79" s="1716"/>
      <c r="NAS79" s="1716"/>
      <c r="NAT79" s="244"/>
      <c r="NAU79" s="244" t="s">
        <v>68</v>
      </c>
      <c r="NAV79" s="245" t="s">
        <v>68</v>
      </c>
      <c r="NAW79" s="1715" t="s">
        <v>0</v>
      </c>
      <c r="NAX79" s="1716"/>
      <c r="NAY79" s="1716"/>
      <c r="NAZ79" s="1716"/>
      <c r="NBA79" s="1716"/>
      <c r="NBB79" s="244"/>
      <c r="NBC79" s="244" t="s">
        <v>68</v>
      </c>
      <c r="NBD79" s="245" t="s">
        <v>68</v>
      </c>
      <c r="NBE79" s="1715" t="s">
        <v>0</v>
      </c>
      <c r="NBF79" s="1716"/>
      <c r="NBG79" s="1716"/>
      <c r="NBH79" s="1716"/>
      <c r="NBI79" s="1716"/>
      <c r="NBJ79" s="244"/>
      <c r="NBK79" s="244" t="s">
        <v>68</v>
      </c>
      <c r="NBL79" s="245" t="s">
        <v>68</v>
      </c>
      <c r="NBM79" s="1715" t="s">
        <v>0</v>
      </c>
      <c r="NBN79" s="1716"/>
      <c r="NBO79" s="1716"/>
      <c r="NBP79" s="1716"/>
      <c r="NBQ79" s="1716"/>
      <c r="NBR79" s="244"/>
      <c r="NBS79" s="244" t="s">
        <v>68</v>
      </c>
      <c r="NBT79" s="245" t="s">
        <v>68</v>
      </c>
      <c r="NBU79" s="1715" t="s">
        <v>0</v>
      </c>
      <c r="NBV79" s="1716"/>
      <c r="NBW79" s="1716"/>
      <c r="NBX79" s="1716"/>
      <c r="NBY79" s="1716"/>
      <c r="NBZ79" s="244"/>
      <c r="NCA79" s="244" t="s">
        <v>68</v>
      </c>
      <c r="NCB79" s="245" t="s">
        <v>68</v>
      </c>
      <c r="NCC79" s="1715" t="s">
        <v>0</v>
      </c>
      <c r="NCD79" s="1716"/>
      <c r="NCE79" s="1716"/>
      <c r="NCF79" s="1716"/>
      <c r="NCG79" s="1716"/>
      <c r="NCH79" s="244"/>
      <c r="NCI79" s="244" t="s">
        <v>68</v>
      </c>
      <c r="NCJ79" s="245" t="s">
        <v>68</v>
      </c>
      <c r="NCK79" s="1715" t="s">
        <v>0</v>
      </c>
      <c r="NCL79" s="1716"/>
      <c r="NCM79" s="1716"/>
      <c r="NCN79" s="1716"/>
      <c r="NCO79" s="1716"/>
      <c r="NCP79" s="244"/>
      <c r="NCQ79" s="244" t="s">
        <v>68</v>
      </c>
      <c r="NCR79" s="245" t="s">
        <v>68</v>
      </c>
      <c r="NCS79" s="1715" t="s">
        <v>0</v>
      </c>
      <c r="NCT79" s="1716"/>
      <c r="NCU79" s="1716"/>
      <c r="NCV79" s="1716"/>
      <c r="NCW79" s="1716"/>
      <c r="NCX79" s="244"/>
      <c r="NCY79" s="244" t="s">
        <v>68</v>
      </c>
      <c r="NCZ79" s="245" t="s">
        <v>68</v>
      </c>
      <c r="NDA79" s="1715" t="s">
        <v>0</v>
      </c>
      <c r="NDB79" s="1716"/>
      <c r="NDC79" s="1716"/>
      <c r="NDD79" s="1716"/>
      <c r="NDE79" s="1716"/>
      <c r="NDF79" s="244"/>
      <c r="NDG79" s="244" t="s">
        <v>68</v>
      </c>
      <c r="NDH79" s="245" t="s">
        <v>68</v>
      </c>
      <c r="NDI79" s="1715" t="s">
        <v>0</v>
      </c>
      <c r="NDJ79" s="1716"/>
      <c r="NDK79" s="1716"/>
      <c r="NDL79" s="1716"/>
      <c r="NDM79" s="1716"/>
      <c r="NDN79" s="244"/>
      <c r="NDO79" s="244" t="s">
        <v>68</v>
      </c>
      <c r="NDP79" s="245" t="s">
        <v>68</v>
      </c>
      <c r="NDQ79" s="1715" t="s">
        <v>0</v>
      </c>
      <c r="NDR79" s="1716"/>
      <c r="NDS79" s="1716"/>
      <c r="NDT79" s="1716"/>
      <c r="NDU79" s="1716"/>
      <c r="NDV79" s="244"/>
      <c r="NDW79" s="244" t="s">
        <v>68</v>
      </c>
      <c r="NDX79" s="245" t="s">
        <v>68</v>
      </c>
      <c r="NDY79" s="1715" t="s">
        <v>0</v>
      </c>
      <c r="NDZ79" s="1716"/>
      <c r="NEA79" s="1716"/>
      <c r="NEB79" s="1716"/>
      <c r="NEC79" s="1716"/>
      <c r="NED79" s="244"/>
      <c r="NEE79" s="244" t="s">
        <v>68</v>
      </c>
      <c r="NEF79" s="245" t="s">
        <v>68</v>
      </c>
      <c r="NEG79" s="1715" t="s">
        <v>0</v>
      </c>
      <c r="NEH79" s="1716"/>
      <c r="NEI79" s="1716"/>
      <c r="NEJ79" s="1716"/>
      <c r="NEK79" s="1716"/>
      <c r="NEL79" s="244"/>
      <c r="NEM79" s="244" t="s">
        <v>68</v>
      </c>
      <c r="NEN79" s="245" t="s">
        <v>68</v>
      </c>
      <c r="NEO79" s="1715" t="s">
        <v>0</v>
      </c>
      <c r="NEP79" s="1716"/>
      <c r="NEQ79" s="1716"/>
      <c r="NER79" s="1716"/>
      <c r="NES79" s="1716"/>
      <c r="NET79" s="244"/>
      <c r="NEU79" s="244" t="s">
        <v>68</v>
      </c>
      <c r="NEV79" s="245" t="s">
        <v>68</v>
      </c>
      <c r="NEW79" s="1715" t="s">
        <v>0</v>
      </c>
      <c r="NEX79" s="1716"/>
      <c r="NEY79" s="1716"/>
      <c r="NEZ79" s="1716"/>
      <c r="NFA79" s="1716"/>
      <c r="NFB79" s="244"/>
      <c r="NFC79" s="244" t="s">
        <v>68</v>
      </c>
      <c r="NFD79" s="245" t="s">
        <v>68</v>
      </c>
      <c r="NFE79" s="1715" t="s">
        <v>0</v>
      </c>
      <c r="NFF79" s="1716"/>
      <c r="NFG79" s="1716"/>
      <c r="NFH79" s="1716"/>
      <c r="NFI79" s="1716"/>
      <c r="NFJ79" s="244"/>
      <c r="NFK79" s="244" t="s">
        <v>68</v>
      </c>
      <c r="NFL79" s="245" t="s">
        <v>68</v>
      </c>
      <c r="NFM79" s="1715" t="s">
        <v>0</v>
      </c>
      <c r="NFN79" s="1716"/>
      <c r="NFO79" s="1716"/>
      <c r="NFP79" s="1716"/>
      <c r="NFQ79" s="1716"/>
      <c r="NFR79" s="244"/>
      <c r="NFS79" s="244" t="s">
        <v>68</v>
      </c>
      <c r="NFT79" s="245" t="s">
        <v>68</v>
      </c>
      <c r="NFU79" s="1715" t="s">
        <v>0</v>
      </c>
      <c r="NFV79" s="1716"/>
      <c r="NFW79" s="1716"/>
      <c r="NFX79" s="1716"/>
      <c r="NFY79" s="1716"/>
      <c r="NFZ79" s="244"/>
      <c r="NGA79" s="244" t="s">
        <v>68</v>
      </c>
      <c r="NGB79" s="245" t="s">
        <v>68</v>
      </c>
      <c r="NGC79" s="1715" t="s">
        <v>0</v>
      </c>
      <c r="NGD79" s="1716"/>
      <c r="NGE79" s="1716"/>
      <c r="NGF79" s="1716"/>
      <c r="NGG79" s="1716"/>
      <c r="NGH79" s="244"/>
      <c r="NGI79" s="244" t="s">
        <v>68</v>
      </c>
      <c r="NGJ79" s="245" t="s">
        <v>68</v>
      </c>
      <c r="NGK79" s="1715" t="s">
        <v>0</v>
      </c>
      <c r="NGL79" s="1716"/>
      <c r="NGM79" s="1716"/>
      <c r="NGN79" s="1716"/>
      <c r="NGO79" s="1716"/>
      <c r="NGP79" s="244"/>
      <c r="NGQ79" s="244" t="s">
        <v>68</v>
      </c>
      <c r="NGR79" s="245" t="s">
        <v>68</v>
      </c>
      <c r="NGS79" s="1715" t="s">
        <v>0</v>
      </c>
      <c r="NGT79" s="1716"/>
      <c r="NGU79" s="1716"/>
      <c r="NGV79" s="1716"/>
      <c r="NGW79" s="1716"/>
      <c r="NGX79" s="244"/>
      <c r="NGY79" s="244" t="s">
        <v>68</v>
      </c>
      <c r="NGZ79" s="245" t="s">
        <v>68</v>
      </c>
      <c r="NHA79" s="1715" t="s">
        <v>0</v>
      </c>
      <c r="NHB79" s="1716"/>
      <c r="NHC79" s="1716"/>
      <c r="NHD79" s="1716"/>
      <c r="NHE79" s="1716"/>
      <c r="NHF79" s="244"/>
      <c r="NHG79" s="244" t="s">
        <v>68</v>
      </c>
      <c r="NHH79" s="245" t="s">
        <v>68</v>
      </c>
      <c r="NHI79" s="1715" t="s">
        <v>0</v>
      </c>
      <c r="NHJ79" s="1716"/>
      <c r="NHK79" s="1716"/>
      <c r="NHL79" s="1716"/>
      <c r="NHM79" s="1716"/>
      <c r="NHN79" s="244"/>
      <c r="NHO79" s="244" t="s">
        <v>68</v>
      </c>
      <c r="NHP79" s="245" t="s">
        <v>68</v>
      </c>
      <c r="NHQ79" s="1715" t="s">
        <v>0</v>
      </c>
      <c r="NHR79" s="1716"/>
      <c r="NHS79" s="1716"/>
      <c r="NHT79" s="1716"/>
      <c r="NHU79" s="1716"/>
      <c r="NHV79" s="244"/>
      <c r="NHW79" s="244" t="s">
        <v>68</v>
      </c>
      <c r="NHX79" s="245" t="s">
        <v>68</v>
      </c>
      <c r="NHY79" s="1715" t="s">
        <v>0</v>
      </c>
      <c r="NHZ79" s="1716"/>
      <c r="NIA79" s="1716"/>
      <c r="NIB79" s="1716"/>
      <c r="NIC79" s="1716"/>
      <c r="NID79" s="244"/>
      <c r="NIE79" s="244" t="s">
        <v>68</v>
      </c>
      <c r="NIF79" s="245" t="s">
        <v>68</v>
      </c>
      <c r="NIG79" s="1715" t="s">
        <v>0</v>
      </c>
      <c r="NIH79" s="1716"/>
      <c r="NII79" s="1716"/>
      <c r="NIJ79" s="1716"/>
      <c r="NIK79" s="1716"/>
      <c r="NIL79" s="244"/>
      <c r="NIM79" s="244" t="s">
        <v>68</v>
      </c>
      <c r="NIN79" s="245" t="s">
        <v>68</v>
      </c>
      <c r="NIO79" s="1715" t="s">
        <v>0</v>
      </c>
      <c r="NIP79" s="1716"/>
      <c r="NIQ79" s="1716"/>
      <c r="NIR79" s="1716"/>
      <c r="NIS79" s="1716"/>
      <c r="NIT79" s="244"/>
      <c r="NIU79" s="244" t="s">
        <v>68</v>
      </c>
      <c r="NIV79" s="245" t="s">
        <v>68</v>
      </c>
      <c r="NIW79" s="1715" t="s">
        <v>0</v>
      </c>
      <c r="NIX79" s="1716"/>
      <c r="NIY79" s="1716"/>
      <c r="NIZ79" s="1716"/>
      <c r="NJA79" s="1716"/>
      <c r="NJB79" s="244"/>
      <c r="NJC79" s="244" t="s">
        <v>68</v>
      </c>
      <c r="NJD79" s="245" t="s">
        <v>68</v>
      </c>
      <c r="NJE79" s="1715" t="s">
        <v>0</v>
      </c>
      <c r="NJF79" s="1716"/>
      <c r="NJG79" s="1716"/>
      <c r="NJH79" s="1716"/>
      <c r="NJI79" s="1716"/>
      <c r="NJJ79" s="244"/>
      <c r="NJK79" s="244" t="s">
        <v>68</v>
      </c>
      <c r="NJL79" s="245" t="s">
        <v>68</v>
      </c>
      <c r="NJM79" s="1715" t="s">
        <v>0</v>
      </c>
      <c r="NJN79" s="1716"/>
      <c r="NJO79" s="1716"/>
      <c r="NJP79" s="1716"/>
      <c r="NJQ79" s="1716"/>
      <c r="NJR79" s="244"/>
      <c r="NJS79" s="244" t="s">
        <v>68</v>
      </c>
      <c r="NJT79" s="245" t="s">
        <v>68</v>
      </c>
      <c r="NJU79" s="1715" t="s">
        <v>0</v>
      </c>
      <c r="NJV79" s="1716"/>
      <c r="NJW79" s="1716"/>
      <c r="NJX79" s="1716"/>
      <c r="NJY79" s="1716"/>
      <c r="NJZ79" s="244"/>
      <c r="NKA79" s="244" t="s">
        <v>68</v>
      </c>
      <c r="NKB79" s="245" t="s">
        <v>68</v>
      </c>
      <c r="NKC79" s="1715" t="s">
        <v>0</v>
      </c>
      <c r="NKD79" s="1716"/>
      <c r="NKE79" s="1716"/>
      <c r="NKF79" s="1716"/>
      <c r="NKG79" s="1716"/>
      <c r="NKH79" s="244"/>
      <c r="NKI79" s="244" t="s">
        <v>68</v>
      </c>
      <c r="NKJ79" s="245" t="s">
        <v>68</v>
      </c>
      <c r="NKK79" s="1715" t="s">
        <v>0</v>
      </c>
      <c r="NKL79" s="1716"/>
      <c r="NKM79" s="1716"/>
      <c r="NKN79" s="1716"/>
      <c r="NKO79" s="1716"/>
      <c r="NKP79" s="244"/>
      <c r="NKQ79" s="244" t="s">
        <v>68</v>
      </c>
      <c r="NKR79" s="245" t="s">
        <v>68</v>
      </c>
      <c r="NKS79" s="1715" t="s">
        <v>0</v>
      </c>
      <c r="NKT79" s="1716"/>
      <c r="NKU79" s="1716"/>
      <c r="NKV79" s="1716"/>
      <c r="NKW79" s="1716"/>
      <c r="NKX79" s="244"/>
      <c r="NKY79" s="244" t="s">
        <v>68</v>
      </c>
      <c r="NKZ79" s="245" t="s">
        <v>68</v>
      </c>
      <c r="NLA79" s="1715" t="s">
        <v>0</v>
      </c>
      <c r="NLB79" s="1716"/>
      <c r="NLC79" s="1716"/>
      <c r="NLD79" s="1716"/>
      <c r="NLE79" s="1716"/>
      <c r="NLF79" s="244"/>
      <c r="NLG79" s="244" t="s">
        <v>68</v>
      </c>
      <c r="NLH79" s="245" t="s">
        <v>68</v>
      </c>
      <c r="NLI79" s="1715" t="s">
        <v>0</v>
      </c>
      <c r="NLJ79" s="1716"/>
      <c r="NLK79" s="1716"/>
      <c r="NLL79" s="1716"/>
      <c r="NLM79" s="1716"/>
      <c r="NLN79" s="244"/>
      <c r="NLO79" s="244" t="s">
        <v>68</v>
      </c>
      <c r="NLP79" s="245" t="s">
        <v>68</v>
      </c>
      <c r="NLQ79" s="1715" t="s">
        <v>0</v>
      </c>
      <c r="NLR79" s="1716"/>
      <c r="NLS79" s="1716"/>
      <c r="NLT79" s="1716"/>
      <c r="NLU79" s="1716"/>
      <c r="NLV79" s="244"/>
      <c r="NLW79" s="244" t="s">
        <v>68</v>
      </c>
      <c r="NLX79" s="245" t="s">
        <v>68</v>
      </c>
      <c r="NLY79" s="1715" t="s">
        <v>0</v>
      </c>
      <c r="NLZ79" s="1716"/>
      <c r="NMA79" s="1716"/>
      <c r="NMB79" s="1716"/>
      <c r="NMC79" s="1716"/>
      <c r="NMD79" s="244"/>
      <c r="NME79" s="244" t="s">
        <v>68</v>
      </c>
      <c r="NMF79" s="245" t="s">
        <v>68</v>
      </c>
      <c r="NMG79" s="1715" t="s">
        <v>0</v>
      </c>
      <c r="NMH79" s="1716"/>
      <c r="NMI79" s="1716"/>
      <c r="NMJ79" s="1716"/>
      <c r="NMK79" s="1716"/>
      <c r="NML79" s="244"/>
      <c r="NMM79" s="244" t="s">
        <v>68</v>
      </c>
      <c r="NMN79" s="245" t="s">
        <v>68</v>
      </c>
      <c r="NMO79" s="1715" t="s">
        <v>0</v>
      </c>
      <c r="NMP79" s="1716"/>
      <c r="NMQ79" s="1716"/>
      <c r="NMR79" s="1716"/>
      <c r="NMS79" s="1716"/>
      <c r="NMT79" s="244"/>
      <c r="NMU79" s="244" t="s">
        <v>68</v>
      </c>
      <c r="NMV79" s="245" t="s">
        <v>68</v>
      </c>
      <c r="NMW79" s="1715" t="s">
        <v>0</v>
      </c>
      <c r="NMX79" s="1716"/>
      <c r="NMY79" s="1716"/>
      <c r="NMZ79" s="1716"/>
      <c r="NNA79" s="1716"/>
      <c r="NNB79" s="244"/>
      <c r="NNC79" s="244" t="s">
        <v>68</v>
      </c>
      <c r="NND79" s="245" t="s">
        <v>68</v>
      </c>
      <c r="NNE79" s="1715" t="s">
        <v>0</v>
      </c>
      <c r="NNF79" s="1716"/>
      <c r="NNG79" s="1716"/>
      <c r="NNH79" s="1716"/>
      <c r="NNI79" s="1716"/>
      <c r="NNJ79" s="244"/>
      <c r="NNK79" s="244" t="s">
        <v>68</v>
      </c>
      <c r="NNL79" s="245" t="s">
        <v>68</v>
      </c>
      <c r="NNM79" s="1715" t="s">
        <v>0</v>
      </c>
      <c r="NNN79" s="1716"/>
      <c r="NNO79" s="1716"/>
      <c r="NNP79" s="1716"/>
      <c r="NNQ79" s="1716"/>
      <c r="NNR79" s="244"/>
      <c r="NNS79" s="244" t="s">
        <v>68</v>
      </c>
      <c r="NNT79" s="245" t="s">
        <v>68</v>
      </c>
      <c r="NNU79" s="1715" t="s">
        <v>0</v>
      </c>
      <c r="NNV79" s="1716"/>
      <c r="NNW79" s="1716"/>
      <c r="NNX79" s="1716"/>
      <c r="NNY79" s="1716"/>
      <c r="NNZ79" s="244"/>
      <c r="NOA79" s="244" t="s">
        <v>68</v>
      </c>
      <c r="NOB79" s="245" t="s">
        <v>68</v>
      </c>
      <c r="NOC79" s="1715" t="s">
        <v>0</v>
      </c>
      <c r="NOD79" s="1716"/>
      <c r="NOE79" s="1716"/>
      <c r="NOF79" s="1716"/>
      <c r="NOG79" s="1716"/>
      <c r="NOH79" s="244"/>
      <c r="NOI79" s="244" t="s">
        <v>68</v>
      </c>
      <c r="NOJ79" s="245" t="s">
        <v>68</v>
      </c>
      <c r="NOK79" s="1715" t="s">
        <v>0</v>
      </c>
      <c r="NOL79" s="1716"/>
      <c r="NOM79" s="1716"/>
      <c r="NON79" s="1716"/>
      <c r="NOO79" s="1716"/>
      <c r="NOP79" s="244"/>
      <c r="NOQ79" s="244" t="s">
        <v>68</v>
      </c>
      <c r="NOR79" s="245" t="s">
        <v>68</v>
      </c>
      <c r="NOS79" s="1715" t="s">
        <v>0</v>
      </c>
      <c r="NOT79" s="1716"/>
      <c r="NOU79" s="1716"/>
      <c r="NOV79" s="1716"/>
      <c r="NOW79" s="1716"/>
      <c r="NOX79" s="244"/>
      <c r="NOY79" s="244" t="s">
        <v>68</v>
      </c>
      <c r="NOZ79" s="245" t="s">
        <v>68</v>
      </c>
      <c r="NPA79" s="1715" t="s">
        <v>0</v>
      </c>
      <c r="NPB79" s="1716"/>
      <c r="NPC79" s="1716"/>
      <c r="NPD79" s="1716"/>
      <c r="NPE79" s="1716"/>
      <c r="NPF79" s="244"/>
      <c r="NPG79" s="244" t="s">
        <v>68</v>
      </c>
      <c r="NPH79" s="245" t="s">
        <v>68</v>
      </c>
      <c r="NPI79" s="1715" t="s">
        <v>0</v>
      </c>
      <c r="NPJ79" s="1716"/>
      <c r="NPK79" s="1716"/>
      <c r="NPL79" s="1716"/>
      <c r="NPM79" s="1716"/>
      <c r="NPN79" s="244"/>
      <c r="NPO79" s="244" t="s">
        <v>68</v>
      </c>
      <c r="NPP79" s="245" t="s">
        <v>68</v>
      </c>
      <c r="NPQ79" s="1715" t="s">
        <v>0</v>
      </c>
      <c r="NPR79" s="1716"/>
      <c r="NPS79" s="1716"/>
      <c r="NPT79" s="1716"/>
      <c r="NPU79" s="1716"/>
      <c r="NPV79" s="244"/>
      <c r="NPW79" s="244" t="s">
        <v>68</v>
      </c>
      <c r="NPX79" s="245" t="s">
        <v>68</v>
      </c>
      <c r="NPY79" s="1715" t="s">
        <v>0</v>
      </c>
      <c r="NPZ79" s="1716"/>
      <c r="NQA79" s="1716"/>
      <c r="NQB79" s="1716"/>
      <c r="NQC79" s="1716"/>
      <c r="NQD79" s="244"/>
      <c r="NQE79" s="244" t="s">
        <v>68</v>
      </c>
      <c r="NQF79" s="245" t="s">
        <v>68</v>
      </c>
      <c r="NQG79" s="1715" t="s">
        <v>0</v>
      </c>
      <c r="NQH79" s="1716"/>
      <c r="NQI79" s="1716"/>
      <c r="NQJ79" s="1716"/>
      <c r="NQK79" s="1716"/>
      <c r="NQL79" s="244"/>
      <c r="NQM79" s="244" t="s">
        <v>68</v>
      </c>
      <c r="NQN79" s="245" t="s">
        <v>68</v>
      </c>
      <c r="NQO79" s="1715" t="s">
        <v>0</v>
      </c>
      <c r="NQP79" s="1716"/>
      <c r="NQQ79" s="1716"/>
      <c r="NQR79" s="1716"/>
      <c r="NQS79" s="1716"/>
      <c r="NQT79" s="244"/>
      <c r="NQU79" s="244" t="s">
        <v>68</v>
      </c>
      <c r="NQV79" s="245" t="s">
        <v>68</v>
      </c>
      <c r="NQW79" s="1715" t="s">
        <v>0</v>
      </c>
      <c r="NQX79" s="1716"/>
      <c r="NQY79" s="1716"/>
      <c r="NQZ79" s="1716"/>
      <c r="NRA79" s="1716"/>
      <c r="NRB79" s="244"/>
      <c r="NRC79" s="244" t="s">
        <v>68</v>
      </c>
      <c r="NRD79" s="245" t="s">
        <v>68</v>
      </c>
      <c r="NRE79" s="1715" t="s">
        <v>0</v>
      </c>
      <c r="NRF79" s="1716"/>
      <c r="NRG79" s="1716"/>
      <c r="NRH79" s="1716"/>
      <c r="NRI79" s="1716"/>
      <c r="NRJ79" s="244"/>
      <c r="NRK79" s="244" t="s">
        <v>68</v>
      </c>
      <c r="NRL79" s="245" t="s">
        <v>68</v>
      </c>
      <c r="NRM79" s="1715" t="s">
        <v>0</v>
      </c>
      <c r="NRN79" s="1716"/>
      <c r="NRO79" s="1716"/>
      <c r="NRP79" s="1716"/>
      <c r="NRQ79" s="1716"/>
      <c r="NRR79" s="244"/>
      <c r="NRS79" s="244" t="s">
        <v>68</v>
      </c>
      <c r="NRT79" s="245" t="s">
        <v>68</v>
      </c>
      <c r="NRU79" s="1715" t="s">
        <v>0</v>
      </c>
      <c r="NRV79" s="1716"/>
      <c r="NRW79" s="1716"/>
      <c r="NRX79" s="1716"/>
      <c r="NRY79" s="1716"/>
      <c r="NRZ79" s="244"/>
      <c r="NSA79" s="244" t="s">
        <v>68</v>
      </c>
      <c r="NSB79" s="245" t="s">
        <v>68</v>
      </c>
      <c r="NSC79" s="1715" t="s">
        <v>0</v>
      </c>
      <c r="NSD79" s="1716"/>
      <c r="NSE79" s="1716"/>
      <c r="NSF79" s="1716"/>
      <c r="NSG79" s="1716"/>
      <c r="NSH79" s="244"/>
      <c r="NSI79" s="244" t="s">
        <v>68</v>
      </c>
      <c r="NSJ79" s="245" t="s">
        <v>68</v>
      </c>
      <c r="NSK79" s="1715" t="s">
        <v>0</v>
      </c>
      <c r="NSL79" s="1716"/>
      <c r="NSM79" s="1716"/>
      <c r="NSN79" s="1716"/>
      <c r="NSO79" s="1716"/>
      <c r="NSP79" s="244"/>
      <c r="NSQ79" s="244" t="s">
        <v>68</v>
      </c>
      <c r="NSR79" s="245" t="s">
        <v>68</v>
      </c>
      <c r="NSS79" s="1715" t="s">
        <v>0</v>
      </c>
      <c r="NST79" s="1716"/>
      <c r="NSU79" s="1716"/>
      <c r="NSV79" s="1716"/>
      <c r="NSW79" s="1716"/>
      <c r="NSX79" s="244"/>
      <c r="NSY79" s="244" t="s">
        <v>68</v>
      </c>
      <c r="NSZ79" s="245" t="s">
        <v>68</v>
      </c>
      <c r="NTA79" s="1715" t="s">
        <v>0</v>
      </c>
      <c r="NTB79" s="1716"/>
      <c r="NTC79" s="1716"/>
      <c r="NTD79" s="1716"/>
      <c r="NTE79" s="1716"/>
      <c r="NTF79" s="244"/>
      <c r="NTG79" s="244" t="s">
        <v>68</v>
      </c>
      <c r="NTH79" s="245" t="s">
        <v>68</v>
      </c>
      <c r="NTI79" s="1715" t="s">
        <v>0</v>
      </c>
      <c r="NTJ79" s="1716"/>
      <c r="NTK79" s="1716"/>
      <c r="NTL79" s="1716"/>
      <c r="NTM79" s="1716"/>
      <c r="NTN79" s="244"/>
      <c r="NTO79" s="244" t="s">
        <v>68</v>
      </c>
      <c r="NTP79" s="245" t="s">
        <v>68</v>
      </c>
      <c r="NTQ79" s="1715" t="s">
        <v>0</v>
      </c>
      <c r="NTR79" s="1716"/>
      <c r="NTS79" s="1716"/>
      <c r="NTT79" s="1716"/>
      <c r="NTU79" s="1716"/>
      <c r="NTV79" s="244"/>
      <c r="NTW79" s="244" t="s">
        <v>68</v>
      </c>
      <c r="NTX79" s="245" t="s">
        <v>68</v>
      </c>
      <c r="NTY79" s="1715" t="s">
        <v>0</v>
      </c>
      <c r="NTZ79" s="1716"/>
      <c r="NUA79" s="1716"/>
      <c r="NUB79" s="1716"/>
      <c r="NUC79" s="1716"/>
      <c r="NUD79" s="244"/>
      <c r="NUE79" s="244" t="s">
        <v>68</v>
      </c>
      <c r="NUF79" s="245" t="s">
        <v>68</v>
      </c>
      <c r="NUG79" s="1715" t="s">
        <v>0</v>
      </c>
      <c r="NUH79" s="1716"/>
      <c r="NUI79" s="1716"/>
      <c r="NUJ79" s="1716"/>
      <c r="NUK79" s="1716"/>
      <c r="NUL79" s="244"/>
      <c r="NUM79" s="244" t="s">
        <v>68</v>
      </c>
      <c r="NUN79" s="245" t="s">
        <v>68</v>
      </c>
      <c r="NUO79" s="1715" t="s">
        <v>0</v>
      </c>
      <c r="NUP79" s="1716"/>
      <c r="NUQ79" s="1716"/>
      <c r="NUR79" s="1716"/>
      <c r="NUS79" s="1716"/>
      <c r="NUT79" s="244"/>
      <c r="NUU79" s="244" t="s">
        <v>68</v>
      </c>
      <c r="NUV79" s="245" t="s">
        <v>68</v>
      </c>
      <c r="NUW79" s="1715" t="s">
        <v>0</v>
      </c>
      <c r="NUX79" s="1716"/>
      <c r="NUY79" s="1716"/>
      <c r="NUZ79" s="1716"/>
      <c r="NVA79" s="1716"/>
      <c r="NVB79" s="244"/>
      <c r="NVC79" s="244" t="s">
        <v>68</v>
      </c>
      <c r="NVD79" s="245" t="s">
        <v>68</v>
      </c>
      <c r="NVE79" s="1715" t="s">
        <v>0</v>
      </c>
      <c r="NVF79" s="1716"/>
      <c r="NVG79" s="1716"/>
      <c r="NVH79" s="1716"/>
      <c r="NVI79" s="1716"/>
      <c r="NVJ79" s="244"/>
      <c r="NVK79" s="244" t="s">
        <v>68</v>
      </c>
      <c r="NVL79" s="245" t="s">
        <v>68</v>
      </c>
      <c r="NVM79" s="1715" t="s">
        <v>0</v>
      </c>
      <c r="NVN79" s="1716"/>
      <c r="NVO79" s="1716"/>
      <c r="NVP79" s="1716"/>
      <c r="NVQ79" s="1716"/>
      <c r="NVR79" s="244"/>
      <c r="NVS79" s="244" t="s">
        <v>68</v>
      </c>
      <c r="NVT79" s="245" t="s">
        <v>68</v>
      </c>
      <c r="NVU79" s="1715" t="s">
        <v>0</v>
      </c>
      <c r="NVV79" s="1716"/>
      <c r="NVW79" s="1716"/>
      <c r="NVX79" s="1716"/>
      <c r="NVY79" s="1716"/>
      <c r="NVZ79" s="244"/>
      <c r="NWA79" s="244" t="s">
        <v>68</v>
      </c>
      <c r="NWB79" s="245" t="s">
        <v>68</v>
      </c>
      <c r="NWC79" s="1715" t="s">
        <v>0</v>
      </c>
      <c r="NWD79" s="1716"/>
      <c r="NWE79" s="1716"/>
      <c r="NWF79" s="1716"/>
      <c r="NWG79" s="1716"/>
      <c r="NWH79" s="244"/>
      <c r="NWI79" s="244" t="s">
        <v>68</v>
      </c>
      <c r="NWJ79" s="245" t="s">
        <v>68</v>
      </c>
      <c r="NWK79" s="1715" t="s">
        <v>0</v>
      </c>
      <c r="NWL79" s="1716"/>
      <c r="NWM79" s="1716"/>
      <c r="NWN79" s="1716"/>
      <c r="NWO79" s="1716"/>
      <c r="NWP79" s="244"/>
      <c r="NWQ79" s="244" t="s">
        <v>68</v>
      </c>
      <c r="NWR79" s="245" t="s">
        <v>68</v>
      </c>
      <c r="NWS79" s="1715" t="s">
        <v>0</v>
      </c>
      <c r="NWT79" s="1716"/>
      <c r="NWU79" s="1716"/>
      <c r="NWV79" s="1716"/>
      <c r="NWW79" s="1716"/>
      <c r="NWX79" s="244"/>
      <c r="NWY79" s="244" t="s">
        <v>68</v>
      </c>
      <c r="NWZ79" s="245" t="s">
        <v>68</v>
      </c>
      <c r="NXA79" s="1715" t="s">
        <v>0</v>
      </c>
      <c r="NXB79" s="1716"/>
      <c r="NXC79" s="1716"/>
      <c r="NXD79" s="1716"/>
      <c r="NXE79" s="1716"/>
      <c r="NXF79" s="244"/>
      <c r="NXG79" s="244" t="s">
        <v>68</v>
      </c>
      <c r="NXH79" s="245" t="s">
        <v>68</v>
      </c>
      <c r="NXI79" s="1715" t="s">
        <v>0</v>
      </c>
      <c r="NXJ79" s="1716"/>
      <c r="NXK79" s="1716"/>
      <c r="NXL79" s="1716"/>
      <c r="NXM79" s="1716"/>
      <c r="NXN79" s="244"/>
      <c r="NXO79" s="244" t="s">
        <v>68</v>
      </c>
      <c r="NXP79" s="245" t="s">
        <v>68</v>
      </c>
      <c r="NXQ79" s="1715" t="s">
        <v>0</v>
      </c>
      <c r="NXR79" s="1716"/>
      <c r="NXS79" s="1716"/>
      <c r="NXT79" s="1716"/>
      <c r="NXU79" s="1716"/>
      <c r="NXV79" s="244"/>
      <c r="NXW79" s="244" t="s">
        <v>68</v>
      </c>
      <c r="NXX79" s="245" t="s">
        <v>68</v>
      </c>
      <c r="NXY79" s="1715" t="s">
        <v>0</v>
      </c>
      <c r="NXZ79" s="1716"/>
      <c r="NYA79" s="1716"/>
      <c r="NYB79" s="1716"/>
      <c r="NYC79" s="1716"/>
      <c r="NYD79" s="244"/>
      <c r="NYE79" s="244" t="s">
        <v>68</v>
      </c>
      <c r="NYF79" s="245" t="s">
        <v>68</v>
      </c>
      <c r="NYG79" s="1715" t="s">
        <v>0</v>
      </c>
      <c r="NYH79" s="1716"/>
      <c r="NYI79" s="1716"/>
      <c r="NYJ79" s="1716"/>
      <c r="NYK79" s="1716"/>
      <c r="NYL79" s="244"/>
      <c r="NYM79" s="244" t="s">
        <v>68</v>
      </c>
      <c r="NYN79" s="245" t="s">
        <v>68</v>
      </c>
      <c r="NYO79" s="1715" t="s">
        <v>0</v>
      </c>
      <c r="NYP79" s="1716"/>
      <c r="NYQ79" s="1716"/>
      <c r="NYR79" s="1716"/>
      <c r="NYS79" s="1716"/>
      <c r="NYT79" s="244"/>
      <c r="NYU79" s="244" t="s">
        <v>68</v>
      </c>
      <c r="NYV79" s="245" t="s">
        <v>68</v>
      </c>
      <c r="NYW79" s="1715" t="s">
        <v>0</v>
      </c>
      <c r="NYX79" s="1716"/>
      <c r="NYY79" s="1716"/>
      <c r="NYZ79" s="1716"/>
      <c r="NZA79" s="1716"/>
      <c r="NZB79" s="244"/>
      <c r="NZC79" s="244" t="s">
        <v>68</v>
      </c>
      <c r="NZD79" s="245" t="s">
        <v>68</v>
      </c>
      <c r="NZE79" s="1715" t="s">
        <v>0</v>
      </c>
      <c r="NZF79" s="1716"/>
      <c r="NZG79" s="1716"/>
      <c r="NZH79" s="1716"/>
      <c r="NZI79" s="1716"/>
      <c r="NZJ79" s="244"/>
      <c r="NZK79" s="244" t="s">
        <v>68</v>
      </c>
      <c r="NZL79" s="245" t="s">
        <v>68</v>
      </c>
      <c r="NZM79" s="1715" t="s">
        <v>0</v>
      </c>
      <c r="NZN79" s="1716"/>
      <c r="NZO79" s="1716"/>
      <c r="NZP79" s="1716"/>
      <c r="NZQ79" s="1716"/>
      <c r="NZR79" s="244"/>
      <c r="NZS79" s="244" t="s">
        <v>68</v>
      </c>
      <c r="NZT79" s="245" t="s">
        <v>68</v>
      </c>
      <c r="NZU79" s="1715" t="s">
        <v>0</v>
      </c>
      <c r="NZV79" s="1716"/>
      <c r="NZW79" s="1716"/>
      <c r="NZX79" s="1716"/>
      <c r="NZY79" s="1716"/>
      <c r="NZZ79" s="244"/>
      <c r="OAA79" s="244" t="s">
        <v>68</v>
      </c>
      <c r="OAB79" s="245" t="s">
        <v>68</v>
      </c>
      <c r="OAC79" s="1715" t="s">
        <v>0</v>
      </c>
      <c r="OAD79" s="1716"/>
      <c r="OAE79" s="1716"/>
      <c r="OAF79" s="1716"/>
      <c r="OAG79" s="1716"/>
      <c r="OAH79" s="244"/>
      <c r="OAI79" s="244" t="s">
        <v>68</v>
      </c>
      <c r="OAJ79" s="245" t="s">
        <v>68</v>
      </c>
      <c r="OAK79" s="1715" t="s">
        <v>0</v>
      </c>
      <c r="OAL79" s="1716"/>
      <c r="OAM79" s="1716"/>
      <c r="OAN79" s="1716"/>
      <c r="OAO79" s="1716"/>
      <c r="OAP79" s="244"/>
      <c r="OAQ79" s="244" t="s">
        <v>68</v>
      </c>
      <c r="OAR79" s="245" t="s">
        <v>68</v>
      </c>
      <c r="OAS79" s="1715" t="s">
        <v>0</v>
      </c>
      <c r="OAT79" s="1716"/>
      <c r="OAU79" s="1716"/>
      <c r="OAV79" s="1716"/>
      <c r="OAW79" s="1716"/>
      <c r="OAX79" s="244"/>
      <c r="OAY79" s="244" t="s">
        <v>68</v>
      </c>
      <c r="OAZ79" s="245" t="s">
        <v>68</v>
      </c>
      <c r="OBA79" s="1715" t="s">
        <v>0</v>
      </c>
      <c r="OBB79" s="1716"/>
      <c r="OBC79" s="1716"/>
      <c r="OBD79" s="1716"/>
      <c r="OBE79" s="1716"/>
      <c r="OBF79" s="244"/>
      <c r="OBG79" s="244" t="s">
        <v>68</v>
      </c>
      <c r="OBH79" s="245" t="s">
        <v>68</v>
      </c>
      <c r="OBI79" s="1715" t="s">
        <v>0</v>
      </c>
      <c r="OBJ79" s="1716"/>
      <c r="OBK79" s="1716"/>
      <c r="OBL79" s="1716"/>
      <c r="OBM79" s="1716"/>
      <c r="OBN79" s="244"/>
      <c r="OBO79" s="244" t="s">
        <v>68</v>
      </c>
      <c r="OBP79" s="245" t="s">
        <v>68</v>
      </c>
      <c r="OBQ79" s="1715" t="s">
        <v>0</v>
      </c>
      <c r="OBR79" s="1716"/>
      <c r="OBS79" s="1716"/>
      <c r="OBT79" s="1716"/>
      <c r="OBU79" s="1716"/>
      <c r="OBV79" s="244"/>
      <c r="OBW79" s="244" t="s">
        <v>68</v>
      </c>
      <c r="OBX79" s="245" t="s">
        <v>68</v>
      </c>
      <c r="OBY79" s="1715" t="s">
        <v>0</v>
      </c>
      <c r="OBZ79" s="1716"/>
      <c r="OCA79" s="1716"/>
      <c r="OCB79" s="1716"/>
      <c r="OCC79" s="1716"/>
      <c r="OCD79" s="244"/>
      <c r="OCE79" s="244" t="s">
        <v>68</v>
      </c>
      <c r="OCF79" s="245" t="s">
        <v>68</v>
      </c>
      <c r="OCG79" s="1715" t="s">
        <v>0</v>
      </c>
      <c r="OCH79" s="1716"/>
      <c r="OCI79" s="1716"/>
      <c r="OCJ79" s="1716"/>
      <c r="OCK79" s="1716"/>
      <c r="OCL79" s="244"/>
      <c r="OCM79" s="244" t="s">
        <v>68</v>
      </c>
      <c r="OCN79" s="245" t="s">
        <v>68</v>
      </c>
      <c r="OCO79" s="1715" t="s">
        <v>0</v>
      </c>
      <c r="OCP79" s="1716"/>
      <c r="OCQ79" s="1716"/>
      <c r="OCR79" s="1716"/>
      <c r="OCS79" s="1716"/>
      <c r="OCT79" s="244"/>
      <c r="OCU79" s="244" t="s">
        <v>68</v>
      </c>
      <c r="OCV79" s="245" t="s">
        <v>68</v>
      </c>
      <c r="OCW79" s="1715" t="s">
        <v>0</v>
      </c>
      <c r="OCX79" s="1716"/>
      <c r="OCY79" s="1716"/>
      <c r="OCZ79" s="1716"/>
      <c r="ODA79" s="1716"/>
      <c r="ODB79" s="244"/>
      <c r="ODC79" s="244" t="s">
        <v>68</v>
      </c>
      <c r="ODD79" s="245" t="s">
        <v>68</v>
      </c>
      <c r="ODE79" s="1715" t="s">
        <v>0</v>
      </c>
      <c r="ODF79" s="1716"/>
      <c r="ODG79" s="1716"/>
      <c r="ODH79" s="1716"/>
      <c r="ODI79" s="1716"/>
      <c r="ODJ79" s="244"/>
      <c r="ODK79" s="244" t="s">
        <v>68</v>
      </c>
      <c r="ODL79" s="245" t="s">
        <v>68</v>
      </c>
      <c r="ODM79" s="1715" t="s">
        <v>0</v>
      </c>
      <c r="ODN79" s="1716"/>
      <c r="ODO79" s="1716"/>
      <c r="ODP79" s="1716"/>
      <c r="ODQ79" s="1716"/>
      <c r="ODR79" s="244"/>
      <c r="ODS79" s="244" t="s">
        <v>68</v>
      </c>
      <c r="ODT79" s="245" t="s">
        <v>68</v>
      </c>
      <c r="ODU79" s="1715" t="s">
        <v>0</v>
      </c>
      <c r="ODV79" s="1716"/>
      <c r="ODW79" s="1716"/>
      <c r="ODX79" s="1716"/>
      <c r="ODY79" s="1716"/>
      <c r="ODZ79" s="244"/>
      <c r="OEA79" s="244" t="s">
        <v>68</v>
      </c>
      <c r="OEB79" s="245" t="s">
        <v>68</v>
      </c>
      <c r="OEC79" s="1715" t="s">
        <v>0</v>
      </c>
      <c r="OED79" s="1716"/>
      <c r="OEE79" s="1716"/>
      <c r="OEF79" s="1716"/>
      <c r="OEG79" s="1716"/>
      <c r="OEH79" s="244"/>
      <c r="OEI79" s="244" t="s">
        <v>68</v>
      </c>
      <c r="OEJ79" s="245" t="s">
        <v>68</v>
      </c>
      <c r="OEK79" s="1715" t="s">
        <v>0</v>
      </c>
      <c r="OEL79" s="1716"/>
      <c r="OEM79" s="1716"/>
      <c r="OEN79" s="1716"/>
      <c r="OEO79" s="1716"/>
      <c r="OEP79" s="244"/>
      <c r="OEQ79" s="244" t="s">
        <v>68</v>
      </c>
      <c r="OER79" s="245" t="s">
        <v>68</v>
      </c>
      <c r="OES79" s="1715" t="s">
        <v>0</v>
      </c>
      <c r="OET79" s="1716"/>
      <c r="OEU79" s="1716"/>
      <c r="OEV79" s="1716"/>
      <c r="OEW79" s="1716"/>
      <c r="OEX79" s="244"/>
      <c r="OEY79" s="244" t="s">
        <v>68</v>
      </c>
      <c r="OEZ79" s="245" t="s">
        <v>68</v>
      </c>
      <c r="OFA79" s="1715" t="s">
        <v>0</v>
      </c>
      <c r="OFB79" s="1716"/>
      <c r="OFC79" s="1716"/>
      <c r="OFD79" s="1716"/>
      <c r="OFE79" s="1716"/>
      <c r="OFF79" s="244"/>
      <c r="OFG79" s="244" t="s">
        <v>68</v>
      </c>
      <c r="OFH79" s="245" t="s">
        <v>68</v>
      </c>
      <c r="OFI79" s="1715" t="s">
        <v>0</v>
      </c>
      <c r="OFJ79" s="1716"/>
      <c r="OFK79" s="1716"/>
      <c r="OFL79" s="1716"/>
      <c r="OFM79" s="1716"/>
      <c r="OFN79" s="244"/>
      <c r="OFO79" s="244" t="s">
        <v>68</v>
      </c>
      <c r="OFP79" s="245" t="s">
        <v>68</v>
      </c>
      <c r="OFQ79" s="1715" t="s">
        <v>0</v>
      </c>
      <c r="OFR79" s="1716"/>
      <c r="OFS79" s="1716"/>
      <c r="OFT79" s="1716"/>
      <c r="OFU79" s="1716"/>
      <c r="OFV79" s="244"/>
      <c r="OFW79" s="244" t="s">
        <v>68</v>
      </c>
      <c r="OFX79" s="245" t="s">
        <v>68</v>
      </c>
      <c r="OFY79" s="1715" t="s">
        <v>0</v>
      </c>
      <c r="OFZ79" s="1716"/>
      <c r="OGA79" s="1716"/>
      <c r="OGB79" s="1716"/>
      <c r="OGC79" s="1716"/>
      <c r="OGD79" s="244"/>
      <c r="OGE79" s="244" t="s">
        <v>68</v>
      </c>
      <c r="OGF79" s="245" t="s">
        <v>68</v>
      </c>
      <c r="OGG79" s="1715" t="s">
        <v>0</v>
      </c>
      <c r="OGH79" s="1716"/>
      <c r="OGI79" s="1716"/>
      <c r="OGJ79" s="1716"/>
      <c r="OGK79" s="1716"/>
      <c r="OGL79" s="244"/>
      <c r="OGM79" s="244" t="s">
        <v>68</v>
      </c>
      <c r="OGN79" s="245" t="s">
        <v>68</v>
      </c>
      <c r="OGO79" s="1715" t="s">
        <v>0</v>
      </c>
      <c r="OGP79" s="1716"/>
      <c r="OGQ79" s="1716"/>
      <c r="OGR79" s="1716"/>
      <c r="OGS79" s="1716"/>
      <c r="OGT79" s="244"/>
      <c r="OGU79" s="244" t="s">
        <v>68</v>
      </c>
      <c r="OGV79" s="245" t="s">
        <v>68</v>
      </c>
      <c r="OGW79" s="1715" t="s">
        <v>0</v>
      </c>
      <c r="OGX79" s="1716"/>
      <c r="OGY79" s="1716"/>
      <c r="OGZ79" s="1716"/>
      <c r="OHA79" s="1716"/>
      <c r="OHB79" s="244"/>
      <c r="OHC79" s="244" t="s">
        <v>68</v>
      </c>
      <c r="OHD79" s="245" t="s">
        <v>68</v>
      </c>
      <c r="OHE79" s="1715" t="s">
        <v>0</v>
      </c>
      <c r="OHF79" s="1716"/>
      <c r="OHG79" s="1716"/>
      <c r="OHH79" s="1716"/>
      <c r="OHI79" s="1716"/>
      <c r="OHJ79" s="244"/>
      <c r="OHK79" s="244" t="s">
        <v>68</v>
      </c>
      <c r="OHL79" s="245" t="s">
        <v>68</v>
      </c>
      <c r="OHM79" s="1715" t="s">
        <v>0</v>
      </c>
      <c r="OHN79" s="1716"/>
      <c r="OHO79" s="1716"/>
      <c r="OHP79" s="1716"/>
      <c r="OHQ79" s="1716"/>
      <c r="OHR79" s="244"/>
      <c r="OHS79" s="244" t="s">
        <v>68</v>
      </c>
      <c r="OHT79" s="245" t="s">
        <v>68</v>
      </c>
      <c r="OHU79" s="1715" t="s">
        <v>0</v>
      </c>
      <c r="OHV79" s="1716"/>
      <c r="OHW79" s="1716"/>
      <c r="OHX79" s="1716"/>
      <c r="OHY79" s="1716"/>
      <c r="OHZ79" s="244"/>
      <c r="OIA79" s="244" t="s">
        <v>68</v>
      </c>
      <c r="OIB79" s="245" t="s">
        <v>68</v>
      </c>
      <c r="OIC79" s="1715" t="s">
        <v>0</v>
      </c>
      <c r="OID79" s="1716"/>
      <c r="OIE79" s="1716"/>
      <c r="OIF79" s="1716"/>
      <c r="OIG79" s="1716"/>
      <c r="OIH79" s="244"/>
      <c r="OII79" s="244" t="s">
        <v>68</v>
      </c>
      <c r="OIJ79" s="245" t="s">
        <v>68</v>
      </c>
      <c r="OIK79" s="1715" t="s">
        <v>0</v>
      </c>
      <c r="OIL79" s="1716"/>
      <c r="OIM79" s="1716"/>
      <c r="OIN79" s="1716"/>
      <c r="OIO79" s="1716"/>
      <c r="OIP79" s="244"/>
      <c r="OIQ79" s="244" t="s">
        <v>68</v>
      </c>
      <c r="OIR79" s="245" t="s">
        <v>68</v>
      </c>
      <c r="OIS79" s="1715" t="s">
        <v>0</v>
      </c>
      <c r="OIT79" s="1716"/>
      <c r="OIU79" s="1716"/>
      <c r="OIV79" s="1716"/>
      <c r="OIW79" s="1716"/>
      <c r="OIX79" s="244"/>
      <c r="OIY79" s="244" t="s">
        <v>68</v>
      </c>
      <c r="OIZ79" s="245" t="s">
        <v>68</v>
      </c>
      <c r="OJA79" s="1715" t="s">
        <v>0</v>
      </c>
      <c r="OJB79" s="1716"/>
      <c r="OJC79" s="1716"/>
      <c r="OJD79" s="1716"/>
      <c r="OJE79" s="1716"/>
      <c r="OJF79" s="244"/>
      <c r="OJG79" s="244" t="s">
        <v>68</v>
      </c>
      <c r="OJH79" s="245" t="s">
        <v>68</v>
      </c>
      <c r="OJI79" s="1715" t="s">
        <v>0</v>
      </c>
      <c r="OJJ79" s="1716"/>
      <c r="OJK79" s="1716"/>
      <c r="OJL79" s="1716"/>
      <c r="OJM79" s="1716"/>
      <c r="OJN79" s="244"/>
      <c r="OJO79" s="244" t="s">
        <v>68</v>
      </c>
      <c r="OJP79" s="245" t="s">
        <v>68</v>
      </c>
      <c r="OJQ79" s="1715" t="s">
        <v>0</v>
      </c>
      <c r="OJR79" s="1716"/>
      <c r="OJS79" s="1716"/>
      <c r="OJT79" s="1716"/>
      <c r="OJU79" s="1716"/>
      <c r="OJV79" s="244"/>
      <c r="OJW79" s="244" t="s">
        <v>68</v>
      </c>
      <c r="OJX79" s="245" t="s">
        <v>68</v>
      </c>
      <c r="OJY79" s="1715" t="s">
        <v>0</v>
      </c>
      <c r="OJZ79" s="1716"/>
      <c r="OKA79" s="1716"/>
      <c r="OKB79" s="1716"/>
      <c r="OKC79" s="1716"/>
      <c r="OKD79" s="244"/>
      <c r="OKE79" s="244" t="s">
        <v>68</v>
      </c>
      <c r="OKF79" s="245" t="s">
        <v>68</v>
      </c>
      <c r="OKG79" s="1715" t="s">
        <v>0</v>
      </c>
      <c r="OKH79" s="1716"/>
      <c r="OKI79" s="1716"/>
      <c r="OKJ79" s="1716"/>
      <c r="OKK79" s="1716"/>
      <c r="OKL79" s="244"/>
      <c r="OKM79" s="244" t="s">
        <v>68</v>
      </c>
      <c r="OKN79" s="245" t="s">
        <v>68</v>
      </c>
      <c r="OKO79" s="1715" t="s">
        <v>0</v>
      </c>
      <c r="OKP79" s="1716"/>
      <c r="OKQ79" s="1716"/>
      <c r="OKR79" s="1716"/>
      <c r="OKS79" s="1716"/>
      <c r="OKT79" s="244"/>
      <c r="OKU79" s="244" t="s">
        <v>68</v>
      </c>
      <c r="OKV79" s="245" t="s">
        <v>68</v>
      </c>
      <c r="OKW79" s="1715" t="s">
        <v>0</v>
      </c>
      <c r="OKX79" s="1716"/>
      <c r="OKY79" s="1716"/>
      <c r="OKZ79" s="1716"/>
      <c r="OLA79" s="1716"/>
      <c r="OLB79" s="244"/>
      <c r="OLC79" s="244" t="s">
        <v>68</v>
      </c>
      <c r="OLD79" s="245" t="s">
        <v>68</v>
      </c>
      <c r="OLE79" s="1715" t="s">
        <v>0</v>
      </c>
      <c r="OLF79" s="1716"/>
      <c r="OLG79" s="1716"/>
      <c r="OLH79" s="1716"/>
      <c r="OLI79" s="1716"/>
      <c r="OLJ79" s="244"/>
      <c r="OLK79" s="244" t="s">
        <v>68</v>
      </c>
      <c r="OLL79" s="245" t="s">
        <v>68</v>
      </c>
      <c r="OLM79" s="1715" t="s">
        <v>0</v>
      </c>
      <c r="OLN79" s="1716"/>
      <c r="OLO79" s="1716"/>
      <c r="OLP79" s="1716"/>
      <c r="OLQ79" s="1716"/>
      <c r="OLR79" s="244"/>
      <c r="OLS79" s="244" t="s">
        <v>68</v>
      </c>
      <c r="OLT79" s="245" t="s">
        <v>68</v>
      </c>
      <c r="OLU79" s="1715" t="s">
        <v>0</v>
      </c>
      <c r="OLV79" s="1716"/>
      <c r="OLW79" s="1716"/>
      <c r="OLX79" s="1716"/>
      <c r="OLY79" s="1716"/>
      <c r="OLZ79" s="244"/>
      <c r="OMA79" s="244" t="s">
        <v>68</v>
      </c>
      <c r="OMB79" s="245" t="s">
        <v>68</v>
      </c>
      <c r="OMC79" s="1715" t="s">
        <v>0</v>
      </c>
      <c r="OMD79" s="1716"/>
      <c r="OME79" s="1716"/>
      <c r="OMF79" s="1716"/>
      <c r="OMG79" s="1716"/>
      <c r="OMH79" s="244"/>
      <c r="OMI79" s="244" t="s">
        <v>68</v>
      </c>
      <c r="OMJ79" s="245" t="s">
        <v>68</v>
      </c>
      <c r="OMK79" s="1715" t="s">
        <v>0</v>
      </c>
      <c r="OML79" s="1716"/>
      <c r="OMM79" s="1716"/>
      <c r="OMN79" s="1716"/>
      <c r="OMO79" s="1716"/>
      <c r="OMP79" s="244"/>
      <c r="OMQ79" s="244" t="s">
        <v>68</v>
      </c>
      <c r="OMR79" s="245" t="s">
        <v>68</v>
      </c>
      <c r="OMS79" s="1715" t="s">
        <v>0</v>
      </c>
      <c r="OMT79" s="1716"/>
      <c r="OMU79" s="1716"/>
      <c r="OMV79" s="1716"/>
      <c r="OMW79" s="1716"/>
      <c r="OMX79" s="244"/>
      <c r="OMY79" s="244" t="s">
        <v>68</v>
      </c>
      <c r="OMZ79" s="245" t="s">
        <v>68</v>
      </c>
      <c r="ONA79" s="1715" t="s">
        <v>0</v>
      </c>
      <c r="ONB79" s="1716"/>
      <c r="ONC79" s="1716"/>
      <c r="OND79" s="1716"/>
      <c r="ONE79" s="1716"/>
      <c r="ONF79" s="244"/>
      <c r="ONG79" s="244" t="s">
        <v>68</v>
      </c>
      <c r="ONH79" s="245" t="s">
        <v>68</v>
      </c>
      <c r="ONI79" s="1715" t="s">
        <v>0</v>
      </c>
      <c r="ONJ79" s="1716"/>
      <c r="ONK79" s="1716"/>
      <c r="ONL79" s="1716"/>
      <c r="ONM79" s="1716"/>
      <c r="ONN79" s="244"/>
      <c r="ONO79" s="244" t="s">
        <v>68</v>
      </c>
      <c r="ONP79" s="245" t="s">
        <v>68</v>
      </c>
      <c r="ONQ79" s="1715" t="s">
        <v>0</v>
      </c>
      <c r="ONR79" s="1716"/>
      <c r="ONS79" s="1716"/>
      <c r="ONT79" s="1716"/>
      <c r="ONU79" s="1716"/>
      <c r="ONV79" s="244"/>
      <c r="ONW79" s="244" t="s">
        <v>68</v>
      </c>
      <c r="ONX79" s="245" t="s">
        <v>68</v>
      </c>
      <c r="ONY79" s="1715" t="s">
        <v>0</v>
      </c>
      <c r="ONZ79" s="1716"/>
      <c r="OOA79" s="1716"/>
      <c r="OOB79" s="1716"/>
      <c r="OOC79" s="1716"/>
      <c r="OOD79" s="244"/>
      <c r="OOE79" s="244" t="s">
        <v>68</v>
      </c>
      <c r="OOF79" s="245" t="s">
        <v>68</v>
      </c>
      <c r="OOG79" s="1715" t="s">
        <v>0</v>
      </c>
      <c r="OOH79" s="1716"/>
      <c r="OOI79" s="1716"/>
      <c r="OOJ79" s="1716"/>
      <c r="OOK79" s="1716"/>
      <c r="OOL79" s="244"/>
      <c r="OOM79" s="244" t="s">
        <v>68</v>
      </c>
      <c r="OON79" s="245" t="s">
        <v>68</v>
      </c>
      <c r="OOO79" s="1715" t="s">
        <v>0</v>
      </c>
      <c r="OOP79" s="1716"/>
      <c r="OOQ79" s="1716"/>
      <c r="OOR79" s="1716"/>
      <c r="OOS79" s="1716"/>
      <c r="OOT79" s="244"/>
      <c r="OOU79" s="244" t="s">
        <v>68</v>
      </c>
      <c r="OOV79" s="245" t="s">
        <v>68</v>
      </c>
      <c r="OOW79" s="1715" t="s">
        <v>0</v>
      </c>
      <c r="OOX79" s="1716"/>
      <c r="OOY79" s="1716"/>
      <c r="OOZ79" s="1716"/>
      <c r="OPA79" s="1716"/>
      <c r="OPB79" s="244"/>
      <c r="OPC79" s="244" t="s">
        <v>68</v>
      </c>
      <c r="OPD79" s="245" t="s">
        <v>68</v>
      </c>
      <c r="OPE79" s="1715" t="s">
        <v>0</v>
      </c>
      <c r="OPF79" s="1716"/>
      <c r="OPG79" s="1716"/>
      <c r="OPH79" s="1716"/>
      <c r="OPI79" s="1716"/>
      <c r="OPJ79" s="244"/>
      <c r="OPK79" s="244" t="s">
        <v>68</v>
      </c>
      <c r="OPL79" s="245" t="s">
        <v>68</v>
      </c>
      <c r="OPM79" s="1715" t="s">
        <v>0</v>
      </c>
      <c r="OPN79" s="1716"/>
      <c r="OPO79" s="1716"/>
      <c r="OPP79" s="1716"/>
      <c r="OPQ79" s="1716"/>
      <c r="OPR79" s="244"/>
      <c r="OPS79" s="244" t="s">
        <v>68</v>
      </c>
      <c r="OPT79" s="245" t="s">
        <v>68</v>
      </c>
      <c r="OPU79" s="1715" t="s">
        <v>0</v>
      </c>
      <c r="OPV79" s="1716"/>
      <c r="OPW79" s="1716"/>
      <c r="OPX79" s="1716"/>
      <c r="OPY79" s="1716"/>
      <c r="OPZ79" s="244"/>
      <c r="OQA79" s="244" t="s">
        <v>68</v>
      </c>
      <c r="OQB79" s="245" t="s">
        <v>68</v>
      </c>
      <c r="OQC79" s="1715" t="s">
        <v>0</v>
      </c>
      <c r="OQD79" s="1716"/>
      <c r="OQE79" s="1716"/>
      <c r="OQF79" s="1716"/>
      <c r="OQG79" s="1716"/>
      <c r="OQH79" s="244"/>
      <c r="OQI79" s="244" t="s">
        <v>68</v>
      </c>
      <c r="OQJ79" s="245" t="s">
        <v>68</v>
      </c>
      <c r="OQK79" s="1715" t="s">
        <v>0</v>
      </c>
      <c r="OQL79" s="1716"/>
      <c r="OQM79" s="1716"/>
      <c r="OQN79" s="1716"/>
      <c r="OQO79" s="1716"/>
      <c r="OQP79" s="244"/>
      <c r="OQQ79" s="244" t="s">
        <v>68</v>
      </c>
      <c r="OQR79" s="245" t="s">
        <v>68</v>
      </c>
      <c r="OQS79" s="1715" t="s">
        <v>0</v>
      </c>
      <c r="OQT79" s="1716"/>
      <c r="OQU79" s="1716"/>
      <c r="OQV79" s="1716"/>
      <c r="OQW79" s="1716"/>
      <c r="OQX79" s="244"/>
      <c r="OQY79" s="244" t="s">
        <v>68</v>
      </c>
      <c r="OQZ79" s="245" t="s">
        <v>68</v>
      </c>
      <c r="ORA79" s="1715" t="s">
        <v>0</v>
      </c>
      <c r="ORB79" s="1716"/>
      <c r="ORC79" s="1716"/>
      <c r="ORD79" s="1716"/>
      <c r="ORE79" s="1716"/>
      <c r="ORF79" s="244"/>
      <c r="ORG79" s="244" t="s">
        <v>68</v>
      </c>
      <c r="ORH79" s="245" t="s">
        <v>68</v>
      </c>
      <c r="ORI79" s="1715" t="s">
        <v>0</v>
      </c>
      <c r="ORJ79" s="1716"/>
      <c r="ORK79" s="1716"/>
      <c r="ORL79" s="1716"/>
      <c r="ORM79" s="1716"/>
      <c r="ORN79" s="244"/>
      <c r="ORO79" s="244" t="s">
        <v>68</v>
      </c>
      <c r="ORP79" s="245" t="s">
        <v>68</v>
      </c>
      <c r="ORQ79" s="1715" t="s">
        <v>0</v>
      </c>
      <c r="ORR79" s="1716"/>
      <c r="ORS79" s="1716"/>
      <c r="ORT79" s="1716"/>
      <c r="ORU79" s="1716"/>
      <c r="ORV79" s="244"/>
      <c r="ORW79" s="244" t="s">
        <v>68</v>
      </c>
      <c r="ORX79" s="245" t="s">
        <v>68</v>
      </c>
      <c r="ORY79" s="1715" t="s">
        <v>0</v>
      </c>
      <c r="ORZ79" s="1716"/>
      <c r="OSA79" s="1716"/>
      <c r="OSB79" s="1716"/>
      <c r="OSC79" s="1716"/>
      <c r="OSD79" s="244"/>
      <c r="OSE79" s="244" t="s">
        <v>68</v>
      </c>
      <c r="OSF79" s="245" t="s">
        <v>68</v>
      </c>
      <c r="OSG79" s="1715" t="s">
        <v>0</v>
      </c>
      <c r="OSH79" s="1716"/>
      <c r="OSI79" s="1716"/>
      <c r="OSJ79" s="1716"/>
      <c r="OSK79" s="1716"/>
      <c r="OSL79" s="244"/>
      <c r="OSM79" s="244" t="s">
        <v>68</v>
      </c>
      <c r="OSN79" s="245" t="s">
        <v>68</v>
      </c>
      <c r="OSO79" s="1715" t="s">
        <v>0</v>
      </c>
      <c r="OSP79" s="1716"/>
      <c r="OSQ79" s="1716"/>
      <c r="OSR79" s="1716"/>
      <c r="OSS79" s="1716"/>
      <c r="OST79" s="244"/>
      <c r="OSU79" s="244" t="s">
        <v>68</v>
      </c>
      <c r="OSV79" s="245" t="s">
        <v>68</v>
      </c>
      <c r="OSW79" s="1715" t="s">
        <v>0</v>
      </c>
      <c r="OSX79" s="1716"/>
      <c r="OSY79" s="1716"/>
      <c r="OSZ79" s="1716"/>
      <c r="OTA79" s="1716"/>
      <c r="OTB79" s="244"/>
      <c r="OTC79" s="244" t="s">
        <v>68</v>
      </c>
      <c r="OTD79" s="245" t="s">
        <v>68</v>
      </c>
      <c r="OTE79" s="1715" t="s">
        <v>0</v>
      </c>
      <c r="OTF79" s="1716"/>
      <c r="OTG79" s="1716"/>
      <c r="OTH79" s="1716"/>
      <c r="OTI79" s="1716"/>
      <c r="OTJ79" s="244"/>
      <c r="OTK79" s="244" t="s">
        <v>68</v>
      </c>
      <c r="OTL79" s="245" t="s">
        <v>68</v>
      </c>
      <c r="OTM79" s="1715" t="s">
        <v>0</v>
      </c>
      <c r="OTN79" s="1716"/>
      <c r="OTO79" s="1716"/>
      <c r="OTP79" s="1716"/>
      <c r="OTQ79" s="1716"/>
      <c r="OTR79" s="244"/>
      <c r="OTS79" s="244" t="s">
        <v>68</v>
      </c>
      <c r="OTT79" s="245" t="s">
        <v>68</v>
      </c>
      <c r="OTU79" s="1715" t="s">
        <v>0</v>
      </c>
      <c r="OTV79" s="1716"/>
      <c r="OTW79" s="1716"/>
      <c r="OTX79" s="1716"/>
      <c r="OTY79" s="1716"/>
      <c r="OTZ79" s="244"/>
      <c r="OUA79" s="244" t="s">
        <v>68</v>
      </c>
      <c r="OUB79" s="245" t="s">
        <v>68</v>
      </c>
      <c r="OUC79" s="1715" t="s">
        <v>0</v>
      </c>
      <c r="OUD79" s="1716"/>
      <c r="OUE79" s="1716"/>
      <c r="OUF79" s="1716"/>
      <c r="OUG79" s="1716"/>
      <c r="OUH79" s="244"/>
      <c r="OUI79" s="244" t="s">
        <v>68</v>
      </c>
      <c r="OUJ79" s="245" t="s">
        <v>68</v>
      </c>
      <c r="OUK79" s="1715" t="s">
        <v>0</v>
      </c>
      <c r="OUL79" s="1716"/>
      <c r="OUM79" s="1716"/>
      <c r="OUN79" s="1716"/>
      <c r="OUO79" s="1716"/>
      <c r="OUP79" s="244"/>
      <c r="OUQ79" s="244" t="s">
        <v>68</v>
      </c>
      <c r="OUR79" s="245" t="s">
        <v>68</v>
      </c>
      <c r="OUS79" s="1715" t="s">
        <v>0</v>
      </c>
      <c r="OUT79" s="1716"/>
      <c r="OUU79" s="1716"/>
      <c r="OUV79" s="1716"/>
      <c r="OUW79" s="1716"/>
      <c r="OUX79" s="244"/>
      <c r="OUY79" s="244" t="s">
        <v>68</v>
      </c>
      <c r="OUZ79" s="245" t="s">
        <v>68</v>
      </c>
      <c r="OVA79" s="1715" t="s">
        <v>0</v>
      </c>
      <c r="OVB79" s="1716"/>
      <c r="OVC79" s="1716"/>
      <c r="OVD79" s="1716"/>
      <c r="OVE79" s="1716"/>
      <c r="OVF79" s="244"/>
      <c r="OVG79" s="244" t="s">
        <v>68</v>
      </c>
      <c r="OVH79" s="245" t="s">
        <v>68</v>
      </c>
      <c r="OVI79" s="1715" t="s">
        <v>0</v>
      </c>
      <c r="OVJ79" s="1716"/>
      <c r="OVK79" s="1716"/>
      <c r="OVL79" s="1716"/>
      <c r="OVM79" s="1716"/>
      <c r="OVN79" s="244"/>
      <c r="OVO79" s="244" t="s">
        <v>68</v>
      </c>
      <c r="OVP79" s="245" t="s">
        <v>68</v>
      </c>
      <c r="OVQ79" s="1715" t="s">
        <v>0</v>
      </c>
      <c r="OVR79" s="1716"/>
      <c r="OVS79" s="1716"/>
      <c r="OVT79" s="1716"/>
      <c r="OVU79" s="1716"/>
      <c r="OVV79" s="244"/>
      <c r="OVW79" s="244" t="s">
        <v>68</v>
      </c>
      <c r="OVX79" s="245" t="s">
        <v>68</v>
      </c>
      <c r="OVY79" s="1715" t="s">
        <v>0</v>
      </c>
      <c r="OVZ79" s="1716"/>
      <c r="OWA79" s="1716"/>
      <c r="OWB79" s="1716"/>
      <c r="OWC79" s="1716"/>
      <c r="OWD79" s="244"/>
      <c r="OWE79" s="244" t="s">
        <v>68</v>
      </c>
      <c r="OWF79" s="245" t="s">
        <v>68</v>
      </c>
      <c r="OWG79" s="1715" t="s">
        <v>0</v>
      </c>
      <c r="OWH79" s="1716"/>
      <c r="OWI79" s="1716"/>
      <c r="OWJ79" s="1716"/>
      <c r="OWK79" s="1716"/>
      <c r="OWL79" s="244"/>
      <c r="OWM79" s="244" t="s">
        <v>68</v>
      </c>
      <c r="OWN79" s="245" t="s">
        <v>68</v>
      </c>
      <c r="OWO79" s="1715" t="s">
        <v>0</v>
      </c>
      <c r="OWP79" s="1716"/>
      <c r="OWQ79" s="1716"/>
      <c r="OWR79" s="1716"/>
      <c r="OWS79" s="1716"/>
      <c r="OWT79" s="244"/>
      <c r="OWU79" s="244" t="s">
        <v>68</v>
      </c>
      <c r="OWV79" s="245" t="s">
        <v>68</v>
      </c>
      <c r="OWW79" s="1715" t="s">
        <v>0</v>
      </c>
      <c r="OWX79" s="1716"/>
      <c r="OWY79" s="1716"/>
      <c r="OWZ79" s="1716"/>
      <c r="OXA79" s="1716"/>
      <c r="OXB79" s="244"/>
      <c r="OXC79" s="244" t="s">
        <v>68</v>
      </c>
      <c r="OXD79" s="245" t="s">
        <v>68</v>
      </c>
      <c r="OXE79" s="1715" t="s">
        <v>0</v>
      </c>
      <c r="OXF79" s="1716"/>
      <c r="OXG79" s="1716"/>
      <c r="OXH79" s="1716"/>
      <c r="OXI79" s="1716"/>
      <c r="OXJ79" s="244"/>
      <c r="OXK79" s="244" t="s">
        <v>68</v>
      </c>
      <c r="OXL79" s="245" t="s">
        <v>68</v>
      </c>
      <c r="OXM79" s="1715" t="s">
        <v>0</v>
      </c>
      <c r="OXN79" s="1716"/>
      <c r="OXO79" s="1716"/>
      <c r="OXP79" s="1716"/>
      <c r="OXQ79" s="1716"/>
      <c r="OXR79" s="244"/>
      <c r="OXS79" s="244" t="s">
        <v>68</v>
      </c>
      <c r="OXT79" s="245" t="s">
        <v>68</v>
      </c>
      <c r="OXU79" s="1715" t="s">
        <v>0</v>
      </c>
      <c r="OXV79" s="1716"/>
      <c r="OXW79" s="1716"/>
      <c r="OXX79" s="1716"/>
      <c r="OXY79" s="1716"/>
      <c r="OXZ79" s="244"/>
      <c r="OYA79" s="244" t="s">
        <v>68</v>
      </c>
      <c r="OYB79" s="245" t="s">
        <v>68</v>
      </c>
      <c r="OYC79" s="1715" t="s">
        <v>0</v>
      </c>
      <c r="OYD79" s="1716"/>
      <c r="OYE79" s="1716"/>
      <c r="OYF79" s="1716"/>
      <c r="OYG79" s="1716"/>
      <c r="OYH79" s="244"/>
      <c r="OYI79" s="244" t="s">
        <v>68</v>
      </c>
      <c r="OYJ79" s="245" t="s">
        <v>68</v>
      </c>
      <c r="OYK79" s="1715" t="s">
        <v>0</v>
      </c>
      <c r="OYL79" s="1716"/>
      <c r="OYM79" s="1716"/>
      <c r="OYN79" s="1716"/>
      <c r="OYO79" s="1716"/>
      <c r="OYP79" s="244"/>
      <c r="OYQ79" s="244" t="s">
        <v>68</v>
      </c>
      <c r="OYR79" s="245" t="s">
        <v>68</v>
      </c>
      <c r="OYS79" s="1715" t="s">
        <v>0</v>
      </c>
      <c r="OYT79" s="1716"/>
      <c r="OYU79" s="1716"/>
      <c r="OYV79" s="1716"/>
      <c r="OYW79" s="1716"/>
      <c r="OYX79" s="244"/>
      <c r="OYY79" s="244" t="s">
        <v>68</v>
      </c>
      <c r="OYZ79" s="245" t="s">
        <v>68</v>
      </c>
      <c r="OZA79" s="1715" t="s">
        <v>0</v>
      </c>
      <c r="OZB79" s="1716"/>
      <c r="OZC79" s="1716"/>
      <c r="OZD79" s="1716"/>
      <c r="OZE79" s="1716"/>
      <c r="OZF79" s="244"/>
      <c r="OZG79" s="244" t="s">
        <v>68</v>
      </c>
      <c r="OZH79" s="245" t="s">
        <v>68</v>
      </c>
      <c r="OZI79" s="1715" t="s">
        <v>0</v>
      </c>
      <c r="OZJ79" s="1716"/>
      <c r="OZK79" s="1716"/>
      <c r="OZL79" s="1716"/>
      <c r="OZM79" s="1716"/>
      <c r="OZN79" s="244"/>
      <c r="OZO79" s="244" t="s">
        <v>68</v>
      </c>
      <c r="OZP79" s="245" t="s">
        <v>68</v>
      </c>
      <c r="OZQ79" s="1715" t="s">
        <v>0</v>
      </c>
      <c r="OZR79" s="1716"/>
      <c r="OZS79" s="1716"/>
      <c r="OZT79" s="1716"/>
      <c r="OZU79" s="1716"/>
      <c r="OZV79" s="244"/>
      <c r="OZW79" s="244" t="s">
        <v>68</v>
      </c>
      <c r="OZX79" s="245" t="s">
        <v>68</v>
      </c>
      <c r="OZY79" s="1715" t="s">
        <v>0</v>
      </c>
      <c r="OZZ79" s="1716"/>
      <c r="PAA79" s="1716"/>
      <c r="PAB79" s="1716"/>
      <c r="PAC79" s="1716"/>
      <c r="PAD79" s="244"/>
      <c r="PAE79" s="244" t="s">
        <v>68</v>
      </c>
      <c r="PAF79" s="245" t="s">
        <v>68</v>
      </c>
      <c r="PAG79" s="1715" t="s">
        <v>0</v>
      </c>
      <c r="PAH79" s="1716"/>
      <c r="PAI79" s="1716"/>
      <c r="PAJ79" s="1716"/>
      <c r="PAK79" s="1716"/>
      <c r="PAL79" s="244"/>
      <c r="PAM79" s="244" t="s">
        <v>68</v>
      </c>
      <c r="PAN79" s="245" t="s">
        <v>68</v>
      </c>
      <c r="PAO79" s="1715" t="s">
        <v>0</v>
      </c>
      <c r="PAP79" s="1716"/>
      <c r="PAQ79" s="1716"/>
      <c r="PAR79" s="1716"/>
      <c r="PAS79" s="1716"/>
      <c r="PAT79" s="244"/>
      <c r="PAU79" s="244" t="s">
        <v>68</v>
      </c>
      <c r="PAV79" s="245" t="s">
        <v>68</v>
      </c>
      <c r="PAW79" s="1715" t="s">
        <v>0</v>
      </c>
      <c r="PAX79" s="1716"/>
      <c r="PAY79" s="1716"/>
      <c r="PAZ79" s="1716"/>
      <c r="PBA79" s="1716"/>
      <c r="PBB79" s="244"/>
      <c r="PBC79" s="244" t="s">
        <v>68</v>
      </c>
      <c r="PBD79" s="245" t="s">
        <v>68</v>
      </c>
      <c r="PBE79" s="1715" t="s">
        <v>0</v>
      </c>
      <c r="PBF79" s="1716"/>
      <c r="PBG79" s="1716"/>
      <c r="PBH79" s="1716"/>
      <c r="PBI79" s="1716"/>
      <c r="PBJ79" s="244"/>
      <c r="PBK79" s="244" t="s">
        <v>68</v>
      </c>
      <c r="PBL79" s="245" t="s">
        <v>68</v>
      </c>
      <c r="PBM79" s="1715" t="s">
        <v>0</v>
      </c>
      <c r="PBN79" s="1716"/>
      <c r="PBO79" s="1716"/>
      <c r="PBP79" s="1716"/>
      <c r="PBQ79" s="1716"/>
      <c r="PBR79" s="244"/>
      <c r="PBS79" s="244" t="s">
        <v>68</v>
      </c>
      <c r="PBT79" s="245" t="s">
        <v>68</v>
      </c>
      <c r="PBU79" s="1715" t="s">
        <v>0</v>
      </c>
      <c r="PBV79" s="1716"/>
      <c r="PBW79" s="1716"/>
      <c r="PBX79" s="1716"/>
      <c r="PBY79" s="1716"/>
      <c r="PBZ79" s="244"/>
      <c r="PCA79" s="244" t="s">
        <v>68</v>
      </c>
      <c r="PCB79" s="245" t="s">
        <v>68</v>
      </c>
      <c r="PCC79" s="1715" t="s">
        <v>0</v>
      </c>
      <c r="PCD79" s="1716"/>
      <c r="PCE79" s="1716"/>
      <c r="PCF79" s="1716"/>
      <c r="PCG79" s="1716"/>
      <c r="PCH79" s="244"/>
      <c r="PCI79" s="244" t="s">
        <v>68</v>
      </c>
      <c r="PCJ79" s="245" t="s">
        <v>68</v>
      </c>
      <c r="PCK79" s="1715" t="s">
        <v>0</v>
      </c>
      <c r="PCL79" s="1716"/>
      <c r="PCM79" s="1716"/>
      <c r="PCN79" s="1716"/>
      <c r="PCO79" s="1716"/>
      <c r="PCP79" s="244"/>
      <c r="PCQ79" s="244" t="s">
        <v>68</v>
      </c>
      <c r="PCR79" s="245" t="s">
        <v>68</v>
      </c>
      <c r="PCS79" s="1715" t="s">
        <v>0</v>
      </c>
      <c r="PCT79" s="1716"/>
      <c r="PCU79" s="1716"/>
      <c r="PCV79" s="1716"/>
      <c r="PCW79" s="1716"/>
      <c r="PCX79" s="244"/>
      <c r="PCY79" s="244" t="s">
        <v>68</v>
      </c>
      <c r="PCZ79" s="245" t="s">
        <v>68</v>
      </c>
      <c r="PDA79" s="1715" t="s">
        <v>0</v>
      </c>
      <c r="PDB79" s="1716"/>
      <c r="PDC79" s="1716"/>
      <c r="PDD79" s="1716"/>
      <c r="PDE79" s="1716"/>
      <c r="PDF79" s="244"/>
      <c r="PDG79" s="244" t="s">
        <v>68</v>
      </c>
      <c r="PDH79" s="245" t="s">
        <v>68</v>
      </c>
      <c r="PDI79" s="1715" t="s">
        <v>0</v>
      </c>
      <c r="PDJ79" s="1716"/>
      <c r="PDK79" s="1716"/>
      <c r="PDL79" s="1716"/>
      <c r="PDM79" s="1716"/>
      <c r="PDN79" s="244"/>
      <c r="PDO79" s="244" t="s">
        <v>68</v>
      </c>
      <c r="PDP79" s="245" t="s">
        <v>68</v>
      </c>
      <c r="PDQ79" s="1715" t="s">
        <v>0</v>
      </c>
      <c r="PDR79" s="1716"/>
      <c r="PDS79" s="1716"/>
      <c r="PDT79" s="1716"/>
      <c r="PDU79" s="1716"/>
      <c r="PDV79" s="244"/>
      <c r="PDW79" s="244" t="s">
        <v>68</v>
      </c>
      <c r="PDX79" s="245" t="s">
        <v>68</v>
      </c>
      <c r="PDY79" s="1715" t="s">
        <v>0</v>
      </c>
      <c r="PDZ79" s="1716"/>
      <c r="PEA79" s="1716"/>
      <c r="PEB79" s="1716"/>
      <c r="PEC79" s="1716"/>
      <c r="PED79" s="244"/>
      <c r="PEE79" s="244" t="s">
        <v>68</v>
      </c>
      <c r="PEF79" s="245" t="s">
        <v>68</v>
      </c>
      <c r="PEG79" s="1715" t="s">
        <v>0</v>
      </c>
      <c r="PEH79" s="1716"/>
      <c r="PEI79" s="1716"/>
      <c r="PEJ79" s="1716"/>
      <c r="PEK79" s="1716"/>
      <c r="PEL79" s="244"/>
      <c r="PEM79" s="244" t="s">
        <v>68</v>
      </c>
      <c r="PEN79" s="245" t="s">
        <v>68</v>
      </c>
      <c r="PEO79" s="1715" t="s">
        <v>0</v>
      </c>
      <c r="PEP79" s="1716"/>
      <c r="PEQ79" s="1716"/>
      <c r="PER79" s="1716"/>
      <c r="PES79" s="1716"/>
      <c r="PET79" s="244"/>
      <c r="PEU79" s="244" t="s">
        <v>68</v>
      </c>
      <c r="PEV79" s="245" t="s">
        <v>68</v>
      </c>
      <c r="PEW79" s="1715" t="s">
        <v>0</v>
      </c>
      <c r="PEX79" s="1716"/>
      <c r="PEY79" s="1716"/>
      <c r="PEZ79" s="1716"/>
      <c r="PFA79" s="1716"/>
      <c r="PFB79" s="244"/>
      <c r="PFC79" s="244" t="s">
        <v>68</v>
      </c>
      <c r="PFD79" s="245" t="s">
        <v>68</v>
      </c>
      <c r="PFE79" s="1715" t="s">
        <v>0</v>
      </c>
      <c r="PFF79" s="1716"/>
      <c r="PFG79" s="1716"/>
      <c r="PFH79" s="1716"/>
      <c r="PFI79" s="1716"/>
      <c r="PFJ79" s="244"/>
      <c r="PFK79" s="244" t="s">
        <v>68</v>
      </c>
      <c r="PFL79" s="245" t="s">
        <v>68</v>
      </c>
      <c r="PFM79" s="1715" t="s">
        <v>0</v>
      </c>
      <c r="PFN79" s="1716"/>
      <c r="PFO79" s="1716"/>
      <c r="PFP79" s="1716"/>
      <c r="PFQ79" s="1716"/>
      <c r="PFR79" s="244"/>
      <c r="PFS79" s="244" t="s">
        <v>68</v>
      </c>
      <c r="PFT79" s="245" t="s">
        <v>68</v>
      </c>
      <c r="PFU79" s="1715" t="s">
        <v>0</v>
      </c>
      <c r="PFV79" s="1716"/>
      <c r="PFW79" s="1716"/>
      <c r="PFX79" s="1716"/>
      <c r="PFY79" s="1716"/>
      <c r="PFZ79" s="244"/>
      <c r="PGA79" s="244" t="s">
        <v>68</v>
      </c>
      <c r="PGB79" s="245" t="s">
        <v>68</v>
      </c>
      <c r="PGC79" s="1715" t="s">
        <v>0</v>
      </c>
      <c r="PGD79" s="1716"/>
      <c r="PGE79" s="1716"/>
      <c r="PGF79" s="1716"/>
      <c r="PGG79" s="1716"/>
      <c r="PGH79" s="244"/>
      <c r="PGI79" s="244" t="s">
        <v>68</v>
      </c>
      <c r="PGJ79" s="245" t="s">
        <v>68</v>
      </c>
      <c r="PGK79" s="1715" t="s">
        <v>0</v>
      </c>
      <c r="PGL79" s="1716"/>
      <c r="PGM79" s="1716"/>
      <c r="PGN79" s="1716"/>
      <c r="PGO79" s="1716"/>
      <c r="PGP79" s="244"/>
      <c r="PGQ79" s="244" t="s">
        <v>68</v>
      </c>
      <c r="PGR79" s="245" t="s">
        <v>68</v>
      </c>
      <c r="PGS79" s="1715" t="s">
        <v>0</v>
      </c>
      <c r="PGT79" s="1716"/>
      <c r="PGU79" s="1716"/>
      <c r="PGV79" s="1716"/>
      <c r="PGW79" s="1716"/>
      <c r="PGX79" s="244"/>
      <c r="PGY79" s="244" t="s">
        <v>68</v>
      </c>
      <c r="PGZ79" s="245" t="s">
        <v>68</v>
      </c>
      <c r="PHA79" s="1715" t="s">
        <v>0</v>
      </c>
      <c r="PHB79" s="1716"/>
      <c r="PHC79" s="1716"/>
      <c r="PHD79" s="1716"/>
      <c r="PHE79" s="1716"/>
      <c r="PHF79" s="244"/>
      <c r="PHG79" s="244" t="s">
        <v>68</v>
      </c>
      <c r="PHH79" s="245" t="s">
        <v>68</v>
      </c>
      <c r="PHI79" s="1715" t="s">
        <v>0</v>
      </c>
      <c r="PHJ79" s="1716"/>
      <c r="PHK79" s="1716"/>
      <c r="PHL79" s="1716"/>
      <c r="PHM79" s="1716"/>
      <c r="PHN79" s="244"/>
      <c r="PHO79" s="244" t="s">
        <v>68</v>
      </c>
      <c r="PHP79" s="245" t="s">
        <v>68</v>
      </c>
      <c r="PHQ79" s="1715" t="s">
        <v>0</v>
      </c>
      <c r="PHR79" s="1716"/>
      <c r="PHS79" s="1716"/>
      <c r="PHT79" s="1716"/>
      <c r="PHU79" s="1716"/>
      <c r="PHV79" s="244"/>
      <c r="PHW79" s="244" t="s">
        <v>68</v>
      </c>
      <c r="PHX79" s="245" t="s">
        <v>68</v>
      </c>
      <c r="PHY79" s="1715" t="s">
        <v>0</v>
      </c>
      <c r="PHZ79" s="1716"/>
      <c r="PIA79" s="1716"/>
      <c r="PIB79" s="1716"/>
      <c r="PIC79" s="1716"/>
      <c r="PID79" s="244"/>
      <c r="PIE79" s="244" t="s">
        <v>68</v>
      </c>
      <c r="PIF79" s="245" t="s">
        <v>68</v>
      </c>
      <c r="PIG79" s="1715" t="s">
        <v>0</v>
      </c>
      <c r="PIH79" s="1716"/>
      <c r="PII79" s="1716"/>
      <c r="PIJ79" s="1716"/>
      <c r="PIK79" s="1716"/>
      <c r="PIL79" s="244"/>
      <c r="PIM79" s="244" t="s">
        <v>68</v>
      </c>
      <c r="PIN79" s="245" t="s">
        <v>68</v>
      </c>
      <c r="PIO79" s="1715" t="s">
        <v>0</v>
      </c>
      <c r="PIP79" s="1716"/>
      <c r="PIQ79" s="1716"/>
      <c r="PIR79" s="1716"/>
      <c r="PIS79" s="1716"/>
      <c r="PIT79" s="244"/>
      <c r="PIU79" s="244" t="s">
        <v>68</v>
      </c>
      <c r="PIV79" s="245" t="s">
        <v>68</v>
      </c>
      <c r="PIW79" s="1715" t="s">
        <v>0</v>
      </c>
      <c r="PIX79" s="1716"/>
      <c r="PIY79" s="1716"/>
      <c r="PIZ79" s="1716"/>
      <c r="PJA79" s="1716"/>
      <c r="PJB79" s="244"/>
      <c r="PJC79" s="244" t="s">
        <v>68</v>
      </c>
      <c r="PJD79" s="245" t="s">
        <v>68</v>
      </c>
      <c r="PJE79" s="1715" t="s">
        <v>0</v>
      </c>
      <c r="PJF79" s="1716"/>
      <c r="PJG79" s="1716"/>
      <c r="PJH79" s="1716"/>
      <c r="PJI79" s="1716"/>
      <c r="PJJ79" s="244"/>
      <c r="PJK79" s="244" t="s">
        <v>68</v>
      </c>
      <c r="PJL79" s="245" t="s">
        <v>68</v>
      </c>
      <c r="PJM79" s="1715" t="s">
        <v>0</v>
      </c>
      <c r="PJN79" s="1716"/>
      <c r="PJO79" s="1716"/>
      <c r="PJP79" s="1716"/>
      <c r="PJQ79" s="1716"/>
      <c r="PJR79" s="244"/>
      <c r="PJS79" s="244" t="s">
        <v>68</v>
      </c>
      <c r="PJT79" s="245" t="s">
        <v>68</v>
      </c>
      <c r="PJU79" s="1715" t="s">
        <v>0</v>
      </c>
      <c r="PJV79" s="1716"/>
      <c r="PJW79" s="1716"/>
      <c r="PJX79" s="1716"/>
      <c r="PJY79" s="1716"/>
      <c r="PJZ79" s="244"/>
      <c r="PKA79" s="244" t="s">
        <v>68</v>
      </c>
      <c r="PKB79" s="245" t="s">
        <v>68</v>
      </c>
      <c r="PKC79" s="1715" t="s">
        <v>0</v>
      </c>
      <c r="PKD79" s="1716"/>
      <c r="PKE79" s="1716"/>
      <c r="PKF79" s="1716"/>
      <c r="PKG79" s="1716"/>
      <c r="PKH79" s="244"/>
      <c r="PKI79" s="244" t="s">
        <v>68</v>
      </c>
      <c r="PKJ79" s="245" t="s">
        <v>68</v>
      </c>
      <c r="PKK79" s="1715" t="s">
        <v>0</v>
      </c>
      <c r="PKL79" s="1716"/>
      <c r="PKM79" s="1716"/>
      <c r="PKN79" s="1716"/>
      <c r="PKO79" s="1716"/>
      <c r="PKP79" s="244"/>
      <c r="PKQ79" s="244" t="s">
        <v>68</v>
      </c>
      <c r="PKR79" s="245" t="s">
        <v>68</v>
      </c>
      <c r="PKS79" s="1715" t="s">
        <v>0</v>
      </c>
      <c r="PKT79" s="1716"/>
      <c r="PKU79" s="1716"/>
      <c r="PKV79" s="1716"/>
      <c r="PKW79" s="1716"/>
      <c r="PKX79" s="244"/>
      <c r="PKY79" s="244" t="s">
        <v>68</v>
      </c>
      <c r="PKZ79" s="245" t="s">
        <v>68</v>
      </c>
      <c r="PLA79" s="1715" t="s">
        <v>0</v>
      </c>
      <c r="PLB79" s="1716"/>
      <c r="PLC79" s="1716"/>
      <c r="PLD79" s="1716"/>
      <c r="PLE79" s="1716"/>
      <c r="PLF79" s="244"/>
      <c r="PLG79" s="244" t="s">
        <v>68</v>
      </c>
      <c r="PLH79" s="245" t="s">
        <v>68</v>
      </c>
      <c r="PLI79" s="1715" t="s">
        <v>0</v>
      </c>
      <c r="PLJ79" s="1716"/>
      <c r="PLK79" s="1716"/>
      <c r="PLL79" s="1716"/>
      <c r="PLM79" s="1716"/>
      <c r="PLN79" s="244"/>
      <c r="PLO79" s="244" t="s">
        <v>68</v>
      </c>
      <c r="PLP79" s="245" t="s">
        <v>68</v>
      </c>
      <c r="PLQ79" s="1715" t="s">
        <v>0</v>
      </c>
      <c r="PLR79" s="1716"/>
      <c r="PLS79" s="1716"/>
      <c r="PLT79" s="1716"/>
      <c r="PLU79" s="1716"/>
      <c r="PLV79" s="244"/>
      <c r="PLW79" s="244" t="s">
        <v>68</v>
      </c>
      <c r="PLX79" s="245" t="s">
        <v>68</v>
      </c>
      <c r="PLY79" s="1715" t="s">
        <v>0</v>
      </c>
      <c r="PLZ79" s="1716"/>
      <c r="PMA79" s="1716"/>
      <c r="PMB79" s="1716"/>
      <c r="PMC79" s="1716"/>
      <c r="PMD79" s="244"/>
      <c r="PME79" s="244" t="s">
        <v>68</v>
      </c>
      <c r="PMF79" s="245" t="s">
        <v>68</v>
      </c>
      <c r="PMG79" s="1715" t="s">
        <v>0</v>
      </c>
      <c r="PMH79" s="1716"/>
      <c r="PMI79" s="1716"/>
      <c r="PMJ79" s="1716"/>
      <c r="PMK79" s="1716"/>
      <c r="PML79" s="244"/>
      <c r="PMM79" s="244" t="s">
        <v>68</v>
      </c>
      <c r="PMN79" s="245" t="s">
        <v>68</v>
      </c>
      <c r="PMO79" s="1715" t="s">
        <v>0</v>
      </c>
      <c r="PMP79" s="1716"/>
      <c r="PMQ79" s="1716"/>
      <c r="PMR79" s="1716"/>
      <c r="PMS79" s="1716"/>
      <c r="PMT79" s="244"/>
      <c r="PMU79" s="244" t="s">
        <v>68</v>
      </c>
      <c r="PMV79" s="245" t="s">
        <v>68</v>
      </c>
      <c r="PMW79" s="1715" t="s">
        <v>0</v>
      </c>
      <c r="PMX79" s="1716"/>
      <c r="PMY79" s="1716"/>
      <c r="PMZ79" s="1716"/>
      <c r="PNA79" s="1716"/>
      <c r="PNB79" s="244"/>
      <c r="PNC79" s="244" t="s">
        <v>68</v>
      </c>
      <c r="PND79" s="245" t="s">
        <v>68</v>
      </c>
      <c r="PNE79" s="1715" t="s">
        <v>0</v>
      </c>
      <c r="PNF79" s="1716"/>
      <c r="PNG79" s="1716"/>
      <c r="PNH79" s="1716"/>
      <c r="PNI79" s="1716"/>
      <c r="PNJ79" s="244"/>
      <c r="PNK79" s="244" t="s">
        <v>68</v>
      </c>
      <c r="PNL79" s="245" t="s">
        <v>68</v>
      </c>
      <c r="PNM79" s="1715" t="s">
        <v>0</v>
      </c>
      <c r="PNN79" s="1716"/>
      <c r="PNO79" s="1716"/>
      <c r="PNP79" s="1716"/>
      <c r="PNQ79" s="1716"/>
      <c r="PNR79" s="244"/>
      <c r="PNS79" s="244" t="s">
        <v>68</v>
      </c>
      <c r="PNT79" s="245" t="s">
        <v>68</v>
      </c>
      <c r="PNU79" s="1715" t="s">
        <v>0</v>
      </c>
      <c r="PNV79" s="1716"/>
      <c r="PNW79" s="1716"/>
      <c r="PNX79" s="1716"/>
      <c r="PNY79" s="1716"/>
      <c r="PNZ79" s="244"/>
      <c r="POA79" s="244" t="s">
        <v>68</v>
      </c>
      <c r="POB79" s="245" t="s">
        <v>68</v>
      </c>
      <c r="POC79" s="1715" t="s">
        <v>0</v>
      </c>
      <c r="POD79" s="1716"/>
      <c r="POE79" s="1716"/>
      <c r="POF79" s="1716"/>
      <c r="POG79" s="1716"/>
      <c r="POH79" s="244"/>
      <c r="POI79" s="244" t="s">
        <v>68</v>
      </c>
      <c r="POJ79" s="245" t="s">
        <v>68</v>
      </c>
      <c r="POK79" s="1715" t="s">
        <v>0</v>
      </c>
      <c r="POL79" s="1716"/>
      <c r="POM79" s="1716"/>
      <c r="PON79" s="1716"/>
      <c r="POO79" s="1716"/>
      <c r="POP79" s="244"/>
      <c r="POQ79" s="244" t="s">
        <v>68</v>
      </c>
      <c r="POR79" s="245" t="s">
        <v>68</v>
      </c>
      <c r="POS79" s="1715" t="s">
        <v>0</v>
      </c>
      <c r="POT79" s="1716"/>
      <c r="POU79" s="1716"/>
      <c r="POV79" s="1716"/>
      <c r="POW79" s="1716"/>
      <c r="POX79" s="244"/>
      <c r="POY79" s="244" t="s">
        <v>68</v>
      </c>
      <c r="POZ79" s="245" t="s">
        <v>68</v>
      </c>
      <c r="PPA79" s="1715" t="s">
        <v>0</v>
      </c>
      <c r="PPB79" s="1716"/>
      <c r="PPC79" s="1716"/>
      <c r="PPD79" s="1716"/>
      <c r="PPE79" s="1716"/>
      <c r="PPF79" s="244"/>
      <c r="PPG79" s="244" t="s">
        <v>68</v>
      </c>
      <c r="PPH79" s="245" t="s">
        <v>68</v>
      </c>
      <c r="PPI79" s="1715" t="s">
        <v>0</v>
      </c>
      <c r="PPJ79" s="1716"/>
      <c r="PPK79" s="1716"/>
      <c r="PPL79" s="1716"/>
      <c r="PPM79" s="1716"/>
      <c r="PPN79" s="244"/>
      <c r="PPO79" s="244" t="s">
        <v>68</v>
      </c>
      <c r="PPP79" s="245" t="s">
        <v>68</v>
      </c>
      <c r="PPQ79" s="1715" t="s">
        <v>0</v>
      </c>
      <c r="PPR79" s="1716"/>
      <c r="PPS79" s="1716"/>
      <c r="PPT79" s="1716"/>
      <c r="PPU79" s="1716"/>
      <c r="PPV79" s="244"/>
      <c r="PPW79" s="244" t="s">
        <v>68</v>
      </c>
      <c r="PPX79" s="245" t="s">
        <v>68</v>
      </c>
      <c r="PPY79" s="1715" t="s">
        <v>0</v>
      </c>
      <c r="PPZ79" s="1716"/>
      <c r="PQA79" s="1716"/>
      <c r="PQB79" s="1716"/>
      <c r="PQC79" s="1716"/>
      <c r="PQD79" s="244"/>
      <c r="PQE79" s="244" t="s">
        <v>68</v>
      </c>
      <c r="PQF79" s="245" t="s">
        <v>68</v>
      </c>
      <c r="PQG79" s="1715" t="s">
        <v>0</v>
      </c>
      <c r="PQH79" s="1716"/>
      <c r="PQI79" s="1716"/>
      <c r="PQJ79" s="1716"/>
      <c r="PQK79" s="1716"/>
      <c r="PQL79" s="244"/>
      <c r="PQM79" s="244" t="s">
        <v>68</v>
      </c>
      <c r="PQN79" s="245" t="s">
        <v>68</v>
      </c>
      <c r="PQO79" s="1715" t="s">
        <v>0</v>
      </c>
      <c r="PQP79" s="1716"/>
      <c r="PQQ79" s="1716"/>
      <c r="PQR79" s="1716"/>
      <c r="PQS79" s="1716"/>
      <c r="PQT79" s="244"/>
      <c r="PQU79" s="244" t="s">
        <v>68</v>
      </c>
      <c r="PQV79" s="245" t="s">
        <v>68</v>
      </c>
      <c r="PQW79" s="1715" t="s">
        <v>0</v>
      </c>
      <c r="PQX79" s="1716"/>
      <c r="PQY79" s="1716"/>
      <c r="PQZ79" s="1716"/>
      <c r="PRA79" s="1716"/>
      <c r="PRB79" s="244"/>
      <c r="PRC79" s="244" t="s">
        <v>68</v>
      </c>
      <c r="PRD79" s="245" t="s">
        <v>68</v>
      </c>
      <c r="PRE79" s="1715" t="s">
        <v>0</v>
      </c>
      <c r="PRF79" s="1716"/>
      <c r="PRG79" s="1716"/>
      <c r="PRH79" s="1716"/>
      <c r="PRI79" s="1716"/>
      <c r="PRJ79" s="244"/>
      <c r="PRK79" s="244" t="s">
        <v>68</v>
      </c>
      <c r="PRL79" s="245" t="s">
        <v>68</v>
      </c>
      <c r="PRM79" s="1715" t="s">
        <v>0</v>
      </c>
      <c r="PRN79" s="1716"/>
      <c r="PRO79" s="1716"/>
      <c r="PRP79" s="1716"/>
      <c r="PRQ79" s="1716"/>
      <c r="PRR79" s="244"/>
      <c r="PRS79" s="244" t="s">
        <v>68</v>
      </c>
      <c r="PRT79" s="245" t="s">
        <v>68</v>
      </c>
      <c r="PRU79" s="1715" t="s">
        <v>0</v>
      </c>
      <c r="PRV79" s="1716"/>
      <c r="PRW79" s="1716"/>
      <c r="PRX79" s="1716"/>
      <c r="PRY79" s="1716"/>
      <c r="PRZ79" s="244"/>
      <c r="PSA79" s="244" t="s">
        <v>68</v>
      </c>
      <c r="PSB79" s="245" t="s">
        <v>68</v>
      </c>
      <c r="PSC79" s="1715" t="s">
        <v>0</v>
      </c>
      <c r="PSD79" s="1716"/>
      <c r="PSE79" s="1716"/>
      <c r="PSF79" s="1716"/>
      <c r="PSG79" s="1716"/>
      <c r="PSH79" s="244"/>
      <c r="PSI79" s="244" t="s">
        <v>68</v>
      </c>
      <c r="PSJ79" s="245" t="s">
        <v>68</v>
      </c>
      <c r="PSK79" s="1715" t="s">
        <v>0</v>
      </c>
      <c r="PSL79" s="1716"/>
      <c r="PSM79" s="1716"/>
      <c r="PSN79" s="1716"/>
      <c r="PSO79" s="1716"/>
      <c r="PSP79" s="244"/>
      <c r="PSQ79" s="244" t="s">
        <v>68</v>
      </c>
      <c r="PSR79" s="245" t="s">
        <v>68</v>
      </c>
      <c r="PSS79" s="1715" t="s">
        <v>0</v>
      </c>
      <c r="PST79" s="1716"/>
      <c r="PSU79" s="1716"/>
      <c r="PSV79" s="1716"/>
      <c r="PSW79" s="1716"/>
      <c r="PSX79" s="244"/>
      <c r="PSY79" s="244" t="s">
        <v>68</v>
      </c>
      <c r="PSZ79" s="245" t="s">
        <v>68</v>
      </c>
      <c r="PTA79" s="1715" t="s">
        <v>0</v>
      </c>
      <c r="PTB79" s="1716"/>
      <c r="PTC79" s="1716"/>
      <c r="PTD79" s="1716"/>
      <c r="PTE79" s="1716"/>
      <c r="PTF79" s="244"/>
      <c r="PTG79" s="244" t="s">
        <v>68</v>
      </c>
      <c r="PTH79" s="245" t="s">
        <v>68</v>
      </c>
      <c r="PTI79" s="1715" t="s">
        <v>0</v>
      </c>
      <c r="PTJ79" s="1716"/>
      <c r="PTK79" s="1716"/>
      <c r="PTL79" s="1716"/>
      <c r="PTM79" s="1716"/>
      <c r="PTN79" s="244"/>
      <c r="PTO79" s="244" t="s">
        <v>68</v>
      </c>
      <c r="PTP79" s="245" t="s">
        <v>68</v>
      </c>
      <c r="PTQ79" s="1715" t="s">
        <v>0</v>
      </c>
      <c r="PTR79" s="1716"/>
      <c r="PTS79" s="1716"/>
      <c r="PTT79" s="1716"/>
      <c r="PTU79" s="1716"/>
      <c r="PTV79" s="244"/>
      <c r="PTW79" s="244" t="s">
        <v>68</v>
      </c>
      <c r="PTX79" s="245" t="s">
        <v>68</v>
      </c>
      <c r="PTY79" s="1715" t="s">
        <v>0</v>
      </c>
      <c r="PTZ79" s="1716"/>
      <c r="PUA79" s="1716"/>
      <c r="PUB79" s="1716"/>
      <c r="PUC79" s="1716"/>
      <c r="PUD79" s="244"/>
      <c r="PUE79" s="244" t="s">
        <v>68</v>
      </c>
      <c r="PUF79" s="245" t="s">
        <v>68</v>
      </c>
      <c r="PUG79" s="1715" t="s">
        <v>0</v>
      </c>
      <c r="PUH79" s="1716"/>
      <c r="PUI79" s="1716"/>
      <c r="PUJ79" s="1716"/>
      <c r="PUK79" s="1716"/>
      <c r="PUL79" s="244"/>
      <c r="PUM79" s="244" t="s">
        <v>68</v>
      </c>
      <c r="PUN79" s="245" t="s">
        <v>68</v>
      </c>
      <c r="PUO79" s="1715" t="s">
        <v>0</v>
      </c>
      <c r="PUP79" s="1716"/>
      <c r="PUQ79" s="1716"/>
      <c r="PUR79" s="1716"/>
      <c r="PUS79" s="1716"/>
      <c r="PUT79" s="244"/>
      <c r="PUU79" s="244" t="s">
        <v>68</v>
      </c>
      <c r="PUV79" s="245" t="s">
        <v>68</v>
      </c>
      <c r="PUW79" s="1715" t="s">
        <v>0</v>
      </c>
      <c r="PUX79" s="1716"/>
      <c r="PUY79" s="1716"/>
      <c r="PUZ79" s="1716"/>
      <c r="PVA79" s="1716"/>
      <c r="PVB79" s="244"/>
      <c r="PVC79" s="244" t="s">
        <v>68</v>
      </c>
      <c r="PVD79" s="245" t="s">
        <v>68</v>
      </c>
      <c r="PVE79" s="1715" t="s">
        <v>0</v>
      </c>
      <c r="PVF79" s="1716"/>
      <c r="PVG79" s="1716"/>
      <c r="PVH79" s="1716"/>
      <c r="PVI79" s="1716"/>
      <c r="PVJ79" s="244"/>
      <c r="PVK79" s="244" t="s">
        <v>68</v>
      </c>
      <c r="PVL79" s="245" t="s">
        <v>68</v>
      </c>
      <c r="PVM79" s="1715" t="s">
        <v>0</v>
      </c>
      <c r="PVN79" s="1716"/>
      <c r="PVO79" s="1716"/>
      <c r="PVP79" s="1716"/>
      <c r="PVQ79" s="1716"/>
      <c r="PVR79" s="244"/>
      <c r="PVS79" s="244" t="s">
        <v>68</v>
      </c>
      <c r="PVT79" s="245" t="s">
        <v>68</v>
      </c>
      <c r="PVU79" s="1715" t="s">
        <v>0</v>
      </c>
      <c r="PVV79" s="1716"/>
      <c r="PVW79" s="1716"/>
      <c r="PVX79" s="1716"/>
      <c r="PVY79" s="1716"/>
      <c r="PVZ79" s="244"/>
      <c r="PWA79" s="244" t="s">
        <v>68</v>
      </c>
      <c r="PWB79" s="245" t="s">
        <v>68</v>
      </c>
      <c r="PWC79" s="1715" t="s">
        <v>0</v>
      </c>
      <c r="PWD79" s="1716"/>
      <c r="PWE79" s="1716"/>
      <c r="PWF79" s="1716"/>
      <c r="PWG79" s="1716"/>
      <c r="PWH79" s="244"/>
      <c r="PWI79" s="244" t="s">
        <v>68</v>
      </c>
      <c r="PWJ79" s="245" t="s">
        <v>68</v>
      </c>
      <c r="PWK79" s="1715" t="s">
        <v>0</v>
      </c>
      <c r="PWL79" s="1716"/>
      <c r="PWM79" s="1716"/>
      <c r="PWN79" s="1716"/>
      <c r="PWO79" s="1716"/>
      <c r="PWP79" s="244"/>
      <c r="PWQ79" s="244" t="s">
        <v>68</v>
      </c>
      <c r="PWR79" s="245" t="s">
        <v>68</v>
      </c>
      <c r="PWS79" s="1715" t="s">
        <v>0</v>
      </c>
      <c r="PWT79" s="1716"/>
      <c r="PWU79" s="1716"/>
      <c r="PWV79" s="1716"/>
      <c r="PWW79" s="1716"/>
      <c r="PWX79" s="244"/>
      <c r="PWY79" s="244" t="s">
        <v>68</v>
      </c>
      <c r="PWZ79" s="245" t="s">
        <v>68</v>
      </c>
      <c r="PXA79" s="1715" t="s">
        <v>0</v>
      </c>
      <c r="PXB79" s="1716"/>
      <c r="PXC79" s="1716"/>
      <c r="PXD79" s="1716"/>
      <c r="PXE79" s="1716"/>
      <c r="PXF79" s="244"/>
      <c r="PXG79" s="244" t="s">
        <v>68</v>
      </c>
      <c r="PXH79" s="245" t="s">
        <v>68</v>
      </c>
      <c r="PXI79" s="1715" t="s">
        <v>0</v>
      </c>
      <c r="PXJ79" s="1716"/>
      <c r="PXK79" s="1716"/>
      <c r="PXL79" s="1716"/>
      <c r="PXM79" s="1716"/>
      <c r="PXN79" s="244"/>
      <c r="PXO79" s="244" t="s">
        <v>68</v>
      </c>
      <c r="PXP79" s="245" t="s">
        <v>68</v>
      </c>
      <c r="PXQ79" s="1715" t="s">
        <v>0</v>
      </c>
      <c r="PXR79" s="1716"/>
      <c r="PXS79" s="1716"/>
      <c r="PXT79" s="1716"/>
      <c r="PXU79" s="1716"/>
      <c r="PXV79" s="244"/>
      <c r="PXW79" s="244" t="s">
        <v>68</v>
      </c>
      <c r="PXX79" s="245" t="s">
        <v>68</v>
      </c>
      <c r="PXY79" s="1715" t="s">
        <v>0</v>
      </c>
      <c r="PXZ79" s="1716"/>
      <c r="PYA79" s="1716"/>
      <c r="PYB79" s="1716"/>
      <c r="PYC79" s="1716"/>
      <c r="PYD79" s="244"/>
      <c r="PYE79" s="244" t="s">
        <v>68</v>
      </c>
      <c r="PYF79" s="245" t="s">
        <v>68</v>
      </c>
      <c r="PYG79" s="1715" t="s">
        <v>0</v>
      </c>
      <c r="PYH79" s="1716"/>
      <c r="PYI79" s="1716"/>
      <c r="PYJ79" s="1716"/>
      <c r="PYK79" s="1716"/>
      <c r="PYL79" s="244"/>
      <c r="PYM79" s="244" t="s">
        <v>68</v>
      </c>
      <c r="PYN79" s="245" t="s">
        <v>68</v>
      </c>
      <c r="PYO79" s="1715" t="s">
        <v>0</v>
      </c>
      <c r="PYP79" s="1716"/>
      <c r="PYQ79" s="1716"/>
      <c r="PYR79" s="1716"/>
      <c r="PYS79" s="1716"/>
      <c r="PYT79" s="244"/>
      <c r="PYU79" s="244" t="s">
        <v>68</v>
      </c>
      <c r="PYV79" s="245" t="s">
        <v>68</v>
      </c>
      <c r="PYW79" s="1715" t="s">
        <v>0</v>
      </c>
      <c r="PYX79" s="1716"/>
      <c r="PYY79" s="1716"/>
      <c r="PYZ79" s="1716"/>
      <c r="PZA79" s="1716"/>
      <c r="PZB79" s="244"/>
      <c r="PZC79" s="244" t="s">
        <v>68</v>
      </c>
      <c r="PZD79" s="245" t="s">
        <v>68</v>
      </c>
      <c r="PZE79" s="1715" t="s">
        <v>0</v>
      </c>
      <c r="PZF79" s="1716"/>
      <c r="PZG79" s="1716"/>
      <c r="PZH79" s="1716"/>
      <c r="PZI79" s="1716"/>
      <c r="PZJ79" s="244"/>
      <c r="PZK79" s="244" t="s">
        <v>68</v>
      </c>
      <c r="PZL79" s="245" t="s">
        <v>68</v>
      </c>
      <c r="PZM79" s="1715" t="s">
        <v>0</v>
      </c>
      <c r="PZN79" s="1716"/>
      <c r="PZO79" s="1716"/>
      <c r="PZP79" s="1716"/>
      <c r="PZQ79" s="1716"/>
      <c r="PZR79" s="244"/>
      <c r="PZS79" s="244" t="s">
        <v>68</v>
      </c>
      <c r="PZT79" s="245" t="s">
        <v>68</v>
      </c>
      <c r="PZU79" s="1715" t="s">
        <v>0</v>
      </c>
      <c r="PZV79" s="1716"/>
      <c r="PZW79" s="1716"/>
      <c r="PZX79" s="1716"/>
      <c r="PZY79" s="1716"/>
      <c r="PZZ79" s="244"/>
      <c r="QAA79" s="244" t="s">
        <v>68</v>
      </c>
      <c r="QAB79" s="245" t="s">
        <v>68</v>
      </c>
      <c r="QAC79" s="1715" t="s">
        <v>0</v>
      </c>
      <c r="QAD79" s="1716"/>
      <c r="QAE79" s="1716"/>
      <c r="QAF79" s="1716"/>
      <c r="QAG79" s="1716"/>
      <c r="QAH79" s="244"/>
      <c r="QAI79" s="244" t="s">
        <v>68</v>
      </c>
      <c r="QAJ79" s="245" t="s">
        <v>68</v>
      </c>
      <c r="QAK79" s="1715" t="s">
        <v>0</v>
      </c>
      <c r="QAL79" s="1716"/>
      <c r="QAM79" s="1716"/>
      <c r="QAN79" s="1716"/>
      <c r="QAO79" s="1716"/>
      <c r="QAP79" s="244"/>
      <c r="QAQ79" s="244" t="s">
        <v>68</v>
      </c>
      <c r="QAR79" s="245" t="s">
        <v>68</v>
      </c>
      <c r="QAS79" s="1715" t="s">
        <v>0</v>
      </c>
      <c r="QAT79" s="1716"/>
      <c r="QAU79" s="1716"/>
      <c r="QAV79" s="1716"/>
      <c r="QAW79" s="1716"/>
      <c r="QAX79" s="244"/>
      <c r="QAY79" s="244" t="s">
        <v>68</v>
      </c>
      <c r="QAZ79" s="245" t="s">
        <v>68</v>
      </c>
      <c r="QBA79" s="1715" t="s">
        <v>0</v>
      </c>
      <c r="QBB79" s="1716"/>
      <c r="QBC79" s="1716"/>
      <c r="QBD79" s="1716"/>
      <c r="QBE79" s="1716"/>
      <c r="QBF79" s="244"/>
      <c r="QBG79" s="244" t="s">
        <v>68</v>
      </c>
      <c r="QBH79" s="245" t="s">
        <v>68</v>
      </c>
      <c r="QBI79" s="1715" t="s">
        <v>0</v>
      </c>
      <c r="QBJ79" s="1716"/>
      <c r="QBK79" s="1716"/>
      <c r="QBL79" s="1716"/>
      <c r="QBM79" s="1716"/>
      <c r="QBN79" s="244"/>
      <c r="QBO79" s="244" t="s">
        <v>68</v>
      </c>
      <c r="QBP79" s="245" t="s">
        <v>68</v>
      </c>
      <c r="QBQ79" s="1715" t="s">
        <v>0</v>
      </c>
      <c r="QBR79" s="1716"/>
      <c r="QBS79" s="1716"/>
      <c r="QBT79" s="1716"/>
      <c r="QBU79" s="1716"/>
      <c r="QBV79" s="244"/>
      <c r="QBW79" s="244" t="s">
        <v>68</v>
      </c>
      <c r="QBX79" s="245" t="s">
        <v>68</v>
      </c>
      <c r="QBY79" s="1715" t="s">
        <v>0</v>
      </c>
      <c r="QBZ79" s="1716"/>
      <c r="QCA79" s="1716"/>
      <c r="QCB79" s="1716"/>
      <c r="QCC79" s="1716"/>
      <c r="QCD79" s="244"/>
      <c r="QCE79" s="244" t="s">
        <v>68</v>
      </c>
      <c r="QCF79" s="245" t="s">
        <v>68</v>
      </c>
      <c r="QCG79" s="1715" t="s">
        <v>0</v>
      </c>
      <c r="QCH79" s="1716"/>
      <c r="QCI79" s="1716"/>
      <c r="QCJ79" s="1716"/>
      <c r="QCK79" s="1716"/>
      <c r="QCL79" s="244"/>
      <c r="QCM79" s="244" t="s">
        <v>68</v>
      </c>
      <c r="QCN79" s="245" t="s">
        <v>68</v>
      </c>
      <c r="QCO79" s="1715" t="s">
        <v>0</v>
      </c>
      <c r="QCP79" s="1716"/>
      <c r="QCQ79" s="1716"/>
      <c r="QCR79" s="1716"/>
      <c r="QCS79" s="1716"/>
      <c r="QCT79" s="244"/>
      <c r="QCU79" s="244" t="s">
        <v>68</v>
      </c>
      <c r="QCV79" s="245" t="s">
        <v>68</v>
      </c>
      <c r="QCW79" s="1715" t="s">
        <v>0</v>
      </c>
      <c r="QCX79" s="1716"/>
      <c r="QCY79" s="1716"/>
      <c r="QCZ79" s="1716"/>
      <c r="QDA79" s="1716"/>
      <c r="QDB79" s="244"/>
      <c r="QDC79" s="244" t="s">
        <v>68</v>
      </c>
      <c r="QDD79" s="245" t="s">
        <v>68</v>
      </c>
      <c r="QDE79" s="1715" t="s">
        <v>0</v>
      </c>
      <c r="QDF79" s="1716"/>
      <c r="QDG79" s="1716"/>
      <c r="QDH79" s="1716"/>
      <c r="QDI79" s="1716"/>
      <c r="QDJ79" s="244"/>
      <c r="QDK79" s="244" t="s">
        <v>68</v>
      </c>
      <c r="QDL79" s="245" t="s">
        <v>68</v>
      </c>
      <c r="QDM79" s="1715" t="s">
        <v>0</v>
      </c>
      <c r="QDN79" s="1716"/>
      <c r="QDO79" s="1716"/>
      <c r="QDP79" s="1716"/>
      <c r="QDQ79" s="1716"/>
      <c r="QDR79" s="244"/>
      <c r="QDS79" s="244" t="s">
        <v>68</v>
      </c>
      <c r="QDT79" s="245" t="s">
        <v>68</v>
      </c>
      <c r="QDU79" s="1715" t="s">
        <v>0</v>
      </c>
      <c r="QDV79" s="1716"/>
      <c r="QDW79" s="1716"/>
      <c r="QDX79" s="1716"/>
      <c r="QDY79" s="1716"/>
      <c r="QDZ79" s="244"/>
      <c r="QEA79" s="244" t="s">
        <v>68</v>
      </c>
      <c r="QEB79" s="245" t="s">
        <v>68</v>
      </c>
      <c r="QEC79" s="1715" t="s">
        <v>0</v>
      </c>
      <c r="QED79" s="1716"/>
      <c r="QEE79" s="1716"/>
      <c r="QEF79" s="1716"/>
      <c r="QEG79" s="1716"/>
      <c r="QEH79" s="244"/>
      <c r="QEI79" s="244" t="s">
        <v>68</v>
      </c>
      <c r="QEJ79" s="245" t="s">
        <v>68</v>
      </c>
      <c r="QEK79" s="1715" t="s">
        <v>0</v>
      </c>
      <c r="QEL79" s="1716"/>
      <c r="QEM79" s="1716"/>
      <c r="QEN79" s="1716"/>
      <c r="QEO79" s="1716"/>
      <c r="QEP79" s="244"/>
      <c r="QEQ79" s="244" t="s">
        <v>68</v>
      </c>
      <c r="QER79" s="245" t="s">
        <v>68</v>
      </c>
      <c r="QES79" s="1715" t="s">
        <v>0</v>
      </c>
      <c r="QET79" s="1716"/>
      <c r="QEU79" s="1716"/>
      <c r="QEV79" s="1716"/>
      <c r="QEW79" s="1716"/>
      <c r="QEX79" s="244"/>
      <c r="QEY79" s="244" t="s">
        <v>68</v>
      </c>
      <c r="QEZ79" s="245" t="s">
        <v>68</v>
      </c>
      <c r="QFA79" s="1715" t="s">
        <v>0</v>
      </c>
      <c r="QFB79" s="1716"/>
      <c r="QFC79" s="1716"/>
      <c r="QFD79" s="1716"/>
      <c r="QFE79" s="1716"/>
      <c r="QFF79" s="244"/>
      <c r="QFG79" s="244" t="s">
        <v>68</v>
      </c>
      <c r="QFH79" s="245" t="s">
        <v>68</v>
      </c>
      <c r="QFI79" s="1715" t="s">
        <v>0</v>
      </c>
      <c r="QFJ79" s="1716"/>
      <c r="QFK79" s="1716"/>
      <c r="QFL79" s="1716"/>
      <c r="QFM79" s="1716"/>
      <c r="QFN79" s="244"/>
      <c r="QFO79" s="244" t="s">
        <v>68</v>
      </c>
      <c r="QFP79" s="245" t="s">
        <v>68</v>
      </c>
      <c r="QFQ79" s="1715" t="s">
        <v>0</v>
      </c>
      <c r="QFR79" s="1716"/>
      <c r="QFS79" s="1716"/>
      <c r="QFT79" s="1716"/>
      <c r="QFU79" s="1716"/>
      <c r="QFV79" s="244"/>
      <c r="QFW79" s="244" t="s">
        <v>68</v>
      </c>
      <c r="QFX79" s="245" t="s">
        <v>68</v>
      </c>
      <c r="QFY79" s="1715" t="s">
        <v>0</v>
      </c>
      <c r="QFZ79" s="1716"/>
      <c r="QGA79" s="1716"/>
      <c r="QGB79" s="1716"/>
      <c r="QGC79" s="1716"/>
      <c r="QGD79" s="244"/>
      <c r="QGE79" s="244" t="s">
        <v>68</v>
      </c>
      <c r="QGF79" s="245" t="s">
        <v>68</v>
      </c>
      <c r="QGG79" s="1715" t="s">
        <v>0</v>
      </c>
      <c r="QGH79" s="1716"/>
      <c r="QGI79" s="1716"/>
      <c r="QGJ79" s="1716"/>
      <c r="QGK79" s="1716"/>
      <c r="QGL79" s="244"/>
      <c r="QGM79" s="244" t="s">
        <v>68</v>
      </c>
      <c r="QGN79" s="245" t="s">
        <v>68</v>
      </c>
      <c r="QGO79" s="1715" t="s">
        <v>0</v>
      </c>
      <c r="QGP79" s="1716"/>
      <c r="QGQ79" s="1716"/>
      <c r="QGR79" s="1716"/>
      <c r="QGS79" s="1716"/>
      <c r="QGT79" s="244"/>
      <c r="QGU79" s="244" t="s">
        <v>68</v>
      </c>
      <c r="QGV79" s="245" t="s">
        <v>68</v>
      </c>
      <c r="QGW79" s="1715" t="s">
        <v>0</v>
      </c>
      <c r="QGX79" s="1716"/>
      <c r="QGY79" s="1716"/>
      <c r="QGZ79" s="1716"/>
      <c r="QHA79" s="1716"/>
      <c r="QHB79" s="244"/>
      <c r="QHC79" s="244" t="s">
        <v>68</v>
      </c>
      <c r="QHD79" s="245" t="s">
        <v>68</v>
      </c>
      <c r="QHE79" s="1715" t="s">
        <v>0</v>
      </c>
      <c r="QHF79" s="1716"/>
      <c r="QHG79" s="1716"/>
      <c r="QHH79" s="1716"/>
      <c r="QHI79" s="1716"/>
      <c r="QHJ79" s="244"/>
      <c r="QHK79" s="244" t="s">
        <v>68</v>
      </c>
      <c r="QHL79" s="245" t="s">
        <v>68</v>
      </c>
      <c r="QHM79" s="1715" t="s">
        <v>0</v>
      </c>
      <c r="QHN79" s="1716"/>
      <c r="QHO79" s="1716"/>
      <c r="QHP79" s="1716"/>
      <c r="QHQ79" s="1716"/>
      <c r="QHR79" s="244"/>
      <c r="QHS79" s="244" t="s">
        <v>68</v>
      </c>
      <c r="QHT79" s="245" t="s">
        <v>68</v>
      </c>
      <c r="QHU79" s="1715" t="s">
        <v>0</v>
      </c>
      <c r="QHV79" s="1716"/>
      <c r="QHW79" s="1716"/>
      <c r="QHX79" s="1716"/>
      <c r="QHY79" s="1716"/>
      <c r="QHZ79" s="244"/>
      <c r="QIA79" s="244" t="s">
        <v>68</v>
      </c>
      <c r="QIB79" s="245" t="s">
        <v>68</v>
      </c>
      <c r="QIC79" s="1715" t="s">
        <v>0</v>
      </c>
      <c r="QID79" s="1716"/>
      <c r="QIE79" s="1716"/>
      <c r="QIF79" s="1716"/>
      <c r="QIG79" s="1716"/>
      <c r="QIH79" s="244"/>
      <c r="QII79" s="244" t="s">
        <v>68</v>
      </c>
      <c r="QIJ79" s="245" t="s">
        <v>68</v>
      </c>
      <c r="QIK79" s="1715" t="s">
        <v>0</v>
      </c>
      <c r="QIL79" s="1716"/>
      <c r="QIM79" s="1716"/>
      <c r="QIN79" s="1716"/>
      <c r="QIO79" s="1716"/>
      <c r="QIP79" s="244"/>
      <c r="QIQ79" s="244" t="s">
        <v>68</v>
      </c>
      <c r="QIR79" s="245" t="s">
        <v>68</v>
      </c>
      <c r="QIS79" s="1715" t="s">
        <v>0</v>
      </c>
      <c r="QIT79" s="1716"/>
      <c r="QIU79" s="1716"/>
      <c r="QIV79" s="1716"/>
      <c r="QIW79" s="1716"/>
      <c r="QIX79" s="244"/>
      <c r="QIY79" s="244" t="s">
        <v>68</v>
      </c>
      <c r="QIZ79" s="245" t="s">
        <v>68</v>
      </c>
      <c r="QJA79" s="1715" t="s">
        <v>0</v>
      </c>
      <c r="QJB79" s="1716"/>
      <c r="QJC79" s="1716"/>
      <c r="QJD79" s="1716"/>
      <c r="QJE79" s="1716"/>
      <c r="QJF79" s="244"/>
      <c r="QJG79" s="244" t="s">
        <v>68</v>
      </c>
      <c r="QJH79" s="245" t="s">
        <v>68</v>
      </c>
      <c r="QJI79" s="1715" t="s">
        <v>0</v>
      </c>
      <c r="QJJ79" s="1716"/>
      <c r="QJK79" s="1716"/>
      <c r="QJL79" s="1716"/>
      <c r="QJM79" s="1716"/>
      <c r="QJN79" s="244"/>
      <c r="QJO79" s="244" t="s">
        <v>68</v>
      </c>
      <c r="QJP79" s="245" t="s">
        <v>68</v>
      </c>
      <c r="QJQ79" s="1715" t="s">
        <v>0</v>
      </c>
      <c r="QJR79" s="1716"/>
      <c r="QJS79" s="1716"/>
      <c r="QJT79" s="1716"/>
      <c r="QJU79" s="1716"/>
      <c r="QJV79" s="244"/>
      <c r="QJW79" s="244" t="s">
        <v>68</v>
      </c>
      <c r="QJX79" s="245" t="s">
        <v>68</v>
      </c>
      <c r="QJY79" s="1715" t="s">
        <v>0</v>
      </c>
      <c r="QJZ79" s="1716"/>
      <c r="QKA79" s="1716"/>
      <c r="QKB79" s="1716"/>
      <c r="QKC79" s="1716"/>
      <c r="QKD79" s="244"/>
      <c r="QKE79" s="244" t="s">
        <v>68</v>
      </c>
      <c r="QKF79" s="245" t="s">
        <v>68</v>
      </c>
      <c r="QKG79" s="1715" t="s">
        <v>0</v>
      </c>
      <c r="QKH79" s="1716"/>
      <c r="QKI79" s="1716"/>
      <c r="QKJ79" s="1716"/>
      <c r="QKK79" s="1716"/>
      <c r="QKL79" s="244"/>
      <c r="QKM79" s="244" t="s">
        <v>68</v>
      </c>
      <c r="QKN79" s="245" t="s">
        <v>68</v>
      </c>
      <c r="QKO79" s="1715" t="s">
        <v>0</v>
      </c>
      <c r="QKP79" s="1716"/>
      <c r="QKQ79" s="1716"/>
      <c r="QKR79" s="1716"/>
      <c r="QKS79" s="1716"/>
      <c r="QKT79" s="244"/>
      <c r="QKU79" s="244" t="s">
        <v>68</v>
      </c>
      <c r="QKV79" s="245" t="s">
        <v>68</v>
      </c>
      <c r="QKW79" s="1715" t="s">
        <v>0</v>
      </c>
      <c r="QKX79" s="1716"/>
      <c r="QKY79" s="1716"/>
      <c r="QKZ79" s="1716"/>
      <c r="QLA79" s="1716"/>
      <c r="QLB79" s="244"/>
      <c r="QLC79" s="244" t="s">
        <v>68</v>
      </c>
      <c r="QLD79" s="245" t="s">
        <v>68</v>
      </c>
      <c r="QLE79" s="1715" t="s">
        <v>0</v>
      </c>
      <c r="QLF79" s="1716"/>
      <c r="QLG79" s="1716"/>
      <c r="QLH79" s="1716"/>
      <c r="QLI79" s="1716"/>
      <c r="QLJ79" s="244"/>
      <c r="QLK79" s="244" t="s">
        <v>68</v>
      </c>
      <c r="QLL79" s="245" t="s">
        <v>68</v>
      </c>
      <c r="QLM79" s="1715" t="s">
        <v>0</v>
      </c>
      <c r="QLN79" s="1716"/>
      <c r="QLO79" s="1716"/>
      <c r="QLP79" s="1716"/>
      <c r="QLQ79" s="1716"/>
      <c r="QLR79" s="244"/>
      <c r="QLS79" s="244" t="s">
        <v>68</v>
      </c>
      <c r="QLT79" s="245" t="s">
        <v>68</v>
      </c>
      <c r="QLU79" s="1715" t="s">
        <v>0</v>
      </c>
      <c r="QLV79" s="1716"/>
      <c r="QLW79" s="1716"/>
      <c r="QLX79" s="1716"/>
      <c r="QLY79" s="1716"/>
      <c r="QLZ79" s="244"/>
      <c r="QMA79" s="244" t="s">
        <v>68</v>
      </c>
      <c r="QMB79" s="245" t="s">
        <v>68</v>
      </c>
      <c r="QMC79" s="1715" t="s">
        <v>0</v>
      </c>
      <c r="QMD79" s="1716"/>
      <c r="QME79" s="1716"/>
      <c r="QMF79" s="1716"/>
      <c r="QMG79" s="1716"/>
      <c r="QMH79" s="244"/>
      <c r="QMI79" s="244" t="s">
        <v>68</v>
      </c>
      <c r="QMJ79" s="245" t="s">
        <v>68</v>
      </c>
      <c r="QMK79" s="1715" t="s">
        <v>0</v>
      </c>
      <c r="QML79" s="1716"/>
      <c r="QMM79" s="1716"/>
      <c r="QMN79" s="1716"/>
      <c r="QMO79" s="1716"/>
      <c r="QMP79" s="244"/>
      <c r="QMQ79" s="244" t="s">
        <v>68</v>
      </c>
      <c r="QMR79" s="245" t="s">
        <v>68</v>
      </c>
      <c r="QMS79" s="1715" t="s">
        <v>0</v>
      </c>
      <c r="QMT79" s="1716"/>
      <c r="QMU79" s="1716"/>
      <c r="QMV79" s="1716"/>
      <c r="QMW79" s="1716"/>
      <c r="QMX79" s="244"/>
      <c r="QMY79" s="244" t="s">
        <v>68</v>
      </c>
      <c r="QMZ79" s="245" t="s">
        <v>68</v>
      </c>
      <c r="QNA79" s="1715" t="s">
        <v>0</v>
      </c>
      <c r="QNB79" s="1716"/>
      <c r="QNC79" s="1716"/>
      <c r="QND79" s="1716"/>
      <c r="QNE79" s="1716"/>
      <c r="QNF79" s="244"/>
      <c r="QNG79" s="244" t="s">
        <v>68</v>
      </c>
      <c r="QNH79" s="245" t="s">
        <v>68</v>
      </c>
      <c r="QNI79" s="1715" t="s">
        <v>0</v>
      </c>
      <c r="QNJ79" s="1716"/>
      <c r="QNK79" s="1716"/>
      <c r="QNL79" s="1716"/>
      <c r="QNM79" s="1716"/>
      <c r="QNN79" s="244"/>
      <c r="QNO79" s="244" t="s">
        <v>68</v>
      </c>
      <c r="QNP79" s="245" t="s">
        <v>68</v>
      </c>
      <c r="QNQ79" s="1715" t="s">
        <v>0</v>
      </c>
      <c r="QNR79" s="1716"/>
      <c r="QNS79" s="1716"/>
      <c r="QNT79" s="1716"/>
      <c r="QNU79" s="1716"/>
      <c r="QNV79" s="244"/>
      <c r="QNW79" s="244" t="s">
        <v>68</v>
      </c>
      <c r="QNX79" s="245" t="s">
        <v>68</v>
      </c>
      <c r="QNY79" s="1715" t="s">
        <v>0</v>
      </c>
      <c r="QNZ79" s="1716"/>
      <c r="QOA79" s="1716"/>
      <c r="QOB79" s="1716"/>
      <c r="QOC79" s="1716"/>
      <c r="QOD79" s="244"/>
      <c r="QOE79" s="244" t="s">
        <v>68</v>
      </c>
      <c r="QOF79" s="245" t="s">
        <v>68</v>
      </c>
      <c r="QOG79" s="1715" t="s">
        <v>0</v>
      </c>
      <c r="QOH79" s="1716"/>
      <c r="QOI79" s="1716"/>
      <c r="QOJ79" s="1716"/>
      <c r="QOK79" s="1716"/>
      <c r="QOL79" s="244"/>
      <c r="QOM79" s="244" t="s">
        <v>68</v>
      </c>
      <c r="QON79" s="245" t="s">
        <v>68</v>
      </c>
      <c r="QOO79" s="1715" t="s">
        <v>0</v>
      </c>
      <c r="QOP79" s="1716"/>
      <c r="QOQ79" s="1716"/>
      <c r="QOR79" s="1716"/>
      <c r="QOS79" s="1716"/>
      <c r="QOT79" s="244"/>
      <c r="QOU79" s="244" t="s">
        <v>68</v>
      </c>
      <c r="QOV79" s="245" t="s">
        <v>68</v>
      </c>
      <c r="QOW79" s="1715" t="s">
        <v>0</v>
      </c>
      <c r="QOX79" s="1716"/>
      <c r="QOY79" s="1716"/>
      <c r="QOZ79" s="1716"/>
      <c r="QPA79" s="1716"/>
      <c r="QPB79" s="244"/>
      <c r="QPC79" s="244" t="s">
        <v>68</v>
      </c>
      <c r="QPD79" s="245" t="s">
        <v>68</v>
      </c>
      <c r="QPE79" s="1715" t="s">
        <v>0</v>
      </c>
      <c r="QPF79" s="1716"/>
      <c r="QPG79" s="1716"/>
      <c r="QPH79" s="1716"/>
      <c r="QPI79" s="1716"/>
      <c r="QPJ79" s="244"/>
      <c r="QPK79" s="244" t="s">
        <v>68</v>
      </c>
      <c r="QPL79" s="245" t="s">
        <v>68</v>
      </c>
      <c r="QPM79" s="1715" t="s">
        <v>0</v>
      </c>
      <c r="QPN79" s="1716"/>
      <c r="QPO79" s="1716"/>
      <c r="QPP79" s="1716"/>
      <c r="QPQ79" s="1716"/>
      <c r="QPR79" s="244"/>
      <c r="QPS79" s="244" t="s">
        <v>68</v>
      </c>
      <c r="QPT79" s="245" t="s">
        <v>68</v>
      </c>
      <c r="QPU79" s="1715" t="s">
        <v>0</v>
      </c>
      <c r="QPV79" s="1716"/>
      <c r="QPW79" s="1716"/>
      <c r="QPX79" s="1716"/>
      <c r="QPY79" s="1716"/>
      <c r="QPZ79" s="244"/>
      <c r="QQA79" s="244" t="s">
        <v>68</v>
      </c>
      <c r="QQB79" s="245" t="s">
        <v>68</v>
      </c>
      <c r="QQC79" s="1715" t="s">
        <v>0</v>
      </c>
      <c r="QQD79" s="1716"/>
      <c r="QQE79" s="1716"/>
      <c r="QQF79" s="1716"/>
      <c r="QQG79" s="1716"/>
      <c r="QQH79" s="244"/>
      <c r="QQI79" s="244" t="s">
        <v>68</v>
      </c>
      <c r="QQJ79" s="245" t="s">
        <v>68</v>
      </c>
      <c r="QQK79" s="1715" t="s">
        <v>0</v>
      </c>
      <c r="QQL79" s="1716"/>
      <c r="QQM79" s="1716"/>
      <c r="QQN79" s="1716"/>
      <c r="QQO79" s="1716"/>
      <c r="QQP79" s="244"/>
      <c r="QQQ79" s="244" t="s">
        <v>68</v>
      </c>
      <c r="QQR79" s="245" t="s">
        <v>68</v>
      </c>
      <c r="QQS79" s="1715" t="s">
        <v>0</v>
      </c>
      <c r="QQT79" s="1716"/>
      <c r="QQU79" s="1716"/>
      <c r="QQV79" s="1716"/>
      <c r="QQW79" s="1716"/>
      <c r="QQX79" s="244"/>
      <c r="QQY79" s="244" t="s">
        <v>68</v>
      </c>
      <c r="QQZ79" s="245" t="s">
        <v>68</v>
      </c>
      <c r="QRA79" s="1715" t="s">
        <v>0</v>
      </c>
      <c r="QRB79" s="1716"/>
      <c r="QRC79" s="1716"/>
      <c r="QRD79" s="1716"/>
      <c r="QRE79" s="1716"/>
      <c r="QRF79" s="244"/>
      <c r="QRG79" s="244" t="s">
        <v>68</v>
      </c>
      <c r="QRH79" s="245" t="s">
        <v>68</v>
      </c>
      <c r="QRI79" s="1715" t="s">
        <v>0</v>
      </c>
      <c r="QRJ79" s="1716"/>
      <c r="QRK79" s="1716"/>
      <c r="QRL79" s="1716"/>
      <c r="QRM79" s="1716"/>
      <c r="QRN79" s="244"/>
      <c r="QRO79" s="244" t="s">
        <v>68</v>
      </c>
      <c r="QRP79" s="245" t="s">
        <v>68</v>
      </c>
      <c r="QRQ79" s="1715" t="s">
        <v>0</v>
      </c>
      <c r="QRR79" s="1716"/>
      <c r="QRS79" s="1716"/>
      <c r="QRT79" s="1716"/>
      <c r="QRU79" s="1716"/>
      <c r="QRV79" s="244"/>
      <c r="QRW79" s="244" t="s">
        <v>68</v>
      </c>
      <c r="QRX79" s="245" t="s">
        <v>68</v>
      </c>
      <c r="QRY79" s="1715" t="s">
        <v>0</v>
      </c>
      <c r="QRZ79" s="1716"/>
      <c r="QSA79" s="1716"/>
      <c r="QSB79" s="1716"/>
      <c r="QSC79" s="1716"/>
      <c r="QSD79" s="244"/>
      <c r="QSE79" s="244" t="s">
        <v>68</v>
      </c>
      <c r="QSF79" s="245" t="s">
        <v>68</v>
      </c>
      <c r="QSG79" s="1715" t="s">
        <v>0</v>
      </c>
      <c r="QSH79" s="1716"/>
      <c r="QSI79" s="1716"/>
      <c r="QSJ79" s="1716"/>
      <c r="QSK79" s="1716"/>
      <c r="QSL79" s="244"/>
      <c r="QSM79" s="244" t="s">
        <v>68</v>
      </c>
      <c r="QSN79" s="245" t="s">
        <v>68</v>
      </c>
      <c r="QSO79" s="1715" t="s">
        <v>0</v>
      </c>
      <c r="QSP79" s="1716"/>
      <c r="QSQ79" s="1716"/>
      <c r="QSR79" s="1716"/>
      <c r="QSS79" s="1716"/>
      <c r="QST79" s="244"/>
      <c r="QSU79" s="244" t="s">
        <v>68</v>
      </c>
      <c r="QSV79" s="245" t="s">
        <v>68</v>
      </c>
      <c r="QSW79" s="1715" t="s">
        <v>0</v>
      </c>
      <c r="QSX79" s="1716"/>
      <c r="QSY79" s="1716"/>
      <c r="QSZ79" s="1716"/>
      <c r="QTA79" s="1716"/>
      <c r="QTB79" s="244"/>
      <c r="QTC79" s="244" t="s">
        <v>68</v>
      </c>
      <c r="QTD79" s="245" t="s">
        <v>68</v>
      </c>
      <c r="QTE79" s="1715" t="s">
        <v>0</v>
      </c>
      <c r="QTF79" s="1716"/>
      <c r="QTG79" s="1716"/>
      <c r="QTH79" s="1716"/>
      <c r="QTI79" s="1716"/>
      <c r="QTJ79" s="244"/>
      <c r="QTK79" s="244" t="s">
        <v>68</v>
      </c>
      <c r="QTL79" s="245" t="s">
        <v>68</v>
      </c>
      <c r="QTM79" s="1715" t="s">
        <v>0</v>
      </c>
      <c r="QTN79" s="1716"/>
      <c r="QTO79" s="1716"/>
      <c r="QTP79" s="1716"/>
      <c r="QTQ79" s="1716"/>
      <c r="QTR79" s="244"/>
      <c r="QTS79" s="244" t="s">
        <v>68</v>
      </c>
      <c r="QTT79" s="245" t="s">
        <v>68</v>
      </c>
      <c r="QTU79" s="1715" t="s">
        <v>0</v>
      </c>
      <c r="QTV79" s="1716"/>
      <c r="QTW79" s="1716"/>
      <c r="QTX79" s="1716"/>
      <c r="QTY79" s="1716"/>
      <c r="QTZ79" s="244"/>
      <c r="QUA79" s="244" t="s">
        <v>68</v>
      </c>
      <c r="QUB79" s="245" t="s">
        <v>68</v>
      </c>
      <c r="QUC79" s="1715" t="s">
        <v>0</v>
      </c>
      <c r="QUD79" s="1716"/>
      <c r="QUE79" s="1716"/>
      <c r="QUF79" s="1716"/>
      <c r="QUG79" s="1716"/>
      <c r="QUH79" s="244"/>
      <c r="QUI79" s="244" t="s">
        <v>68</v>
      </c>
      <c r="QUJ79" s="245" t="s">
        <v>68</v>
      </c>
      <c r="QUK79" s="1715" t="s">
        <v>0</v>
      </c>
      <c r="QUL79" s="1716"/>
      <c r="QUM79" s="1716"/>
      <c r="QUN79" s="1716"/>
      <c r="QUO79" s="1716"/>
      <c r="QUP79" s="244"/>
      <c r="QUQ79" s="244" t="s">
        <v>68</v>
      </c>
      <c r="QUR79" s="245" t="s">
        <v>68</v>
      </c>
      <c r="QUS79" s="1715" t="s">
        <v>0</v>
      </c>
      <c r="QUT79" s="1716"/>
      <c r="QUU79" s="1716"/>
      <c r="QUV79" s="1716"/>
      <c r="QUW79" s="1716"/>
      <c r="QUX79" s="244"/>
      <c r="QUY79" s="244" t="s">
        <v>68</v>
      </c>
      <c r="QUZ79" s="245" t="s">
        <v>68</v>
      </c>
      <c r="QVA79" s="1715" t="s">
        <v>0</v>
      </c>
      <c r="QVB79" s="1716"/>
      <c r="QVC79" s="1716"/>
      <c r="QVD79" s="1716"/>
      <c r="QVE79" s="1716"/>
      <c r="QVF79" s="244"/>
      <c r="QVG79" s="244" t="s">
        <v>68</v>
      </c>
      <c r="QVH79" s="245" t="s">
        <v>68</v>
      </c>
      <c r="QVI79" s="1715" t="s">
        <v>0</v>
      </c>
      <c r="QVJ79" s="1716"/>
      <c r="QVK79" s="1716"/>
      <c r="QVL79" s="1716"/>
      <c r="QVM79" s="1716"/>
      <c r="QVN79" s="244"/>
      <c r="QVO79" s="244" t="s">
        <v>68</v>
      </c>
      <c r="QVP79" s="245" t="s">
        <v>68</v>
      </c>
      <c r="QVQ79" s="1715" t="s">
        <v>0</v>
      </c>
      <c r="QVR79" s="1716"/>
      <c r="QVS79" s="1716"/>
      <c r="QVT79" s="1716"/>
      <c r="QVU79" s="1716"/>
      <c r="QVV79" s="244"/>
      <c r="QVW79" s="244" t="s">
        <v>68</v>
      </c>
      <c r="QVX79" s="245" t="s">
        <v>68</v>
      </c>
      <c r="QVY79" s="1715" t="s">
        <v>0</v>
      </c>
      <c r="QVZ79" s="1716"/>
      <c r="QWA79" s="1716"/>
      <c r="QWB79" s="1716"/>
      <c r="QWC79" s="1716"/>
      <c r="QWD79" s="244"/>
      <c r="QWE79" s="244" t="s">
        <v>68</v>
      </c>
      <c r="QWF79" s="245" t="s">
        <v>68</v>
      </c>
      <c r="QWG79" s="1715" t="s">
        <v>0</v>
      </c>
      <c r="QWH79" s="1716"/>
      <c r="QWI79" s="1716"/>
      <c r="QWJ79" s="1716"/>
      <c r="QWK79" s="1716"/>
      <c r="QWL79" s="244"/>
      <c r="QWM79" s="244" t="s">
        <v>68</v>
      </c>
      <c r="QWN79" s="245" t="s">
        <v>68</v>
      </c>
      <c r="QWO79" s="1715" t="s">
        <v>0</v>
      </c>
      <c r="QWP79" s="1716"/>
      <c r="QWQ79" s="1716"/>
      <c r="QWR79" s="1716"/>
      <c r="QWS79" s="1716"/>
      <c r="QWT79" s="244"/>
      <c r="QWU79" s="244" t="s">
        <v>68</v>
      </c>
      <c r="QWV79" s="245" t="s">
        <v>68</v>
      </c>
      <c r="QWW79" s="1715" t="s">
        <v>0</v>
      </c>
      <c r="QWX79" s="1716"/>
      <c r="QWY79" s="1716"/>
      <c r="QWZ79" s="1716"/>
      <c r="QXA79" s="1716"/>
      <c r="QXB79" s="244"/>
      <c r="QXC79" s="244" t="s">
        <v>68</v>
      </c>
      <c r="QXD79" s="245" t="s">
        <v>68</v>
      </c>
      <c r="QXE79" s="1715" t="s">
        <v>0</v>
      </c>
      <c r="QXF79" s="1716"/>
      <c r="QXG79" s="1716"/>
      <c r="QXH79" s="1716"/>
      <c r="QXI79" s="1716"/>
      <c r="QXJ79" s="244"/>
      <c r="QXK79" s="244" t="s">
        <v>68</v>
      </c>
      <c r="QXL79" s="245" t="s">
        <v>68</v>
      </c>
      <c r="QXM79" s="1715" t="s">
        <v>0</v>
      </c>
      <c r="QXN79" s="1716"/>
      <c r="QXO79" s="1716"/>
      <c r="QXP79" s="1716"/>
      <c r="QXQ79" s="1716"/>
      <c r="QXR79" s="244"/>
      <c r="QXS79" s="244" t="s">
        <v>68</v>
      </c>
      <c r="QXT79" s="245" t="s">
        <v>68</v>
      </c>
      <c r="QXU79" s="1715" t="s">
        <v>0</v>
      </c>
      <c r="QXV79" s="1716"/>
      <c r="QXW79" s="1716"/>
      <c r="QXX79" s="1716"/>
      <c r="QXY79" s="1716"/>
      <c r="QXZ79" s="244"/>
      <c r="QYA79" s="244" t="s">
        <v>68</v>
      </c>
      <c r="QYB79" s="245" t="s">
        <v>68</v>
      </c>
      <c r="QYC79" s="1715" t="s">
        <v>0</v>
      </c>
      <c r="QYD79" s="1716"/>
      <c r="QYE79" s="1716"/>
      <c r="QYF79" s="1716"/>
      <c r="QYG79" s="1716"/>
      <c r="QYH79" s="244"/>
      <c r="QYI79" s="244" t="s">
        <v>68</v>
      </c>
      <c r="QYJ79" s="245" t="s">
        <v>68</v>
      </c>
      <c r="QYK79" s="1715" t="s">
        <v>0</v>
      </c>
      <c r="QYL79" s="1716"/>
      <c r="QYM79" s="1716"/>
      <c r="QYN79" s="1716"/>
      <c r="QYO79" s="1716"/>
      <c r="QYP79" s="244"/>
      <c r="QYQ79" s="244" t="s">
        <v>68</v>
      </c>
      <c r="QYR79" s="245" t="s">
        <v>68</v>
      </c>
      <c r="QYS79" s="1715" t="s">
        <v>0</v>
      </c>
      <c r="QYT79" s="1716"/>
      <c r="QYU79" s="1716"/>
      <c r="QYV79" s="1716"/>
      <c r="QYW79" s="1716"/>
      <c r="QYX79" s="244"/>
      <c r="QYY79" s="244" t="s">
        <v>68</v>
      </c>
      <c r="QYZ79" s="245" t="s">
        <v>68</v>
      </c>
      <c r="QZA79" s="1715" t="s">
        <v>0</v>
      </c>
      <c r="QZB79" s="1716"/>
      <c r="QZC79" s="1716"/>
      <c r="QZD79" s="1716"/>
      <c r="QZE79" s="1716"/>
      <c r="QZF79" s="244"/>
      <c r="QZG79" s="244" t="s">
        <v>68</v>
      </c>
      <c r="QZH79" s="245" t="s">
        <v>68</v>
      </c>
      <c r="QZI79" s="1715" t="s">
        <v>0</v>
      </c>
      <c r="QZJ79" s="1716"/>
      <c r="QZK79" s="1716"/>
      <c r="QZL79" s="1716"/>
      <c r="QZM79" s="1716"/>
      <c r="QZN79" s="244"/>
      <c r="QZO79" s="244" t="s">
        <v>68</v>
      </c>
      <c r="QZP79" s="245" t="s">
        <v>68</v>
      </c>
      <c r="QZQ79" s="1715" t="s">
        <v>0</v>
      </c>
      <c r="QZR79" s="1716"/>
      <c r="QZS79" s="1716"/>
      <c r="QZT79" s="1716"/>
      <c r="QZU79" s="1716"/>
      <c r="QZV79" s="244"/>
      <c r="QZW79" s="244" t="s">
        <v>68</v>
      </c>
      <c r="QZX79" s="245" t="s">
        <v>68</v>
      </c>
      <c r="QZY79" s="1715" t="s">
        <v>0</v>
      </c>
      <c r="QZZ79" s="1716"/>
      <c r="RAA79" s="1716"/>
      <c r="RAB79" s="1716"/>
      <c r="RAC79" s="1716"/>
      <c r="RAD79" s="244"/>
      <c r="RAE79" s="244" t="s">
        <v>68</v>
      </c>
      <c r="RAF79" s="245" t="s">
        <v>68</v>
      </c>
      <c r="RAG79" s="1715" t="s">
        <v>0</v>
      </c>
      <c r="RAH79" s="1716"/>
      <c r="RAI79" s="1716"/>
      <c r="RAJ79" s="1716"/>
      <c r="RAK79" s="1716"/>
      <c r="RAL79" s="244"/>
      <c r="RAM79" s="244" t="s">
        <v>68</v>
      </c>
      <c r="RAN79" s="245" t="s">
        <v>68</v>
      </c>
      <c r="RAO79" s="1715" t="s">
        <v>0</v>
      </c>
      <c r="RAP79" s="1716"/>
      <c r="RAQ79" s="1716"/>
      <c r="RAR79" s="1716"/>
      <c r="RAS79" s="1716"/>
      <c r="RAT79" s="244"/>
      <c r="RAU79" s="244" t="s">
        <v>68</v>
      </c>
      <c r="RAV79" s="245" t="s">
        <v>68</v>
      </c>
      <c r="RAW79" s="1715" t="s">
        <v>0</v>
      </c>
      <c r="RAX79" s="1716"/>
      <c r="RAY79" s="1716"/>
      <c r="RAZ79" s="1716"/>
      <c r="RBA79" s="1716"/>
      <c r="RBB79" s="244"/>
      <c r="RBC79" s="244" t="s">
        <v>68</v>
      </c>
      <c r="RBD79" s="245" t="s">
        <v>68</v>
      </c>
      <c r="RBE79" s="1715" t="s">
        <v>0</v>
      </c>
      <c r="RBF79" s="1716"/>
      <c r="RBG79" s="1716"/>
      <c r="RBH79" s="1716"/>
      <c r="RBI79" s="1716"/>
      <c r="RBJ79" s="244"/>
      <c r="RBK79" s="244" t="s">
        <v>68</v>
      </c>
      <c r="RBL79" s="245" t="s">
        <v>68</v>
      </c>
      <c r="RBM79" s="1715" t="s">
        <v>0</v>
      </c>
      <c r="RBN79" s="1716"/>
      <c r="RBO79" s="1716"/>
      <c r="RBP79" s="1716"/>
      <c r="RBQ79" s="1716"/>
      <c r="RBR79" s="244"/>
      <c r="RBS79" s="244" t="s">
        <v>68</v>
      </c>
      <c r="RBT79" s="245" t="s">
        <v>68</v>
      </c>
      <c r="RBU79" s="1715" t="s">
        <v>0</v>
      </c>
      <c r="RBV79" s="1716"/>
      <c r="RBW79" s="1716"/>
      <c r="RBX79" s="1716"/>
      <c r="RBY79" s="1716"/>
      <c r="RBZ79" s="244"/>
      <c r="RCA79" s="244" t="s">
        <v>68</v>
      </c>
      <c r="RCB79" s="245" t="s">
        <v>68</v>
      </c>
      <c r="RCC79" s="1715" t="s">
        <v>0</v>
      </c>
      <c r="RCD79" s="1716"/>
      <c r="RCE79" s="1716"/>
      <c r="RCF79" s="1716"/>
      <c r="RCG79" s="1716"/>
      <c r="RCH79" s="244"/>
      <c r="RCI79" s="244" t="s">
        <v>68</v>
      </c>
      <c r="RCJ79" s="245" t="s">
        <v>68</v>
      </c>
      <c r="RCK79" s="1715" t="s">
        <v>0</v>
      </c>
      <c r="RCL79" s="1716"/>
      <c r="RCM79" s="1716"/>
      <c r="RCN79" s="1716"/>
      <c r="RCO79" s="1716"/>
      <c r="RCP79" s="244"/>
      <c r="RCQ79" s="244" t="s">
        <v>68</v>
      </c>
      <c r="RCR79" s="245" t="s">
        <v>68</v>
      </c>
      <c r="RCS79" s="1715" t="s">
        <v>0</v>
      </c>
      <c r="RCT79" s="1716"/>
      <c r="RCU79" s="1716"/>
      <c r="RCV79" s="1716"/>
      <c r="RCW79" s="1716"/>
      <c r="RCX79" s="244"/>
      <c r="RCY79" s="244" t="s">
        <v>68</v>
      </c>
      <c r="RCZ79" s="245" t="s">
        <v>68</v>
      </c>
      <c r="RDA79" s="1715" t="s">
        <v>0</v>
      </c>
      <c r="RDB79" s="1716"/>
      <c r="RDC79" s="1716"/>
      <c r="RDD79" s="1716"/>
      <c r="RDE79" s="1716"/>
      <c r="RDF79" s="244"/>
      <c r="RDG79" s="244" t="s">
        <v>68</v>
      </c>
      <c r="RDH79" s="245" t="s">
        <v>68</v>
      </c>
      <c r="RDI79" s="1715" t="s">
        <v>0</v>
      </c>
      <c r="RDJ79" s="1716"/>
      <c r="RDK79" s="1716"/>
      <c r="RDL79" s="1716"/>
      <c r="RDM79" s="1716"/>
      <c r="RDN79" s="244"/>
      <c r="RDO79" s="244" t="s">
        <v>68</v>
      </c>
      <c r="RDP79" s="245" t="s">
        <v>68</v>
      </c>
      <c r="RDQ79" s="1715" t="s">
        <v>0</v>
      </c>
      <c r="RDR79" s="1716"/>
      <c r="RDS79" s="1716"/>
      <c r="RDT79" s="1716"/>
      <c r="RDU79" s="1716"/>
      <c r="RDV79" s="244"/>
      <c r="RDW79" s="244" t="s">
        <v>68</v>
      </c>
      <c r="RDX79" s="245" t="s">
        <v>68</v>
      </c>
      <c r="RDY79" s="1715" t="s">
        <v>0</v>
      </c>
      <c r="RDZ79" s="1716"/>
      <c r="REA79" s="1716"/>
      <c r="REB79" s="1716"/>
      <c r="REC79" s="1716"/>
      <c r="RED79" s="244"/>
      <c r="REE79" s="244" t="s">
        <v>68</v>
      </c>
      <c r="REF79" s="245" t="s">
        <v>68</v>
      </c>
      <c r="REG79" s="1715" t="s">
        <v>0</v>
      </c>
      <c r="REH79" s="1716"/>
      <c r="REI79" s="1716"/>
      <c r="REJ79" s="1716"/>
      <c r="REK79" s="1716"/>
      <c r="REL79" s="244"/>
      <c r="REM79" s="244" t="s">
        <v>68</v>
      </c>
      <c r="REN79" s="245" t="s">
        <v>68</v>
      </c>
      <c r="REO79" s="1715" t="s">
        <v>0</v>
      </c>
      <c r="REP79" s="1716"/>
      <c r="REQ79" s="1716"/>
      <c r="RER79" s="1716"/>
      <c r="RES79" s="1716"/>
      <c r="RET79" s="244"/>
      <c r="REU79" s="244" t="s">
        <v>68</v>
      </c>
      <c r="REV79" s="245" t="s">
        <v>68</v>
      </c>
      <c r="REW79" s="1715" t="s">
        <v>0</v>
      </c>
      <c r="REX79" s="1716"/>
      <c r="REY79" s="1716"/>
      <c r="REZ79" s="1716"/>
      <c r="RFA79" s="1716"/>
      <c r="RFB79" s="244"/>
      <c r="RFC79" s="244" t="s">
        <v>68</v>
      </c>
      <c r="RFD79" s="245" t="s">
        <v>68</v>
      </c>
      <c r="RFE79" s="1715" t="s">
        <v>0</v>
      </c>
      <c r="RFF79" s="1716"/>
      <c r="RFG79" s="1716"/>
      <c r="RFH79" s="1716"/>
      <c r="RFI79" s="1716"/>
      <c r="RFJ79" s="244"/>
      <c r="RFK79" s="244" t="s">
        <v>68</v>
      </c>
      <c r="RFL79" s="245" t="s">
        <v>68</v>
      </c>
      <c r="RFM79" s="1715" t="s">
        <v>0</v>
      </c>
      <c r="RFN79" s="1716"/>
      <c r="RFO79" s="1716"/>
      <c r="RFP79" s="1716"/>
      <c r="RFQ79" s="1716"/>
      <c r="RFR79" s="244"/>
      <c r="RFS79" s="244" t="s">
        <v>68</v>
      </c>
      <c r="RFT79" s="245" t="s">
        <v>68</v>
      </c>
      <c r="RFU79" s="1715" t="s">
        <v>0</v>
      </c>
      <c r="RFV79" s="1716"/>
      <c r="RFW79" s="1716"/>
      <c r="RFX79" s="1716"/>
      <c r="RFY79" s="1716"/>
      <c r="RFZ79" s="244"/>
      <c r="RGA79" s="244" t="s">
        <v>68</v>
      </c>
      <c r="RGB79" s="245" t="s">
        <v>68</v>
      </c>
      <c r="RGC79" s="1715" t="s">
        <v>0</v>
      </c>
      <c r="RGD79" s="1716"/>
      <c r="RGE79" s="1716"/>
      <c r="RGF79" s="1716"/>
      <c r="RGG79" s="1716"/>
      <c r="RGH79" s="244"/>
      <c r="RGI79" s="244" t="s">
        <v>68</v>
      </c>
      <c r="RGJ79" s="245" t="s">
        <v>68</v>
      </c>
      <c r="RGK79" s="1715" t="s">
        <v>0</v>
      </c>
      <c r="RGL79" s="1716"/>
      <c r="RGM79" s="1716"/>
      <c r="RGN79" s="1716"/>
      <c r="RGO79" s="1716"/>
      <c r="RGP79" s="244"/>
      <c r="RGQ79" s="244" t="s">
        <v>68</v>
      </c>
      <c r="RGR79" s="245" t="s">
        <v>68</v>
      </c>
      <c r="RGS79" s="1715" t="s">
        <v>0</v>
      </c>
      <c r="RGT79" s="1716"/>
      <c r="RGU79" s="1716"/>
      <c r="RGV79" s="1716"/>
      <c r="RGW79" s="1716"/>
      <c r="RGX79" s="244"/>
      <c r="RGY79" s="244" t="s">
        <v>68</v>
      </c>
      <c r="RGZ79" s="245" t="s">
        <v>68</v>
      </c>
      <c r="RHA79" s="1715" t="s">
        <v>0</v>
      </c>
      <c r="RHB79" s="1716"/>
      <c r="RHC79" s="1716"/>
      <c r="RHD79" s="1716"/>
      <c r="RHE79" s="1716"/>
      <c r="RHF79" s="244"/>
      <c r="RHG79" s="244" t="s">
        <v>68</v>
      </c>
      <c r="RHH79" s="245" t="s">
        <v>68</v>
      </c>
      <c r="RHI79" s="1715" t="s">
        <v>0</v>
      </c>
      <c r="RHJ79" s="1716"/>
      <c r="RHK79" s="1716"/>
      <c r="RHL79" s="1716"/>
      <c r="RHM79" s="1716"/>
      <c r="RHN79" s="244"/>
      <c r="RHO79" s="244" t="s">
        <v>68</v>
      </c>
      <c r="RHP79" s="245" t="s">
        <v>68</v>
      </c>
      <c r="RHQ79" s="1715" t="s">
        <v>0</v>
      </c>
      <c r="RHR79" s="1716"/>
      <c r="RHS79" s="1716"/>
      <c r="RHT79" s="1716"/>
      <c r="RHU79" s="1716"/>
      <c r="RHV79" s="244"/>
      <c r="RHW79" s="244" t="s">
        <v>68</v>
      </c>
      <c r="RHX79" s="245" t="s">
        <v>68</v>
      </c>
      <c r="RHY79" s="1715" t="s">
        <v>0</v>
      </c>
      <c r="RHZ79" s="1716"/>
      <c r="RIA79" s="1716"/>
      <c r="RIB79" s="1716"/>
      <c r="RIC79" s="1716"/>
      <c r="RID79" s="244"/>
      <c r="RIE79" s="244" t="s">
        <v>68</v>
      </c>
      <c r="RIF79" s="245" t="s">
        <v>68</v>
      </c>
      <c r="RIG79" s="1715" t="s">
        <v>0</v>
      </c>
      <c r="RIH79" s="1716"/>
      <c r="RII79" s="1716"/>
      <c r="RIJ79" s="1716"/>
      <c r="RIK79" s="1716"/>
      <c r="RIL79" s="244"/>
      <c r="RIM79" s="244" t="s">
        <v>68</v>
      </c>
      <c r="RIN79" s="245" t="s">
        <v>68</v>
      </c>
      <c r="RIO79" s="1715" t="s">
        <v>0</v>
      </c>
      <c r="RIP79" s="1716"/>
      <c r="RIQ79" s="1716"/>
      <c r="RIR79" s="1716"/>
      <c r="RIS79" s="1716"/>
      <c r="RIT79" s="244"/>
      <c r="RIU79" s="244" t="s">
        <v>68</v>
      </c>
      <c r="RIV79" s="245" t="s">
        <v>68</v>
      </c>
      <c r="RIW79" s="1715" t="s">
        <v>0</v>
      </c>
      <c r="RIX79" s="1716"/>
      <c r="RIY79" s="1716"/>
      <c r="RIZ79" s="1716"/>
      <c r="RJA79" s="1716"/>
      <c r="RJB79" s="244"/>
      <c r="RJC79" s="244" t="s">
        <v>68</v>
      </c>
      <c r="RJD79" s="245" t="s">
        <v>68</v>
      </c>
      <c r="RJE79" s="1715" t="s">
        <v>0</v>
      </c>
      <c r="RJF79" s="1716"/>
      <c r="RJG79" s="1716"/>
      <c r="RJH79" s="1716"/>
      <c r="RJI79" s="1716"/>
      <c r="RJJ79" s="244"/>
      <c r="RJK79" s="244" t="s">
        <v>68</v>
      </c>
      <c r="RJL79" s="245" t="s">
        <v>68</v>
      </c>
      <c r="RJM79" s="1715" t="s">
        <v>0</v>
      </c>
      <c r="RJN79" s="1716"/>
      <c r="RJO79" s="1716"/>
      <c r="RJP79" s="1716"/>
      <c r="RJQ79" s="1716"/>
      <c r="RJR79" s="244"/>
      <c r="RJS79" s="244" t="s">
        <v>68</v>
      </c>
      <c r="RJT79" s="245" t="s">
        <v>68</v>
      </c>
      <c r="RJU79" s="1715" t="s">
        <v>0</v>
      </c>
      <c r="RJV79" s="1716"/>
      <c r="RJW79" s="1716"/>
      <c r="RJX79" s="1716"/>
      <c r="RJY79" s="1716"/>
      <c r="RJZ79" s="244"/>
      <c r="RKA79" s="244" t="s">
        <v>68</v>
      </c>
      <c r="RKB79" s="245" t="s">
        <v>68</v>
      </c>
      <c r="RKC79" s="1715" t="s">
        <v>0</v>
      </c>
      <c r="RKD79" s="1716"/>
      <c r="RKE79" s="1716"/>
      <c r="RKF79" s="1716"/>
      <c r="RKG79" s="1716"/>
      <c r="RKH79" s="244"/>
      <c r="RKI79" s="244" t="s">
        <v>68</v>
      </c>
      <c r="RKJ79" s="245" t="s">
        <v>68</v>
      </c>
      <c r="RKK79" s="1715" t="s">
        <v>0</v>
      </c>
      <c r="RKL79" s="1716"/>
      <c r="RKM79" s="1716"/>
      <c r="RKN79" s="1716"/>
      <c r="RKO79" s="1716"/>
      <c r="RKP79" s="244"/>
      <c r="RKQ79" s="244" t="s">
        <v>68</v>
      </c>
      <c r="RKR79" s="245" t="s">
        <v>68</v>
      </c>
      <c r="RKS79" s="1715" t="s">
        <v>0</v>
      </c>
      <c r="RKT79" s="1716"/>
      <c r="RKU79" s="1716"/>
      <c r="RKV79" s="1716"/>
      <c r="RKW79" s="1716"/>
      <c r="RKX79" s="244"/>
      <c r="RKY79" s="244" t="s">
        <v>68</v>
      </c>
      <c r="RKZ79" s="245" t="s">
        <v>68</v>
      </c>
      <c r="RLA79" s="1715" t="s">
        <v>0</v>
      </c>
      <c r="RLB79" s="1716"/>
      <c r="RLC79" s="1716"/>
      <c r="RLD79" s="1716"/>
      <c r="RLE79" s="1716"/>
      <c r="RLF79" s="244"/>
      <c r="RLG79" s="244" t="s">
        <v>68</v>
      </c>
      <c r="RLH79" s="245" t="s">
        <v>68</v>
      </c>
      <c r="RLI79" s="1715" t="s">
        <v>0</v>
      </c>
      <c r="RLJ79" s="1716"/>
      <c r="RLK79" s="1716"/>
      <c r="RLL79" s="1716"/>
      <c r="RLM79" s="1716"/>
      <c r="RLN79" s="244"/>
      <c r="RLO79" s="244" t="s">
        <v>68</v>
      </c>
      <c r="RLP79" s="245" t="s">
        <v>68</v>
      </c>
      <c r="RLQ79" s="1715" t="s">
        <v>0</v>
      </c>
      <c r="RLR79" s="1716"/>
      <c r="RLS79" s="1716"/>
      <c r="RLT79" s="1716"/>
      <c r="RLU79" s="1716"/>
      <c r="RLV79" s="244"/>
      <c r="RLW79" s="244" t="s">
        <v>68</v>
      </c>
      <c r="RLX79" s="245" t="s">
        <v>68</v>
      </c>
      <c r="RLY79" s="1715" t="s">
        <v>0</v>
      </c>
      <c r="RLZ79" s="1716"/>
      <c r="RMA79" s="1716"/>
      <c r="RMB79" s="1716"/>
      <c r="RMC79" s="1716"/>
      <c r="RMD79" s="244"/>
      <c r="RME79" s="244" t="s">
        <v>68</v>
      </c>
      <c r="RMF79" s="245" t="s">
        <v>68</v>
      </c>
      <c r="RMG79" s="1715" t="s">
        <v>0</v>
      </c>
      <c r="RMH79" s="1716"/>
      <c r="RMI79" s="1716"/>
      <c r="RMJ79" s="1716"/>
      <c r="RMK79" s="1716"/>
      <c r="RML79" s="244"/>
      <c r="RMM79" s="244" t="s">
        <v>68</v>
      </c>
      <c r="RMN79" s="245" t="s">
        <v>68</v>
      </c>
      <c r="RMO79" s="1715" t="s">
        <v>0</v>
      </c>
      <c r="RMP79" s="1716"/>
      <c r="RMQ79" s="1716"/>
      <c r="RMR79" s="1716"/>
      <c r="RMS79" s="1716"/>
      <c r="RMT79" s="244"/>
      <c r="RMU79" s="244" t="s">
        <v>68</v>
      </c>
      <c r="RMV79" s="245" t="s">
        <v>68</v>
      </c>
      <c r="RMW79" s="1715" t="s">
        <v>0</v>
      </c>
      <c r="RMX79" s="1716"/>
      <c r="RMY79" s="1716"/>
      <c r="RMZ79" s="1716"/>
      <c r="RNA79" s="1716"/>
      <c r="RNB79" s="244"/>
      <c r="RNC79" s="244" t="s">
        <v>68</v>
      </c>
      <c r="RND79" s="245" t="s">
        <v>68</v>
      </c>
      <c r="RNE79" s="1715" t="s">
        <v>0</v>
      </c>
      <c r="RNF79" s="1716"/>
      <c r="RNG79" s="1716"/>
      <c r="RNH79" s="1716"/>
      <c r="RNI79" s="1716"/>
      <c r="RNJ79" s="244"/>
      <c r="RNK79" s="244" t="s">
        <v>68</v>
      </c>
      <c r="RNL79" s="245" t="s">
        <v>68</v>
      </c>
      <c r="RNM79" s="1715" t="s">
        <v>0</v>
      </c>
      <c r="RNN79" s="1716"/>
      <c r="RNO79" s="1716"/>
      <c r="RNP79" s="1716"/>
      <c r="RNQ79" s="1716"/>
      <c r="RNR79" s="244"/>
      <c r="RNS79" s="244" t="s">
        <v>68</v>
      </c>
      <c r="RNT79" s="245" t="s">
        <v>68</v>
      </c>
      <c r="RNU79" s="1715" t="s">
        <v>0</v>
      </c>
      <c r="RNV79" s="1716"/>
      <c r="RNW79" s="1716"/>
      <c r="RNX79" s="1716"/>
      <c r="RNY79" s="1716"/>
      <c r="RNZ79" s="244"/>
      <c r="ROA79" s="244" t="s">
        <v>68</v>
      </c>
      <c r="ROB79" s="245" t="s">
        <v>68</v>
      </c>
      <c r="ROC79" s="1715" t="s">
        <v>0</v>
      </c>
      <c r="ROD79" s="1716"/>
      <c r="ROE79" s="1716"/>
      <c r="ROF79" s="1716"/>
      <c r="ROG79" s="1716"/>
      <c r="ROH79" s="244"/>
      <c r="ROI79" s="244" t="s">
        <v>68</v>
      </c>
      <c r="ROJ79" s="245" t="s">
        <v>68</v>
      </c>
      <c r="ROK79" s="1715" t="s">
        <v>0</v>
      </c>
      <c r="ROL79" s="1716"/>
      <c r="ROM79" s="1716"/>
      <c r="RON79" s="1716"/>
      <c r="ROO79" s="1716"/>
      <c r="ROP79" s="244"/>
      <c r="ROQ79" s="244" t="s">
        <v>68</v>
      </c>
      <c r="ROR79" s="245" t="s">
        <v>68</v>
      </c>
      <c r="ROS79" s="1715" t="s">
        <v>0</v>
      </c>
      <c r="ROT79" s="1716"/>
      <c r="ROU79" s="1716"/>
      <c r="ROV79" s="1716"/>
      <c r="ROW79" s="1716"/>
      <c r="ROX79" s="244"/>
      <c r="ROY79" s="244" t="s">
        <v>68</v>
      </c>
      <c r="ROZ79" s="245" t="s">
        <v>68</v>
      </c>
      <c r="RPA79" s="1715" t="s">
        <v>0</v>
      </c>
      <c r="RPB79" s="1716"/>
      <c r="RPC79" s="1716"/>
      <c r="RPD79" s="1716"/>
      <c r="RPE79" s="1716"/>
      <c r="RPF79" s="244"/>
      <c r="RPG79" s="244" t="s">
        <v>68</v>
      </c>
      <c r="RPH79" s="245" t="s">
        <v>68</v>
      </c>
      <c r="RPI79" s="1715" t="s">
        <v>0</v>
      </c>
      <c r="RPJ79" s="1716"/>
      <c r="RPK79" s="1716"/>
      <c r="RPL79" s="1716"/>
      <c r="RPM79" s="1716"/>
      <c r="RPN79" s="244"/>
      <c r="RPO79" s="244" t="s">
        <v>68</v>
      </c>
      <c r="RPP79" s="245" t="s">
        <v>68</v>
      </c>
      <c r="RPQ79" s="1715" t="s">
        <v>0</v>
      </c>
      <c r="RPR79" s="1716"/>
      <c r="RPS79" s="1716"/>
      <c r="RPT79" s="1716"/>
      <c r="RPU79" s="1716"/>
      <c r="RPV79" s="244"/>
      <c r="RPW79" s="244" t="s">
        <v>68</v>
      </c>
      <c r="RPX79" s="245" t="s">
        <v>68</v>
      </c>
      <c r="RPY79" s="1715" t="s">
        <v>0</v>
      </c>
      <c r="RPZ79" s="1716"/>
      <c r="RQA79" s="1716"/>
      <c r="RQB79" s="1716"/>
      <c r="RQC79" s="1716"/>
      <c r="RQD79" s="244"/>
      <c r="RQE79" s="244" t="s">
        <v>68</v>
      </c>
      <c r="RQF79" s="245" t="s">
        <v>68</v>
      </c>
      <c r="RQG79" s="1715" t="s">
        <v>0</v>
      </c>
      <c r="RQH79" s="1716"/>
      <c r="RQI79" s="1716"/>
      <c r="RQJ79" s="1716"/>
      <c r="RQK79" s="1716"/>
      <c r="RQL79" s="244"/>
      <c r="RQM79" s="244" t="s">
        <v>68</v>
      </c>
      <c r="RQN79" s="245" t="s">
        <v>68</v>
      </c>
      <c r="RQO79" s="1715" t="s">
        <v>0</v>
      </c>
      <c r="RQP79" s="1716"/>
      <c r="RQQ79" s="1716"/>
      <c r="RQR79" s="1716"/>
      <c r="RQS79" s="1716"/>
      <c r="RQT79" s="244"/>
      <c r="RQU79" s="244" t="s">
        <v>68</v>
      </c>
      <c r="RQV79" s="245" t="s">
        <v>68</v>
      </c>
      <c r="RQW79" s="1715" t="s">
        <v>0</v>
      </c>
      <c r="RQX79" s="1716"/>
      <c r="RQY79" s="1716"/>
      <c r="RQZ79" s="1716"/>
      <c r="RRA79" s="1716"/>
      <c r="RRB79" s="244"/>
      <c r="RRC79" s="244" t="s">
        <v>68</v>
      </c>
      <c r="RRD79" s="245" t="s">
        <v>68</v>
      </c>
      <c r="RRE79" s="1715" t="s">
        <v>0</v>
      </c>
      <c r="RRF79" s="1716"/>
      <c r="RRG79" s="1716"/>
      <c r="RRH79" s="1716"/>
      <c r="RRI79" s="1716"/>
      <c r="RRJ79" s="244"/>
      <c r="RRK79" s="244" t="s">
        <v>68</v>
      </c>
      <c r="RRL79" s="245" t="s">
        <v>68</v>
      </c>
      <c r="RRM79" s="1715" t="s">
        <v>0</v>
      </c>
      <c r="RRN79" s="1716"/>
      <c r="RRO79" s="1716"/>
      <c r="RRP79" s="1716"/>
      <c r="RRQ79" s="1716"/>
      <c r="RRR79" s="244"/>
      <c r="RRS79" s="244" t="s">
        <v>68</v>
      </c>
      <c r="RRT79" s="245" t="s">
        <v>68</v>
      </c>
      <c r="RRU79" s="1715" t="s">
        <v>0</v>
      </c>
      <c r="RRV79" s="1716"/>
      <c r="RRW79" s="1716"/>
      <c r="RRX79" s="1716"/>
      <c r="RRY79" s="1716"/>
      <c r="RRZ79" s="244"/>
      <c r="RSA79" s="244" t="s">
        <v>68</v>
      </c>
      <c r="RSB79" s="245" t="s">
        <v>68</v>
      </c>
      <c r="RSC79" s="1715" t="s">
        <v>0</v>
      </c>
      <c r="RSD79" s="1716"/>
      <c r="RSE79" s="1716"/>
      <c r="RSF79" s="1716"/>
      <c r="RSG79" s="1716"/>
      <c r="RSH79" s="244"/>
      <c r="RSI79" s="244" t="s">
        <v>68</v>
      </c>
      <c r="RSJ79" s="245" t="s">
        <v>68</v>
      </c>
      <c r="RSK79" s="1715" t="s">
        <v>0</v>
      </c>
      <c r="RSL79" s="1716"/>
      <c r="RSM79" s="1716"/>
      <c r="RSN79" s="1716"/>
      <c r="RSO79" s="1716"/>
      <c r="RSP79" s="244"/>
      <c r="RSQ79" s="244" t="s">
        <v>68</v>
      </c>
      <c r="RSR79" s="245" t="s">
        <v>68</v>
      </c>
      <c r="RSS79" s="1715" t="s">
        <v>0</v>
      </c>
      <c r="RST79" s="1716"/>
      <c r="RSU79" s="1716"/>
      <c r="RSV79" s="1716"/>
      <c r="RSW79" s="1716"/>
      <c r="RSX79" s="244"/>
      <c r="RSY79" s="244" t="s">
        <v>68</v>
      </c>
      <c r="RSZ79" s="245" t="s">
        <v>68</v>
      </c>
      <c r="RTA79" s="1715" t="s">
        <v>0</v>
      </c>
      <c r="RTB79" s="1716"/>
      <c r="RTC79" s="1716"/>
      <c r="RTD79" s="1716"/>
      <c r="RTE79" s="1716"/>
      <c r="RTF79" s="244"/>
      <c r="RTG79" s="244" t="s">
        <v>68</v>
      </c>
      <c r="RTH79" s="245" t="s">
        <v>68</v>
      </c>
      <c r="RTI79" s="1715" t="s">
        <v>0</v>
      </c>
      <c r="RTJ79" s="1716"/>
      <c r="RTK79" s="1716"/>
      <c r="RTL79" s="1716"/>
      <c r="RTM79" s="1716"/>
      <c r="RTN79" s="244"/>
      <c r="RTO79" s="244" t="s">
        <v>68</v>
      </c>
      <c r="RTP79" s="245" t="s">
        <v>68</v>
      </c>
      <c r="RTQ79" s="1715" t="s">
        <v>0</v>
      </c>
      <c r="RTR79" s="1716"/>
      <c r="RTS79" s="1716"/>
      <c r="RTT79" s="1716"/>
      <c r="RTU79" s="1716"/>
      <c r="RTV79" s="244"/>
      <c r="RTW79" s="244" t="s">
        <v>68</v>
      </c>
      <c r="RTX79" s="245" t="s">
        <v>68</v>
      </c>
      <c r="RTY79" s="1715" t="s">
        <v>0</v>
      </c>
      <c r="RTZ79" s="1716"/>
      <c r="RUA79" s="1716"/>
      <c r="RUB79" s="1716"/>
      <c r="RUC79" s="1716"/>
      <c r="RUD79" s="244"/>
      <c r="RUE79" s="244" t="s">
        <v>68</v>
      </c>
      <c r="RUF79" s="245" t="s">
        <v>68</v>
      </c>
      <c r="RUG79" s="1715" t="s">
        <v>0</v>
      </c>
      <c r="RUH79" s="1716"/>
      <c r="RUI79" s="1716"/>
      <c r="RUJ79" s="1716"/>
      <c r="RUK79" s="1716"/>
      <c r="RUL79" s="244"/>
      <c r="RUM79" s="244" t="s">
        <v>68</v>
      </c>
      <c r="RUN79" s="245" t="s">
        <v>68</v>
      </c>
      <c r="RUO79" s="1715" t="s">
        <v>0</v>
      </c>
      <c r="RUP79" s="1716"/>
      <c r="RUQ79" s="1716"/>
      <c r="RUR79" s="1716"/>
      <c r="RUS79" s="1716"/>
      <c r="RUT79" s="244"/>
      <c r="RUU79" s="244" t="s">
        <v>68</v>
      </c>
      <c r="RUV79" s="245" t="s">
        <v>68</v>
      </c>
      <c r="RUW79" s="1715" t="s">
        <v>0</v>
      </c>
      <c r="RUX79" s="1716"/>
      <c r="RUY79" s="1716"/>
      <c r="RUZ79" s="1716"/>
      <c r="RVA79" s="1716"/>
      <c r="RVB79" s="244"/>
      <c r="RVC79" s="244" t="s">
        <v>68</v>
      </c>
      <c r="RVD79" s="245" t="s">
        <v>68</v>
      </c>
      <c r="RVE79" s="1715" t="s">
        <v>0</v>
      </c>
      <c r="RVF79" s="1716"/>
      <c r="RVG79" s="1716"/>
      <c r="RVH79" s="1716"/>
      <c r="RVI79" s="1716"/>
      <c r="RVJ79" s="244"/>
      <c r="RVK79" s="244" t="s">
        <v>68</v>
      </c>
      <c r="RVL79" s="245" t="s">
        <v>68</v>
      </c>
      <c r="RVM79" s="1715" t="s">
        <v>0</v>
      </c>
      <c r="RVN79" s="1716"/>
      <c r="RVO79" s="1716"/>
      <c r="RVP79" s="1716"/>
      <c r="RVQ79" s="1716"/>
      <c r="RVR79" s="244"/>
      <c r="RVS79" s="244" t="s">
        <v>68</v>
      </c>
      <c r="RVT79" s="245" t="s">
        <v>68</v>
      </c>
      <c r="RVU79" s="1715" t="s">
        <v>0</v>
      </c>
      <c r="RVV79" s="1716"/>
      <c r="RVW79" s="1716"/>
      <c r="RVX79" s="1716"/>
      <c r="RVY79" s="1716"/>
      <c r="RVZ79" s="244"/>
      <c r="RWA79" s="244" t="s">
        <v>68</v>
      </c>
      <c r="RWB79" s="245" t="s">
        <v>68</v>
      </c>
      <c r="RWC79" s="1715" t="s">
        <v>0</v>
      </c>
      <c r="RWD79" s="1716"/>
      <c r="RWE79" s="1716"/>
      <c r="RWF79" s="1716"/>
      <c r="RWG79" s="1716"/>
      <c r="RWH79" s="244"/>
      <c r="RWI79" s="244" t="s">
        <v>68</v>
      </c>
      <c r="RWJ79" s="245" t="s">
        <v>68</v>
      </c>
      <c r="RWK79" s="1715" t="s">
        <v>0</v>
      </c>
      <c r="RWL79" s="1716"/>
      <c r="RWM79" s="1716"/>
      <c r="RWN79" s="1716"/>
      <c r="RWO79" s="1716"/>
      <c r="RWP79" s="244"/>
      <c r="RWQ79" s="244" t="s">
        <v>68</v>
      </c>
      <c r="RWR79" s="245" t="s">
        <v>68</v>
      </c>
      <c r="RWS79" s="1715" t="s">
        <v>0</v>
      </c>
      <c r="RWT79" s="1716"/>
      <c r="RWU79" s="1716"/>
      <c r="RWV79" s="1716"/>
      <c r="RWW79" s="1716"/>
      <c r="RWX79" s="244"/>
      <c r="RWY79" s="244" t="s">
        <v>68</v>
      </c>
      <c r="RWZ79" s="245" t="s">
        <v>68</v>
      </c>
      <c r="RXA79" s="1715" t="s">
        <v>0</v>
      </c>
      <c r="RXB79" s="1716"/>
      <c r="RXC79" s="1716"/>
      <c r="RXD79" s="1716"/>
      <c r="RXE79" s="1716"/>
      <c r="RXF79" s="244"/>
      <c r="RXG79" s="244" t="s">
        <v>68</v>
      </c>
      <c r="RXH79" s="245" t="s">
        <v>68</v>
      </c>
      <c r="RXI79" s="1715" t="s">
        <v>0</v>
      </c>
      <c r="RXJ79" s="1716"/>
      <c r="RXK79" s="1716"/>
      <c r="RXL79" s="1716"/>
      <c r="RXM79" s="1716"/>
      <c r="RXN79" s="244"/>
      <c r="RXO79" s="244" t="s">
        <v>68</v>
      </c>
      <c r="RXP79" s="245" t="s">
        <v>68</v>
      </c>
      <c r="RXQ79" s="1715" t="s">
        <v>0</v>
      </c>
      <c r="RXR79" s="1716"/>
      <c r="RXS79" s="1716"/>
      <c r="RXT79" s="1716"/>
      <c r="RXU79" s="1716"/>
      <c r="RXV79" s="244"/>
      <c r="RXW79" s="244" t="s">
        <v>68</v>
      </c>
      <c r="RXX79" s="245" t="s">
        <v>68</v>
      </c>
      <c r="RXY79" s="1715" t="s">
        <v>0</v>
      </c>
      <c r="RXZ79" s="1716"/>
      <c r="RYA79" s="1716"/>
      <c r="RYB79" s="1716"/>
      <c r="RYC79" s="1716"/>
      <c r="RYD79" s="244"/>
      <c r="RYE79" s="244" t="s">
        <v>68</v>
      </c>
      <c r="RYF79" s="245" t="s">
        <v>68</v>
      </c>
      <c r="RYG79" s="1715" t="s">
        <v>0</v>
      </c>
      <c r="RYH79" s="1716"/>
      <c r="RYI79" s="1716"/>
      <c r="RYJ79" s="1716"/>
      <c r="RYK79" s="1716"/>
      <c r="RYL79" s="244"/>
      <c r="RYM79" s="244" t="s">
        <v>68</v>
      </c>
      <c r="RYN79" s="245" t="s">
        <v>68</v>
      </c>
      <c r="RYO79" s="1715" t="s">
        <v>0</v>
      </c>
      <c r="RYP79" s="1716"/>
      <c r="RYQ79" s="1716"/>
      <c r="RYR79" s="1716"/>
      <c r="RYS79" s="1716"/>
      <c r="RYT79" s="244"/>
      <c r="RYU79" s="244" t="s">
        <v>68</v>
      </c>
      <c r="RYV79" s="245" t="s">
        <v>68</v>
      </c>
      <c r="RYW79" s="1715" t="s">
        <v>0</v>
      </c>
      <c r="RYX79" s="1716"/>
      <c r="RYY79" s="1716"/>
      <c r="RYZ79" s="1716"/>
      <c r="RZA79" s="1716"/>
      <c r="RZB79" s="244"/>
      <c r="RZC79" s="244" t="s">
        <v>68</v>
      </c>
      <c r="RZD79" s="245" t="s">
        <v>68</v>
      </c>
      <c r="RZE79" s="1715" t="s">
        <v>0</v>
      </c>
      <c r="RZF79" s="1716"/>
      <c r="RZG79" s="1716"/>
      <c r="RZH79" s="1716"/>
      <c r="RZI79" s="1716"/>
      <c r="RZJ79" s="244"/>
      <c r="RZK79" s="244" t="s">
        <v>68</v>
      </c>
      <c r="RZL79" s="245" t="s">
        <v>68</v>
      </c>
      <c r="RZM79" s="1715" t="s">
        <v>0</v>
      </c>
      <c r="RZN79" s="1716"/>
      <c r="RZO79" s="1716"/>
      <c r="RZP79" s="1716"/>
      <c r="RZQ79" s="1716"/>
      <c r="RZR79" s="244"/>
      <c r="RZS79" s="244" t="s">
        <v>68</v>
      </c>
      <c r="RZT79" s="245" t="s">
        <v>68</v>
      </c>
      <c r="RZU79" s="1715" t="s">
        <v>0</v>
      </c>
      <c r="RZV79" s="1716"/>
      <c r="RZW79" s="1716"/>
      <c r="RZX79" s="1716"/>
      <c r="RZY79" s="1716"/>
      <c r="RZZ79" s="244"/>
      <c r="SAA79" s="244" t="s">
        <v>68</v>
      </c>
      <c r="SAB79" s="245" t="s">
        <v>68</v>
      </c>
      <c r="SAC79" s="1715" t="s">
        <v>0</v>
      </c>
      <c r="SAD79" s="1716"/>
      <c r="SAE79" s="1716"/>
      <c r="SAF79" s="1716"/>
      <c r="SAG79" s="1716"/>
      <c r="SAH79" s="244"/>
      <c r="SAI79" s="244" t="s">
        <v>68</v>
      </c>
      <c r="SAJ79" s="245" t="s">
        <v>68</v>
      </c>
      <c r="SAK79" s="1715" t="s">
        <v>0</v>
      </c>
      <c r="SAL79" s="1716"/>
      <c r="SAM79" s="1716"/>
      <c r="SAN79" s="1716"/>
      <c r="SAO79" s="1716"/>
      <c r="SAP79" s="244"/>
      <c r="SAQ79" s="244" t="s">
        <v>68</v>
      </c>
      <c r="SAR79" s="245" t="s">
        <v>68</v>
      </c>
      <c r="SAS79" s="1715" t="s">
        <v>0</v>
      </c>
      <c r="SAT79" s="1716"/>
      <c r="SAU79" s="1716"/>
      <c r="SAV79" s="1716"/>
      <c r="SAW79" s="1716"/>
      <c r="SAX79" s="244"/>
      <c r="SAY79" s="244" t="s">
        <v>68</v>
      </c>
      <c r="SAZ79" s="245" t="s">
        <v>68</v>
      </c>
      <c r="SBA79" s="1715" t="s">
        <v>0</v>
      </c>
      <c r="SBB79" s="1716"/>
      <c r="SBC79" s="1716"/>
      <c r="SBD79" s="1716"/>
      <c r="SBE79" s="1716"/>
      <c r="SBF79" s="244"/>
      <c r="SBG79" s="244" t="s">
        <v>68</v>
      </c>
      <c r="SBH79" s="245" t="s">
        <v>68</v>
      </c>
      <c r="SBI79" s="1715" t="s">
        <v>0</v>
      </c>
      <c r="SBJ79" s="1716"/>
      <c r="SBK79" s="1716"/>
      <c r="SBL79" s="1716"/>
      <c r="SBM79" s="1716"/>
      <c r="SBN79" s="244"/>
      <c r="SBO79" s="244" t="s">
        <v>68</v>
      </c>
      <c r="SBP79" s="245" t="s">
        <v>68</v>
      </c>
      <c r="SBQ79" s="1715" t="s">
        <v>0</v>
      </c>
      <c r="SBR79" s="1716"/>
      <c r="SBS79" s="1716"/>
      <c r="SBT79" s="1716"/>
      <c r="SBU79" s="1716"/>
      <c r="SBV79" s="244"/>
      <c r="SBW79" s="244" t="s">
        <v>68</v>
      </c>
      <c r="SBX79" s="245" t="s">
        <v>68</v>
      </c>
      <c r="SBY79" s="1715" t="s">
        <v>0</v>
      </c>
      <c r="SBZ79" s="1716"/>
      <c r="SCA79" s="1716"/>
      <c r="SCB79" s="1716"/>
      <c r="SCC79" s="1716"/>
      <c r="SCD79" s="244"/>
      <c r="SCE79" s="244" t="s">
        <v>68</v>
      </c>
      <c r="SCF79" s="245" t="s">
        <v>68</v>
      </c>
      <c r="SCG79" s="1715" t="s">
        <v>0</v>
      </c>
      <c r="SCH79" s="1716"/>
      <c r="SCI79" s="1716"/>
      <c r="SCJ79" s="1716"/>
      <c r="SCK79" s="1716"/>
      <c r="SCL79" s="244"/>
      <c r="SCM79" s="244" t="s">
        <v>68</v>
      </c>
      <c r="SCN79" s="245" t="s">
        <v>68</v>
      </c>
      <c r="SCO79" s="1715" t="s">
        <v>0</v>
      </c>
      <c r="SCP79" s="1716"/>
      <c r="SCQ79" s="1716"/>
      <c r="SCR79" s="1716"/>
      <c r="SCS79" s="1716"/>
      <c r="SCT79" s="244"/>
      <c r="SCU79" s="244" t="s">
        <v>68</v>
      </c>
      <c r="SCV79" s="245" t="s">
        <v>68</v>
      </c>
      <c r="SCW79" s="1715" t="s">
        <v>0</v>
      </c>
      <c r="SCX79" s="1716"/>
      <c r="SCY79" s="1716"/>
      <c r="SCZ79" s="1716"/>
      <c r="SDA79" s="1716"/>
      <c r="SDB79" s="244"/>
      <c r="SDC79" s="244" t="s">
        <v>68</v>
      </c>
      <c r="SDD79" s="245" t="s">
        <v>68</v>
      </c>
      <c r="SDE79" s="1715" t="s">
        <v>0</v>
      </c>
      <c r="SDF79" s="1716"/>
      <c r="SDG79" s="1716"/>
      <c r="SDH79" s="1716"/>
      <c r="SDI79" s="1716"/>
      <c r="SDJ79" s="244"/>
      <c r="SDK79" s="244" t="s">
        <v>68</v>
      </c>
      <c r="SDL79" s="245" t="s">
        <v>68</v>
      </c>
      <c r="SDM79" s="1715" t="s">
        <v>0</v>
      </c>
      <c r="SDN79" s="1716"/>
      <c r="SDO79" s="1716"/>
      <c r="SDP79" s="1716"/>
      <c r="SDQ79" s="1716"/>
      <c r="SDR79" s="244"/>
      <c r="SDS79" s="244" t="s">
        <v>68</v>
      </c>
      <c r="SDT79" s="245" t="s">
        <v>68</v>
      </c>
      <c r="SDU79" s="1715" t="s">
        <v>0</v>
      </c>
      <c r="SDV79" s="1716"/>
      <c r="SDW79" s="1716"/>
      <c r="SDX79" s="1716"/>
      <c r="SDY79" s="1716"/>
      <c r="SDZ79" s="244"/>
      <c r="SEA79" s="244" t="s">
        <v>68</v>
      </c>
      <c r="SEB79" s="245" t="s">
        <v>68</v>
      </c>
      <c r="SEC79" s="1715" t="s">
        <v>0</v>
      </c>
      <c r="SED79" s="1716"/>
      <c r="SEE79" s="1716"/>
      <c r="SEF79" s="1716"/>
      <c r="SEG79" s="1716"/>
      <c r="SEH79" s="244"/>
      <c r="SEI79" s="244" t="s">
        <v>68</v>
      </c>
      <c r="SEJ79" s="245" t="s">
        <v>68</v>
      </c>
      <c r="SEK79" s="1715" t="s">
        <v>0</v>
      </c>
      <c r="SEL79" s="1716"/>
      <c r="SEM79" s="1716"/>
      <c r="SEN79" s="1716"/>
      <c r="SEO79" s="1716"/>
      <c r="SEP79" s="244"/>
      <c r="SEQ79" s="244" t="s">
        <v>68</v>
      </c>
      <c r="SER79" s="245" t="s">
        <v>68</v>
      </c>
      <c r="SES79" s="1715" t="s">
        <v>0</v>
      </c>
      <c r="SET79" s="1716"/>
      <c r="SEU79" s="1716"/>
      <c r="SEV79" s="1716"/>
      <c r="SEW79" s="1716"/>
      <c r="SEX79" s="244"/>
      <c r="SEY79" s="244" t="s">
        <v>68</v>
      </c>
      <c r="SEZ79" s="245" t="s">
        <v>68</v>
      </c>
      <c r="SFA79" s="1715" t="s">
        <v>0</v>
      </c>
      <c r="SFB79" s="1716"/>
      <c r="SFC79" s="1716"/>
      <c r="SFD79" s="1716"/>
      <c r="SFE79" s="1716"/>
      <c r="SFF79" s="244"/>
      <c r="SFG79" s="244" t="s">
        <v>68</v>
      </c>
      <c r="SFH79" s="245" t="s">
        <v>68</v>
      </c>
      <c r="SFI79" s="1715" t="s">
        <v>0</v>
      </c>
      <c r="SFJ79" s="1716"/>
      <c r="SFK79" s="1716"/>
      <c r="SFL79" s="1716"/>
      <c r="SFM79" s="1716"/>
      <c r="SFN79" s="244"/>
      <c r="SFO79" s="244" t="s">
        <v>68</v>
      </c>
      <c r="SFP79" s="245" t="s">
        <v>68</v>
      </c>
      <c r="SFQ79" s="1715" t="s">
        <v>0</v>
      </c>
      <c r="SFR79" s="1716"/>
      <c r="SFS79" s="1716"/>
      <c r="SFT79" s="1716"/>
      <c r="SFU79" s="1716"/>
      <c r="SFV79" s="244"/>
      <c r="SFW79" s="244" t="s">
        <v>68</v>
      </c>
      <c r="SFX79" s="245" t="s">
        <v>68</v>
      </c>
      <c r="SFY79" s="1715" t="s">
        <v>0</v>
      </c>
      <c r="SFZ79" s="1716"/>
      <c r="SGA79" s="1716"/>
      <c r="SGB79" s="1716"/>
      <c r="SGC79" s="1716"/>
      <c r="SGD79" s="244"/>
      <c r="SGE79" s="244" t="s">
        <v>68</v>
      </c>
      <c r="SGF79" s="245" t="s">
        <v>68</v>
      </c>
      <c r="SGG79" s="1715" t="s">
        <v>0</v>
      </c>
      <c r="SGH79" s="1716"/>
      <c r="SGI79" s="1716"/>
      <c r="SGJ79" s="1716"/>
      <c r="SGK79" s="1716"/>
      <c r="SGL79" s="244"/>
      <c r="SGM79" s="244" t="s">
        <v>68</v>
      </c>
      <c r="SGN79" s="245" t="s">
        <v>68</v>
      </c>
      <c r="SGO79" s="1715" t="s">
        <v>0</v>
      </c>
      <c r="SGP79" s="1716"/>
      <c r="SGQ79" s="1716"/>
      <c r="SGR79" s="1716"/>
      <c r="SGS79" s="1716"/>
      <c r="SGT79" s="244"/>
      <c r="SGU79" s="244" t="s">
        <v>68</v>
      </c>
      <c r="SGV79" s="245" t="s">
        <v>68</v>
      </c>
      <c r="SGW79" s="1715" t="s">
        <v>0</v>
      </c>
      <c r="SGX79" s="1716"/>
      <c r="SGY79" s="1716"/>
      <c r="SGZ79" s="1716"/>
      <c r="SHA79" s="1716"/>
      <c r="SHB79" s="244"/>
      <c r="SHC79" s="244" t="s">
        <v>68</v>
      </c>
      <c r="SHD79" s="245" t="s">
        <v>68</v>
      </c>
      <c r="SHE79" s="1715" t="s">
        <v>0</v>
      </c>
      <c r="SHF79" s="1716"/>
      <c r="SHG79" s="1716"/>
      <c r="SHH79" s="1716"/>
      <c r="SHI79" s="1716"/>
      <c r="SHJ79" s="244"/>
      <c r="SHK79" s="244" t="s">
        <v>68</v>
      </c>
      <c r="SHL79" s="245" t="s">
        <v>68</v>
      </c>
      <c r="SHM79" s="1715" t="s">
        <v>0</v>
      </c>
      <c r="SHN79" s="1716"/>
      <c r="SHO79" s="1716"/>
      <c r="SHP79" s="1716"/>
      <c r="SHQ79" s="1716"/>
      <c r="SHR79" s="244"/>
      <c r="SHS79" s="244" t="s">
        <v>68</v>
      </c>
      <c r="SHT79" s="245" t="s">
        <v>68</v>
      </c>
      <c r="SHU79" s="1715" t="s">
        <v>0</v>
      </c>
      <c r="SHV79" s="1716"/>
      <c r="SHW79" s="1716"/>
      <c r="SHX79" s="1716"/>
      <c r="SHY79" s="1716"/>
      <c r="SHZ79" s="244"/>
      <c r="SIA79" s="244" t="s">
        <v>68</v>
      </c>
      <c r="SIB79" s="245" t="s">
        <v>68</v>
      </c>
      <c r="SIC79" s="1715" t="s">
        <v>0</v>
      </c>
      <c r="SID79" s="1716"/>
      <c r="SIE79" s="1716"/>
      <c r="SIF79" s="1716"/>
      <c r="SIG79" s="1716"/>
      <c r="SIH79" s="244"/>
      <c r="SII79" s="244" t="s">
        <v>68</v>
      </c>
      <c r="SIJ79" s="245" t="s">
        <v>68</v>
      </c>
      <c r="SIK79" s="1715" t="s">
        <v>0</v>
      </c>
      <c r="SIL79" s="1716"/>
      <c r="SIM79" s="1716"/>
      <c r="SIN79" s="1716"/>
      <c r="SIO79" s="1716"/>
      <c r="SIP79" s="244"/>
      <c r="SIQ79" s="244" t="s">
        <v>68</v>
      </c>
      <c r="SIR79" s="245" t="s">
        <v>68</v>
      </c>
      <c r="SIS79" s="1715" t="s">
        <v>0</v>
      </c>
      <c r="SIT79" s="1716"/>
      <c r="SIU79" s="1716"/>
      <c r="SIV79" s="1716"/>
      <c r="SIW79" s="1716"/>
      <c r="SIX79" s="244"/>
      <c r="SIY79" s="244" t="s">
        <v>68</v>
      </c>
      <c r="SIZ79" s="245" t="s">
        <v>68</v>
      </c>
      <c r="SJA79" s="1715" t="s">
        <v>0</v>
      </c>
      <c r="SJB79" s="1716"/>
      <c r="SJC79" s="1716"/>
      <c r="SJD79" s="1716"/>
      <c r="SJE79" s="1716"/>
      <c r="SJF79" s="244"/>
      <c r="SJG79" s="244" t="s">
        <v>68</v>
      </c>
      <c r="SJH79" s="245" t="s">
        <v>68</v>
      </c>
      <c r="SJI79" s="1715" t="s">
        <v>0</v>
      </c>
      <c r="SJJ79" s="1716"/>
      <c r="SJK79" s="1716"/>
      <c r="SJL79" s="1716"/>
      <c r="SJM79" s="1716"/>
      <c r="SJN79" s="244"/>
      <c r="SJO79" s="244" t="s">
        <v>68</v>
      </c>
      <c r="SJP79" s="245" t="s">
        <v>68</v>
      </c>
      <c r="SJQ79" s="1715" t="s">
        <v>0</v>
      </c>
      <c r="SJR79" s="1716"/>
      <c r="SJS79" s="1716"/>
      <c r="SJT79" s="1716"/>
      <c r="SJU79" s="1716"/>
      <c r="SJV79" s="244"/>
      <c r="SJW79" s="244" t="s">
        <v>68</v>
      </c>
      <c r="SJX79" s="245" t="s">
        <v>68</v>
      </c>
      <c r="SJY79" s="1715" t="s">
        <v>0</v>
      </c>
      <c r="SJZ79" s="1716"/>
      <c r="SKA79" s="1716"/>
      <c r="SKB79" s="1716"/>
      <c r="SKC79" s="1716"/>
      <c r="SKD79" s="244"/>
      <c r="SKE79" s="244" t="s">
        <v>68</v>
      </c>
      <c r="SKF79" s="245" t="s">
        <v>68</v>
      </c>
      <c r="SKG79" s="1715" t="s">
        <v>0</v>
      </c>
      <c r="SKH79" s="1716"/>
      <c r="SKI79" s="1716"/>
      <c r="SKJ79" s="1716"/>
      <c r="SKK79" s="1716"/>
      <c r="SKL79" s="244"/>
      <c r="SKM79" s="244" t="s">
        <v>68</v>
      </c>
      <c r="SKN79" s="245" t="s">
        <v>68</v>
      </c>
      <c r="SKO79" s="1715" t="s">
        <v>0</v>
      </c>
      <c r="SKP79" s="1716"/>
      <c r="SKQ79" s="1716"/>
      <c r="SKR79" s="1716"/>
      <c r="SKS79" s="1716"/>
      <c r="SKT79" s="244"/>
      <c r="SKU79" s="244" t="s">
        <v>68</v>
      </c>
      <c r="SKV79" s="245" t="s">
        <v>68</v>
      </c>
      <c r="SKW79" s="1715" t="s">
        <v>0</v>
      </c>
      <c r="SKX79" s="1716"/>
      <c r="SKY79" s="1716"/>
      <c r="SKZ79" s="1716"/>
      <c r="SLA79" s="1716"/>
      <c r="SLB79" s="244"/>
      <c r="SLC79" s="244" t="s">
        <v>68</v>
      </c>
      <c r="SLD79" s="245" t="s">
        <v>68</v>
      </c>
      <c r="SLE79" s="1715" t="s">
        <v>0</v>
      </c>
      <c r="SLF79" s="1716"/>
      <c r="SLG79" s="1716"/>
      <c r="SLH79" s="1716"/>
      <c r="SLI79" s="1716"/>
      <c r="SLJ79" s="244"/>
      <c r="SLK79" s="244" t="s">
        <v>68</v>
      </c>
      <c r="SLL79" s="245" t="s">
        <v>68</v>
      </c>
      <c r="SLM79" s="1715" t="s">
        <v>0</v>
      </c>
      <c r="SLN79" s="1716"/>
      <c r="SLO79" s="1716"/>
      <c r="SLP79" s="1716"/>
      <c r="SLQ79" s="1716"/>
      <c r="SLR79" s="244"/>
      <c r="SLS79" s="244" t="s">
        <v>68</v>
      </c>
      <c r="SLT79" s="245" t="s">
        <v>68</v>
      </c>
      <c r="SLU79" s="1715" t="s">
        <v>0</v>
      </c>
      <c r="SLV79" s="1716"/>
      <c r="SLW79" s="1716"/>
      <c r="SLX79" s="1716"/>
      <c r="SLY79" s="1716"/>
      <c r="SLZ79" s="244"/>
      <c r="SMA79" s="244" t="s">
        <v>68</v>
      </c>
      <c r="SMB79" s="245" t="s">
        <v>68</v>
      </c>
      <c r="SMC79" s="1715" t="s">
        <v>0</v>
      </c>
      <c r="SMD79" s="1716"/>
      <c r="SME79" s="1716"/>
      <c r="SMF79" s="1716"/>
      <c r="SMG79" s="1716"/>
      <c r="SMH79" s="244"/>
      <c r="SMI79" s="244" t="s">
        <v>68</v>
      </c>
      <c r="SMJ79" s="245" t="s">
        <v>68</v>
      </c>
      <c r="SMK79" s="1715" t="s">
        <v>0</v>
      </c>
      <c r="SML79" s="1716"/>
      <c r="SMM79" s="1716"/>
      <c r="SMN79" s="1716"/>
      <c r="SMO79" s="1716"/>
      <c r="SMP79" s="244"/>
      <c r="SMQ79" s="244" t="s">
        <v>68</v>
      </c>
      <c r="SMR79" s="245" t="s">
        <v>68</v>
      </c>
      <c r="SMS79" s="1715" t="s">
        <v>0</v>
      </c>
      <c r="SMT79" s="1716"/>
      <c r="SMU79" s="1716"/>
      <c r="SMV79" s="1716"/>
      <c r="SMW79" s="1716"/>
      <c r="SMX79" s="244"/>
      <c r="SMY79" s="244" t="s">
        <v>68</v>
      </c>
      <c r="SMZ79" s="245" t="s">
        <v>68</v>
      </c>
      <c r="SNA79" s="1715" t="s">
        <v>0</v>
      </c>
      <c r="SNB79" s="1716"/>
      <c r="SNC79" s="1716"/>
      <c r="SND79" s="1716"/>
      <c r="SNE79" s="1716"/>
      <c r="SNF79" s="244"/>
      <c r="SNG79" s="244" t="s">
        <v>68</v>
      </c>
      <c r="SNH79" s="245" t="s">
        <v>68</v>
      </c>
      <c r="SNI79" s="1715" t="s">
        <v>0</v>
      </c>
      <c r="SNJ79" s="1716"/>
      <c r="SNK79" s="1716"/>
      <c r="SNL79" s="1716"/>
      <c r="SNM79" s="1716"/>
      <c r="SNN79" s="244"/>
      <c r="SNO79" s="244" t="s">
        <v>68</v>
      </c>
      <c r="SNP79" s="245" t="s">
        <v>68</v>
      </c>
      <c r="SNQ79" s="1715" t="s">
        <v>0</v>
      </c>
      <c r="SNR79" s="1716"/>
      <c r="SNS79" s="1716"/>
      <c r="SNT79" s="1716"/>
      <c r="SNU79" s="1716"/>
      <c r="SNV79" s="244"/>
      <c r="SNW79" s="244" t="s">
        <v>68</v>
      </c>
      <c r="SNX79" s="245" t="s">
        <v>68</v>
      </c>
      <c r="SNY79" s="1715" t="s">
        <v>0</v>
      </c>
      <c r="SNZ79" s="1716"/>
      <c r="SOA79" s="1716"/>
      <c r="SOB79" s="1716"/>
      <c r="SOC79" s="1716"/>
      <c r="SOD79" s="244"/>
      <c r="SOE79" s="244" t="s">
        <v>68</v>
      </c>
      <c r="SOF79" s="245" t="s">
        <v>68</v>
      </c>
      <c r="SOG79" s="1715" t="s">
        <v>0</v>
      </c>
      <c r="SOH79" s="1716"/>
      <c r="SOI79" s="1716"/>
      <c r="SOJ79" s="1716"/>
      <c r="SOK79" s="1716"/>
      <c r="SOL79" s="244"/>
      <c r="SOM79" s="244" t="s">
        <v>68</v>
      </c>
      <c r="SON79" s="245" t="s">
        <v>68</v>
      </c>
      <c r="SOO79" s="1715" t="s">
        <v>0</v>
      </c>
      <c r="SOP79" s="1716"/>
      <c r="SOQ79" s="1716"/>
      <c r="SOR79" s="1716"/>
      <c r="SOS79" s="1716"/>
      <c r="SOT79" s="244"/>
      <c r="SOU79" s="244" t="s">
        <v>68</v>
      </c>
      <c r="SOV79" s="245" t="s">
        <v>68</v>
      </c>
      <c r="SOW79" s="1715" t="s">
        <v>0</v>
      </c>
      <c r="SOX79" s="1716"/>
      <c r="SOY79" s="1716"/>
      <c r="SOZ79" s="1716"/>
      <c r="SPA79" s="1716"/>
      <c r="SPB79" s="244"/>
      <c r="SPC79" s="244" t="s">
        <v>68</v>
      </c>
      <c r="SPD79" s="245" t="s">
        <v>68</v>
      </c>
      <c r="SPE79" s="1715" t="s">
        <v>0</v>
      </c>
      <c r="SPF79" s="1716"/>
      <c r="SPG79" s="1716"/>
      <c r="SPH79" s="1716"/>
      <c r="SPI79" s="1716"/>
      <c r="SPJ79" s="244"/>
      <c r="SPK79" s="244" t="s">
        <v>68</v>
      </c>
      <c r="SPL79" s="245" t="s">
        <v>68</v>
      </c>
      <c r="SPM79" s="1715" t="s">
        <v>0</v>
      </c>
      <c r="SPN79" s="1716"/>
      <c r="SPO79" s="1716"/>
      <c r="SPP79" s="1716"/>
      <c r="SPQ79" s="1716"/>
      <c r="SPR79" s="244"/>
      <c r="SPS79" s="244" t="s">
        <v>68</v>
      </c>
      <c r="SPT79" s="245" t="s">
        <v>68</v>
      </c>
      <c r="SPU79" s="1715" t="s">
        <v>0</v>
      </c>
      <c r="SPV79" s="1716"/>
      <c r="SPW79" s="1716"/>
      <c r="SPX79" s="1716"/>
      <c r="SPY79" s="1716"/>
      <c r="SPZ79" s="244"/>
      <c r="SQA79" s="244" t="s">
        <v>68</v>
      </c>
      <c r="SQB79" s="245" t="s">
        <v>68</v>
      </c>
      <c r="SQC79" s="1715" t="s">
        <v>0</v>
      </c>
      <c r="SQD79" s="1716"/>
      <c r="SQE79" s="1716"/>
      <c r="SQF79" s="1716"/>
      <c r="SQG79" s="1716"/>
      <c r="SQH79" s="244"/>
      <c r="SQI79" s="244" t="s">
        <v>68</v>
      </c>
      <c r="SQJ79" s="245" t="s">
        <v>68</v>
      </c>
      <c r="SQK79" s="1715" t="s">
        <v>0</v>
      </c>
      <c r="SQL79" s="1716"/>
      <c r="SQM79" s="1716"/>
      <c r="SQN79" s="1716"/>
      <c r="SQO79" s="1716"/>
      <c r="SQP79" s="244"/>
      <c r="SQQ79" s="244" t="s">
        <v>68</v>
      </c>
      <c r="SQR79" s="245" t="s">
        <v>68</v>
      </c>
      <c r="SQS79" s="1715" t="s">
        <v>0</v>
      </c>
      <c r="SQT79" s="1716"/>
      <c r="SQU79" s="1716"/>
      <c r="SQV79" s="1716"/>
      <c r="SQW79" s="1716"/>
      <c r="SQX79" s="244"/>
      <c r="SQY79" s="244" t="s">
        <v>68</v>
      </c>
      <c r="SQZ79" s="245" t="s">
        <v>68</v>
      </c>
      <c r="SRA79" s="1715" t="s">
        <v>0</v>
      </c>
      <c r="SRB79" s="1716"/>
      <c r="SRC79" s="1716"/>
      <c r="SRD79" s="1716"/>
      <c r="SRE79" s="1716"/>
      <c r="SRF79" s="244"/>
      <c r="SRG79" s="244" t="s">
        <v>68</v>
      </c>
      <c r="SRH79" s="245" t="s">
        <v>68</v>
      </c>
      <c r="SRI79" s="1715" t="s">
        <v>0</v>
      </c>
      <c r="SRJ79" s="1716"/>
      <c r="SRK79" s="1716"/>
      <c r="SRL79" s="1716"/>
      <c r="SRM79" s="1716"/>
      <c r="SRN79" s="244"/>
      <c r="SRO79" s="244" t="s">
        <v>68</v>
      </c>
      <c r="SRP79" s="245" t="s">
        <v>68</v>
      </c>
      <c r="SRQ79" s="1715" t="s">
        <v>0</v>
      </c>
      <c r="SRR79" s="1716"/>
      <c r="SRS79" s="1716"/>
      <c r="SRT79" s="1716"/>
      <c r="SRU79" s="1716"/>
      <c r="SRV79" s="244"/>
      <c r="SRW79" s="244" t="s">
        <v>68</v>
      </c>
      <c r="SRX79" s="245" t="s">
        <v>68</v>
      </c>
      <c r="SRY79" s="1715" t="s">
        <v>0</v>
      </c>
      <c r="SRZ79" s="1716"/>
      <c r="SSA79" s="1716"/>
      <c r="SSB79" s="1716"/>
      <c r="SSC79" s="1716"/>
      <c r="SSD79" s="244"/>
      <c r="SSE79" s="244" t="s">
        <v>68</v>
      </c>
      <c r="SSF79" s="245" t="s">
        <v>68</v>
      </c>
      <c r="SSG79" s="1715" t="s">
        <v>0</v>
      </c>
      <c r="SSH79" s="1716"/>
      <c r="SSI79" s="1716"/>
      <c r="SSJ79" s="1716"/>
      <c r="SSK79" s="1716"/>
      <c r="SSL79" s="244"/>
      <c r="SSM79" s="244" t="s">
        <v>68</v>
      </c>
      <c r="SSN79" s="245" t="s">
        <v>68</v>
      </c>
      <c r="SSO79" s="1715" t="s">
        <v>0</v>
      </c>
      <c r="SSP79" s="1716"/>
      <c r="SSQ79" s="1716"/>
      <c r="SSR79" s="1716"/>
      <c r="SSS79" s="1716"/>
      <c r="SST79" s="244"/>
      <c r="SSU79" s="244" t="s">
        <v>68</v>
      </c>
      <c r="SSV79" s="245" t="s">
        <v>68</v>
      </c>
      <c r="SSW79" s="1715" t="s">
        <v>0</v>
      </c>
      <c r="SSX79" s="1716"/>
      <c r="SSY79" s="1716"/>
      <c r="SSZ79" s="1716"/>
      <c r="STA79" s="1716"/>
      <c r="STB79" s="244"/>
      <c r="STC79" s="244" t="s">
        <v>68</v>
      </c>
      <c r="STD79" s="245" t="s">
        <v>68</v>
      </c>
      <c r="STE79" s="1715" t="s">
        <v>0</v>
      </c>
      <c r="STF79" s="1716"/>
      <c r="STG79" s="1716"/>
      <c r="STH79" s="1716"/>
      <c r="STI79" s="1716"/>
      <c r="STJ79" s="244"/>
      <c r="STK79" s="244" t="s">
        <v>68</v>
      </c>
      <c r="STL79" s="245" t="s">
        <v>68</v>
      </c>
      <c r="STM79" s="1715" t="s">
        <v>0</v>
      </c>
      <c r="STN79" s="1716"/>
      <c r="STO79" s="1716"/>
      <c r="STP79" s="1716"/>
      <c r="STQ79" s="1716"/>
      <c r="STR79" s="244"/>
      <c r="STS79" s="244" t="s">
        <v>68</v>
      </c>
      <c r="STT79" s="245" t="s">
        <v>68</v>
      </c>
      <c r="STU79" s="1715" t="s">
        <v>0</v>
      </c>
      <c r="STV79" s="1716"/>
      <c r="STW79" s="1716"/>
      <c r="STX79" s="1716"/>
      <c r="STY79" s="1716"/>
      <c r="STZ79" s="244"/>
      <c r="SUA79" s="244" t="s">
        <v>68</v>
      </c>
      <c r="SUB79" s="245" t="s">
        <v>68</v>
      </c>
      <c r="SUC79" s="1715" t="s">
        <v>0</v>
      </c>
      <c r="SUD79" s="1716"/>
      <c r="SUE79" s="1716"/>
      <c r="SUF79" s="1716"/>
      <c r="SUG79" s="1716"/>
      <c r="SUH79" s="244"/>
      <c r="SUI79" s="244" t="s">
        <v>68</v>
      </c>
      <c r="SUJ79" s="245" t="s">
        <v>68</v>
      </c>
      <c r="SUK79" s="1715" t="s">
        <v>0</v>
      </c>
      <c r="SUL79" s="1716"/>
      <c r="SUM79" s="1716"/>
      <c r="SUN79" s="1716"/>
      <c r="SUO79" s="1716"/>
      <c r="SUP79" s="244"/>
      <c r="SUQ79" s="244" t="s">
        <v>68</v>
      </c>
      <c r="SUR79" s="245" t="s">
        <v>68</v>
      </c>
      <c r="SUS79" s="1715" t="s">
        <v>0</v>
      </c>
      <c r="SUT79" s="1716"/>
      <c r="SUU79" s="1716"/>
      <c r="SUV79" s="1716"/>
      <c r="SUW79" s="1716"/>
      <c r="SUX79" s="244"/>
      <c r="SUY79" s="244" t="s">
        <v>68</v>
      </c>
      <c r="SUZ79" s="245" t="s">
        <v>68</v>
      </c>
      <c r="SVA79" s="1715" t="s">
        <v>0</v>
      </c>
      <c r="SVB79" s="1716"/>
      <c r="SVC79" s="1716"/>
      <c r="SVD79" s="1716"/>
      <c r="SVE79" s="1716"/>
      <c r="SVF79" s="244"/>
      <c r="SVG79" s="244" t="s">
        <v>68</v>
      </c>
      <c r="SVH79" s="245" t="s">
        <v>68</v>
      </c>
      <c r="SVI79" s="1715" t="s">
        <v>0</v>
      </c>
      <c r="SVJ79" s="1716"/>
      <c r="SVK79" s="1716"/>
      <c r="SVL79" s="1716"/>
      <c r="SVM79" s="1716"/>
      <c r="SVN79" s="244"/>
      <c r="SVO79" s="244" t="s">
        <v>68</v>
      </c>
      <c r="SVP79" s="245" t="s">
        <v>68</v>
      </c>
      <c r="SVQ79" s="1715" t="s">
        <v>0</v>
      </c>
      <c r="SVR79" s="1716"/>
      <c r="SVS79" s="1716"/>
      <c r="SVT79" s="1716"/>
      <c r="SVU79" s="1716"/>
      <c r="SVV79" s="244"/>
      <c r="SVW79" s="244" t="s">
        <v>68</v>
      </c>
      <c r="SVX79" s="245" t="s">
        <v>68</v>
      </c>
      <c r="SVY79" s="1715" t="s">
        <v>0</v>
      </c>
      <c r="SVZ79" s="1716"/>
      <c r="SWA79" s="1716"/>
      <c r="SWB79" s="1716"/>
      <c r="SWC79" s="1716"/>
      <c r="SWD79" s="244"/>
      <c r="SWE79" s="244" t="s">
        <v>68</v>
      </c>
      <c r="SWF79" s="245" t="s">
        <v>68</v>
      </c>
      <c r="SWG79" s="1715" t="s">
        <v>0</v>
      </c>
      <c r="SWH79" s="1716"/>
      <c r="SWI79" s="1716"/>
      <c r="SWJ79" s="1716"/>
      <c r="SWK79" s="1716"/>
      <c r="SWL79" s="244"/>
      <c r="SWM79" s="244" t="s">
        <v>68</v>
      </c>
      <c r="SWN79" s="245" t="s">
        <v>68</v>
      </c>
      <c r="SWO79" s="1715" t="s">
        <v>0</v>
      </c>
      <c r="SWP79" s="1716"/>
      <c r="SWQ79" s="1716"/>
      <c r="SWR79" s="1716"/>
      <c r="SWS79" s="1716"/>
      <c r="SWT79" s="244"/>
      <c r="SWU79" s="244" t="s">
        <v>68</v>
      </c>
      <c r="SWV79" s="245" t="s">
        <v>68</v>
      </c>
      <c r="SWW79" s="1715" t="s">
        <v>0</v>
      </c>
      <c r="SWX79" s="1716"/>
      <c r="SWY79" s="1716"/>
      <c r="SWZ79" s="1716"/>
      <c r="SXA79" s="1716"/>
      <c r="SXB79" s="244"/>
      <c r="SXC79" s="244" t="s">
        <v>68</v>
      </c>
      <c r="SXD79" s="245" t="s">
        <v>68</v>
      </c>
      <c r="SXE79" s="1715" t="s">
        <v>0</v>
      </c>
      <c r="SXF79" s="1716"/>
      <c r="SXG79" s="1716"/>
      <c r="SXH79" s="1716"/>
      <c r="SXI79" s="1716"/>
      <c r="SXJ79" s="244"/>
      <c r="SXK79" s="244" t="s">
        <v>68</v>
      </c>
      <c r="SXL79" s="245" t="s">
        <v>68</v>
      </c>
      <c r="SXM79" s="1715" t="s">
        <v>0</v>
      </c>
      <c r="SXN79" s="1716"/>
      <c r="SXO79" s="1716"/>
      <c r="SXP79" s="1716"/>
      <c r="SXQ79" s="1716"/>
      <c r="SXR79" s="244"/>
      <c r="SXS79" s="244" t="s">
        <v>68</v>
      </c>
      <c r="SXT79" s="245" t="s">
        <v>68</v>
      </c>
      <c r="SXU79" s="1715" t="s">
        <v>0</v>
      </c>
      <c r="SXV79" s="1716"/>
      <c r="SXW79" s="1716"/>
      <c r="SXX79" s="1716"/>
      <c r="SXY79" s="1716"/>
      <c r="SXZ79" s="244"/>
      <c r="SYA79" s="244" t="s">
        <v>68</v>
      </c>
      <c r="SYB79" s="245" t="s">
        <v>68</v>
      </c>
      <c r="SYC79" s="1715" t="s">
        <v>0</v>
      </c>
      <c r="SYD79" s="1716"/>
      <c r="SYE79" s="1716"/>
      <c r="SYF79" s="1716"/>
      <c r="SYG79" s="1716"/>
      <c r="SYH79" s="244"/>
      <c r="SYI79" s="244" t="s">
        <v>68</v>
      </c>
      <c r="SYJ79" s="245" t="s">
        <v>68</v>
      </c>
      <c r="SYK79" s="1715" t="s">
        <v>0</v>
      </c>
      <c r="SYL79" s="1716"/>
      <c r="SYM79" s="1716"/>
      <c r="SYN79" s="1716"/>
      <c r="SYO79" s="1716"/>
      <c r="SYP79" s="244"/>
      <c r="SYQ79" s="244" t="s">
        <v>68</v>
      </c>
      <c r="SYR79" s="245" t="s">
        <v>68</v>
      </c>
      <c r="SYS79" s="1715" t="s">
        <v>0</v>
      </c>
      <c r="SYT79" s="1716"/>
      <c r="SYU79" s="1716"/>
      <c r="SYV79" s="1716"/>
      <c r="SYW79" s="1716"/>
      <c r="SYX79" s="244"/>
      <c r="SYY79" s="244" t="s">
        <v>68</v>
      </c>
      <c r="SYZ79" s="245" t="s">
        <v>68</v>
      </c>
      <c r="SZA79" s="1715" t="s">
        <v>0</v>
      </c>
      <c r="SZB79" s="1716"/>
      <c r="SZC79" s="1716"/>
      <c r="SZD79" s="1716"/>
      <c r="SZE79" s="1716"/>
      <c r="SZF79" s="244"/>
      <c r="SZG79" s="244" t="s">
        <v>68</v>
      </c>
      <c r="SZH79" s="245" t="s">
        <v>68</v>
      </c>
      <c r="SZI79" s="1715" t="s">
        <v>0</v>
      </c>
      <c r="SZJ79" s="1716"/>
      <c r="SZK79" s="1716"/>
      <c r="SZL79" s="1716"/>
      <c r="SZM79" s="1716"/>
      <c r="SZN79" s="244"/>
      <c r="SZO79" s="244" t="s">
        <v>68</v>
      </c>
      <c r="SZP79" s="245" t="s">
        <v>68</v>
      </c>
      <c r="SZQ79" s="1715" t="s">
        <v>0</v>
      </c>
      <c r="SZR79" s="1716"/>
      <c r="SZS79" s="1716"/>
      <c r="SZT79" s="1716"/>
      <c r="SZU79" s="1716"/>
      <c r="SZV79" s="244"/>
      <c r="SZW79" s="244" t="s">
        <v>68</v>
      </c>
      <c r="SZX79" s="245" t="s">
        <v>68</v>
      </c>
      <c r="SZY79" s="1715" t="s">
        <v>0</v>
      </c>
      <c r="SZZ79" s="1716"/>
      <c r="TAA79" s="1716"/>
      <c r="TAB79" s="1716"/>
      <c r="TAC79" s="1716"/>
      <c r="TAD79" s="244"/>
      <c r="TAE79" s="244" t="s">
        <v>68</v>
      </c>
      <c r="TAF79" s="245" t="s">
        <v>68</v>
      </c>
      <c r="TAG79" s="1715" t="s">
        <v>0</v>
      </c>
      <c r="TAH79" s="1716"/>
      <c r="TAI79" s="1716"/>
      <c r="TAJ79" s="1716"/>
      <c r="TAK79" s="1716"/>
      <c r="TAL79" s="244"/>
      <c r="TAM79" s="244" t="s">
        <v>68</v>
      </c>
      <c r="TAN79" s="245" t="s">
        <v>68</v>
      </c>
      <c r="TAO79" s="1715" t="s">
        <v>0</v>
      </c>
      <c r="TAP79" s="1716"/>
      <c r="TAQ79" s="1716"/>
      <c r="TAR79" s="1716"/>
      <c r="TAS79" s="1716"/>
      <c r="TAT79" s="244"/>
      <c r="TAU79" s="244" t="s">
        <v>68</v>
      </c>
      <c r="TAV79" s="245" t="s">
        <v>68</v>
      </c>
      <c r="TAW79" s="1715" t="s">
        <v>0</v>
      </c>
      <c r="TAX79" s="1716"/>
      <c r="TAY79" s="1716"/>
      <c r="TAZ79" s="1716"/>
      <c r="TBA79" s="1716"/>
      <c r="TBB79" s="244"/>
      <c r="TBC79" s="244" t="s">
        <v>68</v>
      </c>
      <c r="TBD79" s="245" t="s">
        <v>68</v>
      </c>
      <c r="TBE79" s="1715" t="s">
        <v>0</v>
      </c>
      <c r="TBF79" s="1716"/>
      <c r="TBG79" s="1716"/>
      <c r="TBH79" s="1716"/>
      <c r="TBI79" s="1716"/>
      <c r="TBJ79" s="244"/>
      <c r="TBK79" s="244" t="s">
        <v>68</v>
      </c>
      <c r="TBL79" s="245" t="s">
        <v>68</v>
      </c>
      <c r="TBM79" s="1715" t="s">
        <v>0</v>
      </c>
      <c r="TBN79" s="1716"/>
      <c r="TBO79" s="1716"/>
      <c r="TBP79" s="1716"/>
      <c r="TBQ79" s="1716"/>
      <c r="TBR79" s="244"/>
      <c r="TBS79" s="244" t="s">
        <v>68</v>
      </c>
      <c r="TBT79" s="245" t="s">
        <v>68</v>
      </c>
      <c r="TBU79" s="1715" t="s">
        <v>0</v>
      </c>
      <c r="TBV79" s="1716"/>
      <c r="TBW79" s="1716"/>
      <c r="TBX79" s="1716"/>
      <c r="TBY79" s="1716"/>
      <c r="TBZ79" s="244"/>
      <c r="TCA79" s="244" t="s">
        <v>68</v>
      </c>
      <c r="TCB79" s="245" t="s">
        <v>68</v>
      </c>
      <c r="TCC79" s="1715" t="s">
        <v>0</v>
      </c>
      <c r="TCD79" s="1716"/>
      <c r="TCE79" s="1716"/>
      <c r="TCF79" s="1716"/>
      <c r="TCG79" s="1716"/>
      <c r="TCH79" s="244"/>
      <c r="TCI79" s="244" t="s">
        <v>68</v>
      </c>
      <c r="TCJ79" s="245" t="s">
        <v>68</v>
      </c>
      <c r="TCK79" s="1715" t="s">
        <v>0</v>
      </c>
      <c r="TCL79" s="1716"/>
      <c r="TCM79" s="1716"/>
      <c r="TCN79" s="1716"/>
      <c r="TCO79" s="1716"/>
      <c r="TCP79" s="244"/>
      <c r="TCQ79" s="244" t="s">
        <v>68</v>
      </c>
      <c r="TCR79" s="245" t="s">
        <v>68</v>
      </c>
      <c r="TCS79" s="1715" t="s">
        <v>0</v>
      </c>
      <c r="TCT79" s="1716"/>
      <c r="TCU79" s="1716"/>
      <c r="TCV79" s="1716"/>
      <c r="TCW79" s="1716"/>
      <c r="TCX79" s="244"/>
      <c r="TCY79" s="244" t="s">
        <v>68</v>
      </c>
      <c r="TCZ79" s="245" t="s">
        <v>68</v>
      </c>
      <c r="TDA79" s="1715" t="s">
        <v>0</v>
      </c>
      <c r="TDB79" s="1716"/>
      <c r="TDC79" s="1716"/>
      <c r="TDD79" s="1716"/>
      <c r="TDE79" s="1716"/>
      <c r="TDF79" s="244"/>
      <c r="TDG79" s="244" t="s">
        <v>68</v>
      </c>
      <c r="TDH79" s="245" t="s">
        <v>68</v>
      </c>
      <c r="TDI79" s="1715" t="s">
        <v>0</v>
      </c>
      <c r="TDJ79" s="1716"/>
      <c r="TDK79" s="1716"/>
      <c r="TDL79" s="1716"/>
      <c r="TDM79" s="1716"/>
      <c r="TDN79" s="244"/>
      <c r="TDO79" s="244" t="s">
        <v>68</v>
      </c>
      <c r="TDP79" s="245" t="s">
        <v>68</v>
      </c>
      <c r="TDQ79" s="1715" t="s">
        <v>0</v>
      </c>
      <c r="TDR79" s="1716"/>
      <c r="TDS79" s="1716"/>
      <c r="TDT79" s="1716"/>
      <c r="TDU79" s="1716"/>
      <c r="TDV79" s="244"/>
      <c r="TDW79" s="244" t="s">
        <v>68</v>
      </c>
      <c r="TDX79" s="245" t="s">
        <v>68</v>
      </c>
      <c r="TDY79" s="1715" t="s">
        <v>0</v>
      </c>
      <c r="TDZ79" s="1716"/>
      <c r="TEA79" s="1716"/>
      <c r="TEB79" s="1716"/>
      <c r="TEC79" s="1716"/>
      <c r="TED79" s="244"/>
      <c r="TEE79" s="244" t="s">
        <v>68</v>
      </c>
      <c r="TEF79" s="245" t="s">
        <v>68</v>
      </c>
      <c r="TEG79" s="1715" t="s">
        <v>0</v>
      </c>
      <c r="TEH79" s="1716"/>
      <c r="TEI79" s="1716"/>
      <c r="TEJ79" s="1716"/>
      <c r="TEK79" s="1716"/>
      <c r="TEL79" s="244"/>
      <c r="TEM79" s="244" t="s">
        <v>68</v>
      </c>
      <c r="TEN79" s="245" t="s">
        <v>68</v>
      </c>
      <c r="TEO79" s="1715" t="s">
        <v>0</v>
      </c>
      <c r="TEP79" s="1716"/>
      <c r="TEQ79" s="1716"/>
      <c r="TER79" s="1716"/>
      <c r="TES79" s="1716"/>
      <c r="TET79" s="244"/>
      <c r="TEU79" s="244" t="s">
        <v>68</v>
      </c>
      <c r="TEV79" s="245" t="s">
        <v>68</v>
      </c>
      <c r="TEW79" s="1715" t="s">
        <v>0</v>
      </c>
      <c r="TEX79" s="1716"/>
      <c r="TEY79" s="1716"/>
      <c r="TEZ79" s="1716"/>
      <c r="TFA79" s="1716"/>
      <c r="TFB79" s="244"/>
      <c r="TFC79" s="244" t="s">
        <v>68</v>
      </c>
      <c r="TFD79" s="245" t="s">
        <v>68</v>
      </c>
      <c r="TFE79" s="1715" t="s">
        <v>0</v>
      </c>
      <c r="TFF79" s="1716"/>
      <c r="TFG79" s="1716"/>
      <c r="TFH79" s="1716"/>
      <c r="TFI79" s="1716"/>
      <c r="TFJ79" s="244"/>
      <c r="TFK79" s="244" t="s">
        <v>68</v>
      </c>
      <c r="TFL79" s="245" t="s">
        <v>68</v>
      </c>
      <c r="TFM79" s="1715" t="s">
        <v>0</v>
      </c>
      <c r="TFN79" s="1716"/>
      <c r="TFO79" s="1716"/>
      <c r="TFP79" s="1716"/>
      <c r="TFQ79" s="1716"/>
      <c r="TFR79" s="244"/>
      <c r="TFS79" s="244" t="s">
        <v>68</v>
      </c>
      <c r="TFT79" s="245" t="s">
        <v>68</v>
      </c>
      <c r="TFU79" s="1715" t="s">
        <v>0</v>
      </c>
      <c r="TFV79" s="1716"/>
      <c r="TFW79" s="1716"/>
      <c r="TFX79" s="1716"/>
      <c r="TFY79" s="1716"/>
      <c r="TFZ79" s="244"/>
      <c r="TGA79" s="244" t="s">
        <v>68</v>
      </c>
      <c r="TGB79" s="245" t="s">
        <v>68</v>
      </c>
      <c r="TGC79" s="1715" t="s">
        <v>0</v>
      </c>
      <c r="TGD79" s="1716"/>
      <c r="TGE79" s="1716"/>
      <c r="TGF79" s="1716"/>
      <c r="TGG79" s="1716"/>
      <c r="TGH79" s="244"/>
      <c r="TGI79" s="244" t="s">
        <v>68</v>
      </c>
      <c r="TGJ79" s="245" t="s">
        <v>68</v>
      </c>
      <c r="TGK79" s="1715" t="s">
        <v>0</v>
      </c>
      <c r="TGL79" s="1716"/>
      <c r="TGM79" s="1716"/>
      <c r="TGN79" s="1716"/>
      <c r="TGO79" s="1716"/>
      <c r="TGP79" s="244"/>
      <c r="TGQ79" s="244" t="s">
        <v>68</v>
      </c>
      <c r="TGR79" s="245" t="s">
        <v>68</v>
      </c>
      <c r="TGS79" s="1715" t="s">
        <v>0</v>
      </c>
      <c r="TGT79" s="1716"/>
      <c r="TGU79" s="1716"/>
      <c r="TGV79" s="1716"/>
      <c r="TGW79" s="1716"/>
      <c r="TGX79" s="244"/>
      <c r="TGY79" s="244" t="s">
        <v>68</v>
      </c>
      <c r="TGZ79" s="245" t="s">
        <v>68</v>
      </c>
      <c r="THA79" s="1715" t="s">
        <v>0</v>
      </c>
      <c r="THB79" s="1716"/>
      <c r="THC79" s="1716"/>
      <c r="THD79" s="1716"/>
      <c r="THE79" s="1716"/>
      <c r="THF79" s="244"/>
      <c r="THG79" s="244" t="s">
        <v>68</v>
      </c>
      <c r="THH79" s="245" t="s">
        <v>68</v>
      </c>
      <c r="THI79" s="1715" t="s">
        <v>0</v>
      </c>
      <c r="THJ79" s="1716"/>
      <c r="THK79" s="1716"/>
      <c r="THL79" s="1716"/>
      <c r="THM79" s="1716"/>
      <c r="THN79" s="244"/>
      <c r="THO79" s="244" t="s">
        <v>68</v>
      </c>
      <c r="THP79" s="245" t="s">
        <v>68</v>
      </c>
      <c r="THQ79" s="1715" t="s">
        <v>0</v>
      </c>
      <c r="THR79" s="1716"/>
      <c r="THS79" s="1716"/>
      <c r="THT79" s="1716"/>
      <c r="THU79" s="1716"/>
      <c r="THV79" s="244"/>
      <c r="THW79" s="244" t="s">
        <v>68</v>
      </c>
      <c r="THX79" s="245" t="s">
        <v>68</v>
      </c>
      <c r="THY79" s="1715" t="s">
        <v>0</v>
      </c>
      <c r="THZ79" s="1716"/>
      <c r="TIA79" s="1716"/>
      <c r="TIB79" s="1716"/>
      <c r="TIC79" s="1716"/>
      <c r="TID79" s="244"/>
      <c r="TIE79" s="244" t="s">
        <v>68</v>
      </c>
      <c r="TIF79" s="245" t="s">
        <v>68</v>
      </c>
      <c r="TIG79" s="1715" t="s">
        <v>0</v>
      </c>
      <c r="TIH79" s="1716"/>
      <c r="TII79" s="1716"/>
      <c r="TIJ79" s="1716"/>
      <c r="TIK79" s="1716"/>
      <c r="TIL79" s="244"/>
      <c r="TIM79" s="244" t="s">
        <v>68</v>
      </c>
      <c r="TIN79" s="245" t="s">
        <v>68</v>
      </c>
      <c r="TIO79" s="1715" t="s">
        <v>0</v>
      </c>
      <c r="TIP79" s="1716"/>
      <c r="TIQ79" s="1716"/>
      <c r="TIR79" s="1716"/>
      <c r="TIS79" s="1716"/>
      <c r="TIT79" s="244"/>
      <c r="TIU79" s="244" t="s">
        <v>68</v>
      </c>
      <c r="TIV79" s="245" t="s">
        <v>68</v>
      </c>
      <c r="TIW79" s="1715" t="s">
        <v>0</v>
      </c>
      <c r="TIX79" s="1716"/>
      <c r="TIY79" s="1716"/>
      <c r="TIZ79" s="1716"/>
      <c r="TJA79" s="1716"/>
      <c r="TJB79" s="244"/>
      <c r="TJC79" s="244" t="s">
        <v>68</v>
      </c>
      <c r="TJD79" s="245" t="s">
        <v>68</v>
      </c>
      <c r="TJE79" s="1715" t="s">
        <v>0</v>
      </c>
      <c r="TJF79" s="1716"/>
      <c r="TJG79" s="1716"/>
      <c r="TJH79" s="1716"/>
      <c r="TJI79" s="1716"/>
      <c r="TJJ79" s="244"/>
      <c r="TJK79" s="244" t="s">
        <v>68</v>
      </c>
      <c r="TJL79" s="245" t="s">
        <v>68</v>
      </c>
      <c r="TJM79" s="1715" t="s">
        <v>0</v>
      </c>
      <c r="TJN79" s="1716"/>
      <c r="TJO79" s="1716"/>
      <c r="TJP79" s="1716"/>
      <c r="TJQ79" s="1716"/>
      <c r="TJR79" s="244"/>
      <c r="TJS79" s="244" t="s">
        <v>68</v>
      </c>
      <c r="TJT79" s="245" t="s">
        <v>68</v>
      </c>
      <c r="TJU79" s="1715" t="s">
        <v>0</v>
      </c>
      <c r="TJV79" s="1716"/>
      <c r="TJW79" s="1716"/>
      <c r="TJX79" s="1716"/>
      <c r="TJY79" s="1716"/>
      <c r="TJZ79" s="244"/>
      <c r="TKA79" s="244" t="s">
        <v>68</v>
      </c>
      <c r="TKB79" s="245" t="s">
        <v>68</v>
      </c>
      <c r="TKC79" s="1715" t="s">
        <v>0</v>
      </c>
      <c r="TKD79" s="1716"/>
      <c r="TKE79" s="1716"/>
      <c r="TKF79" s="1716"/>
      <c r="TKG79" s="1716"/>
      <c r="TKH79" s="244"/>
      <c r="TKI79" s="244" t="s">
        <v>68</v>
      </c>
      <c r="TKJ79" s="245" t="s">
        <v>68</v>
      </c>
      <c r="TKK79" s="1715" t="s">
        <v>0</v>
      </c>
      <c r="TKL79" s="1716"/>
      <c r="TKM79" s="1716"/>
      <c r="TKN79" s="1716"/>
      <c r="TKO79" s="1716"/>
      <c r="TKP79" s="244"/>
      <c r="TKQ79" s="244" t="s">
        <v>68</v>
      </c>
      <c r="TKR79" s="245" t="s">
        <v>68</v>
      </c>
      <c r="TKS79" s="1715" t="s">
        <v>0</v>
      </c>
      <c r="TKT79" s="1716"/>
      <c r="TKU79" s="1716"/>
      <c r="TKV79" s="1716"/>
      <c r="TKW79" s="1716"/>
      <c r="TKX79" s="244"/>
      <c r="TKY79" s="244" t="s">
        <v>68</v>
      </c>
      <c r="TKZ79" s="245" t="s">
        <v>68</v>
      </c>
      <c r="TLA79" s="1715" t="s">
        <v>0</v>
      </c>
      <c r="TLB79" s="1716"/>
      <c r="TLC79" s="1716"/>
      <c r="TLD79" s="1716"/>
      <c r="TLE79" s="1716"/>
      <c r="TLF79" s="244"/>
      <c r="TLG79" s="244" t="s">
        <v>68</v>
      </c>
      <c r="TLH79" s="245" t="s">
        <v>68</v>
      </c>
      <c r="TLI79" s="1715" t="s">
        <v>0</v>
      </c>
      <c r="TLJ79" s="1716"/>
      <c r="TLK79" s="1716"/>
      <c r="TLL79" s="1716"/>
      <c r="TLM79" s="1716"/>
      <c r="TLN79" s="244"/>
      <c r="TLO79" s="244" t="s">
        <v>68</v>
      </c>
      <c r="TLP79" s="245" t="s">
        <v>68</v>
      </c>
      <c r="TLQ79" s="1715" t="s">
        <v>0</v>
      </c>
      <c r="TLR79" s="1716"/>
      <c r="TLS79" s="1716"/>
      <c r="TLT79" s="1716"/>
      <c r="TLU79" s="1716"/>
      <c r="TLV79" s="244"/>
      <c r="TLW79" s="244" t="s">
        <v>68</v>
      </c>
      <c r="TLX79" s="245" t="s">
        <v>68</v>
      </c>
      <c r="TLY79" s="1715" t="s">
        <v>0</v>
      </c>
      <c r="TLZ79" s="1716"/>
      <c r="TMA79" s="1716"/>
      <c r="TMB79" s="1716"/>
      <c r="TMC79" s="1716"/>
      <c r="TMD79" s="244"/>
      <c r="TME79" s="244" t="s">
        <v>68</v>
      </c>
      <c r="TMF79" s="245" t="s">
        <v>68</v>
      </c>
      <c r="TMG79" s="1715" t="s">
        <v>0</v>
      </c>
      <c r="TMH79" s="1716"/>
      <c r="TMI79" s="1716"/>
      <c r="TMJ79" s="1716"/>
      <c r="TMK79" s="1716"/>
      <c r="TML79" s="244"/>
      <c r="TMM79" s="244" t="s">
        <v>68</v>
      </c>
      <c r="TMN79" s="245" t="s">
        <v>68</v>
      </c>
      <c r="TMO79" s="1715" t="s">
        <v>0</v>
      </c>
      <c r="TMP79" s="1716"/>
      <c r="TMQ79" s="1716"/>
      <c r="TMR79" s="1716"/>
      <c r="TMS79" s="1716"/>
      <c r="TMT79" s="244"/>
      <c r="TMU79" s="244" t="s">
        <v>68</v>
      </c>
      <c r="TMV79" s="245" t="s">
        <v>68</v>
      </c>
      <c r="TMW79" s="1715" t="s">
        <v>0</v>
      </c>
      <c r="TMX79" s="1716"/>
      <c r="TMY79" s="1716"/>
      <c r="TMZ79" s="1716"/>
      <c r="TNA79" s="1716"/>
      <c r="TNB79" s="244"/>
      <c r="TNC79" s="244" t="s">
        <v>68</v>
      </c>
      <c r="TND79" s="245" t="s">
        <v>68</v>
      </c>
      <c r="TNE79" s="1715" t="s">
        <v>0</v>
      </c>
      <c r="TNF79" s="1716"/>
      <c r="TNG79" s="1716"/>
      <c r="TNH79" s="1716"/>
      <c r="TNI79" s="1716"/>
      <c r="TNJ79" s="244"/>
      <c r="TNK79" s="244" t="s">
        <v>68</v>
      </c>
      <c r="TNL79" s="245" t="s">
        <v>68</v>
      </c>
      <c r="TNM79" s="1715" t="s">
        <v>0</v>
      </c>
      <c r="TNN79" s="1716"/>
      <c r="TNO79" s="1716"/>
      <c r="TNP79" s="1716"/>
      <c r="TNQ79" s="1716"/>
      <c r="TNR79" s="244"/>
      <c r="TNS79" s="244" t="s">
        <v>68</v>
      </c>
      <c r="TNT79" s="245" t="s">
        <v>68</v>
      </c>
      <c r="TNU79" s="1715" t="s">
        <v>0</v>
      </c>
      <c r="TNV79" s="1716"/>
      <c r="TNW79" s="1716"/>
      <c r="TNX79" s="1716"/>
      <c r="TNY79" s="1716"/>
      <c r="TNZ79" s="244"/>
      <c r="TOA79" s="244" t="s">
        <v>68</v>
      </c>
      <c r="TOB79" s="245" t="s">
        <v>68</v>
      </c>
      <c r="TOC79" s="1715" t="s">
        <v>0</v>
      </c>
      <c r="TOD79" s="1716"/>
      <c r="TOE79" s="1716"/>
      <c r="TOF79" s="1716"/>
      <c r="TOG79" s="1716"/>
      <c r="TOH79" s="244"/>
      <c r="TOI79" s="244" t="s">
        <v>68</v>
      </c>
      <c r="TOJ79" s="245" t="s">
        <v>68</v>
      </c>
      <c r="TOK79" s="1715" t="s">
        <v>0</v>
      </c>
      <c r="TOL79" s="1716"/>
      <c r="TOM79" s="1716"/>
      <c r="TON79" s="1716"/>
      <c r="TOO79" s="1716"/>
      <c r="TOP79" s="244"/>
      <c r="TOQ79" s="244" t="s">
        <v>68</v>
      </c>
      <c r="TOR79" s="245" t="s">
        <v>68</v>
      </c>
      <c r="TOS79" s="1715" t="s">
        <v>0</v>
      </c>
      <c r="TOT79" s="1716"/>
      <c r="TOU79" s="1716"/>
      <c r="TOV79" s="1716"/>
      <c r="TOW79" s="1716"/>
      <c r="TOX79" s="244"/>
      <c r="TOY79" s="244" t="s">
        <v>68</v>
      </c>
      <c r="TOZ79" s="245" t="s">
        <v>68</v>
      </c>
      <c r="TPA79" s="1715" t="s">
        <v>0</v>
      </c>
      <c r="TPB79" s="1716"/>
      <c r="TPC79" s="1716"/>
      <c r="TPD79" s="1716"/>
      <c r="TPE79" s="1716"/>
      <c r="TPF79" s="244"/>
      <c r="TPG79" s="244" t="s">
        <v>68</v>
      </c>
      <c r="TPH79" s="245" t="s">
        <v>68</v>
      </c>
      <c r="TPI79" s="1715" t="s">
        <v>0</v>
      </c>
      <c r="TPJ79" s="1716"/>
      <c r="TPK79" s="1716"/>
      <c r="TPL79" s="1716"/>
      <c r="TPM79" s="1716"/>
      <c r="TPN79" s="244"/>
      <c r="TPO79" s="244" t="s">
        <v>68</v>
      </c>
      <c r="TPP79" s="245" t="s">
        <v>68</v>
      </c>
      <c r="TPQ79" s="1715" t="s">
        <v>0</v>
      </c>
      <c r="TPR79" s="1716"/>
      <c r="TPS79" s="1716"/>
      <c r="TPT79" s="1716"/>
      <c r="TPU79" s="1716"/>
      <c r="TPV79" s="244"/>
      <c r="TPW79" s="244" t="s">
        <v>68</v>
      </c>
      <c r="TPX79" s="245" t="s">
        <v>68</v>
      </c>
      <c r="TPY79" s="1715" t="s">
        <v>0</v>
      </c>
      <c r="TPZ79" s="1716"/>
      <c r="TQA79" s="1716"/>
      <c r="TQB79" s="1716"/>
      <c r="TQC79" s="1716"/>
      <c r="TQD79" s="244"/>
      <c r="TQE79" s="244" t="s">
        <v>68</v>
      </c>
      <c r="TQF79" s="245" t="s">
        <v>68</v>
      </c>
      <c r="TQG79" s="1715" t="s">
        <v>0</v>
      </c>
      <c r="TQH79" s="1716"/>
      <c r="TQI79" s="1716"/>
      <c r="TQJ79" s="1716"/>
      <c r="TQK79" s="1716"/>
      <c r="TQL79" s="244"/>
      <c r="TQM79" s="244" t="s">
        <v>68</v>
      </c>
      <c r="TQN79" s="245" t="s">
        <v>68</v>
      </c>
      <c r="TQO79" s="1715" t="s">
        <v>0</v>
      </c>
      <c r="TQP79" s="1716"/>
      <c r="TQQ79" s="1716"/>
      <c r="TQR79" s="1716"/>
      <c r="TQS79" s="1716"/>
      <c r="TQT79" s="244"/>
      <c r="TQU79" s="244" t="s">
        <v>68</v>
      </c>
      <c r="TQV79" s="245" t="s">
        <v>68</v>
      </c>
      <c r="TQW79" s="1715" t="s">
        <v>0</v>
      </c>
      <c r="TQX79" s="1716"/>
      <c r="TQY79" s="1716"/>
      <c r="TQZ79" s="1716"/>
      <c r="TRA79" s="1716"/>
      <c r="TRB79" s="244"/>
      <c r="TRC79" s="244" t="s">
        <v>68</v>
      </c>
      <c r="TRD79" s="245" t="s">
        <v>68</v>
      </c>
      <c r="TRE79" s="1715" t="s">
        <v>0</v>
      </c>
      <c r="TRF79" s="1716"/>
      <c r="TRG79" s="1716"/>
      <c r="TRH79" s="1716"/>
      <c r="TRI79" s="1716"/>
      <c r="TRJ79" s="244"/>
      <c r="TRK79" s="244" t="s">
        <v>68</v>
      </c>
      <c r="TRL79" s="245" t="s">
        <v>68</v>
      </c>
      <c r="TRM79" s="1715" t="s">
        <v>0</v>
      </c>
      <c r="TRN79" s="1716"/>
      <c r="TRO79" s="1716"/>
      <c r="TRP79" s="1716"/>
      <c r="TRQ79" s="1716"/>
      <c r="TRR79" s="244"/>
      <c r="TRS79" s="244" t="s">
        <v>68</v>
      </c>
      <c r="TRT79" s="245" t="s">
        <v>68</v>
      </c>
      <c r="TRU79" s="1715" t="s">
        <v>0</v>
      </c>
      <c r="TRV79" s="1716"/>
      <c r="TRW79" s="1716"/>
      <c r="TRX79" s="1716"/>
      <c r="TRY79" s="1716"/>
      <c r="TRZ79" s="244"/>
      <c r="TSA79" s="244" t="s">
        <v>68</v>
      </c>
      <c r="TSB79" s="245" t="s">
        <v>68</v>
      </c>
      <c r="TSC79" s="1715" t="s">
        <v>0</v>
      </c>
      <c r="TSD79" s="1716"/>
      <c r="TSE79" s="1716"/>
      <c r="TSF79" s="1716"/>
      <c r="TSG79" s="1716"/>
      <c r="TSH79" s="244"/>
      <c r="TSI79" s="244" t="s">
        <v>68</v>
      </c>
      <c r="TSJ79" s="245" t="s">
        <v>68</v>
      </c>
      <c r="TSK79" s="1715" t="s">
        <v>0</v>
      </c>
      <c r="TSL79" s="1716"/>
      <c r="TSM79" s="1716"/>
      <c r="TSN79" s="1716"/>
      <c r="TSO79" s="1716"/>
      <c r="TSP79" s="244"/>
      <c r="TSQ79" s="244" t="s">
        <v>68</v>
      </c>
      <c r="TSR79" s="245" t="s">
        <v>68</v>
      </c>
      <c r="TSS79" s="1715" t="s">
        <v>0</v>
      </c>
      <c r="TST79" s="1716"/>
      <c r="TSU79" s="1716"/>
      <c r="TSV79" s="1716"/>
      <c r="TSW79" s="1716"/>
      <c r="TSX79" s="244"/>
      <c r="TSY79" s="244" t="s">
        <v>68</v>
      </c>
      <c r="TSZ79" s="245" t="s">
        <v>68</v>
      </c>
      <c r="TTA79" s="1715" t="s">
        <v>0</v>
      </c>
      <c r="TTB79" s="1716"/>
      <c r="TTC79" s="1716"/>
      <c r="TTD79" s="1716"/>
      <c r="TTE79" s="1716"/>
      <c r="TTF79" s="244"/>
      <c r="TTG79" s="244" t="s">
        <v>68</v>
      </c>
      <c r="TTH79" s="245" t="s">
        <v>68</v>
      </c>
      <c r="TTI79" s="1715" t="s">
        <v>0</v>
      </c>
      <c r="TTJ79" s="1716"/>
      <c r="TTK79" s="1716"/>
      <c r="TTL79" s="1716"/>
      <c r="TTM79" s="1716"/>
      <c r="TTN79" s="244"/>
      <c r="TTO79" s="244" t="s">
        <v>68</v>
      </c>
      <c r="TTP79" s="245" t="s">
        <v>68</v>
      </c>
      <c r="TTQ79" s="1715" t="s">
        <v>0</v>
      </c>
      <c r="TTR79" s="1716"/>
      <c r="TTS79" s="1716"/>
      <c r="TTT79" s="1716"/>
      <c r="TTU79" s="1716"/>
      <c r="TTV79" s="244"/>
      <c r="TTW79" s="244" t="s">
        <v>68</v>
      </c>
      <c r="TTX79" s="245" t="s">
        <v>68</v>
      </c>
      <c r="TTY79" s="1715" t="s">
        <v>0</v>
      </c>
      <c r="TTZ79" s="1716"/>
      <c r="TUA79" s="1716"/>
      <c r="TUB79" s="1716"/>
      <c r="TUC79" s="1716"/>
      <c r="TUD79" s="244"/>
      <c r="TUE79" s="244" t="s">
        <v>68</v>
      </c>
      <c r="TUF79" s="245" t="s">
        <v>68</v>
      </c>
      <c r="TUG79" s="1715" t="s">
        <v>0</v>
      </c>
      <c r="TUH79" s="1716"/>
      <c r="TUI79" s="1716"/>
      <c r="TUJ79" s="1716"/>
      <c r="TUK79" s="1716"/>
      <c r="TUL79" s="244"/>
      <c r="TUM79" s="244" t="s">
        <v>68</v>
      </c>
      <c r="TUN79" s="245" t="s">
        <v>68</v>
      </c>
      <c r="TUO79" s="1715" t="s">
        <v>0</v>
      </c>
      <c r="TUP79" s="1716"/>
      <c r="TUQ79" s="1716"/>
      <c r="TUR79" s="1716"/>
      <c r="TUS79" s="1716"/>
      <c r="TUT79" s="244"/>
      <c r="TUU79" s="244" t="s">
        <v>68</v>
      </c>
      <c r="TUV79" s="245" t="s">
        <v>68</v>
      </c>
      <c r="TUW79" s="1715" t="s">
        <v>0</v>
      </c>
      <c r="TUX79" s="1716"/>
      <c r="TUY79" s="1716"/>
      <c r="TUZ79" s="1716"/>
      <c r="TVA79" s="1716"/>
      <c r="TVB79" s="244"/>
      <c r="TVC79" s="244" t="s">
        <v>68</v>
      </c>
      <c r="TVD79" s="245" t="s">
        <v>68</v>
      </c>
      <c r="TVE79" s="1715" t="s">
        <v>0</v>
      </c>
      <c r="TVF79" s="1716"/>
      <c r="TVG79" s="1716"/>
      <c r="TVH79" s="1716"/>
      <c r="TVI79" s="1716"/>
      <c r="TVJ79" s="244"/>
      <c r="TVK79" s="244" t="s">
        <v>68</v>
      </c>
      <c r="TVL79" s="245" t="s">
        <v>68</v>
      </c>
      <c r="TVM79" s="1715" t="s">
        <v>0</v>
      </c>
      <c r="TVN79" s="1716"/>
      <c r="TVO79" s="1716"/>
      <c r="TVP79" s="1716"/>
      <c r="TVQ79" s="1716"/>
      <c r="TVR79" s="244"/>
      <c r="TVS79" s="244" t="s">
        <v>68</v>
      </c>
      <c r="TVT79" s="245" t="s">
        <v>68</v>
      </c>
      <c r="TVU79" s="1715" t="s">
        <v>0</v>
      </c>
      <c r="TVV79" s="1716"/>
      <c r="TVW79" s="1716"/>
      <c r="TVX79" s="1716"/>
      <c r="TVY79" s="1716"/>
      <c r="TVZ79" s="244"/>
      <c r="TWA79" s="244" t="s">
        <v>68</v>
      </c>
      <c r="TWB79" s="245" t="s">
        <v>68</v>
      </c>
      <c r="TWC79" s="1715" t="s">
        <v>0</v>
      </c>
      <c r="TWD79" s="1716"/>
      <c r="TWE79" s="1716"/>
      <c r="TWF79" s="1716"/>
      <c r="TWG79" s="1716"/>
      <c r="TWH79" s="244"/>
      <c r="TWI79" s="244" t="s">
        <v>68</v>
      </c>
      <c r="TWJ79" s="245" t="s">
        <v>68</v>
      </c>
      <c r="TWK79" s="1715" t="s">
        <v>0</v>
      </c>
      <c r="TWL79" s="1716"/>
      <c r="TWM79" s="1716"/>
      <c r="TWN79" s="1716"/>
      <c r="TWO79" s="1716"/>
      <c r="TWP79" s="244"/>
      <c r="TWQ79" s="244" t="s">
        <v>68</v>
      </c>
      <c r="TWR79" s="245" t="s">
        <v>68</v>
      </c>
      <c r="TWS79" s="1715" t="s">
        <v>0</v>
      </c>
      <c r="TWT79" s="1716"/>
      <c r="TWU79" s="1716"/>
      <c r="TWV79" s="1716"/>
      <c r="TWW79" s="1716"/>
      <c r="TWX79" s="244"/>
      <c r="TWY79" s="244" t="s">
        <v>68</v>
      </c>
      <c r="TWZ79" s="245" t="s">
        <v>68</v>
      </c>
      <c r="TXA79" s="1715" t="s">
        <v>0</v>
      </c>
      <c r="TXB79" s="1716"/>
      <c r="TXC79" s="1716"/>
      <c r="TXD79" s="1716"/>
      <c r="TXE79" s="1716"/>
      <c r="TXF79" s="244"/>
      <c r="TXG79" s="244" t="s">
        <v>68</v>
      </c>
      <c r="TXH79" s="245" t="s">
        <v>68</v>
      </c>
      <c r="TXI79" s="1715" t="s">
        <v>0</v>
      </c>
      <c r="TXJ79" s="1716"/>
      <c r="TXK79" s="1716"/>
      <c r="TXL79" s="1716"/>
      <c r="TXM79" s="1716"/>
      <c r="TXN79" s="244"/>
      <c r="TXO79" s="244" t="s">
        <v>68</v>
      </c>
      <c r="TXP79" s="245" t="s">
        <v>68</v>
      </c>
      <c r="TXQ79" s="1715" t="s">
        <v>0</v>
      </c>
      <c r="TXR79" s="1716"/>
      <c r="TXS79" s="1716"/>
      <c r="TXT79" s="1716"/>
      <c r="TXU79" s="1716"/>
      <c r="TXV79" s="244"/>
      <c r="TXW79" s="244" t="s">
        <v>68</v>
      </c>
      <c r="TXX79" s="245" t="s">
        <v>68</v>
      </c>
      <c r="TXY79" s="1715" t="s">
        <v>0</v>
      </c>
      <c r="TXZ79" s="1716"/>
      <c r="TYA79" s="1716"/>
      <c r="TYB79" s="1716"/>
      <c r="TYC79" s="1716"/>
      <c r="TYD79" s="244"/>
      <c r="TYE79" s="244" t="s">
        <v>68</v>
      </c>
      <c r="TYF79" s="245" t="s">
        <v>68</v>
      </c>
      <c r="TYG79" s="1715" t="s">
        <v>0</v>
      </c>
      <c r="TYH79" s="1716"/>
      <c r="TYI79" s="1716"/>
      <c r="TYJ79" s="1716"/>
      <c r="TYK79" s="1716"/>
      <c r="TYL79" s="244"/>
      <c r="TYM79" s="244" t="s">
        <v>68</v>
      </c>
      <c r="TYN79" s="245" t="s">
        <v>68</v>
      </c>
      <c r="TYO79" s="1715" t="s">
        <v>0</v>
      </c>
      <c r="TYP79" s="1716"/>
      <c r="TYQ79" s="1716"/>
      <c r="TYR79" s="1716"/>
      <c r="TYS79" s="1716"/>
      <c r="TYT79" s="244"/>
      <c r="TYU79" s="244" t="s">
        <v>68</v>
      </c>
      <c r="TYV79" s="245" t="s">
        <v>68</v>
      </c>
      <c r="TYW79" s="1715" t="s">
        <v>0</v>
      </c>
      <c r="TYX79" s="1716"/>
      <c r="TYY79" s="1716"/>
      <c r="TYZ79" s="1716"/>
      <c r="TZA79" s="1716"/>
      <c r="TZB79" s="244"/>
      <c r="TZC79" s="244" t="s">
        <v>68</v>
      </c>
      <c r="TZD79" s="245" t="s">
        <v>68</v>
      </c>
      <c r="TZE79" s="1715" t="s">
        <v>0</v>
      </c>
      <c r="TZF79" s="1716"/>
      <c r="TZG79" s="1716"/>
      <c r="TZH79" s="1716"/>
      <c r="TZI79" s="1716"/>
      <c r="TZJ79" s="244"/>
      <c r="TZK79" s="244" t="s">
        <v>68</v>
      </c>
      <c r="TZL79" s="245" t="s">
        <v>68</v>
      </c>
      <c r="TZM79" s="1715" t="s">
        <v>0</v>
      </c>
      <c r="TZN79" s="1716"/>
      <c r="TZO79" s="1716"/>
      <c r="TZP79" s="1716"/>
      <c r="TZQ79" s="1716"/>
      <c r="TZR79" s="244"/>
      <c r="TZS79" s="244" t="s">
        <v>68</v>
      </c>
      <c r="TZT79" s="245" t="s">
        <v>68</v>
      </c>
      <c r="TZU79" s="1715" t="s">
        <v>0</v>
      </c>
      <c r="TZV79" s="1716"/>
      <c r="TZW79" s="1716"/>
      <c r="TZX79" s="1716"/>
      <c r="TZY79" s="1716"/>
      <c r="TZZ79" s="244"/>
      <c r="UAA79" s="244" t="s">
        <v>68</v>
      </c>
      <c r="UAB79" s="245" t="s">
        <v>68</v>
      </c>
      <c r="UAC79" s="1715" t="s">
        <v>0</v>
      </c>
      <c r="UAD79" s="1716"/>
      <c r="UAE79" s="1716"/>
      <c r="UAF79" s="1716"/>
      <c r="UAG79" s="1716"/>
      <c r="UAH79" s="244"/>
      <c r="UAI79" s="244" t="s">
        <v>68</v>
      </c>
      <c r="UAJ79" s="245" t="s">
        <v>68</v>
      </c>
      <c r="UAK79" s="1715" t="s">
        <v>0</v>
      </c>
      <c r="UAL79" s="1716"/>
      <c r="UAM79" s="1716"/>
      <c r="UAN79" s="1716"/>
      <c r="UAO79" s="1716"/>
      <c r="UAP79" s="244"/>
      <c r="UAQ79" s="244" t="s">
        <v>68</v>
      </c>
      <c r="UAR79" s="245" t="s">
        <v>68</v>
      </c>
      <c r="UAS79" s="1715" t="s">
        <v>0</v>
      </c>
      <c r="UAT79" s="1716"/>
      <c r="UAU79" s="1716"/>
      <c r="UAV79" s="1716"/>
      <c r="UAW79" s="1716"/>
      <c r="UAX79" s="244"/>
      <c r="UAY79" s="244" t="s">
        <v>68</v>
      </c>
      <c r="UAZ79" s="245" t="s">
        <v>68</v>
      </c>
      <c r="UBA79" s="1715" t="s">
        <v>0</v>
      </c>
      <c r="UBB79" s="1716"/>
      <c r="UBC79" s="1716"/>
      <c r="UBD79" s="1716"/>
      <c r="UBE79" s="1716"/>
      <c r="UBF79" s="244"/>
      <c r="UBG79" s="244" t="s">
        <v>68</v>
      </c>
      <c r="UBH79" s="245" t="s">
        <v>68</v>
      </c>
      <c r="UBI79" s="1715" t="s">
        <v>0</v>
      </c>
      <c r="UBJ79" s="1716"/>
      <c r="UBK79" s="1716"/>
      <c r="UBL79" s="1716"/>
      <c r="UBM79" s="1716"/>
      <c r="UBN79" s="244"/>
      <c r="UBO79" s="244" t="s">
        <v>68</v>
      </c>
      <c r="UBP79" s="245" t="s">
        <v>68</v>
      </c>
      <c r="UBQ79" s="1715" t="s">
        <v>0</v>
      </c>
      <c r="UBR79" s="1716"/>
      <c r="UBS79" s="1716"/>
      <c r="UBT79" s="1716"/>
      <c r="UBU79" s="1716"/>
      <c r="UBV79" s="244"/>
      <c r="UBW79" s="244" t="s">
        <v>68</v>
      </c>
      <c r="UBX79" s="245" t="s">
        <v>68</v>
      </c>
      <c r="UBY79" s="1715" t="s">
        <v>0</v>
      </c>
      <c r="UBZ79" s="1716"/>
      <c r="UCA79" s="1716"/>
      <c r="UCB79" s="1716"/>
      <c r="UCC79" s="1716"/>
      <c r="UCD79" s="244"/>
      <c r="UCE79" s="244" t="s">
        <v>68</v>
      </c>
      <c r="UCF79" s="245" t="s">
        <v>68</v>
      </c>
      <c r="UCG79" s="1715" t="s">
        <v>0</v>
      </c>
      <c r="UCH79" s="1716"/>
      <c r="UCI79" s="1716"/>
      <c r="UCJ79" s="1716"/>
      <c r="UCK79" s="1716"/>
      <c r="UCL79" s="244"/>
      <c r="UCM79" s="244" t="s">
        <v>68</v>
      </c>
      <c r="UCN79" s="245" t="s">
        <v>68</v>
      </c>
      <c r="UCO79" s="1715" t="s">
        <v>0</v>
      </c>
      <c r="UCP79" s="1716"/>
      <c r="UCQ79" s="1716"/>
      <c r="UCR79" s="1716"/>
      <c r="UCS79" s="1716"/>
      <c r="UCT79" s="244"/>
      <c r="UCU79" s="244" t="s">
        <v>68</v>
      </c>
      <c r="UCV79" s="245" t="s">
        <v>68</v>
      </c>
      <c r="UCW79" s="1715" t="s">
        <v>0</v>
      </c>
      <c r="UCX79" s="1716"/>
      <c r="UCY79" s="1716"/>
      <c r="UCZ79" s="1716"/>
      <c r="UDA79" s="1716"/>
      <c r="UDB79" s="244"/>
      <c r="UDC79" s="244" t="s">
        <v>68</v>
      </c>
      <c r="UDD79" s="245" t="s">
        <v>68</v>
      </c>
      <c r="UDE79" s="1715" t="s">
        <v>0</v>
      </c>
      <c r="UDF79" s="1716"/>
      <c r="UDG79" s="1716"/>
      <c r="UDH79" s="1716"/>
      <c r="UDI79" s="1716"/>
      <c r="UDJ79" s="244"/>
      <c r="UDK79" s="244" t="s">
        <v>68</v>
      </c>
      <c r="UDL79" s="245" t="s">
        <v>68</v>
      </c>
      <c r="UDM79" s="1715" t="s">
        <v>0</v>
      </c>
      <c r="UDN79" s="1716"/>
      <c r="UDO79" s="1716"/>
      <c r="UDP79" s="1716"/>
      <c r="UDQ79" s="1716"/>
      <c r="UDR79" s="244"/>
      <c r="UDS79" s="244" t="s">
        <v>68</v>
      </c>
      <c r="UDT79" s="245" t="s">
        <v>68</v>
      </c>
      <c r="UDU79" s="1715" t="s">
        <v>0</v>
      </c>
      <c r="UDV79" s="1716"/>
      <c r="UDW79" s="1716"/>
      <c r="UDX79" s="1716"/>
      <c r="UDY79" s="1716"/>
      <c r="UDZ79" s="244"/>
      <c r="UEA79" s="244" t="s">
        <v>68</v>
      </c>
      <c r="UEB79" s="245" t="s">
        <v>68</v>
      </c>
      <c r="UEC79" s="1715" t="s">
        <v>0</v>
      </c>
      <c r="UED79" s="1716"/>
      <c r="UEE79" s="1716"/>
      <c r="UEF79" s="1716"/>
      <c r="UEG79" s="1716"/>
      <c r="UEH79" s="244"/>
      <c r="UEI79" s="244" t="s">
        <v>68</v>
      </c>
      <c r="UEJ79" s="245" t="s">
        <v>68</v>
      </c>
      <c r="UEK79" s="1715" t="s">
        <v>0</v>
      </c>
      <c r="UEL79" s="1716"/>
      <c r="UEM79" s="1716"/>
      <c r="UEN79" s="1716"/>
      <c r="UEO79" s="1716"/>
      <c r="UEP79" s="244"/>
      <c r="UEQ79" s="244" t="s">
        <v>68</v>
      </c>
      <c r="UER79" s="245" t="s">
        <v>68</v>
      </c>
      <c r="UES79" s="1715" t="s">
        <v>0</v>
      </c>
      <c r="UET79" s="1716"/>
      <c r="UEU79" s="1716"/>
      <c r="UEV79" s="1716"/>
      <c r="UEW79" s="1716"/>
      <c r="UEX79" s="244"/>
      <c r="UEY79" s="244" t="s">
        <v>68</v>
      </c>
      <c r="UEZ79" s="245" t="s">
        <v>68</v>
      </c>
      <c r="UFA79" s="1715" t="s">
        <v>0</v>
      </c>
      <c r="UFB79" s="1716"/>
      <c r="UFC79" s="1716"/>
      <c r="UFD79" s="1716"/>
      <c r="UFE79" s="1716"/>
      <c r="UFF79" s="244"/>
      <c r="UFG79" s="244" t="s">
        <v>68</v>
      </c>
      <c r="UFH79" s="245" t="s">
        <v>68</v>
      </c>
      <c r="UFI79" s="1715" t="s">
        <v>0</v>
      </c>
      <c r="UFJ79" s="1716"/>
      <c r="UFK79" s="1716"/>
      <c r="UFL79" s="1716"/>
      <c r="UFM79" s="1716"/>
      <c r="UFN79" s="244"/>
      <c r="UFO79" s="244" t="s">
        <v>68</v>
      </c>
      <c r="UFP79" s="245" t="s">
        <v>68</v>
      </c>
      <c r="UFQ79" s="1715" t="s">
        <v>0</v>
      </c>
      <c r="UFR79" s="1716"/>
      <c r="UFS79" s="1716"/>
      <c r="UFT79" s="1716"/>
      <c r="UFU79" s="1716"/>
      <c r="UFV79" s="244"/>
      <c r="UFW79" s="244" t="s">
        <v>68</v>
      </c>
      <c r="UFX79" s="245" t="s">
        <v>68</v>
      </c>
      <c r="UFY79" s="1715" t="s">
        <v>0</v>
      </c>
      <c r="UFZ79" s="1716"/>
      <c r="UGA79" s="1716"/>
      <c r="UGB79" s="1716"/>
      <c r="UGC79" s="1716"/>
      <c r="UGD79" s="244"/>
      <c r="UGE79" s="244" t="s">
        <v>68</v>
      </c>
      <c r="UGF79" s="245" t="s">
        <v>68</v>
      </c>
      <c r="UGG79" s="1715" t="s">
        <v>0</v>
      </c>
      <c r="UGH79" s="1716"/>
      <c r="UGI79" s="1716"/>
      <c r="UGJ79" s="1716"/>
      <c r="UGK79" s="1716"/>
      <c r="UGL79" s="244"/>
      <c r="UGM79" s="244" t="s">
        <v>68</v>
      </c>
      <c r="UGN79" s="245" t="s">
        <v>68</v>
      </c>
      <c r="UGO79" s="1715" t="s">
        <v>0</v>
      </c>
      <c r="UGP79" s="1716"/>
      <c r="UGQ79" s="1716"/>
      <c r="UGR79" s="1716"/>
      <c r="UGS79" s="1716"/>
      <c r="UGT79" s="244"/>
      <c r="UGU79" s="244" t="s">
        <v>68</v>
      </c>
      <c r="UGV79" s="245" t="s">
        <v>68</v>
      </c>
      <c r="UGW79" s="1715" t="s">
        <v>0</v>
      </c>
      <c r="UGX79" s="1716"/>
      <c r="UGY79" s="1716"/>
      <c r="UGZ79" s="1716"/>
      <c r="UHA79" s="1716"/>
      <c r="UHB79" s="244"/>
      <c r="UHC79" s="244" t="s">
        <v>68</v>
      </c>
      <c r="UHD79" s="245" t="s">
        <v>68</v>
      </c>
      <c r="UHE79" s="1715" t="s">
        <v>0</v>
      </c>
      <c r="UHF79" s="1716"/>
      <c r="UHG79" s="1716"/>
      <c r="UHH79" s="1716"/>
      <c r="UHI79" s="1716"/>
      <c r="UHJ79" s="244"/>
      <c r="UHK79" s="244" t="s">
        <v>68</v>
      </c>
      <c r="UHL79" s="245" t="s">
        <v>68</v>
      </c>
      <c r="UHM79" s="1715" t="s">
        <v>0</v>
      </c>
      <c r="UHN79" s="1716"/>
      <c r="UHO79" s="1716"/>
      <c r="UHP79" s="1716"/>
      <c r="UHQ79" s="1716"/>
      <c r="UHR79" s="244"/>
      <c r="UHS79" s="244" t="s">
        <v>68</v>
      </c>
      <c r="UHT79" s="245" t="s">
        <v>68</v>
      </c>
      <c r="UHU79" s="1715" t="s">
        <v>0</v>
      </c>
      <c r="UHV79" s="1716"/>
      <c r="UHW79" s="1716"/>
      <c r="UHX79" s="1716"/>
      <c r="UHY79" s="1716"/>
      <c r="UHZ79" s="244"/>
      <c r="UIA79" s="244" t="s">
        <v>68</v>
      </c>
      <c r="UIB79" s="245" t="s">
        <v>68</v>
      </c>
      <c r="UIC79" s="1715" t="s">
        <v>0</v>
      </c>
      <c r="UID79" s="1716"/>
      <c r="UIE79" s="1716"/>
      <c r="UIF79" s="1716"/>
      <c r="UIG79" s="1716"/>
      <c r="UIH79" s="244"/>
      <c r="UII79" s="244" t="s">
        <v>68</v>
      </c>
      <c r="UIJ79" s="245" t="s">
        <v>68</v>
      </c>
      <c r="UIK79" s="1715" t="s">
        <v>0</v>
      </c>
      <c r="UIL79" s="1716"/>
      <c r="UIM79" s="1716"/>
      <c r="UIN79" s="1716"/>
      <c r="UIO79" s="1716"/>
      <c r="UIP79" s="244"/>
      <c r="UIQ79" s="244" t="s">
        <v>68</v>
      </c>
      <c r="UIR79" s="245" t="s">
        <v>68</v>
      </c>
      <c r="UIS79" s="1715" t="s">
        <v>0</v>
      </c>
      <c r="UIT79" s="1716"/>
      <c r="UIU79" s="1716"/>
      <c r="UIV79" s="1716"/>
      <c r="UIW79" s="1716"/>
      <c r="UIX79" s="244"/>
      <c r="UIY79" s="244" t="s">
        <v>68</v>
      </c>
      <c r="UIZ79" s="245" t="s">
        <v>68</v>
      </c>
      <c r="UJA79" s="1715" t="s">
        <v>0</v>
      </c>
      <c r="UJB79" s="1716"/>
      <c r="UJC79" s="1716"/>
      <c r="UJD79" s="1716"/>
      <c r="UJE79" s="1716"/>
      <c r="UJF79" s="244"/>
      <c r="UJG79" s="244" t="s">
        <v>68</v>
      </c>
      <c r="UJH79" s="245" t="s">
        <v>68</v>
      </c>
      <c r="UJI79" s="1715" t="s">
        <v>0</v>
      </c>
      <c r="UJJ79" s="1716"/>
      <c r="UJK79" s="1716"/>
      <c r="UJL79" s="1716"/>
      <c r="UJM79" s="1716"/>
      <c r="UJN79" s="244"/>
      <c r="UJO79" s="244" t="s">
        <v>68</v>
      </c>
      <c r="UJP79" s="245" t="s">
        <v>68</v>
      </c>
      <c r="UJQ79" s="1715" t="s">
        <v>0</v>
      </c>
      <c r="UJR79" s="1716"/>
      <c r="UJS79" s="1716"/>
      <c r="UJT79" s="1716"/>
      <c r="UJU79" s="1716"/>
      <c r="UJV79" s="244"/>
      <c r="UJW79" s="244" t="s">
        <v>68</v>
      </c>
      <c r="UJX79" s="245" t="s">
        <v>68</v>
      </c>
      <c r="UJY79" s="1715" t="s">
        <v>0</v>
      </c>
      <c r="UJZ79" s="1716"/>
      <c r="UKA79" s="1716"/>
      <c r="UKB79" s="1716"/>
      <c r="UKC79" s="1716"/>
      <c r="UKD79" s="244"/>
      <c r="UKE79" s="244" t="s">
        <v>68</v>
      </c>
      <c r="UKF79" s="245" t="s">
        <v>68</v>
      </c>
      <c r="UKG79" s="1715" t="s">
        <v>0</v>
      </c>
      <c r="UKH79" s="1716"/>
      <c r="UKI79" s="1716"/>
      <c r="UKJ79" s="1716"/>
      <c r="UKK79" s="1716"/>
      <c r="UKL79" s="244"/>
      <c r="UKM79" s="244" t="s">
        <v>68</v>
      </c>
      <c r="UKN79" s="245" t="s">
        <v>68</v>
      </c>
      <c r="UKO79" s="1715" t="s">
        <v>0</v>
      </c>
      <c r="UKP79" s="1716"/>
      <c r="UKQ79" s="1716"/>
      <c r="UKR79" s="1716"/>
      <c r="UKS79" s="1716"/>
      <c r="UKT79" s="244"/>
      <c r="UKU79" s="244" t="s">
        <v>68</v>
      </c>
      <c r="UKV79" s="245" t="s">
        <v>68</v>
      </c>
      <c r="UKW79" s="1715" t="s">
        <v>0</v>
      </c>
      <c r="UKX79" s="1716"/>
      <c r="UKY79" s="1716"/>
      <c r="UKZ79" s="1716"/>
      <c r="ULA79" s="1716"/>
      <c r="ULB79" s="244"/>
      <c r="ULC79" s="244" t="s">
        <v>68</v>
      </c>
      <c r="ULD79" s="245" t="s">
        <v>68</v>
      </c>
      <c r="ULE79" s="1715" t="s">
        <v>0</v>
      </c>
      <c r="ULF79" s="1716"/>
      <c r="ULG79" s="1716"/>
      <c r="ULH79" s="1716"/>
      <c r="ULI79" s="1716"/>
      <c r="ULJ79" s="244"/>
      <c r="ULK79" s="244" t="s">
        <v>68</v>
      </c>
      <c r="ULL79" s="245" t="s">
        <v>68</v>
      </c>
      <c r="ULM79" s="1715" t="s">
        <v>0</v>
      </c>
      <c r="ULN79" s="1716"/>
      <c r="ULO79" s="1716"/>
      <c r="ULP79" s="1716"/>
      <c r="ULQ79" s="1716"/>
      <c r="ULR79" s="244"/>
      <c r="ULS79" s="244" t="s">
        <v>68</v>
      </c>
      <c r="ULT79" s="245" t="s">
        <v>68</v>
      </c>
      <c r="ULU79" s="1715" t="s">
        <v>0</v>
      </c>
      <c r="ULV79" s="1716"/>
      <c r="ULW79" s="1716"/>
      <c r="ULX79" s="1716"/>
      <c r="ULY79" s="1716"/>
      <c r="ULZ79" s="244"/>
      <c r="UMA79" s="244" t="s">
        <v>68</v>
      </c>
      <c r="UMB79" s="245" t="s">
        <v>68</v>
      </c>
      <c r="UMC79" s="1715" t="s">
        <v>0</v>
      </c>
      <c r="UMD79" s="1716"/>
      <c r="UME79" s="1716"/>
      <c r="UMF79" s="1716"/>
      <c r="UMG79" s="1716"/>
      <c r="UMH79" s="244"/>
      <c r="UMI79" s="244" t="s">
        <v>68</v>
      </c>
      <c r="UMJ79" s="245" t="s">
        <v>68</v>
      </c>
      <c r="UMK79" s="1715" t="s">
        <v>0</v>
      </c>
      <c r="UML79" s="1716"/>
      <c r="UMM79" s="1716"/>
      <c r="UMN79" s="1716"/>
      <c r="UMO79" s="1716"/>
      <c r="UMP79" s="244"/>
      <c r="UMQ79" s="244" t="s">
        <v>68</v>
      </c>
      <c r="UMR79" s="245" t="s">
        <v>68</v>
      </c>
      <c r="UMS79" s="1715" t="s">
        <v>0</v>
      </c>
      <c r="UMT79" s="1716"/>
      <c r="UMU79" s="1716"/>
      <c r="UMV79" s="1716"/>
      <c r="UMW79" s="1716"/>
      <c r="UMX79" s="244"/>
      <c r="UMY79" s="244" t="s">
        <v>68</v>
      </c>
      <c r="UMZ79" s="245" t="s">
        <v>68</v>
      </c>
      <c r="UNA79" s="1715" t="s">
        <v>0</v>
      </c>
      <c r="UNB79" s="1716"/>
      <c r="UNC79" s="1716"/>
      <c r="UND79" s="1716"/>
      <c r="UNE79" s="1716"/>
      <c r="UNF79" s="244"/>
      <c r="UNG79" s="244" t="s">
        <v>68</v>
      </c>
      <c r="UNH79" s="245" t="s">
        <v>68</v>
      </c>
      <c r="UNI79" s="1715" t="s">
        <v>0</v>
      </c>
      <c r="UNJ79" s="1716"/>
      <c r="UNK79" s="1716"/>
      <c r="UNL79" s="1716"/>
      <c r="UNM79" s="1716"/>
      <c r="UNN79" s="244"/>
      <c r="UNO79" s="244" t="s">
        <v>68</v>
      </c>
      <c r="UNP79" s="245" t="s">
        <v>68</v>
      </c>
      <c r="UNQ79" s="1715" t="s">
        <v>0</v>
      </c>
      <c r="UNR79" s="1716"/>
      <c r="UNS79" s="1716"/>
      <c r="UNT79" s="1716"/>
      <c r="UNU79" s="1716"/>
      <c r="UNV79" s="244"/>
      <c r="UNW79" s="244" t="s">
        <v>68</v>
      </c>
      <c r="UNX79" s="245" t="s">
        <v>68</v>
      </c>
      <c r="UNY79" s="1715" t="s">
        <v>0</v>
      </c>
      <c r="UNZ79" s="1716"/>
      <c r="UOA79" s="1716"/>
      <c r="UOB79" s="1716"/>
      <c r="UOC79" s="1716"/>
      <c r="UOD79" s="244"/>
      <c r="UOE79" s="244" t="s">
        <v>68</v>
      </c>
      <c r="UOF79" s="245" t="s">
        <v>68</v>
      </c>
      <c r="UOG79" s="1715" t="s">
        <v>0</v>
      </c>
      <c r="UOH79" s="1716"/>
      <c r="UOI79" s="1716"/>
      <c r="UOJ79" s="1716"/>
      <c r="UOK79" s="1716"/>
      <c r="UOL79" s="244"/>
      <c r="UOM79" s="244" t="s">
        <v>68</v>
      </c>
      <c r="UON79" s="245" t="s">
        <v>68</v>
      </c>
      <c r="UOO79" s="1715" t="s">
        <v>0</v>
      </c>
      <c r="UOP79" s="1716"/>
      <c r="UOQ79" s="1716"/>
      <c r="UOR79" s="1716"/>
      <c r="UOS79" s="1716"/>
      <c r="UOT79" s="244"/>
      <c r="UOU79" s="244" t="s">
        <v>68</v>
      </c>
      <c r="UOV79" s="245" t="s">
        <v>68</v>
      </c>
      <c r="UOW79" s="1715" t="s">
        <v>0</v>
      </c>
      <c r="UOX79" s="1716"/>
      <c r="UOY79" s="1716"/>
      <c r="UOZ79" s="1716"/>
      <c r="UPA79" s="1716"/>
      <c r="UPB79" s="244"/>
      <c r="UPC79" s="244" t="s">
        <v>68</v>
      </c>
      <c r="UPD79" s="245" t="s">
        <v>68</v>
      </c>
      <c r="UPE79" s="1715" t="s">
        <v>0</v>
      </c>
      <c r="UPF79" s="1716"/>
      <c r="UPG79" s="1716"/>
      <c r="UPH79" s="1716"/>
      <c r="UPI79" s="1716"/>
      <c r="UPJ79" s="244"/>
      <c r="UPK79" s="244" t="s">
        <v>68</v>
      </c>
      <c r="UPL79" s="245" t="s">
        <v>68</v>
      </c>
      <c r="UPM79" s="1715" t="s">
        <v>0</v>
      </c>
      <c r="UPN79" s="1716"/>
      <c r="UPO79" s="1716"/>
      <c r="UPP79" s="1716"/>
      <c r="UPQ79" s="1716"/>
      <c r="UPR79" s="244"/>
      <c r="UPS79" s="244" t="s">
        <v>68</v>
      </c>
      <c r="UPT79" s="245" t="s">
        <v>68</v>
      </c>
      <c r="UPU79" s="1715" t="s">
        <v>0</v>
      </c>
      <c r="UPV79" s="1716"/>
      <c r="UPW79" s="1716"/>
      <c r="UPX79" s="1716"/>
      <c r="UPY79" s="1716"/>
      <c r="UPZ79" s="244"/>
      <c r="UQA79" s="244" t="s">
        <v>68</v>
      </c>
      <c r="UQB79" s="245" t="s">
        <v>68</v>
      </c>
      <c r="UQC79" s="1715" t="s">
        <v>0</v>
      </c>
      <c r="UQD79" s="1716"/>
      <c r="UQE79" s="1716"/>
      <c r="UQF79" s="1716"/>
      <c r="UQG79" s="1716"/>
      <c r="UQH79" s="244"/>
      <c r="UQI79" s="244" t="s">
        <v>68</v>
      </c>
      <c r="UQJ79" s="245" t="s">
        <v>68</v>
      </c>
      <c r="UQK79" s="1715" t="s">
        <v>0</v>
      </c>
      <c r="UQL79" s="1716"/>
      <c r="UQM79" s="1716"/>
      <c r="UQN79" s="1716"/>
      <c r="UQO79" s="1716"/>
      <c r="UQP79" s="244"/>
      <c r="UQQ79" s="244" t="s">
        <v>68</v>
      </c>
      <c r="UQR79" s="245" t="s">
        <v>68</v>
      </c>
      <c r="UQS79" s="1715" t="s">
        <v>0</v>
      </c>
      <c r="UQT79" s="1716"/>
      <c r="UQU79" s="1716"/>
      <c r="UQV79" s="1716"/>
      <c r="UQW79" s="1716"/>
      <c r="UQX79" s="244"/>
      <c r="UQY79" s="244" t="s">
        <v>68</v>
      </c>
      <c r="UQZ79" s="245" t="s">
        <v>68</v>
      </c>
      <c r="URA79" s="1715" t="s">
        <v>0</v>
      </c>
      <c r="URB79" s="1716"/>
      <c r="URC79" s="1716"/>
      <c r="URD79" s="1716"/>
      <c r="URE79" s="1716"/>
      <c r="URF79" s="244"/>
      <c r="URG79" s="244" t="s">
        <v>68</v>
      </c>
      <c r="URH79" s="245" t="s">
        <v>68</v>
      </c>
      <c r="URI79" s="1715" t="s">
        <v>0</v>
      </c>
      <c r="URJ79" s="1716"/>
      <c r="URK79" s="1716"/>
      <c r="URL79" s="1716"/>
      <c r="URM79" s="1716"/>
      <c r="URN79" s="244"/>
      <c r="URO79" s="244" t="s">
        <v>68</v>
      </c>
      <c r="URP79" s="245" t="s">
        <v>68</v>
      </c>
      <c r="URQ79" s="1715" t="s">
        <v>0</v>
      </c>
      <c r="URR79" s="1716"/>
      <c r="URS79" s="1716"/>
      <c r="URT79" s="1716"/>
      <c r="URU79" s="1716"/>
      <c r="URV79" s="244"/>
      <c r="URW79" s="244" t="s">
        <v>68</v>
      </c>
      <c r="URX79" s="245" t="s">
        <v>68</v>
      </c>
      <c r="URY79" s="1715" t="s">
        <v>0</v>
      </c>
      <c r="URZ79" s="1716"/>
      <c r="USA79" s="1716"/>
      <c r="USB79" s="1716"/>
      <c r="USC79" s="1716"/>
      <c r="USD79" s="244"/>
      <c r="USE79" s="244" t="s">
        <v>68</v>
      </c>
      <c r="USF79" s="245" t="s">
        <v>68</v>
      </c>
      <c r="USG79" s="1715" t="s">
        <v>0</v>
      </c>
      <c r="USH79" s="1716"/>
      <c r="USI79" s="1716"/>
      <c r="USJ79" s="1716"/>
      <c r="USK79" s="1716"/>
      <c r="USL79" s="244"/>
      <c r="USM79" s="244" t="s">
        <v>68</v>
      </c>
      <c r="USN79" s="245" t="s">
        <v>68</v>
      </c>
      <c r="USO79" s="1715" t="s">
        <v>0</v>
      </c>
      <c r="USP79" s="1716"/>
      <c r="USQ79" s="1716"/>
      <c r="USR79" s="1716"/>
      <c r="USS79" s="1716"/>
      <c r="UST79" s="244"/>
      <c r="USU79" s="244" t="s">
        <v>68</v>
      </c>
      <c r="USV79" s="245" t="s">
        <v>68</v>
      </c>
      <c r="USW79" s="1715" t="s">
        <v>0</v>
      </c>
      <c r="USX79" s="1716"/>
      <c r="USY79" s="1716"/>
      <c r="USZ79" s="1716"/>
      <c r="UTA79" s="1716"/>
      <c r="UTB79" s="244"/>
      <c r="UTC79" s="244" t="s">
        <v>68</v>
      </c>
      <c r="UTD79" s="245" t="s">
        <v>68</v>
      </c>
      <c r="UTE79" s="1715" t="s">
        <v>0</v>
      </c>
      <c r="UTF79" s="1716"/>
      <c r="UTG79" s="1716"/>
      <c r="UTH79" s="1716"/>
      <c r="UTI79" s="1716"/>
      <c r="UTJ79" s="244"/>
      <c r="UTK79" s="244" t="s">
        <v>68</v>
      </c>
      <c r="UTL79" s="245" t="s">
        <v>68</v>
      </c>
      <c r="UTM79" s="1715" t="s">
        <v>0</v>
      </c>
      <c r="UTN79" s="1716"/>
      <c r="UTO79" s="1716"/>
      <c r="UTP79" s="1716"/>
      <c r="UTQ79" s="1716"/>
      <c r="UTR79" s="244"/>
      <c r="UTS79" s="244" t="s">
        <v>68</v>
      </c>
      <c r="UTT79" s="245" t="s">
        <v>68</v>
      </c>
      <c r="UTU79" s="1715" t="s">
        <v>0</v>
      </c>
      <c r="UTV79" s="1716"/>
      <c r="UTW79" s="1716"/>
      <c r="UTX79" s="1716"/>
      <c r="UTY79" s="1716"/>
      <c r="UTZ79" s="244"/>
      <c r="UUA79" s="244" t="s">
        <v>68</v>
      </c>
      <c r="UUB79" s="245" t="s">
        <v>68</v>
      </c>
      <c r="UUC79" s="1715" t="s">
        <v>0</v>
      </c>
      <c r="UUD79" s="1716"/>
      <c r="UUE79" s="1716"/>
      <c r="UUF79" s="1716"/>
      <c r="UUG79" s="1716"/>
      <c r="UUH79" s="244"/>
      <c r="UUI79" s="244" t="s">
        <v>68</v>
      </c>
      <c r="UUJ79" s="245" t="s">
        <v>68</v>
      </c>
      <c r="UUK79" s="1715" t="s">
        <v>0</v>
      </c>
      <c r="UUL79" s="1716"/>
      <c r="UUM79" s="1716"/>
      <c r="UUN79" s="1716"/>
      <c r="UUO79" s="1716"/>
      <c r="UUP79" s="244"/>
      <c r="UUQ79" s="244" t="s">
        <v>68</v>
      </c>
      <c r="UUR79" s="245" t="s">
        <v>68</v>
      </c>
      <c r="UUS79" s="1715" t="s">
        <v>0</v>
      </c>
      <c r="UUT79" s="1716"/>
      <c r="UUU79" s="1716"/>
      <c r="UUV79" s="1716"/>
      <c r="UUW79" s="1716"/>
      <c r="UUX79" s="244"/>
      <c r="UUY79" s="244" t="s">
        <v>68</v>
      </c>
      <c r="UUZ79" s="245" t="s">
        <v>68</v>
      </c>
      <c r="UVA79" s="1715" t="s">
        <v>0</v>
      </c>
      <c r="UVB79" s="1716"/>
      <c r="UVC79" s="1716"/>
      <c r="UVD79" s="1716"/>
      <c r="UVE79" s="1716"/>
      <c r="UVF79" s="244"/>
      <c r="UVG79" s="244" t="s">
        <v>68</v>
      </c>
      <c r="UVH79" s="245" t="s">
        <v>68</v>
      </c>
      <c r="UVI79" s="1715" t="s">
        <v>0</v>
      </c>
      <c r="UVJ79" s="1716"/>
      <c r="UVK79" s="1716"/>
      <c r="UVL79" s="1716"/>
      <c r="UVM79" s="1716"/>
      <c r="UVN79" s="244"/>
      <c r="UVO79" s="244" t="s">
        <v>68</v>
      </c>
      <c r="UVP79" s="245" t="s">
        <v>68</v>
      </c>
      <c r="UVQ79" s="1715" t="s">
        <v>0</v>
      </c>
      <c r="UVR79" s="1716"/>
      <c r="UVS79" s="1716"/>
      <c r="UVT79" s="1716"/>
      <c r="UVU79" s="1716"/>
      <c r="UVV79" s="244"/>
      <c r="UVW79" s="244" t="s">
        <v>68</v>
      </c>
      <c r="UVX79" s="245" t="s">
        <v>68</v>
      </c>
      <c r="UVY79" s="1715" t="s">
        <v>0</v>
      </c>
      <c r="UVZ79" s="1716"/>
      <c r="UWA79" s="1716"/>
      <c r="UWB79" s="1716"/>
      <c r="UWC79" s="1716"/>
      <c r="UWD79" s="244"/>
      <c r="UWE79" s="244" t="s">
        <v>68</v>
      </c>
      <c r="UWF79" s="245" t="s">
        <v>68</v>
      </c>
      <c r="UWG79" s="1715" t="s">
        <v>0</v>
      </c>
      <c r="UWH79" s="1716"/>
      <c r="UWI79" s="1716"/>
      <c r="UWJ79" s="1716"/>
      <c r="UWK79" s="1716"/>
      <c r="UWL79" s="244"/>
      <c r="UWM79" s="244" t="s">
        <v>68</v>
      </c>
      <c r="UWN79" s="245" t="s">
        <v>68</v>
      </c>
      <c r="UWO79" s="1715" t="s">
        <v>0</v>
      </c>
      <c r="UWP79" s="1716"/>
      <c r="UWQ79" s="1716"/>
      <c r="UWR79" s="1716"/>
      <c r="UWS79" s="1716"/>
      <c r="UWT79" s="244"/>
      <c r="UWU79" s="244" t="s">
        <v>68</v>
      </c>
      <c r="UWV79" s="245" t="s">
        <v>68</v>
      </c>
      <c r="UWW79" s="1715" t="s">
        <v>0</v>
      </c>
      <c r="UWX79" s="1716"/>
      <c r="UWY79" s="1716"/>
      <c r="UWZ79" s="1716"/>
      <c r="UXA79" s="1716"/>
      <c r="UXB79" s="244"/>
      <c r="UXC79" s="244" t="s">
        <v>68</v>
      </c>
      <c r="UXD79" s="245" t="s">
        <v>68</v>
      </c>
      <c r="UXE79" s="1715" t="s">
        <v>0</v>
      </c>
      <c r="UXF79" s="1716"/>
      <c r="UXG79" s="1716"/>
      <c r="UXH79" s="1716"/>
      <c r="UXI79" s="1716"/>
      <c r="UXJ79" s="244"/>
      <c r="UXK79" s="244" t="s">
        <v>68</v>
      </c>
      <c r="UXL79" s="245" t="s">
        <v>68</v>
      </c>
      <c r="UXM79" s="1715" t="s">
        <v>0</v>
      </c>
      <c r="UXN79" s="1716"/>
      <c r="UXO79" s="1716"/>
      <c r="UXP79" s="1716"/>
      <c r="UXQ79" s="1716"/>
      <c r="UXR79" s="244"/>
      <c r="UXS79" s="244" t="s">
        <v>68</v>
      </c>
      <c r="UXT79" s="245" t="s">
        <v>68</v>
      </c>
      <c r="UXU79" s="1715" t="s">
        <v>0</v>
      </c>
      <c r="UXV79" s="1716"/>
      <c r="UXW79" s="1716"/>
      <c r="UXX79" s="1716"/>
      <c r="UXY79" s="1716"/>
      <c r="UXZ79" s="244"/>
      <c r="UYA79" s="244" t="s">
        <v>68</v>
      </c>
      <c r="UYB79" s="245" t="s">
        <v>68</v>
      </c>
      <c r="UYC79" s="1715" t="s">
        <v>0</v>
      </c>
      <c r="UYD79" s="1716"/>
      <c r="UYE79" s="1716"/>
      <c r="UYF79" s="1716"/>
      <c r="UYG79" s="1716"/>
      <c r="UYH79" s="244"/>
      <c r="UYI79" s="244" t="s">
        <v>68</v>
      </c>
      <c r="UYJ79" s="245" t="s">
        <v>68</v>
      </c>
      <c r="UYK79" s="1715" t="s">
        <v>0</v>
      </c>
      <c r="UYL79" s="1716"/>
      <c r="UYM79" s="1716"/>
      <c r="UYN79" s="1716"/>
      <c r="UYO79" s="1716"/>
      <c r="UYP79" s="244"/>
      <c r="UYQ79" s="244" t="s">
        <v>68</v>
      </c>
      <c r="UYR79" s="245" t="s">
        <v>68</v>
      </c>
      <c r="UYS79" s="1715" t="s">
        <v>0</v>
      </c>
      <c r="UYT79" s="1716"/>
      <c r="UYU79" s="1716"/>
      <c r="UYV79" s="1716"/>
      <c r="UYW79" s="1716"/>
      <c r="UYX79" s="244"/>
      <c r="UYY79" s="244" t="s">
        <v>68</v>
      </c>
      <c r="UYZ79" s="245" t="s">
        <v>68</v>
      </c>
      <c r="UZA79" s="1715" t="s">
        <v>0</v>
      </c>
      <c r="UZB79" s="1716"/>
      <c r="UZC79" s="1716"/>
      <c r="UZD79" s="1716"/>
      <c r="UZE79" s="1716"/>
      <c r="UZF79" s="244"/>
      <c r="UZG79" s="244" t="s">
        <v>68</v>
      </c>
      <c r="UZH79" s="245" t="s">
        <v>68</v>
      </c>
      <c r="UZI79" s="1715" t="s">
        <v>0</v>
      </c>
      <c r="UZJ79" s="1716"/>
      <c r="UZK79" s="1716"/>
      <c r="UZL79" s="1716"/>
      <c r="UZM79" s="1716"/>
      <c r="UZN79" s="244"/>
      <c r="UZO79" s="244" t="s">
        <v>68</v>
      </c>
      <c r="UZP79" s="245" t="s">
        <v>68</v>
      </c>
      <c r="UZQ79" s="1715" t="s">
        <v>0</v>
      </c>
      <c r="UZR79" s="1716"/>
      <c r="UZS79" s="1716"/>
      <c r="UZT79" s="1716"/>
      <c r="UZU79" s="1716"/>
      <c r="UZV79" s="244"/>
      <c r="UZW79" s="244" t="s">
        <v>68</v>
      </c>
      <c r="UZX79" s="245" t="s">
        <v>68</v>
      </c>
      <c r="UZY79" s="1715" t="s">
        <v>0</v>
      </c>
      <c r="UZZ79" s="1716"/>
      <c r="VAA79" s="1716"/>
      <c r="VAB79" s="1716"/>
      <c r="VAC79" s="1716"/>
      <c r="VAD79" s="244"/>
      <c r="VAE79" s="244" t="s">
        <v>68</v>
      </c>
      <c r="VAF79" s="245" t="s">
        <v>68</v>
      </c>
      <c r="VAG79" s="1715" t="s">
        <v>0</v>
      </c>
      <c r="VAH79" s="1716"/>
      <c r="VAI79" s="1716"/>
      <c r="VAJ79" s="1716"/>
      <c r="VAK79" s="1716"/>
      <c r="VAL79" s="244"/>
      <c r="VAM79" s="244" t="s">
        <v>68</v>
      </c>
      <c r="VAN79" s="245" t="s">
        <v>68</v>
      </c>
      <c r="VAO79" s="1715" t="s">
        <v>0</v>
      </c>
      <c r="VAP79" s="1716"/>
      <c r="VAQ79" s="1716"/>
      <c r="VAR79" s="1716"/>
      <c r="VAS79" s="1716"/>
      <c r="VAT79" s="244"/>
      <c r="VAU79" s="244" t="s">
        <v>68</v>
      </c>
      <c r="VAV79" s="245" t="s">
        <v>68</v>
      </c>
      <c r="VAW79" s="1715" t="s">
        <v>0</v>
      </c>
      <c r="VAX79" s="1716"/>
      <c r="VAY79" s="1716"/>
      <c r="VAZ79" s="1716"/>
      <c r="VBA79" s="1716"/>
      <c r="VBB79" s="244"/>
      <c r="VBC79" s="244" t="s">
        <v>68</v>
      </c>
      <c r="VBD79" s="245" t="s">
        <v>68</v>
      </c>
      <c r="VBE79" s="1715" t="s">
        <v>0</v>
      </c>
      <c r="VBF79" s="1716"/>
      <c r="VBG79" s="1716"/>
      <c r="VBH79" s="1716"/>
      <c r="VBI79" s="1716"/>
      <c r="VBJ79" s="244"/>
      <c r="VBK79" s="244" t="s">
        <v>68</v>
      </c>
      <c r="VBL79" s="245" t="s">
        <v>68</v>
      </c>
      <c r="VBM79" s="1715" t="s">
        <v>0</v>
      </c>
      <c r="VBN79" s="1716"/>
      <c r="VBO79" s="1716"/>
      <c r="VBP79" s="1716"/>
      <c r="VBQ79" s="1716"/>
      <c r="VBR79" s="244"/>
      <c r="VBS79" s="244" t="s">
        <v>68</v>
      </c>
      <c r="VBT79" s="245" t="s">
        <v>68</v>
      </c>
      <c r="VBU79" s="1715" t="s">
        <v>0</v>
      </c>
      <c r="VBV79" s="1716"/>
      <c r="VBW79" s="1716"/>
      <c r="VBX79" s="1716"/>
      <c r="VBY79" s="1716"/>
      <c r="VBZ79" s="244"/>
      <c r="VCA79" s="244" t="s">
        <v>68</v>
      </c>
      <c r="VCB79" s="245" t="s">
        <v>68</v>
      </c>
      <c r="VCC79" s="1715" t="s">
        <v>0</v>
      </c>
      <c r="VCD79" s="1716"/>
      <c r="VCE79" s="1716"/>
      <c r="VCF79" s="1716"/>
      <c r="VCG79" s="1716"/>
      <c r="VCH79" s="244"/>
      <c r="VCI79" s="244" t="s">
        <v>68</v>
      </c>
      <c r="VCJ79" s="245" t="s">
        <v>68</v>
      </c>
      <c r="VCK79" s="1715" t="s">
        <v>0</v>
      </c>
      <c r="VCL79" s="1716"/>
      <c r="VCM79" s="1716"/>
      <c r="VCN79" s="1716"/>
      <c r="VCO79" s="1716"/>
      <c r="VCP79" s="244"/>
      <c r="VCQ79" s="244" t="s">
        <v>68</v>
      </c>
      <c r="VCR79" s="245" t="s">
        <v>68</v>
      </c>
      <c r="VCS79" s="1715" t="s">
        <v>0</v>
      </c>
      <c r="VCT79" s="1716"/>
      <c r="VCU79" s="1716"/>
      <c r="VCV79" s="1716"/>
      <c r="VCW79" s="1716"/>
      <c r="VCX79" s="244"/>
      <c r="VCY79" s="244" t="s">
        <v>68</v>
      </c>
      <c r="VCZ79" s="245" t="s">
        <v>68</v>
      </c>
      <c r="VDA79" s="1715" t="s">
        <v>0</v>
      </c>
      <c r="VDB79" s="1716"/>
      <c r="VDC79" s="1716"/>
      <c r="VDD79" s="1716"/>
      <c r="VDE79" s="1716"/>
      <c r="VDF79" s="244"/>
      <c r="VDG79" s="244" t="s">
        <v>68</v>
      </c>
      <c r="VDH79" s="245" t="s">
        <v>68</v>
      </c>
      <c r="VDI79" s="1715" t="s">
        <v>0</v>
      </c>
      <c r="VDJ79" s="1716"/>
      <c r="VDK79" s="1716"/>
      <c r="VDL79" s="1716"/>
      <c r="VDM79" s="1716"/>
      <c r="VDN79" s="244"/>
      <c r="VDO79" s="244" t="s">
        <v>68</v>
      </c>
      <c r="VDP79" s="245" t="s">
        <v>68</v>
      </c>
      <c r="VDQ79" s="1715" t="s">
        <v>0</v>
      </c>
      <c r="VDR79" s="1716"/>
      <c r="VDS79" s="1716"/>
      <c r="VDT79" s="1716"/>
      <c r="VDU79" s="1716"/>
      <c r="VDV79" s="244"/>
      <c r="VDW79" s="244" t="s">
        <v>68</v>
      </c>
      <c r="VDX79" s="245" t="s">
        <v>68</v>
      </c>
      <c r="VDY79" s="1715" t="s">
        <v>0</v>
      </c>
      <c r="VDZ79" s="1716"/>
      <c r="VEA79" s="1716"/>
      <c r="VEB79" s="1716"/>
      <c r="VEC79" s="1716"/>
      <c r="VED79" s="244"/>
      <c r="VEE79" s="244" t="s">
        <v>68</v>
      </c>
      <c r="VEF79" s="245" t="s">
        <v>68</v>
      </c>
      <c r="VEG79" s="1715" t="s">
        <v>0</v>
      </c>
      <c r="VEH79" s="1716"/>
      <c r="VEI79" s="1716"/>
      <c r="VEJ79" s="1716"/>
      <c r="VEK79" s="1716"/>
      <c r="VEL79" s="244"/>
      <c r="VEM79" s="244" t="s">
        <v>68</v>
      </c>
      <c r="VEN79" s="245" t="s">
        <v>68</v>
      </c>
      <c r="VEO79" s="1715" t="s">
        <v>0</v>
      </c>
      <c r="VEP79" s="1716"/>
      <c r="VEQ79" s="1716"/>
      <c r="VER79" s="1716"/>
      <c r="VES79" s="1716"/>
      <c r="VET79" s="244"/>
      <c r="VEU79" s="244" t="s">
        <v>68</v>
      </c>
      <c r="VEV79" s="245" t="s">
        <v>68</v>
      </c>
      <c r="VEW79" s="1715" t="s">
        <v>0</v>
      </c>
      <c r="VEX79" s="1716"/>
      <c r="VEY79" s="1716"/>
      <c r="VEZ79" s="1716"/>
      <c r="VFA79" s="1716"/>
      <c r="VFB79" s="244"/>
      <c r="VFC79" s="244" t="s">
        <v>68</v>
      </c>
      <c r="VFD79" s="245" t="s">
        <v>68</v>
      </c>
      <c r="VFE79" s="1715" t="s">
        <v>0</v>
      </c>
      <c r="VFF79" s="1716"/>
      <c r="VFG79" s="1716"/>
      <c r="VFH79" s="1716"/>
      <c r="VFI79" s="1716"/>
      <c r="VFJ79" s="244"/>
      <c r="VFK79" s="244" t="s">
        <v>68</v>
      </c>
      <c r="VFL79" s="245" t="s">
        <v>68</v>
      </c>
      <c r="VFM79" s="1715" t="s">
        <v>0</v>
      </c>
      <c r="VFN79" s="1716"/>
      <c r="VFO79" s="1716"/>
      <c r="VFP79" s="1716"/>
      <c r="VFQ79" s="1716"/>
      <c r="VFR79" s="244"/>
      <c r="VFS79" s="244" t="s">
        <v>68</v>
      </c>
      <c r="VFT79" s="245" t="s">
        <v>68</v>
      </c>
      <c r="VFU79" s="1715" t="s">
        <v>0</v>
      </c>
      <c r="VFV79" s="1716"/>
      <c r="VFW79" s="1716"/>
      <c r="VFX79" s="1716"/>
      <c r="VFY79" s="1716"/>
      <c r="VFZ79" s="244"/>
      <c r="VGA79" s="244" t="s">
        <v>68</v>
      </c>
      <c r="VGB79" s="245" t="s">
        <v>68</v>
      </c>
      <c r="VGC79" s="1715" t="s">
        <v>0</v>
      </c>
      <c r="VGD79" s="1716"/>
      <c r="VGE79" s="1716"/>
      <c r="VGF79" s="1716"/>
      <c r="VGG79" s="1716"/>
      <c r="VGH79" s="244"/>
      <c r="VGI79" s="244" t="s">
        <v>68</v>
      </c>
      <c r="VGJ79" s="245" t="s">
        <v>68</v>
      </c>
      <c r="VGK79" s="1715" t="s">
        <v>0</v>
      </c>
      <c r="VGL79" s="1716"/>
      <c r="VGM79" s="1716"/>
      <c r="VGN79" s="1716"/>
      <c r="VGO79" s="1716"/>
      <c r="VGP79" s="244"/>
      <c r="VGQ79" s="244" t="s">
        <v>68</v>
      </c>
      <c r="VGR79" s="245" t="s">
        <v>68</v>
      </c>
      <c r="VGS79" s="1715" t="s">
        <v>0</v>
      </c>
      <c r="VGT79" s="1716"/>
      <c r="VGU79" s="1716"/>
      <c r="VGV79" s="1716"/>
      <c r="VGW79" s="1716"/>
      <c r="VGX79" s="244"/>
      <c r="VGY79" s="244" t="s">
        <v>68</v>
      </c>
      <c r="VGZ79" s="245" t="s">
        <v>68</v>
      </c>
      <c r="VHA79" s="1715" t="s">
        <v>0</v>
      </c>
      <c r="VHB79" s="1716"/>
      <c r="VHC79" s="1716"/>
      <c r="VHD79" s="1716"/>
      <c r="VHE79" s="1716"/>
      <c r="VHF79" s="244"/>
      <c r="VHG79" s="244" t="s">
        <v>68</v>
      </c>
      <c r="VHH79" s="245" t="s">
        <v>68</v>
      </c>
      <c r="VHI79" s="1715" t="s">
        <v>0</v>
      </c>
      <c r="VHJ79" s="1716"/>
      <c r="VHK79" s="1716"/>
      <c r="VHL79" s="1716"/>
      <c r="VHM79" s="1716"/>
      <c r="VHN79" s="244"/>
      <c r="VHO79" s="244" t="s">
        <v>68</v>
      </c>
      <c r="VHP79" s="245" t="s">
        <v>68</v>
      </c>
      <c r="VHQ79" s="1715" t="s">
        <v>0</v>
      </c>
      <c r="VHR79" s="1716"/>
      <c r="VHS79" s="1716"/>
      <c r="VHT79" s="1716"/>
      <c r="VHU79" s="1716"/>
      <c r="VHV79" s="244"/>
      <c r="VHW79" s="244" t="s">
        <v>68</v>
      </c>
      <c r="VHX79" s="245" t="s">
        <v>68</v>
      </c>
      <c r="VHY79" s="1715" t="s">
        <v>0</v>
      </c>
      <c r="VHZ79" s="1716"/>
      <c r="VIA79" s="1716"/>
      <c r="VIB79" s="1716"/>
      <c r="VIC79" s="1716"/>
      <c r="VID79" s="244"/>
      <c r="VIE79" s="244" t="s">
        <v>68</v>
      </c>
      <c r="VIF79" s="245" t="s">
        <v>68</v>
      </c>
      <c r="VIG79" s="1715" t="s">
        <v>0</v>
      </c>
      <c r="VIH79" s="1716"/>
      <c r="VII79" s="1716"/>
      <c r="VIJ79" s="1716"/>
      <c r="VIK79" s="1716"/>
      <c r="VIL79" s="244"/>
      <c r="VIM79" s="244" t="s">
        <v>68</v>
      </c>
      <c r="VIN79" s="245" t="s">
        <v>68</v>
      </c>
      <c r="VIO79" s="1715" t="s">
        <v>0</v>
      </c>
      <c r="VIP79" s="1716"/>
      <c r="VIQ79" s="1716"/>
      <c r="VIR79" s="1716"/>
      <c r="VIS79" s="1716"/>
      <c r="VIT79" s="244"/>
      <c r="VIU79" s="244" t="s">
        <v>68</v>
      </c>
      <c r="VIV79" s="245" t="s">
        <v>68</v>
      </c>
      <c r="VIW79" s="1715" t="s">
        <v>0</v>
      </c>
      <c r="VIX79" s="1716"/>
      <c r="VIY79" s="1716"/>
      <c r="VIZ79" s="1716"/>
      <c r="VJA79" s="1716"/>
      <c r="VJB79" s="244"/>
      <c r="VJC79" s="244" t="s">
        <v>68</v>
      </c>
      <c r="VJD79" s="245" t="s">
        <v>68</v>
      </c>
      <c r="VJE79" s="1715" t="s">
        <v>0</v>
      </c>
      <c r="VJF79" s="1716"/>
      <c r="VJG79" s="1716"/>
      <c r="VJH79" s="1716"/>
      <c r="VJI79" s="1716"/>
      <c r="VJJ79" s="244"/>
      <c r="VJK79" s="244" t="s">
        <v>68</v>
      </c>
      <c r="VJL79" s="245" t="s">
        <v>68</v>
      </c>
      <c r="VJM79" s="1715" t="s">
        <v>0</v>
      </c>
      <c r="VJN79" s="1716"/>
      <c r="VJO79" s="1716"/>
      <c r="VJP79" s="1716"/>
      <c r="VJQ79" s="1716"/>
      <c r="VJR79" s="244"/>
      <c r="VJS79" s="244" t="s">
        <v>68</v>
      </c>
      <c r="VJT79" s="245" t="s">
        <v>68</v>
      </c>
      <c r="VJU79" s="1715" t="s">
        <v>0</v>
      </c>
      <c r="VJV79" s="1716"/>
      <c r="VJW79" s="1716"/>
      <c r="VJX79" s="1716"/>
      <c r="VJY79" s="1716"/>
      <c r="VJZ79" s="244"/>
      <c r="VKA79" s="244" t="s">
        <v>68</v>
      </c>
      <c r="VKB79" s="245" t="s">
        <v>68</v>
      </c>
      <c r="VKC79" s="1715" t="s">
        <v>0</v>
      </c>
      <c r="VKD79" s="1716"/>
      <c r="VKE79" s="1716"/>
      <c r="VKF79" s="1716"/>
      <c r="VKG79" s="1716"/>
      <c r="VKH79" s="244"/>
      <c r="VKI79" s="244" t="s">
        <v>68</v>
      </c>
      <c r="VKJ79" s="245" t="s">
        <v>68</v>
      </c>
      <c r="VKK79" s="1715" t="s">
        <v>0</v>
      </c>
      <c r="VKL79" s="1716"/>
      <c r="VKM79" s="1716"/>
      <c r="VKN79" s="1716"/>
      <c r="VKO79" s="1716"/>
      <c r="VKP79" s="244"/>
      <c r="VKQ79" s="244" t="s">
        <v>68</v>
      </c>
      <c r="VKR79" s="245" t="s">
        <v>68</v>
      </c>
      <c r="VKS79" s="1715" t="s">
        <v>0</v>
      </c>
      <c r="VKT79" s="1716"/>
      <c r="VKU79" s="1716"/>
      <c r="VKV79" s="1716"/>
      <c r="VKW79" s="1716"/>
      <c r="VKX79" s="244"/>
      <c r="VKY79" s="244" t="s">
        <v>68</v>
      </c>
      <c r="VKZ79" s="245" t="s">
        <v>68</v>
      </c>
      <c r="VLA79" s="1715" t="s">
        <v>0</v>
      </c>
      <c r="VLB79" s="1716"/>
      <c r="VLC79" s="1716"/>
      <c r="VLD79" s="1716"/>
      <c r="VLE79" s="1716"/>
      <c r="VLF79" s="244"/>
      <c r="VLG79" s="244" t="s">
        <v>68</v>
      </c>
      <c r="VLH79" s="245" t="s">
        <v>68</v>
      </c>
      <c r="VLI79" s="1715" t="s">
        <v>0</v>
      </c>
      <c r="VLJ79" s="1716"/>
      <c r="VLK79" s="1716"/>
      <c r="VLL79" s="1716"/>
      <c r="VLM79" s="1716"/>
      <c r="VLN79" s="244"/>
      <c r="VLO79" s="244" t="s">
        <v>68</v>
      </c>
      <c r="VLP79" s="245" t="s">
        <v>68</v>
      </c>
      <c r="VLQ79" s="1715" t="s">
        <v>0</v>
      </c>
      <c r="VLR79" s="1716"/>
      <c r="VLS79" s="1716"/>
      <c r="VLT79" s="1716"/>
      <c r="VLU79" s="1716"/>
      <c r="VLV79" s="244"/>
      <c r="VLW79" s="244" t="s">
        <v>68</v>
      </c>
      <c r="VLX79" s="245" t="s">
        <v>68</v>
      </c>
      <c r="VLY79" s="1715" t="s">
        <v>0</v>
      </c>
      <c r="VLZ79" s="1716"/>
      <c r="VMA79" s="1716"/>
      <c r="VMB79" s="1716"/>
      <c r="VMC79" s="1716"/>
      <c r="VMD79" s="244"/>
      <c r="VME79" s="244" t="s">
        <v>68</v>
      </c>
      <c r="VMF79" s="245" t="s">
        <v>68</v>
      </c>
      <c r="VMG79" s="1715" t="s">
        <v>0</v>
      </c>
      <c r="VMH79" s="1716"/>
      <c r="VMI79" s="1716"/>
      <c r="VMJ79" s="1716"/>
      <c r="VMK79" s="1716"/>
      <c r="VML79" s="244"/>
      <c r="VMM79" s="244" t="s">
        <v>68</v>
      </c>
      <c r="VMN79" s="245" t="s">
        <v>68</v>
      </c>
      <c r="VMO79" s="1715" t="s">
        <v>0</v>
      </c>
      <c r="VMP79" s="1716"/>
      <c r="VMQ79" s="1716"/>
      <c r="VMR79" s="1716"/>
      <c r="VMS79" s="1716"/>
      <c r="VMT79" s="244"/>
      <c r="VMU79" s="244" t="s">
        <v>68</v>
      </c>
      <c r="VMV79" s="245" t="s">
        <v>68</v>
      </c>
      <c r="VMW79" s="1715" t="s">
        <v>0</v>
      </c>
      <c r="VMX79" s="1716"/>
      <c r="VMY79" s="1716"/>
      <c r="VMZ79" s="1716"/>
      <c r="VNA79" s="1716"/>
      <c r="VNB79" s="244"/>
      <c r="VNC79" s="244" t="s">
        <v>68</v>
      </c>
      <c r="VND79" s="245" t="s">
        <v>68</v>
      </c>
      <c r="VNE79" s="1715" t="s">
        <v>0</v>
      </c>
      <c r="VNF79" s="1716"/>
      <c r="VNG79" s="1716"/>
      <c r="VNH79" s="1716"/>
      <c r="VNI79" s="1716"/>
      <c r="VNJ79" s="244"/>
      <c r="VNK79" s="244" t="s">
        <v>68</v>
      </c>
      <c r="VNL79" s="245" t="s">
        <v>68</v>
      </c>
      <c r="VNM79" s="1715" t="s">
        <v>0</v>
      </c>
      <c r="VNN79" s="1716"/>
      <c r="VNO79" s="1716"/>
      <c r="VNP79" s="1716"/>
      <c r="VNQ79" s="1716"/>
      <c r="VNR79" s="244"/>
      <c r="VNS79" s="244" t="s">
        <v>68</v>
      </c>
      <c r="VNT79" s="245" t="s">
        <v>68</v>
      </c>
      <c r="VNU79" s="1715" t="s">
        <v>0</v>
      </c>
      <c r="VNV79" s="1716"/>
      <c r="VNW79" s="1716"/>
      <c r="VNX79" s="1716"/>
      <c r="VNY79" s="1716"/>
      <c r="VNZ79" s="244"/>
      <c r="VOA79" s="244" t="s">
        <v>68</v>
      </c>
      <c r="VOB79" s="245" t="s">
        <v>68</v>
      </c>
      <c r="VOC79" s="1715" t="s">
        <v>0</v>
      </c>
      <c r="VOD79" s="1716"/>
      <c r="VOE79" s="1716"/>
      <c r="VOF79" s="1716"/>
      <c r="VOG79" s="1716"/>
      <c r="VOH79" s="244"/>
      <c r="VOI79" s="244" t="s">
        <v>68</v>
      </c>
      <c r="VOJ79" s="245" t="s">
        <v>68</v>
      </c>
      <c r="VOK79" s="1715" t="s">
        <v>0</v>
      </c>
      <c r="VOL79" s="1716"/>
      <c r="VOM79" s="1716"/>
      <c r="VON79" s="1716"/>
      <c r="VOO79" s="1716"/>
      <c r="VOP79" s="244"/>
      <c r="VOQ79" s="244" t="s">
        <v>68</v>
      </c>
      <c r="VOR79" s="245" t="s">
        <v>68</v>
      </c>
      <c r="VOS79" s="1715" t="s">
        <v>0</v>
      </c>
      <c r="VOT79" s="1716"/>
      <c r="VOU79" s="1716"/>
      <c r="VOV79" s="1716"/>
      <c r="VOW79" s="1716"/>
      <c r="VOX79" s="244"/>
      <c r="VOY79" s="244" t="s">
        <v>68</v>
      </c>
      <c r="VOZ79" s="245" t="s">
        <v>68</v>
      </c>
      <c r="VPA79" s="1715" t="s">
        <v>0</v>
      </c>
      <c r="VPB79" s="1716"/>
      <c r="VPC79" s="1716"/>
      <c r="VPD79" s="1716"/>
      <c r="VPE79" s="1716"/>
      <c r="VPF79" s="244"/>
      <c r="VPG79" s="244" t="s">
        <v>68</v>
      </c>
      <c r="VPH79" s="245" t="s">
        <v>68</v>
      </c>
      <c r="VPI79" s="1715" t="s">
        <v>0</v>
      </c>
      <c r="VPJ79" s="1716"/>
      <c r="VPK79" s="1716"/>
      <c r="VPL79" s="1716"/>
      <c r="VPM79" s="1716"/>
      <c r="VPN79" s="244"/>
      <c r="VPO79" s="244" t="s">
        <v>68</v>
      </c>
      <c r="VPP79" s="245" t="s">
        <v>68</v>
      </c>
      <c r="VPQ79" s="1715" t="s">
        <v>0</v>
      </c>
      <c r="VPR79" s="1716"/>
      <c r="VPS79" s="1716"/>
      <c r="VPT79" s="1716"/>
      <c r="VPU79" s="1716"/>
      <c r="VPV79" s="244"/>
      <c r="VPW79" s="244" t="s">
        <v>68</v>
      </c>
      <c r="VPX79" s="245" t="s">
        <v>68</v>
      </c>
      <c r="VPY79" s="1715" t="s">
        <v>0</v>
      </c>
      <c r="VPZ79" s="1716"/>
      <c r="VQA79" s="1716"/>
      <c r="VQB79" s="1716"/>
      <c r="VQC79" s="1716"/>
      <c r="VQD79" s="244"/>
      <c r="VQE79" s="244" t="s">
        <v>68</v>
      </c>
      <c r="VQF79" s="245" t="s">
        <v>68</v>
      </c>
      <c r="VQG79" s="1715" t="s">
        <v>0</v>
      </c>
      <c r="VQH79" s="1716"/>
      <c r="VQI79" s="1716"/>
      <c r="VQJ79" s="1716"/>
      <c r="VQK79" s="1716"/>
      <c r="VQL79" s="244"/>
      <c r="VQM79" s="244" t="s">
        <v>68</v>
      </c>
      <c r="VQN79" s="245" t="s">
        <v>68</v>
      </c>
      <c r="VQO79" s="1715" t="s">
        <v>0</v>
      </c>
      <c r="VQP79" s="1716"/>
      <c r="VQQ79" s="1716"/>
      <c r="VQR79" s="1716"/>
      <c r="VQS79" s="1716"/>
      <c r="VQT79" s="244"/>
      <c r="VQU79" s="244" t="s">
        <v>68</v>
      </c>
      <c r="VQV79" s="245" t="s">
        <v>68</v>
      </c>
      <c r="VQW79" s="1715" t="s">
        <v>0</v>
      </c>
      <c r="VQX79" s="1716"/>
      <c r="VQY79" s="1716"/>
      <c r="VQZ79" s="1716"/>
      <c r="VRA79" s="1716"/>
      <c r="VRB79" s="244"/>
      <c r="VRC79" s="244" t="s">
        <v>68</v>
      </c>
      <c r="VRD79" s="245" t="s">
        <v>68</v>
      </c>
      <c r="VRE79" s="1715" t="s">
        <v>0</v>
      </c>
      <c r="VRF79" s="1716"/>
      <c r="VRG79" s="1716"/>
      <c r="VRH79" s="1716"/>
      <c r="VRI79" s="1716"/>
      <c r="VRJ79" s="244"/>
      <c r="VRK79" s="244" t="s">
        <v>68</v>
      </c>
      <c r="VRL79" s="245" t="s">
        <v>68</v>
      </c>
      <c r="VRM79" s="1715" t="s">
        <v>0</v>
      </c>
      <c r="VRN79" s="1716"/>
      <c r="VRO79" s="1716"/>
      <c r="VRP79" s="1716"/>
      <c r="VRQ79" s="1716"/>
      <c r="VRR79" s="244"/>
      <c r="VRS79" s="244" t="s">
        <v>68</v>
      </c>
      <c r="VRT79" s="245" t="s">
        <v>68</v>
      </c>
      <c r="VRU79" s="1715" t="s">
        <v>0</v>
      </c>
      <c r="VRV79" s="1716"/>
      <c r="VRW79" s="1716"/>
      <c r="VRX79" s="1716"/>
      <c r="VRY79" s="1716"/>
      <c r="VRZ79" s="244"/>
      <c r="VSA79" s="244" t="s">
        <v>68</v>
      </c>
      <c r="VSB79" s="245" t="s">
        <v>68</v>
      </c>
      <c r="VSC79" s="1715" t="s">
        <v>0</v>
      </c>
      <c r="VSD79" s="1716"/>
      <c r="VSE79" s="1716"/>
      <c r="VSF79" s="1716"/>
      <c r="VSG79" s="1716"/>
      <c r="VSH79" s="244"/>
      <c r="VSI79" s="244" t="s">
        <v>68</v>
      </c>
      <c r="VSJ79" s="245" t="s">
        <v>68</v>
      </c>
      <c r="VSK79" s="1715" t="s">
        <v>0</v>
      </c>
      <c r="VSL79" s="1716"/>
      <c r="VSM79" s="1716"/>
      <c r="VSN79" s="1716"/>
      <c r="VSO79" s="1716"/>
      <c r="VSP79" s="244"/>
      <c r="VSQ79" s="244" t="s">
        <v>68</v>
      </c>
      <c r="VSR79" s="245" t="s">
        <v>68</v>
      </c>
      <c r="VSS79" s="1715" t="s">
        <v>0</v>
      </c>
      <c r="VST79" s="1716"/>
      <c r="VSU79" s="1716"/>
      <c r="VSV79" s="1716"/>
      <c r="VSW79" s="1716"/>
      <c r="VSX79" s="244"/>
      <c r="VSY79" s="244" t="s">
        <v>68</v>
      </c>
      <c r="VSZ79" s="245" t="s">
        <v>68</v>
      </c>
      <c r="VTA79" s="1715" t="s">
        <v>0</v>
      </c>
      <c r="VTB79" s="1716"/>
      <c r="VTC79" s="1716"/>
      <c r="VTD79" s="1716"/>
      <c r="VTE79" s="1716"/>
      <c r="VTF79" s="244"/>
      <c r="VTG79" s="244" t="s">
        <v>68</v>
      </c>
      <c r="VTH79" s="245" t="s">
        <v>68</v>
      </c>
      <c r="VTI79" s="1715" t="s">
        <v>0</v>
      </c>
      <c r="VTJ79" s="1716"/>
      <c r="VTK79" s="1716"/>
      <c r="VTL79" s="1716"/>
      <c r="VTM79" s="1716"/>
      <c r="VTN79" s="244"/>
      <c r="VTO79" s="244" t="s">
        <v>68</v>
      </c>
      <c r="VTP79" s="245" t="s">
        <v>68</v>
      </c>
      <c r="VTQ79" s="1715" t="s">
        <v>0</v>
      </c>
      <c r="VTR79" s="1716"/>
      <c r="VTS79" s="1716"/>
      <c r="VTT79" s="1716"/>
      <c r="VTU79" s="1716"/>
      <c r="VTV79" s="244"/>
      <c r="VTW79" s="244" t="s">
        <v>68</v>
      </c>
      <c r="VTX79" s="245" t="s">
        <v>68</v>
      </c>
      <c r="VTY79" s="1715" t="s">
        <v>0</v>
      </c>
      <c r="VTZ79" s="1716"/>
      <c r="VUA79" s="1716"/>
      <c r="VUB79" s="1716"/>
      <c r="VUC79" s="1716"/>
      <c r="VUD79" s="244"/>
      <c r="VUE79" s="244" t="s">
        <v>68</v>
      </c>
      <c r="VUF79" s="245" t="s">
        <v>68</v>
      </c>
      <c r="VUG79" s="1715" t="s">
        <v>0</v>
      </c>
      <c r="VUH79" s="1716"/>
      <c r="VUI79" s="1716"/>
      <c r="VUJ79" s="1716"/>
      <c r="VUK79" s="1716"/>
      <c r="VUL79" s="244"/>
      <c r="VUM79" s="244" t="s">
        <v>68</v>
      </c>
      <c r="VUN79" s="245" t="s">
        <v>68</v>
      </c>
      <c r="VUO79" s="1715" t="s">
        <v>0</v>
      </c>
      <c r="VUP79" s="1716"/>
      <c r="VUQ79" s="1716"/>
      <c r="VUR79" s="1716"/>
      <c r="VUS79" s="1716"/>
      <c r="VUT79" s="244"/>
      <c r="VUU79" s="244" t="s">
        <v>68</v>
      </c>
      <c r="VUV79" s="245" t="s">
        <v>68</v>
      </c>
      <c r="VUW79" s="1715" t="s">
        <v>0</v>
      </c>
      <c r="VUX79" s="1716"/>
      <c r="VUY79" s="1716"/>
      <c r="VUZ79" s="1716"/>
      <c r="VVA79" s="1716"/>
      <c r="VVB79" s="244"/>
      <c r="VVC79" s="244" t="s">
        <v>68</v>
      </c>
      <c r="VVD79" s="245" t="s">
        <v>68</v>
      </c>
      <c r="VVE79" s="1715" t="s">
        <v>0</v>
      </c>
      <c r="VVF79" s="1716"/>
      <c r="VVG79" s="1716"/>
      <c r="VVH79" s="1716"/>
      <c r="VVI79" s="1716"/>
      <c r="VVJ79" s="244"/>
      <c r="VVK79" s="244" t="s">
        <v>68</v>
      </c>
      <c r="VVL79" s="245" t="s">
        <v>68</v>
      </c>
      <c r="VVM79" s="1715" t="s">
        <v>0</v>
      </c>
      <c r="VVN79" s="1716"/>
      <c r="VVO79" s="1716"/>
      <c r="VVP79" s="1716"/>
      <c r="VVQ79" s="1716"/>
      <c r="VVR79" s="244"/>
      <c r="VVS79" s="244" t="s">
        <v>68</v>
      </c>
      <c r="VVT79" s="245" t="s">
        <v>68</v>
      </c>
      <c r="VVU79" s="1715" t="s">
        <v>0</v>
      </c>
      <c r="VVV79" s="1716"/>
      <c r="VVW79" s="1716"/>
      <c r="VVX79" s="1716"/>
      <c r="VVY79" s="1716"/>
      <c r="VVZ79" s="244"/>
      <c r="VWA79" s="244" t="s">
        <v>68</v>
      </c>
      <c r="VWB79" s="245" t="s">
        <v>68</v>
      </c>
      <c r="VWC79" s="1715" t="s">
        <v>0</v>
      </c>
      <c r="VWD79" s="1716"/>
      <c r="VWE79" s="1716"/>
      <c r="VWF79" s="1716"/>
      <c r="VWG79" s="1716"/>
      <c r="VWH79" s="244"/>
      <c r="VWI79" s="244" t="s">
        <v>68</v>
      </c>
      <c r="VWJ79" s="245" t="s">
        <v>68</v>
      </c>
      <c r="VWK79" s="1715" t="s">
        <v>0</v>
      </c>
      <c r="VWL79" s="1716"/>
      <c r="VWM79" s="1716"/>
      <c r="VWN79" s="1716"/>
      <c r="VWO79" s="1716"/>
      <c r="VWP79" s="244"/>
      <c r="VWQ79" s="244" t="s">
        <v>68</v>
      </c>
      <c r="VWR79" s="245" t="s">
        <v>68</v>
      </c>
      <c r="VWS79" s="1715" t="s">
        <v>0</v>
      </c>
      <c r="VWT79" s="1716"/>
      <c r="VWU79" s="1716"/>
      <c r="VWV79" s="1716"/>
      <c r="VWW79" s="1716"/>
      <c r="VWX79" s="244"/>
      <c r="VWY79" s="244" t="s">
        <v>68</v>
      </c>
      <c r="VWZ79" s="245" t="s">
        <v>68</v>
      </c>
      <c r="VXA79" s="1715" t="s">
        <v>0</v>
      </c>
      <c r="VXB79" s="1716"/>
      <c r="VXC79" s="1716"/>
      <c r="VXD79" s="1716"/>
      <c r="VXE79" s="1716"/>
      <c r="VXF79" s="244"/>
      <c r="VXG79" s="244" t="s">
        <v>68</v>
      </c>
      <c r="VXH79" s="245" t="s">
        <v>68</v>
      </c>
      <c r="VXI79" s="1715" t="s">
        <v>0</v>
      </c>
      <c r="VXJ79" s="1716"/>
      <c r="VXK79" s="1716"/>
      <c r="VXL79" s="1716"/>
      <c r="VXM79" s="1716"/>
      <c r="VXN79" s="244"/>
      <c r="VXO79" s="244" t="s">
        <v>68</v>
      </c>
      <c r="VXP79" s="245" t="s">
        <v>68</v>
      </c>
      <c r="VXQ79" s="1715" t="s">
        <v>0</v>
      </c>
      <c r="VXR79" s="1716"/>
      <c r="VXS79" s="1716"/>
      <c r="VXT79" s="1716"/>
      <c r="VXU79" s="1716"/>
      <c r="VXV79" s="244"/>
      <c r="VXW79" s="244" t="s">
        <v>68</v>
      </c>
      <c r="VXX79" s="245" t="s">
        <v>68</v>
      </c>
      <c r="VXY79" s="1715" t="s">
        <v>0</v>
      </c>
      <c r="VXZ79" s="1716"/>
      <c r="VYA79" s="1716"/>
      <c r="VYB79" s="1716"/>
      <c r="VYC79" s="1716"/>
      <c r="VYD79" s="244"/>
      <c r="VYE79" s="244" t="s">
        <v>68</v>
      </c>
      <c r="VYF79" s="245" t="s">
        <v>68</v>
      </c>
      <c r="VYG79" s="1715" t="s">
        <v>0</v>
      </c>
      <c r="VYH79" s="1716"/>
      <c r="VYI79" s="1716"/>
      <c r="VYJ79" s="1716"/>
      <c r="VYK79" s="1716"/>
      <c r="VYL79" s="244"/>
      <c r="VYM79" s="244" t="s">
        <v>68</v>
      </c>
      <c r="VYN79" s="245" t="s">
        <v>68</v>
      </c>
      <c r="VYO79" s="1715" t="s">
        <v>0</v>
      </c>
      <c r="VYP79" s="1716"/>
      <c r="VYQ79" s="1716"/>
      <c r="VYR79" s="1716"/>
      <c r="VYS79" s="1716"/>
      <c r="VYT79" s="244"/>
      <c r="VYU79" s="244" t="s">
        <v>68</v>
      </c>
      <c r="VYV79" s="245" t="s">
        <v>68</v>
      </c>
      <c r="VYW79" s="1715" t="s">
        <v>0</v>
      </c>
      <c r="VYX79" s="1716"/>
      <c r="VYY79" s="1716"/>
      <c r="VYZ79" s="1716"/>
      <c r="VZA79" s="1716"/>
      <c r="VZB79" s="244"/>
      <c r="VZC79" s="244" t="s">
        <v>68</v>
      </c>
      <c r="VZD79" s="245" t="s">
        <v>68</v>
      </c>
      <c r="VZE79" s="1715" t="s">
        <v>0</v>
      </c>
      <c r="VZF79" s="1716"/>
      <c r="VZG79" s="1716"/>
      <c r="VZH79" s="1716"/>
      <c r="VZI79" s="1716"/>
      <c r="VZJ79" s="244"/>
      <c r="VZK79" s="244" t="s">
        <v>68</v>
      </c>
      <c r="VZL79" s="245" t="s">
        <v>68</v>
      </c>
      <c r="VZM79" s="1715" t="s">
        <v>0</v>
      </c>
      <c r="VZN79" s="1716"/>
      <c r="VZO79" s="1716"/>
      <c r="VZP79" s="1716"/>
      <c r="VZQ79" s="1716"/>
      <c r="VZR79" s="244"/>
      <c r="VZS79" s="244" t="s">
        <v>68</v>
      </c>
      <c r="VZT79" s="245" t="s">
        <v>68</v>
      </c>
      <c r="VZU79" s="1715" t="s">
        <v>0</v>
      </c>
      <c r="VZV79" s="1716"/>
      <c r="VZW79" s="1716"/>
      <c r="VZX79" s="1716"/>
      <c r="VZY79" s="1716"/>
      <c r="VZZ79" s="244"/>
      <c r="WAA79" s="244" t="s">
        <v>68</v>
      </c>
      <c r="WAB79" s="245" t="s">
        <v>68</v>
      </c>
      <c r="WAC79" s="1715" t="s">
        <v>0</v>
      </c>
      <c r="WAD79" s="1716"/>
      <c r="WAE79" s="1716"/>
      <c r="WAF79" s="1716"/>
      <c r="WAG79" s="1716"/>
      <c r="WAH79" s="244"/>
      <c r="WAI79" s="244" t="s">
        <v>68</v>
      </c>
      <c r="WAJ79" s="245" t="s">
        <v>68</v>
      </c>
      <c r="WAK79" s="1715" t="s">
        <v>0</v>
      </c>
      <c r="WAL79" s="1716"/>
      <c r="WAM79" s="1716"/>
      <c r="WAN79" s="1716"/>
      <c r="WAO79" s="1716"/>
      <c r="WAP79" s="244"/>
      <c r="WAQ79" s="244" t="s">
        <v>68</v>
      </c>
      <c r="WAR79" s="245" t="s">
        <v>68</v>
      </c>
      <c r="WAS79" s="1715" t="s">
        <v>0</v>
      </c>
      <c r="WAT79" s="1716"/>
      <c r="WAU79" s="1716"/>
      <c r="WAV79" s="1716"/>
      <c r="WAW79" s="1716"/>
      <c r="WAX79" s="244"/>
      <c r="WAY79" s="244" t="s">
        <v>68</v>
      </c>
      <c r="WAZ79" s="245" t="s">
        <v>68</v>
      </c>
      <c r="WBA79" s="1715" t="s">
        <v>0</v>
      </c>
      <c r="WBB79" s="1716"/>
      <c r="WBC79" s="1716"/>
      <c r="WBD79" s="1716"/>
      <c r="WBE79" s="1716"/>
      <c r="WBF79" s="244"/>
      <c r="WBG79" s="244" t="s">
        <v>68</v>
      </c>
      <c r="WBH79" s="245" t="s">
        <v>68</v>
      </c>
      <c r="WBI79" s="1715" t="s">
        <v>0</v>
      </c>
      <c r="WBJ79" s="1716"/>
      <c r="WBK79" s="1716"/>
      <c r="WBL79" s="1716"/>
      <c r="WBM79" s="1716"/>
      <c r="WBN79" s="244"/>
      <c r="WBO79" s="244" t="s">
        <v>68</v>
      </c>
      <c r="WBP79" s="245" t="s">
        <v>68</v>
      </c>
      <c r="WBQ79" s="1715" t="s">
        <v>0</v>
      </c>
      <c r="WBR79" s="1716"/>
      <c r="WBS79" s="1716"/>
      <c r="WBT79" s="1716"/>
      <c r="WBU79" s="1716"/>
      <c r="WBV79" s="244"/>
      <c r="WBW79" s="244" t="s">
        <v>68</v>
      </c>
      <c r="WBX79" s="245" t="s">
        <v>68</v>
      </c>
      <c r="WBY79" s="1715" t="s">
        <v>0</v>
      </c>
      <c r="WBZ79" s="1716"/>
      <c r="WCA79" s="1716"/>
      <c r="WCB79" s="1716"/>
      <c r="WCC79" s="1716"/>
      <c r="WCD79" s="244"/>
      <c r="WCE79" s="244" t="s">
        <v>68</v>
      </c>
      <c r="WCF79" s="245" t="s">
        <v>68</v>
      </c>
      <c r="WCG79" s="1715" t="s">
        <v>0</v>
      </c>
      <c r="WCH79" s="1716"/>
      <c r="WCI79" s="1716"/>
      <c r="WCJ79" s="1716"/>
      <c r="WCK79" s="1716"/>
      <c r="WCL79" s="244"/>
      <c r="WCM79" s="244" t="s">
        <v>68</v>
      </c>
      <c r="WCN79" s="245" t="s">
        <v>68</v>
      </c>
      <c r="WCO79" s="1715" t="s">
        <v>0</v>
      </c>
      <c r="WCP79" s="1716"/>
      <c r="WCQ79" s="1716"/>
      <c r="WCR79" s="1716"/>
      <c r="WCS79" s="1716"/>
      <c r="WCT79" s="244"/>
      <c r="WCU79" s="244" t="s">
        <v>68</v>
      </c>
      <c r="WCV79" s="245" t="s">
        <v>68</v>
      </c>
      <c r="WCW79" s="1715" t="s">
        <v>0</v>
      </c>
      <c r="WCX79" s="1716"/>
      <c r="WCY79" s="1716"/>
      <c r="WCZ79" s="1716"/>
      <c r="WDA79" s="1716"/>
      <c r="WDB79" s="244"/>
      <c r="WDC79" s="244" t="s">
        <v>68</v>
      </c>
      <c r="WDD79" s="245" t="s">
        <v>68</v>
      </c>
      <c r="WDE79" s="1715" t="s">
        <v>0</v>
      </c>
      <c r="WDF79" s="1716"/>
      <c r="WDG79" s="1716"/>
      <c r="WDH79" s="1716"/>
      <c r="WDI79" s="1716"/>
      <c r="WDJ79" s="244"/>
      <c r="WDK79" s="244" t="s">
        <v>68</v>
      </c>
      <c r="WDL79" s="245" t="s">
        <v>68</v>
      </c>
      <c r="WDM79" s="1715" t="s">
        <v>0</v>
      </c>
      <c r="WDN79" s="1716"/>
      <c r="WDO79" s="1716"/>
      <c r="WDP79" s="1716"/>
      <c r="WDQ79" s="1716"/>
      <c r="WDR79" s="244"/>
      <c r="WDS79" s="244" t="s">
        <v>68</v>
      </c>
      <c r="WDT79" s="245" t="s">
        <v>68</v>
      </c>
      <c r="WDU79" s="1715" t="s">
        <v>0</v>
      </c>
      <c r="WDV79" s="1716"/>
      <c r="WDW79" s="1716"/>
      <c r="WDX79" s="1716"/>
      <c r="WDY79" s="1716"/>
      <c r="WDZ79" s="244"/>
      <c r="WEA79" s="244" t="s">
        <v>68</v>
      </c>
      <c r="WEB79" s="245" t="s">
        <v>68</v>
      </c>
      <c r="WEC79" s="1715" t="s">
        <v>0</v>
      </c>
      <c r="WED79" s="1716"/>
      <c r="WEE79" s="1716"/>
      <c r="WEF79" s="1716"/>
      <c r="WEG79" s="1716"/>
      <c r="WEH79" s="244"/>
      <c r="WEI79" s="244" t="s">
        <v>68</v>
      </c>
      <c r="WEJ79" s="245" t="s">
        <v>68</v>
      </c>
      <c r="WEK79" s="1715" t="s">
        <v>0</v>
      </c>
      <c r="WEL79" s="1716"/>
      <c r="WEM79" s="1716"/>
      <c r="WEN79" s="1716"/>
      <c r="WEO79" s="1716"/>
      <c r="WEP79" s="244"/>
      <c r="WEQ79" s="244" t="s">
        <v>68</v>
      </c>
      <c r="WER79" s="245" t="s">
        <v>68</v>
      </c>
      <c r="WES79" s="1715" t="s">
        <v>0</v>
      </c>
      <c r="WET79" s="1716"/>
      <c r="WEU79" s="1716"/>
      <c r="WEV79" s="1716"/>
      <c r="WEW79" s="1716"/>
      <c r="WEX79" s="244"/>
      <c r="WEY79" s="244" t="s">
        <v>68</v>
      </c>
      <c r="WEZ79" s="245" t="s">
        <v>68</v>
      </c>
      <c r="WFA79" s="1715" t="s">
        <v>0</v>
      </c>
      <c r="WFB79" s="1716"/>
      <c r="WFC79" s="1716"/>
      <c r="WFD79" s="1716"/>
      <c r="WFE79" s="1716"/>
      <c r="WFF79" s="244"/>
      <c r="WFG79" s="244" t="s">
        <v>68</v>
      </c>
      <c r="WFH79" s="245" t="s">
        <v>68</v>
      </c>
      <c r="WFI79" s="1715" t="s">
        <v>0</v>
      </c>
      <c r="WFJ79" s="1716"/>
      <c r="WFK79" s="1716"/>
      <c r="WFL79" s="1716"/>
      <c r="WFM79" s="1716"/>
      <c r="WFN79" s="244"/>
      <c r="WFO79" s="244" t="s">
        <v>68</v>
      </c>
      <c r="WFP79" s="245" t="s">
        <v>68</v>
      </c>
      <c r="WFQ79" s="1715" t="s">
        <v>0</v>
      </c>
      <c r="WFR79" s="1716"/>
      <c r="WFS79" s="1716"/>
      <c r="WFT79" s="1716"/>
      <c r="WFU79" s="1716"/>
      <c r="WFV79" s="244"/>
      <c r="WFW79" s="244" t="s">
        <v>68</v>
      </c>
      <c r="WFX79" s="245" t="s">
        <v>68</v>
      </c>
      <c r="WFY79" s="1715" t="s">
        <v>0</v>
      </c>
      <c r="WFZ79" s="1716"/>
      <c r="WGA79" s="1716"/>
      <c r="WGB79" s="1716"/>
      <c r="WGC79" s="1716"/>
      <c r="WGD79" s="244"/>
      <c r="WGE79" s="244" t="s">
        <v>68</v>
      </c>
      <c r="WGF79" s="245" t="s">
        <v>68</v>
      </c>
      <c r="WGG79" s="1715" t="s">
        <v>0</v>
      </c>
      <c r="WGH79" s="1716"/>
      <c r="WGI79" s="1716"/>
      <c r="WGJ79" s="1716"/>
      <c r="WGK79" s="1716"/>
      <c r="WGL79" s="244"/>
      <c r="WGM79" s="244" t="s">
        <v>68</v>
      </c>
      <c r="WGN79" s="245" t="s">
        <v>68</v>
      </c>
      <c r="WGO79" s="1715" t="s">
        <v>0</v>
      </c>
      <c r="WGP79" s="1716"/>
      <c r="WGQ79" s="1716"/>
      <c r="WGR79" s="1716"/>
      <c r="WGS79" s="1716"/>
      <c r="WGT79" s="244"/>
      <c r="WGU79" s="244" t="s">
        <v>68</v>
      </c>
      <c r="WGV79" s="245" t="s">
        <v>68</v>
      </c>
      <c r="WGW79" s="1715" t="s">
        <v>0</v>
      </c>
      <c r="WGX79" s="1716"/>
      <c r="WGY79" s="1716"/>
      <c r="WGZ79" s="1716"/>
      <c r="WHA79" s="1716"/>
      <c r="WHB79" s="244"/>
      <c r="WHC79" s="244" t="s">
        <v>68</v>
      </c>
      <c r="WHD79" s="245" t="s">
        <v>68</v>
      </c>
      <c r="WHE79" s="1715" t="s">
        <v>0</v>
      </c>
      <c r="WHF79" s="1716"/>
      <c r="WHG79" s="1716"/>
      <c r="WHH79" s="1716"/>
      <c r="WHI79" s="1716"/>
      <c r="WHJ79" s="244"/>
      <c r="WHK79" s="244" t="s">
        <v>68</v>
      </c>
      <c r="WHL79" s="245" t="s">
        <v>68</v>
      </c>
      <c r="WHM79" s="1715" t="s">
        <v>0</v>
      </c>
      <c r="WHN79" s="1716"/>
      <c r="WHO79" s="1716"/>
      <c r="WHP79" s="1716"/>
      <c r="WHQ79" s="1716"/>
      <c r="WHR79" s="244"/>
      <c r="WHS79" s="244" t="s">
        <v>68</v>
      </c>
      <c r="WHT79" s="245" t="s">
        <v>68</v>
      </c>
      <c r="WHU79" s="1715" t="s">
        <v>0</v>
      </c>
      <c r="WHV79" s="1716"/>
      <c r="WHW79" s="1716"/>
      <c r="WHX79" s="1716"/>
      <c r="WHY79" s="1716"/>
      <c r="WHZ79" s="244"/>
      <c r="WIA79" s="244" t="s">
        <v>68</v>
      </c>
      <c r="WIB79" s="245" t="s">
        <v>68</v>
      </c>
      <c r="WIC79" s="1715" t="s">
        <v>0</v>
      </c>
      <c r="WID79" s="1716"/>
      <c r="WIE79" s="1716"/>
      <c r="WIF79" s="1716"/>
      <c r="WIG79" s="1716"/>
      <c r="WIH79" s="244"/>
      <c r="WII79" s="244" t="s">
        <v>68</v>
      </c>
      <c r="WIJ79" s="245" t="s">
        <v>68</v>
      </c>
      <c r="WIK79" s="1715" t="s">
        <v>0</v>
      </c>
      <c r="WIL79" s="1716"/>
      <c r="WIM79" s="1716"/>
      <c r="WIN79" s="1716"/>
      <c r="WIO79" s="1716"/>
      <c r="WIP79" s="244"/>
      <c r="WIQ79" s="244" t="s">
        <v>68</v>
      </c>
      <c r="WIR79" s="245" t="s">
        <v>68</v>
      </c>
      <c r="WIS79" s="1715" t="s">
        <v>0</v>
      </c>
      <c r="WIT79" s="1716"/>
      <c r="WIU79" s="1716"/>
      <c r="WIV79" s="1716"/>
      <c r="WIW79" s="1716"/>
      <c r="WIX79" s="244"/>
      <c r="WIY79" s="244" t="s">
        <v>68</v>
      </c>
      <c r="WIZ79" s="245" t="s">
        <v>68</v>
      </c>
      <c r="WJA79" s="1715" t="s">
        <v>0</v>
      </c>
      <c r="WJB79" s="1716"/>
      <c r="WJC79" s="1716"/>
      <c r="WJD79" s="1716"/>
      <c r="WJE79" s="1716"/>
      <c r="WJF79" s="244"/>
      <c r="WJG79" s="244" t="s">
        <v>68</v>
      </c>
      <c r="WJH79" s="245" t="s">
        <v>68</v>
      </c>
      <c r="WJI79" s="1715" t="s">
        <v>0</v>
      </c>
      <c r="WJJ79" s="1716"/>
      <c r="WJK79" s="1716"/>
      <c r="WJL79" s="1716"/>
      <c r="WJM79" s="1716"/>
      <c r="WJN79" s="244"/>
      <c r="WJO79" s="244" t="s">
        <v>68</v>
      </c>
      <c r="WJP79" s="245" t="s">
        <v>68</v>
      </c>
      <c r="WJQ79" s="1715" t="s">
        <v>0</v>
      </c>
      <c r="WJR79" s="1716"/>
      <c r="WJS79" s="1716"/>
      <c r="WJT79" s="1716"/>
      <c r="WJU79" s="1716"/>
      <c r="WJV79" s="244"/>
      <c r="WJW79" s="244" t="s">
        <v>68</v>
      </c>
      <c r="WJX79" s="245" t="s">
        <v>68</v>
      </c>
      <c r="WJY79" s="1715" t="s">
        <v>0</v>
      </c>
      <c r="WJZ79" s="1716"/>
      <c r="WKA79" s="1716"/>
      <c r="WKB79" s="1716"/>
      <c r="WKC79" s="1716"/>
      <c r="WKD79" s="244"/>
      <c r="WKE79" s="244" t="s">
        <v>68</v>
      </c>
      <c r="WKF79" s="245" t="s">
        <v>68</v>
      </c>
      <c r="WKG79" s="1715" t="s">
        <v>0</v>
      </c>
      <c r="WKH79" s="1716"/>
      <c r="WKI79" s="1716"/>
      <c r="WKJ79" s="1716"/>
      <c r="WKK79" s="1716"/>
      <c r="WKL79" s="244"/>
      <c r="WKM79" s="244" t="s">
        <v>68</v>
      </c>
      <c r="WKN79" s="245" t="s">
        <v>68</v>
      </c>
      <c r="WKO79" s="1715" t="s">
        <v>0</v>
      </c>
      <c r="WKP79" s="1716"/>
      <c r="WKQ79" s="1716"/>
      <c r="WKR79" s="1716"/>
      <c r="WKS79" s="1716"/>
      <c r="WKT79" s="244"/>
      <c r="WKU79" s="244" t="s">
        <v>68</v>
      </c>
      <c r="WKV79" s="245" t="s">
        <v>68</v>
      </c>
      <c r="WKW79" s="1715" t="s">
        <v>0</v>
      </c>
      <c r="WKX79" s="1716"/>
      <c r="WKY79" s="1716"/>
      <c r="WKZ79" s="1716"/>
      <c r="WLA79" s="1716"/>
      <c r="WLB79" s="244"/>
      <c r="WLC79" s="244" t="s">
        <v>68</v>
      </c>
      <c r="WLD79" s="245" t="s">
        <v>68</v>
      </c>
      <c r="WLE79" s="1715" t="s">
        <v>0</v>
      </c>
      <c r="WLF79" s="1716"/>
      <c r="WLG79" s="1716"/>
      <c r="WLH79" s="1716"/>
      <c r="WLI79" s="1716"/>
      <c r="WLJ79" s="244"/>
      <c r="WLK79" s="244" t="s">
        <v>68</v>
      </c>
      <c r="WLL79" s="245" t="s">
        <v>68</v>
      </c>
      <c r="WLM79" s="1715" t="s">
        <v>0</v>
      </c>
      <c r="WLN79" s="1716"/>
      <c r="WLO79" s="1716"/>
      <c r="WLP79" s="1716"/>
      <c r="WLQ79" s="1716"/>
      <c r="WLR79" s="244"/>
      <c r="WLS79" s="244" t="s">
        <v>68</v>
      </c>
      <c r="WLT79" s="245" t="s">
        <v>68</v>
      </c>
      <c r="WLU79" s="1715" t="s">
        <v>0</v>
      </c>
      <c r="WLV79" s="1716"/>
      <c r="WLW79" s="1716"/>
      <c r="WLX79" s="1716"/>
      <c r="WLY79" s="1716"/>
      <c r="WLZ79" s="244"/>
      <c r="WMA79" s="244" t="s">
        <v>68</v>
      </c>
      <c r="WMB79" s="245" t="s">
        <v>68</v>
      </c>
      <c r="WMC79" s="1715" t="s">
        <v>0</v>
      </c>
      <c r="WMD79" s="1716"/>
      <c r="WME79" s="1716"/>
      <c r="WMF79" s="1716"/>
      <c r="WMG79" s="1716"/>
      <c r="WMH79" s="244"/>
      <c r="WMI79" s="244" t="s">
        <v>68</v>
      </c>
      <c r="WMJ79" s="245" t="s">
        <v>68</v>
      </c>
      <c r="WMK79" s="1715" t="s">
        <v>0</v>
      </c>
      <c r="WML79" s="1716"/>
      <c r="WMM79" s="1716"/>
      <c r="WMN79" s="1716"/>
      <c r="WMO79" s="1716"/>
      <c r="WMP79" s="244"/>
      <c r="WMQ79" s="244" t="s">
        <v>68</v>
      </c>
      <c r="WMR79" s="245" t="s">
        <v>68</v>
      </c>
      <c r="WMS79" s="1715" t="s">
        <v>0</v>
      </c>
      <c r="WMT79" s="1716"/>
      <c r="WMU79" s="1716"/>
      <c r="WMV79" s="1716"/>
      <c r="WMW79" s="1716"/>
      <c r="WMX79" s="244"/>
      <c r="WMY79" s="244" t="s">
        <v>68</v>
      </c>
      <c r="WMZ79" s="245" t="s">
        <v>68</v>
      </c>
      <c r="WNA79" s="1715" t="s">
        <v>0</v>
      </c>
      <c r="WNB79" s="1716"/>
      <c r="WNC79" s="1716"/>
      <c r="WND79" s="1716"/>
      <c r="WNE79" s="1716"/>
      <c r="WNF79" s="244"/>
      <c r="WNG79" s="244" t="s">
        <v>68</v>
      </c>
      <c r="WNH79" s="245" t="s">
        <v>68</v>
      </c>
      <c r="WNI79" s="1715" t="s">
        <v>0</v>
      </c>
      <c r="WNJ79" s="1716"/>
      <c r="WNK79" s="1716"/>
      <c r="WNL79" s="1716"/>
      <c r="WNM79" s="1716"/>
      <c r="WNN79" s="244"/>
      <c r="WNO79" s="244" t="s">
        <v>68</v>
      </c>
      <c r="WNP79" s="245" t="s">
        <v>68</v>
      </c>
      <c r="WNQ79" s="1715" t="s">
        <v>0</v>
      </c>
      <c r="WNR79" s="1716"/>
      <c r="WNS79" s="1716"/>
      <c r="WNT79" s="1716"/>
      <c r="WNU79" s="1716"/>
      <c r="WNV79" s="244"/>
      <c r="WNW79" s="244" t="s">
        <v>68</v>
      </c>
      <c r="WNX79" s="245" t="s">
        <v>68</v>
      </c>
      <c r="WNY79" s="1715" t="s">
        <v>0</v>
      </c>
      <c r="WNZ79" s="1716"/>
      <c r="WOA79" s="1716"/>
      <c r="WOB79" s="1716"/>
      <c r="WOC79" s="1716"/>
      <c r="WOD79" s="244"/>
      <c r="WOE79" s="244" t="s">
        <v>68</v>
      </c>
      <c r="WOF79" s="245" t="s">
        <v>68</v>
      </c>
      <c r="WOG79" s="1715" t="s">
        <v>0</v>
      </c>
      <c r="WOH79" s="1716"/>
      <c r="WOI79" s="1716"/>
      <c r="WOJ79" s="1716"/>
      <c r="WOK79" s="1716"/>
      <c r="WOL79" s="244"/>
      <c r="WOM79" s="244" t="s">
        <v>68</v>
      </c>
      <c r="WON79" s="245" t="s">
        <v>68</v>
      </c>
      <c r="WOO79" s="1715" t="s">
        <v>0</v>
      </c>
      <c r="WOP79" s="1716"/>
      <c r="WOQ79" s="1716"/>
      <c r="WOR79" s="1716"/>
      <c r="WOS79" s="1716"/>
      <c r="WOT79" s="244"/>
      <c r="WOU79" s="244" t="s">
        <v>68</v>
      </c>
      <c r="WOV79" s="245" t="s">
        <v>68</v>
      </c>
      <c r="WOW79" s="1715" t="s">
        <v>0</v>
      </c>
      <c r="WOX79" s="1716"/>
      <c r="WOY79" s="1716"/>
      <c r="WOZ79" s="1716"/>
      <c r="WPA79" s="1716"/>
      <c r="WPB79" s="244"/>
      <c r="WPC79" s="244" t="s">
        <v>68</v>
      </c>
      <c r="WPD79" s="245" t="s">
        <v>68</v>
      </c>
      <c r="WPE79" s="1715" t="s">
        <v>0</v>
      </c>
      <c r="WPF79" s="1716"/>
      <c r="WPG79" s="1716"/>
      <c r="WPH79" s="1716"/>
      <c r="WPI79" s="1716"/>
      <c r="WPJ79" s="244"/>
      <c r="WPK79" s="244" t="s">
        <v>68</v>
      </c>
      <c r="WPL79" s="245" t="s">
        <v>68</v>
      </c>
      <c r="WPM79" s="1715" t="s">
        <v>0</v>
      </c>
      <c r="WPN79" s="1716"/>
      <c r="WPO79" s="1716"/>
      <c r="WPP79" s="1716"/>
      <c r="WPQ79" s="1716"/>
      <c r="WPR79" s="244"/>
      <c r="WPS79" s="244" t="s">
        <v>68</v>
      </c>
      <c r="WPT79" s="245" t="s">
        <v>68</v>
      </c>
      <c r="WPU79" s="1715" t="s">
        <v>0</v>
      </c>
      <c r="WPV79" s="1716"/>
      <c r="WPW79" s="1716"/>
      <c r="WPX79" s="1716"/>
      <c r="WPY79" s="1716"/>
      <c r="WPZ79" s="244"/>
      <c r="WQA79" s="244" t="s">
        <v>68</v>
      </c>
      <c r="WQB79" s="245" t="s">
        <v>68</v>
      </c>
      <c r="WQC79" s="1715" t="s">
        <v>0</v>
      </c>
      <c r="WQD79" s="1716"/>
      <c r="WQE79" s="1716"/>
      <c r="WQF79" s="1716"/>
      <c r="WQG79" s="1716"/>
      <c r="WQH79" s="244"/>
      <c r="WQI79" s="244" t="s">
        <v>68</v>
      </c>
      <c r="WQJ79" s="245" t="s">
        <v>68</v>
      </c>
      <c r="WQK79" s="1715" t="s">
        <v>0</v>
      </c>
      <c r="WQL79" s="1716"/>
      <c r="WQM79" s="1716"/>
      <c r="WQN79" s="1716"/>
      <c r="WQO79" s="1716"/>
      <c r="WQP79" s="244"/>
      <c r="WQQ79" s="244" t="s">
        <v>68</v>
      </c>
      <c r="WQR79" s="245" t="s">
        <v>68</v>
      </c>
      <c r="WQS79" s="1715" t="s">
        <v>0</v>
      </c>
      <c r="WQT79" s="1716"/>
      <c r="WQU79" s="1716"/>
      <c r="WQV79" s="1716"/>
      <c r="WQW79" s="1716"/>
      <c r="WQX79" s="244"/>
      <c r="WQY79" s="244" t="s">
        <v>68</v>
      </c>
      <c r="WQZ79" s="245" t="s">
        <v>68</v>
      </c>
      <c r="WRA79" s="1715" t="s">
        <v>0</v>
      </c>
      <c r="WRB79" s="1716"/>
      <c r="WRC79" s="1716"/>
      <c r="WRD79" s="1716"/>
      <c r="WRE79" s="1716"/>
      <c r="WRF79" s="244"/>
      <c r="WRG79" s="244" t="s">
        <v>68</v>
      </c>
      <c r="WRH79" s="245" t="s">
        <v>68</v>
      </c>
      <c r="WRI79" s="1715" t="s">
        <v>0</v>
      </c>
      <c r="WRJ79" s="1716"/>
      <c r="WRK79" s="1716"/>
      <c r="WRL79" s="1716"/>
      <c r="WRM79" s="1716"/>
      <c r="WRN79" s="244"/>
      <c r="WRO79" s="244" t="s">
        <v>68</v>
      </c>
      <c r="WRP79" s="245" t="s">
        <v>68</v>
      </c>
      <c r="WRQ79" s="1715" t="s">
        <v>0</v>
      </c>
      <c r="WRR79" s="1716"/>
      <c r="WRS79" s="1716"/>
      <c r="WRT79" s="1716"/>
      <c r="WRU79" s="1716"/>
      <c r="WRV79" s="244"/>
      <c r="WRW79" s="244" t="s">
        <v>68</v>
      </c>
      <c r="WRX79" s="245" t="s">
        <v>68</v>
      </c>
      <c r="WRY79" s="1715" t="s">
        <v>0</v>
      </c>
      <c r="WRZ79" s="1716"/>
      <c r="WSA79" s="1716"/>
      <c r="WSB79" s="1716"/>
      <c r="WSC79" s="1716"/>
      <c r="WSD79" s="244"/>
      <c r="WSE79" s="244" t="s">
        <v>68</v>
      </c>
      <c r="WSF79" s="245" t="s">
        <v>68</v>
      </c>
      <c r="WSG79" s="1715" t="s">
        <v>0</v>
      </c>
      <c r="WSH79" s="1716"/>
      <c r="WSI79" s="1716"/>
      <c r="WSJ79" s="1716"/>
      <c r="WSK79" s="1716"/>
      <c r="WSL79" s="244"/>
      <c r="WSM79" s="244" t="s">
        <v>68</v>
      </c>
      <c r="WSN79" s="245" t="s">
        <v>68</v>
      </c>
      <c r="WSO79" s="1715" t="s">
        <v>0</v>
      </c>
      <c r="WSP79" s="1716"/>
      <c r="WSQ79" s="1716"/>
      <c r="WSR79" s="1716"/>
      <c r="WSS79" s="1716"/>
      <c r="WST79" s="244"/>
      <c r="WSU79" s="244" t="s">
        <v>68</v>
      </c>
      <c r="WSV79" s="245" t="s">
        <v>68</v>
      </c>
      <c r="WSW79" s="1715" t="s">
        <v>0</v>
      </c>
      <c r="WSX79" s="1716"/>
      <c r="WSY79" s="1716"/>
      <c r="WSZ79" s="1716"/>
      <c r="WTA79" s="1716"/>
      <c r="WTB79" s="244"/>
      <c r="WTC79" s="244" t="s">
        <v>68</v>
      </c>
      <c r="WTD79" s="245" t="s">
        <v>68</v>
      </c>
      <c r="WTE79" s="1715" t="s">
        <v>0</v>
      </c>
      <c r="WTF79" s="1716"/>
      <c r="WTG79" s="1716"/>
      <c r="WTH79" s="1716"/>
      <c r="WTI79" s="1716"/>
      <c r="WTJ79" s="244"/>
      <c r="WTK79" s="244" t="s">
        <v>68</v>
      </c>
      <c r="WTL79" s="245" t="s">
        <v>68</v>
      </c>
      <c r="WTM79" s="1715" t="s">
        <v>0</v>
      </c>
      <c r="WTN79" s="1716"/>
      <c r="WTO79" s="1716"/>
      <c r="WTP79" s="1716"/>
      <c r="WTQ79" s="1716"/>
      <c r="WTR79" s="244"/>
      <c r="WTS79" s="244" t="s">
        <v>68</v>
      </c>
      <c r="WTT79" s="245" t="s">
        <v>68</v>
      </c>
      <c r="WTU79" s="1715" t="s">
        <v>0</v>
      </c>
      <c r="WTV79" s="1716"/>
      <c r="WTW79" s="1716"/>
      <c r="WTX79" s="1716"/>
      <c r="WTY79" s="1716"/>
      <c r="WTZ79" s="244"/>
      <c r="WUA79" s="244" t="s">
        <v>68</v>
      </c>
      <c r="WUB79" s="245" t="s">
        <v>68</v>
      </c>
      <c r="WUC79" s="1715" t="s">
        <v>0</v>
      </c>
      <c r="WUD79" s="1716"/>
      <c r="WUE79" s="1716"/>
      <c r="WUF79" s="1716"/>
      <c r="WUG79" s="1716"/>
      <c r="WUH79" s="244"/>
      <c r="WUI79" s="244" t="s">
        <v>68</v>
      </c>
      <c r="WUJ79" s="245" t="s">
        <v>68</v>
      </c>
      <c r="WUK79" s="1715" t="s">
        <v>0</v>
      </c>
      <c r="WUL79" s="1716"/>
      <c r="WUM79" s="1716"/>
      <c r="WUN79" s="1716"/>
      <c r="WUO79" s="1716"/>
      <c r="WUP79" s="244"/>
      <c r="WUQ79" s="244" t="s">
        <v>68</v>
      </c>
      <c r="WUR79" s="245" t="s">
        <v>68</v>
      </c>
      <c r="WUS79" s="1715" t="s">
        <v>0</v>
      </c>
      <c r="WUT79" s="1716"/>
      <c r="WUU79" s="1716"/>
      <c r="WUV79" s="1716"/>
      <c r="WUW79" s="1716"/>
      <c r="WUX79" s="244"/>
      <c r="WUY79" s="244" t="s">
        <v>68</v>
      </c>
      <c r="WUZ79" s="245" t="s">
        <v>68</v>
      </c>
      <c r="WVA79" s="1715" t="s">
        <v>0</v>
      </c>
      <c r="WVB79" s="1716"/>
      <c r="WVC79" s="1716"/>
      <c r="WVD79" s="1716"/>
      <c r="WVE79" s="1716"/>
      <c r="WVF79" s="244"/>
      <c r="WVG79" s="244" t="s">
        <v>68</v>
      </c>
      <c r="WVH79" s="245" t="s">
        <v>68</v>
      </c>
      <c r="WVI79" s="1715" t="s">
        <v>0</v>
      </c>
      <c r="WVJ79" s="1716"/>
      <c r="WVK79" s="1716"/>
      <c r="WVL79" s="1716"/>
      <c r="WVM79" s="1716"/>
      <c r="WVN79" s="244"/>
      <c r="WVO79" s="244" t="s">
        <v>68</v>
      </c>
      <c r="WVP79" s="245" t="s">
        <v>68</v>
      </c>
      <c r="WVQ79" s="1715" t="s">
        <v>0</v>
      </c>
      <c r="WVR79" s="1716"/>
      <c r="WVS79" s="1716"/>
      <c r="WVT79" s="1716"/>
      <c r="WVU79" s="1716"/>
      <c r="WVV79" s="244"/>
      <c r="WVW79" s="244" t="s">
        <v>68</v>
      </c>
      <c r="WVX79" s="245" t="s">
        <v>68</v>
      </c>
      <c r="WVY79" s="1715" t="s">
        <v>0</v>
      </c>
      <c r="WVZ79" s="1716"/>
      <c r="WWA79" s="1716"/>
      <c r="WWB79" s="1716"/>
      <c r="WWC79" s="1716"/>
      <c r="WWD79" s="244"/>
      <c r="WWE79" s="244" t="s">
        <v>68</v>
      </c>
      <c r="WWF79" s="245" t="s">
        <v>68</v>
      </c>
      <c r="WWG79" s="1715" t="s">
        <v>0</v>
      </c>
      <c r="WWH79" s="1716"/>
      <c r="WWI79" s="1716"/>
      <c r="WWJ79" s="1716"/>
      <c r="WWK79" s="1716"/>
      <c r="WWL79" s="244"/>
      <c r="WWM79" s="244" t="s">
        <v>68</v>
      </c>
      <c r="WWN79" s="245" t="s">
        <v>68</v>
      </c>
      <c r="WWO79" s="1715" t="s">
        <v>0</v>
      </c>
      <c r="WWP79" s="1716"/>
      <c r="WWQ79" s="1716"/>
      <c r="WWR79" s="1716"/>
      <c r="WWS79" s="1716"/>
      <c r="WWT79" s="244"/>
      <c r="WWU79" s="244" t="s">
        <v>68</v>
      </c>
      <c r="WWV79" s="245" t="s">
        <v>68</v>
      </c>
      <c r="WWW79" s="1715" t="s">
        <v>0</v>
      </c>
      <c r="WWX79" s="1716"/>
      <c r="WWY79" s="1716"/>
      <c r="WWZ79" s="1716"/>
      <c r="WXA79" s="1716"/>
      <c r="WXB79" s="244"/>
      <c r="WXC79" s="244" t="s">
        <v>68</v>
      </c>
      <c r="WXD79" s="245" t="s">
        <v>68</v>
      </c>
      <c r="WXE79" s="1715" t="s">
        <v>0</v>
      </c>
      <c r="WXF79" s="1716"/>
      <c r="WXG79" s="1716"/>
      <c r="WXH79" s="1716"/>
      <c r="WXI79" s="1716"/>
      <c r="WXJ79" s="244"/>
      <c r="WXK79" s="244" t="s">
        <v>68</v>
      </c>
      <c r="WXL79" s="245" t="s">
        <v>68</v>
      </c>
      <c r="WXM79" s="1715" t="s">
        <v>0</v>
      </c>
      <c r="WXN79" s="1716"/>
      <c r="WXO79" s="1716"/>
      <c r="WXP79" s="1716"/>
      <c r="WXQ79" s="1716"/>
      <c r="WXR79" s="244"/>
      <c r="WXS79" s="244" t="s">
        <v>68</v>
      </c>
      <c r="WXT79" s="245" t="s">
        <v>68</v>
      </c>
      <c r="WXU79" s="1715" t="s">
        <v>0</v>
      </c>
      <c r="WXV79" s="1716"/>
      <c r="WXW79" s="1716"/>
      <c r="WXX79" s="1716"/>
      <c r="WXY79" s="1716"/>
      <c r="WXZ79" s="244"/>
      <c r="WYA79" s="244" t="s">
        <v>68</v>
      </c>
      <c r="WYB79" s="245" t="s">
        <v>68</v>
      </c>
      <c r="WYC79" s="1715" t="s">
        <v>0</v>
      </c>
      <c r="WYD79" s="1716"/>
      <c r="WYE79" s="1716"/>
      <c r="WYF79" s="1716"/>
      <c r="WYG79" s="1716"/>
      <c r="WYH79" s="244"/>
      <c r="WYI79" s="244" t="s">
        <v>68</v>
      </c>
      <c r="WYJ79" s="245" t="s">
        <v>68</v>
      </c>
      <c r="WYK79" s="1715" t="s">
        <v>0</v>
      </c>
      <c r="WYL79" s="1716"/>
      <c r="WYM79" s="1716"/>
      <c r="WYN79" s="1716"/>
      <c r="WYO79" s="1716"/>
      <c r="WYP79" s="244"/>
      <c r="WYQ79" s="244" t="s">
        <v>68</v>
      </c>
      <c r="WYR79" s="245" t="s">
        <v>68</v>
      </c>
      <c r="WYS79" s="1715" t="s">
        <v>0</v>
      </c>
      <c r="WYT79" s="1716"/>
      <c r="WYU79" s="1716"/>
      <c r="WYV79" s="1716"/>
      <c r="WYW79" s="1716"/>
      <c r="WYX79" s="244"/>
      <c r="WYY79" s="244" t="s">
        <v>68</v>
      </c>
      <c r="WYZ79" s="245" t="s">
        <v>68</v>
      </c>
      <c r="WZA79" s="1715" t="s">
        <v>0</v>
      </c>
      <c r="WZB79" s="1716"/>
      <c r="WZC79" s="1716"/>
      <c r="WZD79" s="1716"/>
      <c r="WZE79" s="1716"/>
      <c r="WZF79" s="244"/>
      <c r="WZG79" s="244" t="s">
        <v>68</v>
      </c>
      <c r="WZH79" s="245" t="s">
        <v>68</v>
      </c>
      <c r="WZI79" s="1715" t="s">
        <v>0</v>
      </c>
      <c r="WZJ79" s="1716"/>
      <c r="WZK79" s="1716"/>
      <c r="WZL79" s="1716"/>
      <c r="WZM79" s="1716"/>
      <c r="WZN79" s="244"/>
      <c r="WZO79" s="244" t="s">
        <v>68</v>
      </c>
      <c r="WZP79" s="245" t="s">
        <v>68</v>
      </c>
      <c r="WZQ79" s="1715" t="s">
        <v>0</v>
      </c>
      <c r="WZR79" s="1716"/>
      <c r="WZS79" s="1716"/>
      <c r="WZT79" s="1716"/>
      <c r="WZU79" s="1716"/>
      <c r="WZV79" s="244"/>
      <c r="WZW79" s="244" t="s">
        <v>68</v>
      </c>
      <c r="WZX79" s="245" t="s">
        <v>68</v>
      </c>
      <c r="WZY79" s="1715" t="s">
        <v>0</v>
      </c>
      <c r="WZZ79" s="1716"/>
      <c r="XAA79" s="1716"/>
      <c r="XAB79" s="1716"/>
      <c r="XAC79" s="1716"/>
      <c r="XAD79" s="244"/>
      <c r="XAE79" s="244" t="s">
        <v>68</v>
      </c>
      <c r="XAF79" s="245" t="s">
        <v>68</v>
      </c>
      <c r="XAG79" s="1715" t="s">
        <v>0</v>
      </c>
      <c r="XAH79" s="1716"/>
      <c r="XAI79" s="1716"/>
      <c r="XAJ79" s="1716"/>
      <c r="XAK79" s="1716"/>
      <c r="XAL79" s="244"/>
      <c r="XAM79" s="244" t="s">
        <v>68</v>
      </c>
      <c r="XAN79" s="245" t="s">
        <v>68</v>
      </c>
      <c r="XAO79" s="1715" t="s">
        <v>0</v>
      </c>
      <c r="XAP79" s="1716"/>
      <c r="XAQ79" s="1716"/>
      <c r="XAR79" s="1716"/>
      <c r="XAS79" s="1716"/>
      <c r="XAT79" s="244"/>
      <c r="XAU79" s="244" t="s">
        <v>68</v>
      </c>
      <c r="XAV79" s="245" t="s">
        <v>68</v>
      </c>
      <c r="XAW79" s="1715" t="s">
        <v>0</v>
      </c>
      <c r="XAX79" s="1716"/>
      <c r="XAY79" s="1716"/>
      <c r="XAZ79" s="1716"/>
      <c r="XBA79" s="1716"/>
      <c r="XBB79" s="244"/>
      <c r="XBC79" s="244" t="s">
        <v>68</v>
      </c>
      <c r="XBD79" s="245" t="s">
        <v>68</v>
      </c>
      <c r="XBE79" s="1715" t="s">
        <v>0</v>
      </c>
      <c r="XBF79" s="1716"/>
      <c r="XBG79" s="1716"/>
      <c r="XBH79" s="1716"/>
      <c r="XBI79" s="1716"/>
      <c r="XBJ79" s="244"/>
      <c r="XBK79" s="244" t="s">
        <v>68</v>
      </c>
      <c r="XBL79" s="245" t="s">
        <v>68</v>
      </c>
      <c r="XBM79" s="1715" t="s">
        <v>0</v>
      </c>
      <c r="XBN79" s="1716"/>
      <c r="XBO79" s="1716"/>
      <c r="XBP79" s="1716"/>
      <c r="XBQ79" s="1716"/>
      <c r="XBR79" s="244"/>
      <c r="XBS79" s="244" t="s">
        <v>68</v>
      </c>
      <c r="XBT79" s="245" t="s">
        <v>68</v>
      </c>
      <c r="XBU79" s="1715" t="s">
        <v>0</v>
      </c>
      <c r="XBV79" s="1716"/>
      <c r="XBW79" s="1716"/>
      <c r="XBX79" s="1716"/>
      <c r="XBY79" s="1716"/>
      <c r="XBZ79" s="244"/>
      <c r="XCA79" s="244" t="s">
        <v>68</v>
      </c>
      <c r="XCB79" s="245" t="s">
        <v>68</v>
      </c>
      <c r="XCC79" s="1715" t="s">
        <v>0</v>
      </c>
      <c r="XCD79" s="1716"/>
      <c r="XCE79" s="1716"/>
      <c r="XCF79" s="1716"/>
      <c r="XCG79" s="1716"/>
      <c r="XCH79" s="244"/>
      <c r="XCI79" s="244" t="s">
        <v>68</v>
      </c>
      <c r="XCJ79" s="245" t="s">
        <v>68</v>
      </c>
      <c r="XCK79" s="1715" t="s">
        <v>0</v>
      </c>
      <c r="XCL79" s="1716"/>
      <c r="XCM79" s="1716"/>
      <c r="XCN79" s="1716"/>
      <c r="XCO79" s="1716"/>
      <c r="XCP79" s="244"/>
      <c r="XCQ79" s="244" t="s">
        <v>68</v>
      </c>
      <c r="XCR79" s="245" t="s">
        <v>68</v>
      </c>
      <c r="XCS79" s="1715" t="s">
        <v>0</v>
      </c>
      <c r="XCT79" s="1716"/>
      <c r="XCU79" s="1716"/>
      <c r="XCV79" s="1716"/>
      <c r="XCW79" s="1716"/>
      <c r="XCX79" s="244"/>
      <c r="XCY79" s="244" t="s">
        <v>68</v>
      </c>
      <c r="XCZ79" s="245" t="s">
        <v>68</v>
      </c>
      <c r="XDA79" s="1715" t="s">
        <v>0</v>
      </c>
      <c r="XDB79" s="1716"/>
      <c r="XDC79" s="1716"/>
      <c r="XDD79" s="1716"/>
      <c r="XDE79" s="1716"/>
      <c r="XDF79" s="244"/>
      <c r="XDG79" s="244" t="s">
        <v>68</v>
      </c>
      <c r="XDH79" s="245" t="s">
        <v>68</v>
      </c>
      <c r="XDI79" s="1715" t="s">
        <v>0</v>
      </c>
      <c r="XDJ79" s="1716"/>
      <c r="XDK79" s="1716"/>
      <c r="XDL79" s="1716"/>
      <c r="XDM79" s="1716"/>
      <c r="XDN79" s="244"/>
      <c r="XDO79" s="244" t="s">
        <v>68</v>
      </c>
      <c r="XDP79" s="245" t="s">
        <v>68</v>
      </c>
      <c r="XDQ79" s="1715" t="s">
        <v>0</v>
      </c>
      <c r="XDR79" s="1716"/>
      <c r="XDS79" s="1716"/>
      <c r="XDT79" s="1716"/>
      <c r="XDU79" s="1716"/>
      <c r="XDV79" s="244"/>
      <c r="XDW79" s="244" t="s">
        <v>68</v>
      </c>
      <c r="XDX79" s="245" t="s">
        <v>68</v>
      </c>
      <c r="XDY79" s="1715" t="s">
        <v>0</v>
      </c>
      <c r="XDZ79" s="1716"/>
      <c r="XEA79" s="1716"/>
      <c r="XEB79" s="1716"/>
      <c r="XEC79" s="1716"/>
      <c r="XED79" s="244"/>
      <c r="XEE79" s="244" t="s">
        <v>68</v>
      </c>
      <c r="XEF79" s="245" t="s">
        <v>68</v>
      </c>
      <c r="XEG79" s="1715" t="s">
        <v>0</v>
      </c>
      <c r="XEH79" s="1716"/>
      <c r="XEI79" s="1716"/>
      <c r="XEJ79" s="1716"/>
      <c r="XEK79" s="1716"/>
      <c r="XEL79" s="244"/>
      <c r="XEM79" s="244" t="s">
        <v>68</v>
      </c>
      <c r="XEN79" s="245" t="s">
        <v>68</v>
      </c>
      <c r="XEO79" s="1715" t="s">
        <v>0</v>
      </c>
      <c r="XEP79" s="1716"/>
      <c r="XEQ79" s="1716"/>
      <c r="XER79" s="1716"/>
      <c r="XES79" s="1716"/>
      <c r="XET79" s="244"/>
      <c r="XEU79" s="244" t="s">
        <v>68</v>
      </c>
      <c r="XEV79" s="245" t="s">
        <v>68</v>
      </c>
      <c r="XEW79" s="1715" t="s">
        <v>0</v>
      </c>
      <c r="XEX79" s="1716"/>
      <c r="XEY79" s="1716"/>
      <c r="XEZ79" s="1716"/>
      <c r="XFA79" s="1716"/>
      <c r="XFB79" s="244"/>
      <c r="XFC79" s="244" t="s">
        <v>68</v>
      </c>
      <c r="XFD79" s="245" t="s">
        <v>68</v>
      </c>
    </row>
    <row r="80" spans="1:16384" s="95" customFormat="1" ht="15.75" thickBot="1" x14ac:dyDescent="0.3">
      <c r="A80" s="1717"/>
      <c r="B80" s="1718"/>
      <c r="C80" s="1718"/>
      <c r="D80" s="1718"/>
      <c r="E80" s="1718"/>
      <c r="F80" s="246"/>
      <c r="G80" s="246" t="str">
        <f>BS!$D$5</f>
        <v>31 March 2026</v>
      </c>
      <c r="H80" s="247" t="str">
        <f>BS!$E$5</f>
        <v>31 March 2025</v>
      </c>
      <c r="I80" s="1717"/>
      <c r="J80" s="1718"/>
      <c r="K80" s="1718"/>
      <c r="L80" s="1718"/>
      <c r="M80" s="1718"/>
      <c r="N80" s="246"/>
      <c r="O80" s="246" t="str">
        <f>BS!$D$5</f>
        <v>31 March 2026</v>
      </c>
      <c r="P80" s="247" t="str">
        <f>BS!$E$5</f>
        <v>31 March 2025</v>
      </c>
      <c r="Q80" s="1717"/>
      <c r="R80" s="1718"/>
      <c r="S80" s="1718"/>
      <c r="T80" s="1718"/>
      <c r="U80" s="1718"/>
      <c r="V80" s="246"/>
      <c r="W80" s="246" t="str">
        <f>BS!$D$5</f>
        <v>31 March 2026</v>
      </c>
      <c r="X80" s="247" t="str">
        <f>BS!$E$5</f>
        <v>31 March 2025</v>
      </c>
      <c r="Y80" s="1717"/>
      <c r="Z80" s="1718"/>
      <c r="AA80" s="1718"/>
      <c r="AB80" s="1718"/>
      <c r="AC80" s="1718"/>
      <c r="AD80" s="246"/>
      <c r="AE80" s="246" t="str">
        <f>BS!$D$5</f>
        <v>31 March 2026</v>
      </c>
      <c r="AF80" s="247" t="str">
        <f>BS!$E$5</f>
        <v>31 March 2025</v>
      </c>
      <c r="AG80" s="1717"/>
      <c r="AH80" s="1718"/>
      <c r="AI80" s="1718"/>
      <c r="AJ80" s="1718"/>
      <c r="AK80" s="1718"/>
      <c r="AL80" s="246"/>
      <c r="AM80" s="246" t="str">
        <f>BS!$D$5</f>
        <v>31 March 2026</v>
      </c>
      <c r="AN80" s="247" t="str">
        <f>BS!$E$5</f>
        <v>31 March 2025</v>
      </c>
      <c r="AO80" s="1717"/>
      <c r="AP80" s="1718"/>
      <c r="AQ80" s="1718"/>
      <c r="AR80" s="1718"/>
      <c r="AS80" s="1718"/>
      <c r="AT80" s="246"/>
      <c r="AU80" s="246" t="str">
        <f>BS!$D$5</f>
        <v>31 March 2026</v>
      </c>
      <c r="AV80" s="247" t="str">
        <f>BS!$E$5</f>
        <v>31 March 2025</v>
      </c>
      <c r="AW80" s="1717"/>
      <c r="AX80" s="1718"/>
      <c r="AY80" s="1718"/>
      <c r="AZ80" s="1718"/>
      <c r="BA80" s="1718"/>
      <c r="BB80" s="246"/>
      <c r="BC80" s="246" t="str">
        <f>BS!$D$5</f>
        <v>31 March 2026</v>
      </c>
      <c r="BD80" s="247" t="str">
        <f>BS!$E$5</f>
        <v>31 March 2025</v>
      </c>
      <c r="BE80" s="1717"/>
      <c r="BF80" s="1718"/>
      <c r="BG80" s="1718"/>
      <c r="BH80" s="1718"/>
      <c r="BI80" s="1718"/>
      <c r="BJ80" s="246"/>
      <c r="BK80" s="246" t="str">
        <f>BS!$D$5</f>
        <v>31 March 2026</v>
      </c>
      <c r="BL80" s="247" t="str">
        <f>BS!$E$5</f>
        <v>31 March 2025</v>
      </c>
      <c r="BM80" s="1717"/>
      <c r="BN80" s="1718"/>
      <c r="BO80" s="1718"/>
      <c r="BP80" s="1718"/>
      <c r="BQ80" s="1718"/>
      <c r="BR80" s="246"/>
      <c r="BS80" s="246" t="str">
        <f>BS!$D$5</f>
        <v>31 March 2026</v>
      </c>
      <c r="BT80" s="247" t="str">
        <f>BS!$E$5</f>
        <v>31 March 2025</v>
      </c>
      <c r="BU80" s="1717"/>
      <c r="BV80" s="1718"/>
      <c r="BW80" s="1718"/>
      <c r="BX80" s="1718"/>
      <c r="BY80" s="1718"/>
      <c r="BZ80" s="246"/>
      <c r="CA80" s="246" t="str">
        <f>BS!$D$5</f>
        <v>31 March 2026</v>
      </c>
      <c r="CB80" s="247" t="str">
        <f>BS!$E$5</f>
        <v>31 March 2025</v>
      </c>
      <c r="CC80" s="1717"/>
      <c r="CD80" s="1718"/>
      <c r="CE80" s="1718"/>
      <c r="CF80" s="1718"/>
      <c r="CG80" s="1718"/>
      <c r="CH80" s="246"/>
      <c r="CI80" s="246" t="str">
        <f>BS!$D$5</f>
        <v>31 March 2026</v>
      </c>
      <c r="CJ80" s="247" t="str">
        <f>BS!$E$5</f>
        <v>31 March 2025</v>
      </c>
      <c r="CK80" s="1717"/>
      <c r="CL80" s="1718"/>
      <c r="CM80" s="1718"/>
      <c r="CN80" s="1718"/>
      <c r="CO80" s="1718"/>
      <c r="CP80" s="246"/>
      <c r="CQ80" s="246" t="str">
        <f>BS!$D$5</f>
        <v>31 March 2026</v>
      </c>
      <c r="CR80" s="247" t="str">
        <f>BS!$E$5</f>
        <v>31 March 2025</v>
      </c>
      <c r="CS80" s="1717"/>
      <c r="CT80" s="1718"/>
      <c r="CU80" s="1718"/>
      <c r="CV80" s="1718"/>
      <c r="CW80" s="1718"/>
      <c r="CX80" s="246"/>
      <c r="CY80" s="246" t="str">
        <f>BS!$D$5</f>
        <v>31 March 2026</v>
      </c>
      <c r="CZ80" s="247" t="str">
        <f>BS!$E$5</f>
        <v>31 March 2025</v>
      </c>
      <c r="DA80" s="1717"/>
      <c r="DB80" s="1718"/>
      <c r="DC80" s="1718"/>
      <c r="DD80" s="1718"/>
      <c r="DE80" s="1718"/>
      <c r="DF80" s="246"/>
      <c r="DG80" s="246" t="str">
        <f>BS!$D$5</f>
        <v>31 March 2026</v>
      </c>
      <c r="DH80" s="247" t="str">
        <f>BS!$E$5</f>
        <v>31 March 2025</v>
      </c>
      <c r="DI80" s="1717"/>
      <c r="DJ80" s="1718"/>
      <c r="DK80" s="1718"/>
      <c r="DL80" s="1718"/>
      <c r="DM80" s="1718"/>
      <c r="DN80" s="246"/>
      <c r="DO80" s="246" t="str">
        <f>BS!$D$5</f>
        <v>31 March 2026</v>
      </c>
      <c r="DP80" s="247" t="str">
        <f>BS!$E$5</f>
        <v>31 March 2025</v>
      </c>
      <c r="DQ80" s="1717"/>
      <c r="DR80" s="1718"/>
      <c r="DS80" s="1718"/>
      <c r="DT80" s="1718"/>
      <c r="DU80" s="1718"/>
      <c r="DV80" s="246"/>
      <c r="DW80" s="246" t="str">
        <f>BS!$D$5</f>
        <v>31 March 2026</v>
      </c>
      <c r="DX80" s="247" t="str">
        <f>BS!$E$5</f>
        <v>31 March 2025</v>
      </c>
      <c r="DY80" s="1717"/>
      <c r="DZ80" s="1718"/>
      <c r="EA80" s="1718"/>
      <c r="EB80" s="1718"/>
      <c r="EC80" s="1718"/>
      <c r="ED80" s="246"/>
      <c r="EE80" s="246" t="str">
        <f>BS!$D$5</f>
        <v>31 March 2026</v>
      </c>
      <c r="EF80" s="247" t="str">
        <f>BS!$E$5</f>
        <v>31 March 2025</v>
      </c>
      <c r="EG80" s="1717"/>
      <c r="EH80" s="1718"/>
      <c r="EI80" s="1718"/>
      <c r="EJ80" s="1718"/>
      <c r="EK80" s="1718"/>
      <c r="EL80" s="246"/>
      <c r="EM80" s="246" t="str">
        <f>BS!$D$5</f>
        <v>31 March 2026</v>
      </c>
      <c r="EN80" s="247" t="str">
        <f>BS!$E$5</f>
        <v>31 March 2025</v>
      </c>
      <c r="EO80" s="1717"/>
      <c r="EP80" s="1718"/>
      <c r="EQ80" s="1718"/>
      <c r="ER80" s="1718"/>
      <c r="ES80" s="1718"/>
      <c r="ET80" s="246"/>
      <c r="EU80" s="246" t="str">
        <f>BS!$D$5</f>
        <v>31 March 2026</v>
      </c>
      <c r="EV80" s="247" t="str">
        <f>BS!$E$5</f>
        <v>31 March 2025</v>
      </c>
      <c r="EW80" s="1717"/>
      <c r="EX80" s="1718"/>
      <c r="EY80" s="1718"/>
      <c r="EZ80" s="1718"/>
      <c r="FA80" s="1718"/>
      <c r="FB80" s="246"/>
      <c r="FC80" s="246" t="str">
        <f>BS!$D$5</f>
        <v>31 March 2026</v>
      </c>
      <c r="FD80" s="247" t="str">
        <f>BS!$E$5</f>
        <v>31 March 2025</v>
      </c>
      <c r="FE80" s="1717"/>
      <c r="FF80" s="1718"/>
      <c r="FG80" s="1718"/>
      <c r="FH80" s="1718"/>
      <c r="FI80" s="1718"/>
      <c r="FJ80" s="246"/>
      <c r="FK80" s="246" t="str">
        <f>BS!$D$5</f>
        <v>31 March 2026</v>
      </c>
      <c r="FL80" s="247" t="str">
        <f>BS!$E$5</f>
        <v>31 March 2025</v>
      </c>
      <c r="FM80" s="1717"/>
      <c r="FN80" s="1718"/>
      <c r="FO80" s="1718"/>
      <c r="FP80" s="1718"/>
      <c r="FQ80" s="1718"/>
      <c r="FR80" s="246"/>
      <c r="FS80" s="246" t="str">
        <f>BS!$D$5</f>
        <v>31 March 2026</v>
      </c>
      <c r="FT80" s="247" t="str">
        <f>BS!$E$5</f>
        <v>31 March 2025</v>
      </c>
      <c r="FU80" s="1717"/>
      <c r="FV80" s="1718"/>
      <c r="FW80" s="1718"/>
      <c r="FX80" s="1718"/>
      <c r="FY80" s="1718"/>
      <c r="FZ80" s="246"/>
      <c r="GA80" s="246" t="str">
        <f>BS!$D$5</f>
        <v>31 March 2026</v>
      </c>
      <c r="GB80" s="247" t="str">
        <f>BS!$E$5</f>
        <v>31 March 2025</v>
      </c>
      <c r="GC80" s="1717"/>
      <c r="GD80" s="1718"/>
      <c r="GE80" s="1718"/>
      <c r="GF80" s="1718"/>
      <c r="GG80" s="1718"/>
      <c r="GH80" s="246"/>
      <c r="GI80" s="246" t="str">
        <f>BS!$D$5</f>
        <v>31 March 2026</v>
      </c>
      <c r="GJ80" s="247" t="str">
        <f>BS!$E$5</f>
        <v>31 March 2025</v>
      </c>
      <c r="GK80" s="1717"/>
      <c r="GL80" s="1718"/>
      <c r="GM80" s="1718"/>
      <c r="GN80" s="1718"/>
      <c r="GO80" s="1718"/>
      <c r="GP80" s="246"/>
      <c r="GQ80" s="246" t="str">
        <f>BS!$D$5</f>
        <v>31 March 2026</v>
      </c>
      <c r="GR80" s="247" t="str">
        <f>BS!$E$5</f>
        <v>31 March 2025</v>
      </c>
      <c r="GS80" s="1717"/>
      <c r="GT80" s="1718"/>
      <c r="GU80" s="1718"/>
      <c r="GV80" s="1718"/>
      <c r="GW80" s="1718"/>
      <c r="GX80" s="246"/>
      <c r="GY80" s="246" t="str">
        <f>BS!$D$5</f>
        <v>31 March 2026</v>
      </c>
      <c r="GZ80" s="247" t="str">
        <f>BS!$E$5</f>
        <v>31 March 2025</v>
      </c>
      <c r="HA80" s="1717"/>
      <c r="HB80" s="1718"/>
      <c r="HC80" s="1718"/>
      <c r="HD80" s="1718"/>
      <c r="HE80" s="1718"/>
      <c r="HF80" s="246"/>
      <c r="HG80" s="246" t="str">
        <f>BS!$D$5</f>
        <v>31 March 2026</v>
      </c>
      <c r="HH80" s="247" t="str">
        <f>BS!$E$5</f>
        <v>31 March 2025</v>
      </c>
      <c r="HI80" s="1717"/>
      <c r="HJ80" s="1718"/>
      <c r="HK80" s="1718"/>
      <c r="HL80" s="1718"/>
      <c r="HM80" s="1718"/>
      <c r="HN80" s="246"/>
      <c r="HO80" s="246" t="str">
        <f>BS!$D$5</f>
        <v>31 March 2026</v>
      </c>
      <c r="HP80" s="247" t="str">
        <f>BS!$E$5</f>
        <v>31 March 2025</v>
      </c>
      <c r="HQ80" s="1717"/>
      <c r="HR80" s="1718"/>
      <c r="HS80" s="1718"/>
      <c r="HT80" s="1718"/>
      <c r="HU80" s="1718"/>
      <c r="HV80" s="246"/>
      <c r="HW80" s="246" t="str">
        <f>BS!$D$5</f>
        <v>31 March 2026</v>
      </c>
      <c r="HX80" s="247" t="str">
        <f>BS!$E$5</f>
        <v>31 March 2025</v>
      </c>
      <c r="HY80" s="1717"/>
      <c r="HZ80" s="1718"/>
      <c r="IA80" s="1718"/>
      <c r="IB80" s="1718"/>
      <c r="IC80" s="1718"/>
      <c r="ID80" s="246"/>
      <c r="IE80" s="246" t="str">
        <f>BS!$D$5</f>
        <v>31 March 2026</v>
      </c>
      <c r="IF80" s="247" t="str">
        <f>BS!$E$5</f>
        <v>31 March 2025</v>
      </c>
      <c r="IG80" s="1717"/>
      <c r="IH80" s="1718"/>
      <c r="II80" s="1718"/>
      <c r="IJ80" s="1718"/>
      <c r="IK80" s="1718"/>
      <c r="IL80" s="246"/>
      <c r="IM80" s="246" t="str">
        <f>BS!$D$5</f>
        <v>31 March 2026</v>
      </c>
      <c r="IN80" s="247" t="str">
        <f>BS!$E$5</f>
        <v>31 March 2025</v>
      </c>
      <c r="IO80" s="1717"/>
      <c r="IP80" s="1718"/>
      <c r="IQ80" s="1718"/>
      <c r="IR80" s="1718"/>
      <c r="IS80" s="1718"/>
      <c r="IT80" s="246"/>
      <c r="IU80" s="246" t="str">
        <f>BS!$D$5</f>
        <v>31 March 2026</v>
      </c>
      <c r="IV80" s="247" t="str">
        <f>BS!$E$5</f>
        <v>31 March 2025</v>
      </c>
      <c r="IW80" s="1717"/>
      <c r="IX80" s="1718"/>
      <c r="IY80" s="1718"/>
      <c r="IZ80" s="1718"/>
      <c r="JA80" s="1718"/>
      <c r="JB80" s="246"/>
      <c r="JC80" s="246" t="str">
        <f>BS!$D$5</f>
        <v>31 March 2026</v>
      </c>
      <c r="JD80" s="247" t="str">
        <f>BS!$E$5</f>
        <v>31 March 2025</v>
      </c>
      <c r="JE80" s="1717"/>
      <c r="JF80" s="1718"/>
      <c r="JG80" s="1718"/>
      <c r="JH80" s="1718"/>
      <c r="JI80" s="1718"/>
      <c r="JJ80" s="246"/>
      <c r="JK80" s="246" t="str">
        <f>BS!$D$5</f>
        <v>31 March 2026</v>
      </c>
      <c r="JL80" s="247" t="str">
        <f>BS!$E$5</f>
        <v>31 March 2025</v>
      </c>
      <c r="JM80" s="1717"/>
      <c r="JN80" s="1718"/>
      <c r="JO80" s="1718"/>
      <c r="JP80" s="1718"/>
      <c r="JQ80" s="1718"/>
      <c r="JR80" s="246"/>
      <c r="JS80" s="246" t="str">
        <f>BS!$D$5</f>
        <v>31 March 2026</v>
      </c>
      <c r="JT80" s="247" t="str">
        <f>BS!$E$5</f>
        <v>31 March 2025</v>
      </c>
      <c r="JU80" s="1717"/>
      <c r="JV80" s="1718"/>
      <c r="JW80" s="1718"/>
      <c r="JX80" s="1718"/>
      <c r="JY80" s="1718"/>
      <c r="JZ80" s="246"/>
      <c r="KA80" s="246" t="str">
        <f>BS!$D$5</f>
        <v>31 March 2026</v>
      </c>
      <c r="KB80" s="247" t="str">
        <f>BS!$E$5</f>
        <v>31 March 2025</v>
      </c>
      <c r="KC80" s="1717"/>
      <c r="KD80" s="1718"/>
      <c r="KE80" s="1718"/>
      <c r="KF80" s="1718"/>
      <c r="KG80" s="1718"/>
      <c r="KH80" s="246"/>
      <c r="KI80" s="246" t="str">
        <f>BS!$D$5</f>
        <v>31 March 2026</v>
      </c>
      <c r="KJ80" s="247" t="str">
        <f>BS!$E$5</f>
        <v>31 March 2025</v>
      </c>
      <c r="KK80" s="1717"/>
      <c r="KL80" s="1718"/>
      <c r="KM80" s="1718"/>
      <c r="KN80" s="1718"/>
      <c r="KO80" s="1718"/>
      <c r="KP80" s="246"/>
      <c r="KQ80" s="246" t="str">
        <f>BS!$D$5</f>
        <v>31 March 2026</v>
      </c>
      <c r="KR80" s="247" t="str">
        <f>BS!$E$5</f>
        <v>31 March 2025</v>
      </c>
      <c r="KS80" s="1717"/>
      <c r="KT80" s="1718"/>
      <c r="KU80" s="1718"/>
      <c r="KV80" s="1718"/>
      <c r="KW80" s="1718"/>
      <c r="KX80" s="246"/>
      <c r="KY80" s="246" t="str">
        <f>BS!$D$5</f>
        <v>31 March 2026</v>
      </c>
      <c r="KZ80" s="247" t="str">
        <f>BS!$E$5</f>
        <v>31 March 2025</v>
      </c>
      <c r="LA80" s="1717"/>
      <c r="LB80" s="1718"/>
      <c r="LC80" s="1718"/>
      <c r="LD80" s="1718"/>
      <c r="LE80" s="1718"/>
      <c r="LF80" s="246"/>
      <c r="LG80" s="246" t="str">
        <f>BS!$D$5</f>
        <v>31 March 2026</v>
      </c>
      <c r="LH80" s="247" t="str">
        <f>BS!$E$5</f>
        <v>31 March 2025</v>
      </c>
      <c r="LI80" s="1717"/>
      <c r="LJ80" s="1718"/>
      <c r="LK80" s="1718"/>
      <c r="LL80" s="1718"/>
      <c r="LM80" s="1718"/>
      <c r="LN80" s="246"/>
      <c r="LO80" s="246" t="str">
        <f>BS!$D$5</f>
        <v>31 March 2026</v>
      </c>
      <c r="LP80" s="247" t="str">
        <f>BS!$E$5</f>
        <v>31 March 2025</v>
      </c>
      <c r="LQ80" s="1717"/>
      <c r="LR80" s="1718"/>
      <c r="LS80" s="1718"/>
      <c r="LT80" s="1718"/>
      <c r="LU80" s="1718"/>
      <c r="LV80" s="246"/>
      <c r="LW80" s="246" t="str">
        <f>BS!$D$5</f>
        <v>31 March 2026</v>
      </c>
      <c r="LX80" s="247" t="str">
        <f>BS!$E$5</f>
        <v>31 March 2025</v>
      </c>
      <c r="LY80" s="1717"/>
      <c r="LZ80" s="1718"/>
      <c r="MA80" s="1718"/>
      <c r="MB80" s="1718"/>
      <c r="MC80" s="1718"/>
      <c r="MD80" s="246"/>
      <c r="ME80" s="246" t="str">
        <f>BS!$D$5</f>
        <v>31 March 2026</v>
      </c>
      <c r="MF80" s="247" t="str">
        <f>BS!$E$5</f>
        <v>31 March 2025</v>
      </c>
      <c r="MG80" s="1717"/>
      <c r="MH80" s="1718"/>
      <c r="MI80" s="1718"/>
      <c r="MJ80" s="1718"/>
      <c r="MK80" s="1718"/>
      <c r="ML80" s="246"/>
      <c r="MM80" s="246" t="str">
        <f>BS!$D$5</f>
        <v>31 March 2026</v>
      </c>
      <c r="MN80" s="247" t="str">
        <f>BS!$E$5</f>
        <v>31 March 2025</v>
      </c>
      <c r="MO80" s="1717"/>
      <c r="MP80" s="1718"/>
      <c r="MQ80" s="1718"/>
      <c r="MR80" s="1718"/>
      <c r="MS80" s="1718"/>
      <c r="MT80" s="246"/>
      <c r="MU80" s="246" t="str">
        <f>BS!$D$5</f>
        <v>31 March 2026</v>
      </c>
      <c r="MV80" s="247" t="str">
        <f>BS!$E$5</f>
        <v>31 March 2025</v>
      </c>
      <c r="MW80" s="1717"/>
      <c r="MX80" s="1718"/>
      <c r="MY80" s="1718"/>
      <c r="MZ80" s="1718"/>
      <c r="NA80" s="1718"/>
      <c r="NB80" s="246"/>
      <c r="NC80" s="246" t="str">
        <f>BS!$D$5</f>
        <v>31 March 2026</v>
      </c>
      <c r="ND80" s="247" t="str">
        <f>BS!$E$5</f>
        <v>31 March 2025</v>
      </c>
      <c r="NE80" s="1717"/>
      <c r="NF80" s="1718"/>
      <c r="NG80" s="1718"/>
      <c r="NH80" s="1718"/>
      <c r="NI80" s="1718"/>
      <c r="NJ80" s="246"/>
      <c r="NK80" s="246" t="str">
        <f>BS!$D$5</f>
        <v>31 March 2026</v>
      </c>
      <c r="NL80" s="247" t="str">
        <f>BS!$E$5</f>
        <v>31 March 2025</v>
      </c>
      <c r="NM80" s="1717"/>
      <c r="NN80" s="1718"/>
      <c r="NO80" s="1718"/>
      <c r="NP80" s="1718"/>
      <c r="NQ80" s="1718"/>
      <c r="NR80" s="246"/>
      <c r="NS80" s="246" t="str">
        <f>BS!$D$5</f>
        <v>31 March 2026</v>
      </c>
      <c r="NT80" s="247" t="str">
        <f>BS!$E$5</f>
        <v>31 March 2025</v>
      </c>
      <c r="NU80" s="1717"/>
      <c r="NV80" s="1718"/>
      <c r="NW80" s="1718"/>
      <c r="NX80" s="1718"/>
      <c r="NY80" s="1718"/>
      <c r="NZ80" s="246"/>
      <c r="OA80" s="246" t="str">
        <f>BS!$D$5</f>
        <v>31 March 2026</v>
      </c>
      <c r="OB80" s="247" t="str">
        <f>BS!$E$5</f>
        <v>31 March 2025</v>
      </c>
      <c r="OC80" s="1717"/>
      <c r="OD80" s="1718"/>
      <c r="OE80" s="1718"/>
      <c r="OF80" s="1718"/>
      <c r="OG80" s="1718"/>
      <c r="OH80" s="246"/>
      <c r="OI80" s="246" t="str">
        <f>BS!$D$5</f>
        <v>31 March 2026</v>
      </c>
      <c r="OJ80" s="247" t="str">
        <f>BS!$E$5</f>
        <v>31 March 2025</v>
      </c>
      <c r="OK80" s="1717"/>
      <c r="OL80" s="1718"/>
      <c r="OM80" s="1718"/>
      <c r="ON80" s="1718"/>
      <c r="OO80" s="1718"/>
      <c r="OP80" s="246"/>
      <c r="OQ80" s="246" t="str">
        <f>BS!$D$5</f>
        <v>31 March 2026</v>
      </c>
      <c r="OR80" s="247" t="str">
        <f>BS!$E$5</f>
        <v>31 March 2025</v>
      </c>
      <c r="OS80" s="1717"/>
      <c r="OT80" s="1718"/>
      <c r="OU80" s="1718"/>
      <c r="OV80" s="1718"/>
      <c r="OW80" s="1718"/>
      <c r="OX80" s="246"/>
      <c r="OY80" s="246" t="str">
        <f>BS!$D$5</f>
        <v>31 March 2026</v>
      </c>
      <c r="OZ80" s="247" t="str">
        <f>BS!$E$5</f>
        <v>31 March 2025</v>
      </c>
      <c r="PA80" s="1717"/>
      <c r="PB80" s="1718"/>
      <c r="PC80" s="1718"/>
      <c r="PD80" s="1718"/>
      <c r="PE80" s="1718"/>
      <c r="PF80" s="246"/>
      <c r="PG80" s="246" t="str">
        <f>BS!$D$5</f>
        <v>31 March 2026</v>
      </c>
      <c r="PH80" s="247" t="str">
        <f>BS!$E$5</f>
        <v>31 March 2025</v>
      </c>
      <c r="PI80" s="1717"/>
      <c r="PJ80" s="1718"/>
      <c r="PK80" s="1718"/>
      <c r="PL80" s="1718"/>
      <c r="PM80" s="1718"/>
      <c r="PN80" s="246"/>
      <c r="PO80" s="246" t="str">
        <f>BS!$D$5</f>
        <v>31 March 2026</v>
      </c>
      <c r="PP80" s="247" t="str">
        <f>BS!$E$5</f>
        <v>31 March 2025</v>
      </c>
      <c r="PQ80" s="1717"/>
      <c r="PR80" s="1718"/>
      <c r="PS80" s="1718"/>
      <c r="PT80" s="1718"/>
      <c r="PU80" s="1718"/>
      <c r="PV80" s="246"/>
      <c r="PW80" s="246" t="str">
        <f>BS!$D$5</f>
        <v>31 March 2026</v>
      </c>
      <c r="PX80" s="247" t="str">
        <f>BS!$E$5</f>
        <v>31 March 2025</v>
      </c>
      <c r="PY80" s="1717"/>
      <c r="PZ80" s="1718"/>
      <c r="QA80" s="1718"/>
      <c r="QB80" s="1718"/>
      <c r="QC80" s="1718"/>
      <c r="QD80" s="246"/>
      <c r="QE80" s="246" t="str">
        <f>BS!$D$5</f>
        <v>31 March 2026</v>
      </c>
      <c r="QF80" s="247" t="str">
        <f>BS!$E$5</f>
        <v>31 March 2025</v>
      </c>
      <c r="QG80" s="1717"/>
      <c r="QH80" s="1718"/>
      <c r="QI80" s="1718"/>
      <c r="QJ80" s="1718"/>
      <c r="QK80" s="1718"/>
      <c r="QL80" s="246"/>
      <c r="QM80" s="246" t="str">
        <f>BS!$D$5</f>
        <v>31 March 2026</v>
      </c>
      <c r="QN80" s="247" t="str">
        <f>BS!$E$5</f>
        <v>31 March 2025</v>
      </c>
      <c r="QO80" s="1717"/>
      <c r="QP80" s="1718"/>
      <c r="QQ80" s="1718"/>
      <c r="QR80" s="1718"/>
      <c r="QS80" s="1718"/>
      <c r="QT80" s="246"/>
      <c r="QU80" s="246" t="str">
        <f>BS!$D$5</f>
        <v>31 March 2026</v>
      </c>
      <c r="QV80" s="247" t="str">
        <f>BS!$E$5</f>
        <v>31 March 2025</v>
      </c>
      <c r="QW80" s="1717"/>
      <c r="QX80" s="1718"/>
      <c r="QY80" s="1718"/>
      <c r="QZ80" s="1718"/>
      <c r="RA80" s="1718"/>
      <c r="RB80" s="246"/>
      <c r="RC80" s="246" t="str">
        <f>BS!$D$5</f>
        <v>31 March 2026</v>
      </c>
      <c r="RD80" s="247" t="str">
        <f>BS!$E$5</f>
        <v>31 March 2025</v>
      </c>
      <c r="RE80" s="1717"/>
      <c r="RF80" s="1718"/>
      <c r="RG80" s="1718"/>
      <c r="RH80" s="1718"/>
      <c r="RI80" s="1718"/>
      <c r="RJ80" s="246"/>
      <c r="RK80" s="246" t="str">
        <f>BS!$D$5</f>
        <v>31 March 2026</v>
      </c>
      <c r="RL80" s="247" t="str">
        <f>BS!$E$5</f>
        <v>31 March 2025</v>
      </c>
      <c r="RM80" s="1717"/>
      <c r="RN80" s="1718"/>
      <c r="RO80" s="1718"/>
      <c r="RP80" s="1718"/>
      <c r="RQ80" s="1718"/>
      <c r="RR80" s="246"/>
      <c r="RS80" s="246" t="str">
        <f>BS!$D$5</f>
        <v>31 March 2026</v>
      </c>
      <c r="RT80" s="247" t="str">
        <f>BS!$E$5</f>
        <v>31 March 2025</v>
      </c>
      <c r="RU80" s="1717"/>
      <c r="RV80" s="1718"/>
      <c r="RW80" s="1718"/>
      <c r="RX80" s="1718"/>
      <c r="RY80" s="1718"/>
      <c r="RZ80" s="246"/>
      <c r="SA80" s="246" t="str">
        <f>BS!$D$5</f>
        <v>31 March 2026</v>
      </c>
      <c r="SB80" s="247" t="str">
        <f>BS!$E$5</f>
        <v>31 March 2025</v>
      </c>
      <c r="SC80" s="1717"/>
      <c r="SD80" s="1718"/>
      <c r="SE80" s="1718"/>
      <c r="SF80" s="1718"/>
      <c r="SG80" s="1718"/>
      <c r="SH80" s="246"/>
      <c r="SI80" s="246" t="str">
        <f>BS!$D$5</f>
        <v>31 March 2026</v>
      </c>
      <c r="SJ80" s="247" t="str">
        <f>BS!$E$5</f>
        <v>31 March 2025</v>
      </c>
      <c r="SK80" s="1717"/>
      <c r="SL80" s="1718"/>
      <c r="SM80" s="1718"/>
      <c r="SN80" s="1718"/>
      <c r="SO80" s="1718"/>
      <c r="SP80" s="246"/>
      <c r="SQ80" s="246" t="str">
        <f>BS!$D$5</f>
        <v>31 March 2026</v>
      </c>
      <c r="SR80" s="247" t="str">
        <f>BS!$E$5</f>
        <v>31 March 2025</v>
      </c>
      <c r="SS80" s="1717"/>
      <c r="ST80" s="1718"/>
      <c r="SU80" s="1718"/>
      <c r="SV80" s="1718"/>
      <c r="SW80" s="1718"/>
      <c r="SX80" s="246"/>
      <c r="SY80" s="246" t="str">
        <f>BS!$D$5</f>
        <v>31 March 2026</v>
      </c>
      <c r="SZ80" s="247" t="str">
        <f>BS!$E$5</f>
        <v>31 March 2025</v>
      </c>
      <c r="TA80" s="1717"/>
      <c r="TB80" s="1718"/>
      <c r="TC80" s="1718"/>
      <c r="TD80" s="1718"/>
      <c r="TE80" s="1718"/>
      <c r="TF80" s="246"/>
      <c r="TG80" s="246" t="str">
        <f>BS!$D$5</f>
        <v>31 March 2026</v>
      </c>
      <c r="TH80" s="247" t="str">
        <f>BS!$E$5</f>
        <v>31 March 2025</v>
      </c>
      <c r="TI80" s="1717"/>
      <c r="TJ80" s="1718"/>
      <c r="TK80" s="1718"/>
      <c r="TL80" s="1718"/>
      <c r="TM80" s="1718"/>
      <c r="TN80" s="246"/>
      <c r="TO80" s="246" t="str">
        <f>BS!$D$5</f>
        <v>31 March 2026</v>
      </c>
      <c r="TP80" s="247" t="str">
        <f>BS!$E$5</f>
        <v>31 March 2025</v>
      </c>
      <c r="TQ80" s="1717"/>
      <c r="TR80" s="1718"/>
      <c r="TS80" s="1718"/>
      <c r="TT80" s="1718"/>
      <c r="TU80" s="1718"/>
      <c r="TV80" s="246"/>
      <c r="TW80" s="246" t="str">
        <f>BS!$D$5</f>
        <v>31 March 2026</v>
      </c>
      <c r="TX80" s="247" t="str">
        <f>BS!$E$5</f>
        <v>31 March 2025</v>
      </c>
      <c r="TY80" s="1717"/>
      <c r="TZ80" s="1718"/>
      <c r="UA80" s="1718"/>
      <c r="UB80" s="1718"/>
      <c r="UC80" s="1718"/>
      <c r="UD80" s="246"/>
      <c r="UE80" s="246" t="str">
        <f>BS!$D$5</f>
        <v>31 March 2026</v>
      </c>
      <c r="UF80" s="247" t="str">
        <f>BS!$E$5</f>
        <v>31 March 2025</v>
      </c>
      <c r="UG80" s="1717"/>
      <c r="UH80" s="1718"/>
      <c r="UI80" s="1718"/>
      <c r="UJ80" s="1718"/>
      <c r="UK80" s="1718"/>
      <c r="UL80" s="246"/>
      <c r="UM80" s="246" t="str">
        <f>BS!$D$5</f>
        <v>31 March 2026</v>
      </c>
      <c r="UN80" s="247" t="str">
        <f>BS!$E$5</f>
        <v>31 March 2025</v>
      </c>
      <c r="UO80" s="1717"/>
      <c r="UP80" s="1718"/>
      <c r="UQ80" s="1718"/>
      <c r="UR80" s="1718"/>
      <c r="US80" s="1718"/>
      <c r="UT80" s="246"/>
      <c r="UU80" s="246" t="str">
        <f>BS!$D$5</f>
        <v>31 March 2026</v>
      </c>
      <c r="UV80" s="247" t="str">
        <f>BS!$E$5</f>
        <v>31 March 2025</v>
      </c>
      <c r="UW80" s="1717"/>
      <c r="UX80" s="1718"/>
      <c r="UY80" s="1718"/>
      <c r="UZ80" s="1718"/>
      <c r="VA80" s="1718"/>
      <c r="VB80" s="246"/>
      <c r="VC80" s="246" t="str">
        <f>BS!$D$5</f>
        <v>31 March 2026</v>
      </c>
      <c r="VD80" s="247" t="str">
        <f>BS!$E$5</f>
        <v>31 March 2025</v>
      </c>
      <c r="VE80" s="1717"/>
      <c r="VF80" s="1718"/>
      <c r="VG80" s="1718"/>
      <c r="VH80" s="1718"/>
      <c r="VI80" s="1718"/>
      <c r="VJ80" s="246"/>
      <c r="VK80" s="246" t="str">
        <f>BS!$D$5</f>
        <v>31 March 2026</v>
      </c>
      <c r="VL80" s="247" t="str">
        <f>BS!$E$5</f>
        <v>31 March 2025</v>
      </c>
      <c r="VM80" s="1717"/>
      <c r="VN80" s="1718"/>
      <c r="VO80" s="1718"/>
      <c r="VP80" s="1718"/>
      <c r="VQ80" s="1718"/>
      <c r="VR80" s="246"/>
      <c r="VS80" s="246" t="str">
        <f>BS!$D$5</f>
        <v>31 March 2026</v>
      </c>
      <c r="VT80" s="247" t="str">
        <f>BS!$E$5</f>
        <v>31 March 2025</v>
      </c>
      <c r="VU80" s="1717"/>
      <c r="VV80" s="1718"/>
      <c r="VW80" s="1718"/>
      <c r="VX80" s="1718"/>
      <c r="VY80" s="1718"/>
      <c r="VZ80" s="246"/>
      <c r="WA80" s="246" t="str">
        <f>BS!$D$5</f>
        <v>31 March 2026</v>
      </c>
      <c r="WB80" s="247" t="str">
        <f>BS!$E$5</f>
        <v>31 March 2025</v>
      </c>
      <c r="WC80" s="1717"/>
      <c r="WD80" s="1718"/>
      <c r="WE80" s="1718"/>
      <c r="WF80" s="1718"/>
      <c r="WG80" s="1718"/>
      <c r="WH80" s="246"/>
      <c r="WI80" s="246" t="str">
        <f>BS!$D$5</f>
        <v>31 March 2026</v>
      </c>
      <c r="WJ80" s="247" t="str">
        <f>BS!$E$5</f>
        <v>31 March 2025</v>
      </c>
      <c r="WK80" s="1717"/>
      <c r="WL80" s="1718"/>
      <c r="WM80" s="1718"/>
      <c r="WN80" s="1718"/>
      <c r="WO80" s="1718"/>
      <c r="WP80" s="246"/>
      <c r="WQ80" s="246" t="str">
        <f>BS!$D$5</f>
        <v>31 March 2026</v>
      </c>
      <c r="WR80" s="247" t="str">
        <f>BS!$E$5</f>
        <v>31 March 2025</v>
      </c>
      <c r="WS80" s="1717"/>
      <c r="WT80" s="1718"/>
      <c r="WU80" s="1718"/>
      <c r="WV80" s="1718"/>
      <c r="WW80" s="1718"/>
      <c r="WX80" s="246"/>
      <c r="WY80" s="246" t="str">
        <f>BS!$D$5</f>
        <v>31 March 2026</v>
      </c>
      <c r="WZ80" s="247" t="str">
        <f>BS!$E$5</f>
        <v>31 March 2025</v>
      </c>
      <c r="XA80" s="1717"/>
      <c r="XB80" s="1718"/>
      <c r="XC80" s="1718"/>
      <c r="XD80" s="1718"/>
      <c r="XE80" s="1718"/>
      <c r="XF80" s="246"/>
      <c r="XG80" s="246" t="str">
        <f>BS!$D$5</f>
        <v>31 March 2026</v>
      </c>
      <c r="XH80" s="247" t="str">
        <f>BS!$E$5</f>
        <v>31 March 2025</v>
      </c>
      <c r="XI80" s="1717"/>
      <c r="XJ80" s="1718"/>
      <c r="XK80" s="1718"/>
      <c r="XL80" s="1718"/>
      <c r="XM80" s="1718"/>
      <c r="XN80" s="246"/>
      <c r="XO80" s="246" t="str">
        <f>BS!$D$5</f>
        <v>31 March 2026</v>
      </c>
      <c r="XP80" s="247" t="str">
        <f>BS!$E$5</f>
        <v>31 March 2025</v>
      </c>
      <c r="XQ80" s="1717"/>
      <c r="XR80" s="1718"/>
      <c r="XS80" s="1718"/>
      <c r="XT80" s="1718"/>
      <c r="XU80" s="1718"/>
      <c r="XV80" s="246"/>
      <c r="XW80" s="246" t="str">
        <f>BS!$D$5</f>
        <v>31 March 2026</v>
      </c>
      <c r="XX80" s="247" t="str">
        <f>BS!$E$5</f>
        <v>31 March 2025</v>
      </c>
      <c r="XY80" s="1717"/>
      <c r="XZ80" s="1718"/>
      <c r="YA80" s="1718"/>
      <c r="YB80" s="1718"/>
      <c r="YC80" s="1718"/>
      <c r="YD80" s="246"/>
      <c r="YE80" s="246" t="str">
        <f>BS!$D$5</f>
        <v>31 March 2026</v>
      </c>
      <c r="YF80" s="247" t="str">
        <f>BS!$E$5</f>
        <v>31 March 2025</v>
      </c>
      <c r="YG80" s="1717"/>
      <c r="YH80" s="1718"/>
      <c r="YI80" s="1718"/>
      <c r="YJ80" s="1718"/>
      <c r="YK80" s="1718"/>
      <c r="YL80" s="246"/>
      <c r="YM80" s="246" t="str">
        <f>BS!$D$5</f>
        <v>31 March 2026</v>
      </c>
      <c r="YN80" s="247" t="str">
        <f>BS!$E$5</f>
        <v>31 March 2025</v>
      </c>
      <c r="YO80" s="1717"/>
      <c r="YP80" s="1718"/>
      <c r="YQ80" s="1718"/>
      <c r="YR80" s="1718"/>
      <c r="YS80" s="1718"/>
      <c r="YT80" s="246"/>
      <c r="YU80" s="246" t="str">
        <f>BS!$D$5</f>
        <v>31 March 2026</v>
      </c>
      <c r="YV80" s="247" t="str">
        <f>BS!$E$5</f>
        <v>31 March 2025</v>
      </c>
      <c r="YW80" s="1717"/>
      <c r="YX80" s="1718"/>
      <c r="YY80" s="1718"/>
      <c r="YZ80" s="1718"/>
      <c r="ZA80" s="1718"/>
      <c r="ZB80" s="246"/>
      <c r="ZC80" s="246" t="str">
        <f>BS!$D$5</f>
        <v>31 March 2026</v>
      </c>
      <c r="ZD80" s="247" t="str">
        <f>BS!$E$5</f>
        <v>31 March 2025</v>
      </c>
      <c r="ZE80" s="1717"/>
      <c r="ZF80" s="1718"/>
      <c r="ZG80" s="1718"/>
      <c r="ZH80" s="1718"/>
      <c r="ZI80" s="1718"/>
      <c r="ZJ80" s="246"/>
      <c r="ZK80" s="246" t="str">
        <f>BS!$D$5</f>
        <v>31 March 2026</v>
      </c>
      <c r="ZL80" s="247" t="str">
        <f>BS!$E$5</f>
        <v>31 March 2025</v>
      </c>
      <c r="ZM80" s="1717"/>
      <c r="ZN80" s="1718"/>
      <c r="ZO80" s="1718"/>
      <c r="ZP80" s="1718"/>
      <c r="ZQ80" s="1718"/>
      <c r="ZR80" s="246"/>
      <c r="ZS80" s="246" t="str">
        <f>BS!$D$5</f>
        <v>31 March 2026</v>
      </c>
      <c r="ZT80" s="247" t="str">
        <f>BS!$E$5</f>
        <v>31 March 2025</v>
      </c>
      <c r="ZU80" s="1717"/>
      <c r="ZV80" s="1718"/>
      <c r="ZW80" s="1718"/>
      <c r="ZX80" s="1718"/>
      <c r="ZY80" s="1718"/>
      <c r="ZZ80" s="246"/>
      <c r="AAA80" s="246" t="str">
        <f>BS!$D$5</f>
        <v>31 March 2026</v>
      </c>
      <c r="AAB80" s="247" t="str">
        <f>BS!$E$5</f>
        <v>31 March 2025</v>
      </c>
      <c r="AAC80" s="1717"/>
      <c r="AAD80" s="1718"/>
      <c r="AAE80" s="1718"/>
      <c r="AAF80" s="1718"/>
      <c r="AAG80" s="1718"/>
      <c r="AAH80" s="246"/>
      <c r="AAI80" s="246" t="str">
        <f>BS!$D$5</f>
        <v>31 March 2026</v>
      </c>
      <c r="AAJ80" s="247" t="str">
        <f>BS!$E$5</f>
        <v>31 March 2025</v>
      </c>
      <c r="AAK80" s="1717"/>
      <c r="AAL80" s="1718"/>
      <c r="AAM80" s="1718"/>
      <c r="AAN80" s="1718"/>
      <c r="AAO80" s="1718"/>
      <c r="AAP80" s="246"/>
      <c r="AAQ80" s="246" t="str">
        <f>BS!$D$5</f>
        <v>31 March 2026</v>
      </c>
      <c r="AAR80" s="247" t="str">
        <f>BS!$E$5</f>
        <v>31 March 2025</v>
      </c>
      <c r="AAS80" s="1717"/>
      <c r="AAT80" s="1718"/>
      <c r="AAU80" s="1718"/>
      <c r="AAV80" s="1718"/>
      <c r="AAW80" s="1718"/>
      <c r="AAX80" s="246"/>
      <c r="AAY80" s="246" t="str">
        <f>BS!$D$5</f>
        <v>31 March 2026</v>
      </c>
      <c r="AAZ80" s="247" t="str">
        <f>BS!$E$5</f>
        <v>31 March 2025</v>
      </c>
      <c r="ABA80" s="1717"/>
      <c r="ABB80" s="1718"/>
      <c r="ABC80" s="1718"/>
      <c r="ABD80" s="1718"/>
      <c r="ABE80" s="1718"/>
      <c r="ABF80" s="246"/>
      <c r="ABG80" s="246" t="str">
        <f>BS!$D$5</f>
        <v>31 March 2026</v>
      </c>
      <c r="ABH80" s="247" t="str">
        <f>BS!$E$5</f>
        <v>31 March 2025</v>
      </c>
      <c r="ABI80" s="1717"/>
      <c r="ABJ80" s="1718"/>
      <c r="ABK80" s="1718"/>
      <c r="ABL80" s="1718"/>
      <c r="ABM80" s="1718"/>
      <c r="ABN80" s="246"/>
      <c r="ABO80" s="246" t="str">
        <f>BS!$D$5</f>
        <v>31 March 2026</v>
      </c>
      <c r="ABP80" s="247" t="str">
        <f>BS!$E$5</f>
        <v>31 March 2025</v>
      </c>
      <c r="ABQ80" s="1717"/>
      <c r="ABR80" s="1718"/>
      <c r="ABS80" s="1718"/>
      <c r="ABT80" s="1718"/>
      <c r="ABU80" s="1718"/>
      <c r="ABV80" s="246"/>
      <c r="ABW80" s="246" t="str">
        <f>BS!$D$5</f>
        <v>31 March 2026</v>
      </c>
      <c r="ABX80" s="247" t="str">
        <f>BS!$E$5</f>
        <v>31 March 2025</v>
      </c>
      <c r="ABY80" s="1717"/>
      <c r="ABZ80" s="1718"/>
      <c r="ACA80" s="1718"/>
      <c r="ACB80" s="1718"/>
      <c r="ACC80" s="1718"/>
      <c r="ACD80" s="246"/>
      <c r="ACE80" s="246" t="str">
        <f>BS!$D$5</f>
        <v>31 March 2026</v>
      </c>
      <c r="ACF80" s="247" t="str">
        <f>BS!$E$5</f>
        <v>31 March 2025</v>
      </c>
      <c r="ACG80" s="1717"/>
      <c r="ACH80" s="1718"/>
      <c r="ACI80" s="1718"/>
      <c r="ACJ80" s="1718"/>
      <c r="ACK80" s="1718"/>
      <c r="ACL80" s="246"/>
      <c r="ACM80" s="246" t="str">
        <f>BS!$D$5</f>
        <v>31 March 2026</v>
      </c>
      <c r="ACN80" s="247" t="str">
        <f>BS!$E$5</f>
        <v>31 March 2025</v>
      </c>
      <c r="ACO80" s="1717"/>
      <c r="ACP80" s="1718"/>
      <c r="ACQ80" s="1718"/>
      <c r="ACR80" s="1718"/>
      <c r="ACS80" s="1718"/>
      <c r="ACT80" s="246"/>
      <c r="ACU80" s="246" t="str">
        <f>BS!$D$5</f>
        <v>31 March 2026</v>
      </c>
      <c r="ACV80" s="247" t="str">
        <f>BS!$E$5</f>
        <v>31 March 2025</v>
      </c>
      <c r="ACW80" s="1717"/>
      <c r="ACX80" s="1718"/>
      <c r="ACY80" s="1718"/>
      <c r="ACZ80" s="1718"/>
      <c r="ADA80" s="1718"/>
      <c r="ADB80" s="246"/>
      <c r="ADC80" s="246" t="str">
        <f>BS!$D$5</f>
        <v>31 March 2026</v>
      </c>
      <c r="ADD80" s="247" t="str">
        <f>BS!$E$5</f>
        <v>31 March 2025</v>
      </c>
      <c r="ADE80" s="1717"/>
      <c r="ADF80" s="1718"/>
      <c r="ADG80" s="1718"/>
      <c r="ADH80" s="1718"/>
      <c r="ADI80" s="1718"/>
      <c r="ADJ80" s="246"/>
      <c r="ADK80" s="246" t="str">
        <f>BS!$D$5</f>
        <v>31 March 2026</v>
      </c>
      <c r="ADL80" s="247" t="str">
        <f>BS!$E$5</f>
        <v>31 March 2025</v>
      </c>
      <c r="ADM80" s="1717"/>
      <c r="ADN80" s="1718"/>
      <c r="ADO80" s="1718"/>
      <c r="ADP80" s="1718"/>
      <c r="ADQ80" s="1718"/>
      <c r="ADR80" s="246"/>
      <c r="ADS80" s="246" t="str">
        <f>BS!$D$5</f>
        <v>31 March 2026</v>
      </c>
      <c r="ADT80" s="247" t="str">
        <f>BS!$E$5</f>
        <v>31 March 2025</v>
      </c>
      <c r="ADU80" s="1717"/>
      <c r="ADV80" s="1718"/>
      <c r="ADW80" s="1718"/>
      <c r="ADX80" s="1718"/>
      <c r="ADY80" s="1718"/>
      <c r="ADZ80" s="246"/>
      <c r="AEA80" s="246" t="str">
        <f>BS!$D$5</f>
        <v>31 March 2026</v>
      </c>
      <c r="AEB80" s="247" t="str">
        <f>BS!$E$5</f>
        <v>31 March 2025</v>
      </c>
      <c r="AEC80" s="1717"/>
      <c r="AED80" s="1718"/>
      <c r="AEE80" s="1718"/>
      <c r="AEF80" s="1718"/>
      <c r="AEG80" s="1718"/>
      <c r="AEH80" s="246"/>
      <c r="AEI80" s="246" t="str">
        <f>BS!$D$5</f>
        <v>31 March 2026</v>
      </c>
      <c r="AEJ80" s="247" t="str">
        <f>BS!$E$5</f>
        <v>31 March 2025</v>
      </c>
      <c r="AEK80" s="1717"/>
      <c r="AEL80" s="1718"/>
      <c r="AEM80" s="1718"/>
      <c r="AEN80" s="1718"/>
      <c r="AEO80" s="1718"/>
      <c r="AEP80" s="246"/>
      <c r="AEQ80" s="246" t="str">
        <f>BS!$D$5</f>
        <v>31 March 2026</v>
      </c>
      <c r="AER80" s="247" t="str">
        <f>BS!$E$5</f>
        <v>31 March 2025</v>
      </c>
      <c r="AES80" s="1717"/>
      <c r="AET80" s="1718"/>
      <c r="AEU80" s="1718"/>
      <c r="AEV80" s="1718"/>
      <c r="AEW80" s="1718"/>
      <c r="AEX80" s="246"/>
      <c r="AEY80" s="246" t="str">
        <f>BS!$D$5</f>
        <v>31 March 2026</v>
      </c>
      <c r="AEZ80" s="247" t="str">
        <f>BS!$E$5</f>
        <v>31 March 2025</v>
      </c>
      <c r="AFA80" s="1717"/>
      <c r="AFB80" s="1718"/>
      <c r="AFC80" s="1718"/>
      <c r="AFD80" s="1718"/>
      <c r="AFE80" s="1718"/>
      <c r="AFF80" s="246"/>
      <c r="AFG80" s="246" t="str">
        <f>BS!$D$5</f>
        <v>31 March 2026</v>
      </c>
      <c r="AFH80" s="247" t="str">
        <f>BS!$E$5</f>
        <v>31 March 2025</v>
      </c>
      <c r="AFI80" s="1717"/>
      <c r="AFJ80" s="1718"/>
      <c r="AFK80" s="1718"/>
      <c r="AFL80" s="1718"/>
      <c r="AFM80" s="1718"/>
      <c r="AFN80" s="246"/>
      <c r="AFO80" s="246" t="str">
        <f>BS!$D$5</f>
        <v>31 March 2026</v>
      </c>
      <c r="AFP80" s="247" t="str">
        <f>BS!$E$5</f>
        <v>31 March 2025</v>
      </c>
      <c r="AFQ80" s="1717"/>
      <c r="AFR80" s="1718"/>
      <c r="AFS80" s="1718"/>
      <c r="AFT80" s="1718"/>
      <c r="AFU80" s="1718"/>
      <c r="AFV80" s="246"/>
      <c r="AFW80" s="246" t="str">
        <f>BS!$D$5</f>
        <v>31 March 2026</v>
      </c>
      <c r="AFX80" s="247" t="str">
        <f>BS!$E$5</f>
        <v>31 March 2025</v>
      </c>
      <c r="AFY80" s="1717"/>
      <c r="AFZ80" s="1718"/>
      <c r="AGA80" s="1718"/>
      <c r="AGB80" s="1718"/>
      <c r="AGC80" s="1718"/>
      <c r="AGD80" s="246"/>
      <c r="AGE80" s="246" t="str">
        <f>BS!$D$5</f>
        <v>31 March 2026</v>
      </c>
      <c r="AGF80" s="247" t="str">
        <f>BS!$E$5</f>
        <v>31 March 2025</v>
      </c>
      <c r="AGG80" s="1717"/>
      <c r="AGH80" s="1718"/>
      <c r="AGI80" s="1718"/>
      <c r="AGJ80" s="1718"/>
      <c r="AGK80" s="1718"/>
      <c r="AGL80" s="246"/>
      <c r="AGM80" s="246" t="str">
        <f>BS!$D$5</f>
        <v>31 March 2026</v>
      </c>
      <c r="AGN80" s="247" t="str">
        <f>BS!$E$5</f>
        <v>31 March 2025</v>
      </c>
      <c r="AGO80" s="1717"/>
      <c r="AGP80" s="1718"/>
      <c r="AGQ80" s="1718"/>
      <c r="AGR80" s="1718"/>
      <c r="AGS80" s="1718"/>
      <c r="AGT80" s="246"/>
      <c r="AGU80" s="246" t="str">
        <f>BS!$D$5</f>
        <v>31 March 2026</v>
      </c>
      <c r="AGV80" s="247" t="str">
        <f>BS!$E$5</f>
        <v>31 March 2025</v>
      </c>
      <c r="AGW80" s="1717"/>
      <c r="AGX80" s="1718"/>
      <c r="AGY80" s="1718"/>
      <c r="AGZ80" s="1718"/>
      <c r="AHA80" s="1718"/>
      <c r="AHB80" s="246"/>
      <c r="AHC80" s="246" t="str">
        <f>BS!$D$5</f>
        <v>31 March 2026</v>
      </c>
      <c r="AHD80" s="247" t="str">
        <f>BS!$E$5</f>
        <v>31 March 2025</v>
      </c>
      <c r="AHE80" s="1717"/>
      <c r="AHF80" s="1718"/>
      <c r="AHG80" s="1718"/>
      <c r="AHH80" s="1718"/>
      <c r="AHI80" s="1718"/>
      <c r="AHJ80" s="246"/>
      <c r="AHK80" s="246" t="str">
        <f>BS!$D$5</f>
        <v>31 March 2026</v>
      </c>
      <c r="AHL80" s="247" t="str">
        <f>BS!$E$5</f>
        <v>31 March 2025</v>
      </c>
      <c r="AHM80" s="1717"/>
      <c r="AHN80" s="1718"/>
      <c r="AHO80" s="1718"/>
      <c r="AHP80" s="1718"/>
      <c r="AHQ80" s="1718"/>
      <c r="AHR80" s="246"/>
      <c r="AHS80" s="246" t="str">
        <f>BS!$D$5</f>
        <v>31 March 2026</v>
      </c>
      <c r="AHT80" s="247" t="str">
        <f>BS!$E$5</f>
        <v>31 March 2025</v>
      </c>
      <c r="AHU80" s="1717"/>
      <c r="AHV80" s="1718"/>
      <c r="AHW80" s="1718"/>
      <c r="AHX80" s="1718"/>
      <c r="AHY80" s="1718"/>
      <c r="AHZ80" s="246"/>
      <c r="AIA80" s="246" t="str">
        <f>BS!$D$5</f>
        <v>31 March 2026</v>
      </c>
      <c r="AIB80" s="247" t="str">
        <f>BS!$E$5</f>
        <v>31 March 2025</v>
      </c>
      <c r="AIC80" s="1717"/>
      <c r="AID80" s="1718"/>
      <c r="AIE80" s="1718"/>
      <c r="AIF80" s="1718"/>
      <c r="AIG80" s="1718"/>
      <c r="AIH80" s="246"/>
      <c r="AII80" s="246" t="str">
        <f>BS!$D$5</f>
        <v>31 March 2026</v>
      </c>
      <c r="AIJ80" s="247" t="str">
        <f>BS!$E$5</f>
        <v>31 March 2025</v>
      </c>
      <c r="AIK80" s="1717"/>
      <c r="AIL80" s="1718"/>
      <c r="AIM80" s="1718"/>
      <c r="AIN80" s="1718"/>
      <c r="AIO80" s="1718"/>
      <c r="AIP80" s="246"/>
      <c r="AIQ80" s="246" t="str">
        <f>BS!$D$5</f>
        <v>31 March 2026</v>
      </c>
      <c r="AIR80" s="247" t="str">
        <f>BS!$E$5</f>
        <v>31 March 2025</v>
      </c>
      <c r="AIS80" s="1717"/>
      <c r="AIT80" s="1718"/>
      <c r="AIU80" s="1718"/>
      <c r="AIV80" s="1718"/>
      <c r="AIW80" s="1718"/>
      <c r="AIX80" s="246"/>
      <c r="AIY80" s="246" t="str">
        <f>BS!$D$5</f>
        <v>31 March 2026</v>
      </c>
      <c r="AIZ80" s="247" t="str">
        <f>BS!$E$5</f>
        <v>31 March 2025</v>
      </c>
      <c r="AJA80" s="1717"/>
      <c r="AJB80" s="1718"/>
      <c r="AJC80" s="1718"/>
      <c r="AJD80" s="1718"/>
      <c r="AJE80" s="1718"/>
      <c r="AJF80" s="246"/>
      <c r="AJG80" s="246" t="str">
        <f>BS!$D$5</f>
        <v>31 March 2026</v>
      </c>
      <c r="AJH80" s="247" t="str">
        <f>BS!$E$5</f>
        <v>31 March 2025</v>
      </c>
      <c r="AJI80" s="1717"/>
      <c r="AJJ80" s="1718"/>
      <c r="AJK80" s="1718"/>
      <c r="AJL80" s="1718"/>
      <c r="AJM80" s="1718"/>
      <c r="AJN80" s="246"/>
      <c r="AJO80" s="246" t="str">
        <f>BS!$D$5</f>
        <v>31 March 2026</v>
      </c>
      <c r="AJP80" s="247" t="str">
        <f>BS!$E$5</f>
        <v>31 March 2025</v>
      </c>
      <c r="AJQ80" s="1717"/>
      <c r="AJR80" s="1718"/>
      <c r="AJS80" s="1718"/>
      <c r="AJT80" s="1718"/>
      <c r="AJU80" s="1718"/>
      <c r="AJV80" s="246"/>
      <c r="AJW80" s="246" t="str">
        <f>BS!$D$5</f>
        <v>31 March 2026</v>
      </c>
      <c r="AJX80" s="247" t="str">
        <f>BS!$E$5</f>
        <v>31 March 2025</v>
      </c>
      <c r="AJY80" s="1717"/>
      <c r="AJZ80" s="1718"/>
      <c r="AKA80" s="1718"/>
      <c r="AKB80" s="1718"/>
      <c r="AKC80" s="1718"/>
      <c r="AKD80" s="246"/>
      <c r="AKE80" s="246" t="str">
        <f>BS!$D$5</f>
        <v>31 March 2026</v>
      </c>
      <c r="AKF80" s="247" t="str">
        <f>BS!$E$5</f>
        <v>31 March 2025</v>
      </c>
      <c r="AKG80" s="1717"/>
      <c r="AKH80" s="1718"/>
      <c r="AKI80" s="1718"/>
      <c r="AKJ80" s="1718"/>
      <c r="AKK80" s="1718"/>
      <c r="AKL80" s="246"/>
      <c r="AKM80" s="246" t="str">
        <f>BS!$D$5</f>
        <v>31 March 2026</v>
      </c>
      <c r="AKN80" s="247" t="str">
        <f>BS!$E$5</f>
        <v>31 March 2025</v>
      </c>
      <c r="AKO80" s="1717"/>
      <c r="AKP80" s="1718"/>
      <c r="AKQ80" s="1718"/>
      <c r="AKR80" s="1718"/>
      <c r="AKS80" s="1718"/>
      <c r="AKT80" s="246"/>
      <c r="AKU80" s="246" t="str">
        <f>BS!$D$5</f>
        <v>31 March 2026</v>
      </c>
      <c r="AKV80" s="247" t="str">
        <f>BS!$E$5</f>
        <v>31 March 2025</v>
      </c>
      <c r="AKW80" s="1717"/>
      <c r="AKX80" s="1718"/>
      <c r="AKY80" s="1718"/>
      <c r="AKZ80" s="1718"/>
      <c r="ALA80" s="1718"/>
      <c r="ALB80" s="246"/>
      <c r="ALC80" s="246" t="str">
        <f>BS!$D$5</f>
        <v>31 March 2026</v>
      </c>
      <c r="ALD80" s="247" t="str">
        <f>BS!$E$5</f>
        <v>31 March 2025</v>
      </c>
      <c r="ALE80" s="1717"/>
      <c r="ALF80" s="1718"/>
      <c r="ALG80" s="1718"/>
      <c r="ALH80" s="1718"/>
      <c r="ALI80" s="1718"/>
      <c r="ALJ80" s="246"/>
      <c r="ALK80" s="246" t="str">
        <f>BS!$D$5</f>
        <v>31 March 2026</v>
      </c>
      <c r="ALL80" s="247" t="str">
        <f>BS!$E$5</f>
        <v>31 March 2025</v>
      </c>
      <c r="ALM80" s="1717"/>
      <c r="ALN80" s="1718"/>
      <c r="ALO80" s="1718"/>
      <c r="ALP80" s="1718"/>
      <c r="ALQ80" s="1718"/>
      <c r="ALR80" s="246"/>
      <c r="ALS80" s="246" t="str">
        <f>BS!$D$5</f>
        <v>31 March 2026</v>
      </c>
      <c r="ALT80" s="247" t="str">
        <f>BS!$E$5</f>
        <v>31 March 2025</v>
      </c>
      <c r="ALU80" s="1717"/>
      <c r="ALV80" s="1718"/>
      <c r="ALW80" s="1718"/>
      <c r="ALX80" s="1718"/>
      <c r="ALY80" s="1718"/>
      <c r="ALZ80" s="246"/>
      <c r="AMA80" s="246" t="str">
        <f>BS!$D$5</f>
        <v>31 March 2026</v>
      </c>
      <c r="AMB80" s="247" t="str">
        <f>BS!$E$5</f>
        <v>31 March 2025</v>
      </c>
      <c r="AMC80" s="1717"/>
      <c r="AMD80" s="1718"/>
      <c r="AME80" s="1718"/>
      <c r="AMF80" s="1718"/>
      <c r="AMG80" s="1718"/>
      <c r="AMH80" s="246"/>
      <c r="AMI80" s="246" t="str">
        <f>BS!$D$5</f>
        <v>31 March 2026</v>
      </c>
      <c r="AMJ80" s="247" t="str">
        <f>BS!$E$5</f>
        <v>31 March 2025</v>
      </c>
      <c r="AMK80" s="1717"/>
      <c r="AML80" s="1718"/>
      <c r="AMM80" s="1718"/>
      <c r="AMN80" s="1718"/>
      <c r="AMO80" s="1718"/>
      <c r="AMP80" s="246"/>
      <c r="AMQ80" s="246" t="str">
        <f>BS!$D$5</f>
        <v>31 March 2026</v>
      </c>
      <c r="AMR80" s="247" t="str">
        <f>BS!$E$5</f>
        <v>31 March 2025</v>
      </c>
      <c r="AMS80" s="1717"/>
      <c r="AMT80" s="1718"/>
      <c r="AMU80" s="1718"/>
      <c r="AMV80" s="1718"/>
      <c r="AMW80" s="1718"/>
      <c r="AMX80" s="246"/>
      <c r="AMY80" s="246" t="str">
        <f>BS!$D$5</f>
        <v>31 March 2026</v>
      </c>
      <c r="AMZ80" s="247" t="str">
        <f>BS!$E$5</f>
        <v>31 March 2025</v>
      </c>
      <c r="ANA80" s="1717"/>
      <c r="ANB80" s="1718"/>
      <c r="ANC80" s="1718"/>
      <c r="AND80" s="1718"/>
      <c r="ANE80" s="1718"/>
      <c r="ANF80" s="246"/>
      <c r="ANG80" s="246" t="str">
        <f>BS!$D$5</f>
        <v>31 March 2026</v>
      </c>
      <c r="ANH80" s="247" t="str">
        <f>BS!$E$5</f>
        <v>31 March 2025</v>
      </c>
      <c r="ANI80" s="1717"/>
      <c r="ANJ80" s="1718"/>
      <c r="ANK80" s="1718"/>
      <c r="ANL80" s="1718"/>
      <c r="ANM80" s="1718"/>
      <c r="ANN80" s="246"/>
      <c r="ANO80" s="246" t="str">
        <f>BS!$D$5</f>
        <v>31 March 2026</v>
      </c>
      <c r="ANP80" s="247" t="str">
        <f>BS!$E$5</f>
        <v>31 March 2025</v>
      </c>
      <c r="ANQ80" s="1717"/>
      <c r="ANR80" s="1718"/>
      <c r="ANS80" s="1718"/>
      <c r="ANT80" s="1718"/>
      <c r="ANU80" s="1718"/>
      <c r="ANV80" s="246"/>
      <c r="ANW80" s="246" t="str">
        <f>BS!$D$5</f>
        <v>31 March 2026</v>
      </c>
      <c r="ANX80" s="247" t="str">
        <f>BS!$E$5</f>
        <v>31 March 2025</v>
      </c>
      <c r="ANY80" s="1717"/>
      <c r="ANZ80" s="1718"/>
      <c r="AOA80" s="1718"/>
      <c r="AOB80" s="1718"/>
      <c r="AOC80" s="1718"/>
      <c r="AOD80" s="246"/>
      <c r="AOE80" s="246" t="str">
        <f>BS!$D$5</f>
        <v>31 March 2026</v>
      </c>
      <c r="AOF80" s="247" t="str">
        <f>BS!$E$5</f>
        <v>31 March 2025</v>
      </c>
      <c r="AOG80" s="1717"/>
      <c r="AOH80" s="1718"/>
      <c r="AOI80" s="1718"/>
      <c r="AOJ80" s="1718"/>
      <c r="AOK80" s="1718"/>
      <c r="AOL80" s="246"/>
      <c r="AOM80" s="246" t="str">
        <f>BS!$D$5</f>
        <v>31 March 2026</v>
      </c>
      <c r="AON80" s="247" t="str">
        <f>BS!$E$5</f>
        <v>31 March 2025</v>
      </c>
      <c r="AOO80" s="1717"/>
      <c r="AOP80" s="1718"/>
      <c r="AOQ80" s="1718"/>
      <c r="AOR80" s="1718"/>
      <c r="AOS80" s="1718"/>
      <c r="AOT80" s="246"/>
      <c r="AOU80" s="246" t="str">
        <f>BS!$D$5</f>
        <v>31 March 2026</v>
      </c>
      <c r="AOV80" s="247" t="str">
        <f>BS!$E$5</f>
        <v>31 March 2025</v>
      </c>
      <c r="AOW80" s="1717"/>
      <c r="AOX80" s="1718"/>
      <c r="AOY80" s="1718"/>
      <c r="AOZ80" s="1718"/>
      <c r="APA80" s="1718"/>
      <c r="APB80" s="246"/>
      <c r="APC80" s="246" t="str">
        <f>BS!$D$5</f>
        <v>31 March 2026</v>
      </c>
      <c r="APD80" s="247" t="str">
        <f>BS!$E$5</f>
        <v>31 March 2025</v>
      </c>
      <c r="APE80" s="1717"/>
      <c r="APF80" s="1718"/>
      <c r="APG80" s="1718"/>
      <c r="APH80" s="1718"/>
      <c r="API80" s="1718"/>
      <c r="APJ80" s="246"/>
      <c r="APK80" s="246" t="str">
        <f>BS!$D$5</f>
        <v>31 March 2026</v>
      </c>
      <c r="APL80" s="247" t="str">
        <f>BS!$E$5</f>
        <v>31 March 2025</v>
      </c>
      <c r="APM80" s="1717"/>
      <c r="APN80" s="1718"/>
      <c r="APO80" s="1718"/>
      <c r="APP80" s="1718"/>
      <c r="APQ80" s="1718"/>
      <c r="APR80" s="246"/>
      <c r="APS80" s="246" t="str">
        <f>BS!$D$5</f>
        <v>31 March 2026</v>
      </c>
      <c r="APT80" s="247" t="str">
        <f>BS!$E$5</f>
        <v>31 March 2025</v>
      </c>
      <c r="APU80" s="1717"/>
      <c r="APV80" s="1718"/>
      <c r="APW80" s="1718"/>
      <c r="APX80" s="1718"/>
      <c r="APY80" s="1718"/>
      <c r="APZ80" s="246"/>
      <c r="AQA80" s="246" t="str">
        <f>BS!$D$5</f>
        <v>31 March 2026</v>
      </c>
      <c r="AQB80" s="247" t="str">
        <f>BS!$E$5</f>
        <v>31 March 2025</v>
      </c>
      <c r="AQC80" s="1717"/>
      <c r="AQD80" s="1718"/>
      <c r="AQE80" s="1718"/>
      <c r="AQF80" s="1718"/>
      <c r="AQG80" s="1718"/>
      <c r="AQH80" s="246"/>
      <c r="AQI80" s="246" t="str">
        <f>BS!$D$5</f>
        <v>31 March 2026</v>
      </c>
      <c r="AQJ80" s="247" t="str">
        <f>BS!$E$5</f>
        <v>31 March 2025</v>
      </c>
      <c r="AQK80" s="1717"/>
      <c r="AQL80" s="1718"/>
      <c r="AQM80" s="1718"/>
      <c r="AQN80" s="1718"/>
      <c r="AQO80" s="1718"/>
      <c r="AQP80" s="246"/>
      <c r="AQQ80" s="246" t="str">
        <f>BS!$D$5</f>
        <v>31 March 2026</v>
      </c>
      <c r="AQR80" s="247" t="str">
        <f>BS!$E$5</f>
        <v>31 March 2025</v>
      </c>
      <c r="AQS80" s="1717"/>
      <c r="AQT80" s="1718"/>
      <c r="AQU80" s="1718"/>
      <c r="AQV80" s="1718"/>
      <c r="AQW80" s="1718"/>
      <c r="AQX80" s="246"/>
      <c r="AQY80" s="246" t="str">
        <f>BS!$D$5</f>
        <v>31 March 2026</v>
      </c>
      <c r="AQZ80" s="247" t="str">
        <f>BS!$E$5</f>
        <v>31 March 2025</v>
      </c>
      <c r="ARA80" s="1717"/>
      <c r="ARB80" s="1718"/>
      <c r="ARC80" s="1718"/>
      <c r="ARD80" s="1718"/>
      <c r="ARE80" s="1718"/>
      <c r="ARF80" s="246"/>
      <c r="ARG80" s="246" t="str">
        <f>BS!$D$5</f>
        <v>31 March 2026</v>
      </c>
      <c r="ARH80" s="247" t="str">
        <f>BS!$E$5</f>
        <v>31 March 2025</v>
      </c>
      <c r="ARI80" s="1717"/>
      <c r="ARJ80" s="1718"/>
      <c r="ARK80" s="1718"/>
      <c r="ARL80" s="1718"/>
      <c r="ARM80" s="1718"/>
      <c r="ARN80" s="246"/>
      <c r="ARO80" s="246" t="str">
        <f>BS!$D$5</f>
        <v>31 March 2026</v>
      </c>
      <c r="ARP80" s="247" t="str">
        <f>BS!$E$5</f>
        <v>31 March 2025</v>
      </c>
      <c r="ARQ80" s="1717"/>
      <c r="ARR80" s="1718"/>
      <c r="ARS80" s="1718"/>
      <c r="ART80" s="1718"/>
      <c r="ARU80" s="1718"/>
      <c r="ARV80" s="246"/>
      <c r="ARW80" s="246" t="str">
        <f>BS!$D$5</f>
        <v>31 March 2026</v>
      </c>
      <c r="ARX80" s="247" t="str">
        <f>BS!$E$5</f>
        <v>31 March 2025</v>
      </c>
      <c r="ARY80" s="1717"/>
      <c r="ARZ80" s="1718"/>
      <c r="ASA80" s="1718"/>
      <c r="ASB80" s="1718"/>
      <c r="ASC80" s="1718"/>
      <c r="ASD80" s="246"/>
      <c r="ASE80" s="246" t="str">
        <f>BS!$D$5</f>
        <v>31 March 2026</v>
      </c>
      <c r="ASF80" s="247" t="str">
        <f>BS!$E$5</f>
        <v>31 March 2025</v>
      </c>
      <c r="ASG80" s="1717"/>
      <c r="ASH80" s="1718"/>
      <c r="ASI80" s="1718"/>
      <c r="ASJ80" s="1718"/>
      <c r="ASK80" s="1718"/>
      <c r="ASL80" s="246"/>
      <c r="ASM80" s="246" t="str">
        <f>BS!$D$5</f>
        <v>31 March 2026</v>
      </c>
      <c r="ASN80" s="247" t="str">
        <f>BS!$E$5</f>
        <v>31 March 2025</v>
      </c>
      <c r="ASO80" s="1717"/>
      <c r="ASP80" s="1718"/>
      <c r="ASQ80" s="1718"/>
      <c r="ASR80" s="1718"/>
      <c r="ASS80" s="1718"/>
      <c r="AST80" s="246"/>
      <c r="ASU80" s="246" t="str">
        <f>BS!$D$5</f>
        <v>31 March 2026</v>
      </c>
      <c r="ASV80" s="247" t="str">
        <f>BS!$E$5</f>
        <v>31 March 2025</v>
      </c>
      <c r="ASW80" s="1717"/>
      <c r="ASX80" s="1718"/>
      <c r="ASY80" s="1718"/>
      <c r="ASZ80" s="1718"/>
      <c r="ATA80" s="1718"/>
      <c r="ATB80" s="246"/>
      <c r="ATC80" s="246" t="str">
        <f>BS!$D$5</f>
        <v>31 March 2026</v>
      </c>
      <c r="ATD80" s="247" t="str">
        <f>BS!$E$5</f>
        <v>31 March 2025</v>
      </c>
      <c r="ATE80" s="1717"/>
      <c r="ATF80" s="1718"/>
      <c r="ATG80" s="1718"/>
      <c r="ATH80" s="1718"/>
      <c r="ATI80" s="1718"/>
      <c r="ATJ80" s="246"/>
      <c r="ATK80" s="246" t="str">
        <f>BS!$D$5</f>
        <v>31 March 2026</v>
      </c>
      <c r="ATL80" s="247" t="str">
        <f>BS!$E$5</f>
        <v>31 March 2025</v>
      </c>
      <c r="ATM80" s="1717"/>
      <c r="ATN80" s="1718"/>
      <c r="ATO80" s="1718"/>
      <c r="ATP80" s="1718"/>
      <c r="ATQ80" s="1718"/>
      <c r="ATR80" s="246"/>
      <c r="ATS80" s="246" t="str">
        <f>BS!$D$5</f>
        <v>31 March 2026</v>
      </c>
      <c r="ATT80" s="247" t="str">
        <f>BS!$E$5</f>
        <v>31 March 2025</v>
      </c>
      <c r="ATU80" s="1717"/>
      <c r="ATV80" s="1718"/>
      <c r="ATW80" s="1718"/>
      <c r="ATX80" s="1718"/>
      <c r="ATY80" s="1718"/>
      <c r="ATZ80" s="246"/>
      <c r="AUA80" s="246" t="str">
        <f>BS!$D$5</f>
        <v>31 March 2026</v>
      </c>
      <c r="AUB80" s="247" t="str">
        <f>BS!$E$5</f>
        <v>31 March 2025</v>
      </c>
      <c r="AUC80" s="1717"/>
      <c r="AUD80" s="1718"/>
      <c r="AUE80" s="1718"/>
      <c r="AUF80" s="1718"/>
      <c r="AUG80" s="1718"/>
      <c r="AUH80" s="246"/>
      <c r="AUI80" s="246" t="str">
        <f>BS!$D$5</f>
        <v>31 March 2026</v>
      </c>
      <c r="AUJ80" s="247" t="str">
        <f>BS!$E$5</f>
        <v>31 March 2025</v>
      </c>
      <c r="AUK80" s="1717"/>
      <c r="AUL80" s="1718"/>
      <c r="AUM80" s="1718"/>
      <c r="AUN80" s="1718"/>
      <c r="AUO80" s="1718"/>
      <c r="AUP80" s="246"/>
      <c r="AUQ80" s="246" t="str">
        <f>BS!$D$5</f>
        <v>31 March 2026</v>
      </c>
      <c r="AUR80" s="247" t="str">
        <f>BS!$E$5</f>
        <v>31 March 2025</v>
      </c>
      <c r="AUS80" s="1717"/>
      <c r="AUT80" s="1718"/>
      <c r="AUU80" s="1718"/>
      <c r="AUV80" s="1718"/>
      <c r="AUW80" s="1718"/>
      <c r="AUX80" s="246"/>
      <c r="AUY80" s="246" t="str">
        <f>BS!$D$5</f>
        <v>31 March 2026</v>
      </c>
      <c r="AUZ80" s="247" t="str">
        <f>BS!$E$5</f>
        <v>31 March 2025</v>
      </c>
      <c r="AVA80" s="1717"/>
      <c r="AVB80" s="1718"/>
      <c r="AVC80" s="1718"/>
      <c r="AVD80" s="1718"/>
      <c r="AVE80" s="1718"/>
      <c r="AVF80" s="246"/>
      <c r="AVG80" s="246" t="str">
        <f>BS!$D$5</f>
        <v>31 March 2026</v>
      </c>
      <c r="AVH80" s="247" t="str">
        <f>BS!$E$5</f>
        <v>31 March 2025</v>
      </c>
      <c r="AVI80" s="1717"/>
      <c r="AVJ80" s="1718"/>
      <c r="AVK80" s="1718"/>
      <c r="AVL80" s="1718"/>
      <c r="AVM80" s="1718"/>
      <c r="AVN80" s="246"/>
      <c r="AVO80" s="246" t="str">
        <f>BS!$D$5</f>
        <v>31 March 2026</v>
      </c>
      <c r="AVP80" s="247" t="str">
        <f>BS!$E$5</f>
        <v>31 March 2025</v>
      </c>
      <c r="AVQ80" s="1717"/>
      <c r="AVR80" s="1718"/>
      <c r="AVS80" s="1718"/>
      <c r="AVT80" s="1718"/>
      <c r="AVU80" s="1718"/>
      <c r="AVV80" s="246"/>
      <c r="AVW80" s="246" t="str">
        <f>BS!$D$5</f>
        <v>31 March 2026</v>
      </c>
      <c r="AVX80" s="247" t="str">
        <f>BS!$E$5</f>
        <v>31 March 2025</v>
      </c>
      <c r="AVY80" s="1717"/>
      <c r="AVZ80" s="1718"/>
      <c r="AWA80" s="1718"/>
      <c r="AWB80" s="1718"/>
      <c r="AWC80" s="1718"/>
      <c r="AWD80" s="246"/>
      <c r="AWE80" s="246" t="str">
        <f>BS!$D$5</f>
        <v>31 March 2026</v>
      </c>
      <c r="AWF80" s="247" t="str">
        <f>BS!$E$5</f>
        <v>31 March 2025</v>
      </c>
      <c r="AWG80" s="1717"/>
      <c r="AWH80" s="1718"/>
      <c r="AWI80" s="1718"/>
      <c r="AWJ80" s="1718"/>
      <c r="AWK80" s="1718"/>
      <c r="AWL80" s="246"/>
      <c r="AWM80" s="246" t="str">
        <f>BS!$D$5</f>
        <v>31 March 2026</v>
      </c>
      <c r="AWN80" s="247" t="str">
        <f>BS!$E$5</f>
        <v>31 March 2025</v>
      </c>
      <c r="AWO80" s="1717"/>
      <c r="AWP80" s="1718"/>
      <c r="AWQ80" s="1718"/>
      <c r="AWR80" s="1718"/>
      <c r="AWS80" s="1718"/>
      <c r="AWT80" s="246"/>
      <c r="AWU80" s="246" t="str">
        <f>BS!$D$5</f>
        <v>31 March 2026</v>
      </c>
      <c r="AWV80" s="247" t="str">
        <f>BS!$E$5</f>
        <v>31 March 2025</v>
      </c>
      <c r="AWW80" s="1717"/>
      <c r="AWX80" s="1718"/>
      <c r="AWY80" s="1718"/>
      <c r="AWZ80" s="1718"/>
      <c r="AXA80" s="1718"/>
      <c r="AXB80" s="246"/>
      <c r="AXC80" s="246" t="str">
        <f>BS!$D$5</f>
        <v>31 March 2026</v>
      </c>
      <c r="AXD80" s="247" t="str">
        <f>BS!$E$5</f>
        <v>31 March 2025</v>
      </c>
      <c r="AXE80" s="1717"/>
      <c r="AXF80" s="1718"/>
      <c r="AXG80" s="1718"/>
      <c r="AXH80" s="1718"/>
      <c r="AXI80" s="1718"/>
      <c r="AXJ80" s="246"/>
      <c r="AXK80" s="246" t="str">
        <f>BS!$D$5</f>
        <v>31 March 2026</v>
      </c>
      <c r="AXL80" s="247" t="str">
        <f>BS!$E$5</f>
        <v>31 March 2025</v>
      </c>
      <c r="AXM80" s="1717"/>
      <c r="AXN80" s="1718"/>
      <c r="AXO80" s="1718"/>
      <c r="AXP80" s="1718"/>
      <c r="AXQ80" s="1718"/>
      <c r="AXR80" s="246"/>
      <c r="AXS80" s="246" t="str">
        <f>BS!$D$5</f>
        <v>31 March 2026</v>
      </c>
      <c r="AXT80" s="247" t="str">
        <f>BS!$E$5</f>
        <v>31 March 2025</v>
      </c>
      <c r="AXU80" s="1717"/>
      <c r="AXV80" s="1718"/>
      <c r="AXW80" s="1718"/>
      <c r="AXX80" s="1718"/>
      <c r="AXY80" s="1718"/>
      <c r="AXZ80" s="246"/>
      <c r="AYA80" s="246" t="str">
        <f>BS!$D$5</f>
        <v>31 March 2026</v>
      </c>
      <c r="AYB80" s="247" t="str">
        <f>BS!$E$5</f>
        <v>31 March 2025</v>
      </c>
      <c r="AYC80" s="1717"/>
      <c r="AYD80" s="1718"/>
      <c r="AYE80" s="1718"/>
      <c r="AYF80" s="1718"/>
      <c r="AYG80" s="1718"/>
      <c r="AYH80" s="246"/>
      <c r="AYI80" s="246" t="str">
        <f>BS!$D$5</f>
        <v>31 March 2026</v>
      </c>
      <c r="AYJ80" s="247" t="str">
        <f>BS!$E$5</f>
        <v>31 March 2025</v>
      </c>
      <c r="AYK80" s="1717"/>
      <c r="AYL80" s="1718"/>
      <c r="AYM80" s="1718"/>
      <c r="AYN80" s="1718"/>
      <c r="AYO80" s="1718"/>
      <c r="AYP80" s="246"/>
      <c r="AYQ80" s="246" t="str">
        <f>BS!$D$5</f>
        <v>31 March 2026</v>
      </c>
      <c r="AYR80" s="247" t="str">
        <f>BS!$E$5</f>
        <v>31 March 2025</v>
      </c>
      <c r="AYS80" s="1717"/>
      <c r="AYT80" s="1718"/>
      <c r="AYU80" s="1718"/>
      <c r="AYV80" s="1718"/>
      <c r="AYW80" s="1718"/>
      <c r="AYX80" s="246"/>
      <c r="AYY80" s="246" t="str">
        <f>BS!$D$5</f>
        <v>31 March 2026</v>
      </c>
      <c r="AYZ80" s="247" t="str">
        <f>BS!$E$5</f>
        <v>31 March 2025</v>
      </c>
      <c r="AZA80" s="1717"/>
      <c r="AZB80" s="1718"/>
      <c r="AZC80" s="1718"/>
      <c r="AZD80" s="1718"/>
      <c r="AZE80" s="1718"/>
      <c r="AZF80" s="246"/>
      <c r="AZG80" s="246" t="str">
        <f>BS!$D$5</f>
        <v>31 March 2026</v>
      </c>
      <c r="AZH80" s="247" t="str">
        <f>BS!$E$5</f>
        <v>31 March 2025</v>
      </c>
      <c r="AZI80" s="1717"/>
      <c r="AZJ80" s="1718"/>
      <c r="AZK80" s="1718"/>
      <c r="AZL80" s="1718"/>
      <c r="AZM80" s="1718"/>
      <c r="AZN80" s="246"/>
      <c r="AZO80" s="246" t="str">
        <f>BS!$D$5</f>
        <v>31 March 2026</v>
      </c>
      <c r="AZP80" s="247" t="str">
        <f>BS!$E$5</f>
        <v>31 March 2025</v>
      </c>
      <c r="AZQ80" s="1717"/>
      <c r="AZR80" s="1718"/>
      <c r="AZS80" s="1718"/>
      <c r="AZT80" s="1718"/>
      <c r="AZU80" s="1718"/>
      <c r="AZV80" s="246"/>
      <c r="AZW80" s="246" t="str">
        <f>BS!$D$5</f>
        <v>31 March 2026</v>
      </c>
      <c r="AZX80" s="247" t="str">
        <f>BS!$E$5</f>
        <v>31 March 2025</v>
      </c>
      <c r="AZY80" s="1717"/>
      <c r="AZZ80" s="1718"/>
      <c r="BAA80" s="1718"/>
      <c r="BAB80" s="1718"/>
      <c r="BAC80" s="1718"/>
      <c r="BAD80" s="246"/>
      <c r="BAE80" s="246" t="str">
        <f>BS!$D$5</f>
        <v>31 March 2026</v>
      </c>
      <c r="BAF80" s="247" t="str">
        <f>BS!$E$5</f>
        <v>31 March 2025</v>
      </c>
      <c r="BAG80" s="1717"/>
      <c r="BAH80" s="1718"/>
      <c r="BAI80" s="1718"/>
      <c r="BAJ80" s="1718"/>
      <c r="BAK80" s="1718"/>
      <c r="BAL80" s="246"/>
      <c r="BAM80" s="246" t="str">
        <f>BS!$D$5</f>
        <v>31 March 2026</v>
      </c>
      <c r="BAN80" s="247" t="str">
        <f>BS!$E$5</f>
        <v>31 March 2025</v>
      </c>
      <c r="BAO80" s="1717"/>
      <c r="BAP80" s="1718"/>
      <c r="BAQ80" s="1718"/>
      <c r="BAR80" s="1718"/>
      <c r="BAS80" s="1718"/>
      <c r="BAT80" s="246"/>
      <c r="BAU80" s="246" t="str">
        <f>BS!$D$5</f>
        <v>31 March 2026</v>
      </c>
      <c r="BAV80" s="247" t="str">
        <f>BS!$E$5</f>
        <v>31 March 2025</v>
      </c>
      <c r="BAW80" s="1717"/>
      <c r="BAX80" s="1718"/>
      <c r="BAY80" s="1718"/>
      <c r="BAZ80" s="1718"/>
      <c r="BBA80" s="1718"/>
      <c r="BBB80" s="246"/>
      <c r="BBC80" s="246" t="str">
        <f>BS!$D$5</f>
        <v>31 March 2026</v>
      </c>
      <c r="BBD80" s="247" t="str">
        <f>BS!$E$5</f>
        <v>31 March 2025</v>
      </c>
      <c r="BBE80" s="1717"/>
      <c r="BBF80" s="1718"/>
      <c r="BBG80" s="1718"/>
      <c r="BBH80" s="1718"/>
      <c r="BBI80" s="1718"/>
      <c r="BBJ80" s="246"/>
      <c r="BBK80" s="246" t="str">
        <f>BS!$D$5</f>
        <v>31 March 2026</v>
      </c>
      <c r="BBL80" s="247" t="str">
        <f>BS!$E$5</f>
        <v>31 March 2025</v>
      </c>
      <c r="BBM80" s="1717"/>
      <c r="BBN80" s="1718"/>
      <c r="BBO80" s="1718"/>
      <c r="BBP80" s="1718"/>
      <c r="BBQ80" s="1718"/>
      <c r="BBR80" s="246"/>
      <c r="BBS80" s="246" t="str">
        <f>BS!$D$5</f>
        <v>31 March 2026</v>
      </c>
      <c r="BBT80" s="247" t="str">
        <f>BS!$E$5</f>
        <v>31 March 2025</v>
      </c>
      <c r="BBU80" s="1717"/>
      <c r="BBV80" s="1718"/>
      <c r="BBW80" s="1718"/>
      <c r="BBX80" s="1718"/>
      <c r="BBY80" s="1718"/>
      <c r="BBZ80" s="246"/>
      <c r="BCA80" s="246" t="str">
        <f>BS!$D$5</f>
        <v>31 March 2026</v>
      </c>
      <c r="BCB80" s="247" t="str">
        <f>BS!$E$5</f>
        <v>31 March 2025</v>
      </c>
      <c r="BCC80" s="1717"/>
      <c r="BCD80" s="1718"/>
      <c r="BCE80" s="1718"/>
      <c r="BCF80" s="1718"/>
      <c r="BCG80" s="1718"/>
      <c r="BCH80" s="246"/>
      <c r="BCI80" s="246" t="str">
        <f>BS!$D$5</f>
        <v>31 March 2026</v>
      </c>
      <c r="BCJ80" s="247" t="str">
        <f>BS!$E$5</f>
        <v>31 March 2025</v>
      </c>
      <c r="BCK80" s="1717"/>
      <c r="BCL80" s="1718"/>
      <c r="BCM80" s="1718"/>
      <c r="BCN80" s="1718"/>
      <c r="BCO80" s="1718"/>
      <c r="BCP80" s="246"/>
      <c r="BCQ80" s="246" t="str">
        <f>BS!$D$5</f>
        <v>31 March 2026</v>
      </c>
      <c r="BCR80" s="247" t="str">
        <f>BS!$E$5</f>
        <v>31 March 2025</v>
      </c>
      <c r="BCS80" s="1717"/>
      <c r="BCT80" s="1718"/>
      <c r="BCU80" s="1718"/>
      <c r="BCV80" s="1718"/>
      <c r="BCW80" s="1718"/>
      <c r="BCX80" s="246"/>
      <c r="BCY80" s="246" t="str">
        <f>BS!$D$5</f>
        <v>31 March 2026</v>
      </c>
      <c r="BCZ80" s="247" t="str">
        <f>BS!$E$5</f>
        <v>31 March 2025</v>
      </c>
      <c r="BDA80" s="1717"/>
      <c r="BDB80" s="1718"/>
      <c r="BDC80" s="1718"/>
      <c r="BDD80" s="1718"/>
      <c r="BDE80" s="1718"/>
      <c r="BDF80" s="246"/>
      <c r="BDG80" s="246" t="str">
        <f>BS!$D$5</f>
        <v>31 March 2026</v>
      </c>
      <c r="BDH80" s="247" t="str">
        <f>BS!$E$5</f>
        <v>31 March 2025</v>
      </c>
      <c r="BDI80" s="1717"/>
      <c r="BDJ80" s="1718"/>
      <c r="BDK80" s="1718"/>
      <c r="BDL80" s="1718"/>
      <c r="BDM80" s="1718"/>
      <c r="BDN80" s="246"/>
      <c r="BDO80" s="246" t="str">
        <f>BS!$D$5</f>
        <v>31 March 2026</v>
      </c>
      <c r="BDP80" s="247" t="str">
        <f>BS!$E$5</f>
        <v>31 March 2025</v>
      </c>
      <c r="BDQ80" s="1717"/>
      <c r="BDR80" s="1718"/>
      <c r="BDS80" s="1718"/>
      <c r="BDT80" s="1718"/>
      <c r="BDU80" s="1718"/>
      <c r="BDV80" s="246"/>
      <c r="BDW80" s="246" t="str">
        <f>BS!$D$5</f>
        <v>31 March 2026</v>
      </c>
      <c r="BDX80" s="247" t="str">
        <f>BS!$E$5</f>
        <v>31 March 2025</v>
      </c>
      <c r="BDY80" s="1717"/>
      <c r="BDZ80" s="1718"/>
      <c r="BEA80" s="1718"/>
      <c r="BEB80" s="1718"/>
      <c r="BEC80" s="1718"/>
      <c r="BED80" s="246"/>
      <c r="BEE80" s="246" t="str">
        <f>BS!$D$5</f>
        <v>31 March 2026</v>
      </c>
      <c r="BEF80" s="247" t="str">
        <f>BS!$E$5</f>
        <v>31 March 2025</v>
      </c>
      <c r="BEG80" s="1717"/>
      <c r="BEH80" s="1718"/>
      <c r="BEI80" s="1718"/>
      <c r="BEJ80" s="1718"/>
      <c r="BEK80" s="1718"/>
      <c r="BEL80" s="246"/>
      <c r="BEM80" s="246" t="str">
        <f>BS!$D$5</f>
        <v>31 March 2026</v>
      </c>
      <c r="BEN80" s="247" t="str">
        <f>BS!$E$5</f>
        <v>31 March 2025</v>
      </c>
      <c r="BEO80" s="1717"/>
      <c r="BEP80" s="1718"/>
      <c r="BEQ80" s="1718"/>
      <c r="BER80" s="1718"/>
      <c r="BES80" s="1718"/>
      <c r="BET80" s="246"/>
      <c r="BEU80" s="246" t="str">
        <f>BS!$D$5</f>
        <v>31 March 2026</v>
      </c>
      <c r="BEV80" s="247" t="str">
        <f>BS!$E$5</f>
        <v>31 March 2025</v>
      </c>
      <c r="BEW80" s="1717"/>
      <c r="BEX80" s="1718"/>
      <c r="BEY80" s="1718"/>
      <c r="BEZ80" s="1718"/>
      <c r="BFA80" s="1718"/>
      <c r="BFB80" s="246"/>
      <c r="BFC80" s="246" t="str">
        <f>BS!$D$5</f>
        <v>31 March 2026</v>
      </c>
      <c r="BFD80" s="247" t="str">
        <f>BS!$E$5</f>
        <v>31 March 2025</v>
      </c>
      <c r="BFE80" s="1717"/>
      <c r="BFF80" s="1718"/>
      <c r="BFG80" s="1718"/>
      <c r="BFH80" s="1718"/>
      <c r="BFI80" s="1718"/>
      <c r="BFJ80" s="246"/>
      <c r="BFK80" s="246" t="str">
        <f>BS!$D$5</f>
        <v>31 March 2026</v>
      </c>
      <c r="BFL80" s="247" t="str">
        <f>BS!$E$5</f>
        <v>31 March 2025</v>
      </c>
      <c r="BFM80" s="1717"/>
      <c r="BFN80" s="1718"/>
      <c r="BFO80" s="1718"/>
      <c r="BFP80" s="1718"/>
      <c r="BFQ80" s="1718"/>
      <c r="BFR80" s="246"/>
      <c r="BFS80" s="246" t="str">
        <f>BS!$D$5</f>
        <v>31 March 2026</v>
      </c>
      <c r="BFT80" s="247" t="str">
        <f>BS!$E$5</f>
        <v>31 March 2025</v>
      </c>
      <c r="BFU80" s="1717"/>
      <c r="BFV80" s="1718"/>
      <c r="BFW80" s="1718"/>
      <c r="BFX80" s="1718"/>
      <c r="BFY80" s="1718"/>
      <c r="BFZ80" s="246"/>
      <c r="BGA80" s="246" t="str">
        <f>BS!$D$5</f>
        <v>31 March 2026</v>
      </c>
      <c r="BGB80" s="247" t="str">
        <f>BS!$E$5</f>
        <v>31 March 2025</v>
      </c>
      <c r="BGC80" s="1717"/>
      <c r="BGD80" s="1718"/>
      <c r="BGE80" s="1718"/>
      <c r="BGF80" s="1718"/>
      <c r="BGG80" s="1718"/>
      <c r="BGH80" s="246"/>
      <c r="BGI80" s="246" t="str">
        <f>BS!$D$5</f>
        <v>31 March 2026</v>
      </c>
      <c r="BGJ80" s="247" t="str">
        <f>BS!$E$5</f>
        <v>31 March 2025</v>
      </c>
      <c r="BGK80" s="1717"/>
      <c r="BGL80" s="1718"/>
      <c r="BGM80" s="1718"/>
      <c r="BGN80" s="1718"/>
      <c r="BGO80" s="1718"/>
      <c r="BGP80" s="246"/>
      <c r="BGQ80" s="246" t="str">
        <f>BS!$D$5</f>
        <v>31 March 2026</v>
      </c>
      <c r="BGR80" s="247" t="str">
        <f>BS!$E$5</f>
        <v>31 March 2025</v>
      </c>
      <c r="BGS80" s="1717"/>
      <c r="BGT80" s="1718"/>
      <c r="BGU80" s="1718"/>
      <c r="BGV80" s="1718"/>
      <c r="BGW80" s="1718"/>
      <c r="BGX80" s="246"/>
      <c r="BGY80" s="246" t="str">
        <f>BS!$D$5</f>
        <v>31 March 2026</v>
      </c>
      <c r="BGZ80" s="247" t="str">
        <f>BS!$E$5</f>
        <v>31 March 2025</v>
      </c>
      <c r="BHA80" s="1717"/>
      <c r="BHB80" s="1718"/>
      <c r="BHC80" s="1718"/>
      <c r="BHD80" s="1718"/>
      <c r="BHE80" s="1718"/>
      <c r="BHF80" s="246"/>
      <c r="BHG80" s="246" t="str">
        <f>BS!$D$5</f>
        <v>31 March 2026</v>
      </c>
      <c r="BHH80" s="247" t="str">
        <f>BS!$E$5</f>
        <v>31 March 2025</v>
      </c>
      <c r="BHI80" s="1717"/>
      <c r="BHJ80" s="1718"/>
      <c r="BHK80" s="1718"/>
      <c r="BHL80" s="1718"/>
      <c r="BHM80" s="1718"/>
      <c r="BHN80" s="246"/>
      <c r="BHO80" s="246" t="str">
        <f>BS!$D$5</f>
        <v>31 March 2026</v>
      </c>
      <c r="BHP80" s="247" t="str">
        <f>BS!$E$5</f>
        <v>31 March 2025</v>
      </c>
      <c r="BHQ80" s="1717"/>
      <c r="BHR80" s="1718"/>
      <c r="BHS80" s="1718"/>
      <c r="BHT80" s="1718"/>
      <c r="BHU80" s="1718"/>
      <c r="BHV80" s="246"/>
      <c r="BHW80" s="246" t="str">
        <f>BS!$D$5</f>
        <v>31 March 2026</v>
      </c>
      <c r="BHX80" s="247" t="str">
        <f>BS!$E$5</f>
        <v>31 March 2025</v>
      </c>
      <c r="BHY80" s="1717"/>
      <c r="BHZ80" s="1718"/>
      <c r="BIA80" s="1718"/>
      <c r="BIB80" s="1718"/>
      <c r="BIC80" s="1718"/>
      <c r="BID80" s="246"/>
      <c r="BIE80" s="246" t="str">
        <f>BS!$D$5</f>
        <v>31 March 2026</v>
      </c>
      <c r="BIF80" s="247" t="str">
        <f>BS!$E$5</f>
        <v>31 March 2025</v>
      </c>
      <c r="BIG80" s="1717"/>
      <c r="BIH80" s="1718"/>
      <c r="BII80" s="1718"/>
      <c r="BIJ80" s="1718"/>
      <c r="BIK80" s="1718"/>
      <c r="BIL80" s="246"/>
      <c r="BIM80" s="246" t="str">
        <f>BS!$D$5</f>
        <v>31 March 2026</v>
      </c>
      <c r="BIN80" s="247" t="str">
        <f>BS!$E$5</f>
        <v>31 March 2025</v>
      </c>
      <c r="BIO80" s="1717"/>
      <c r="BIP80" s="1718"/>
      <c r="BIQ80" s="1718"/>
      <c r="BIR80" s="1718"/>
      <c r="BIS80" s="1718"/>
      <c r="BIT80" s="246"/>
      <c r="BIU80" s="246" t="str">
        <f>BS!$D$5</f>
        <v>31 March 2026</v>
      </c>
      <c r="BIV80" s="247" t="str">
        <f>BS!$E$5</f>
        <v>31 March 2025</v>
      </c>
      <c r="BIW80" s="1717"/>
      <c r="BIX80" s="1718"/>
      <c r="BIY80" s="1718"/>
      <c r="BIZ80" s="1718"/>
      <c r="BJA80" s="1718"/>
      <c r="BJB80" s="246"/>
      <c r="BJC80" s="246" t="str">
        <f>BS!$D$5</f>
        <v>31 March 2026</v>
      </c>
      <c r="BJD80" s="247" t="str">
        <f>BS!$E$5</f>
        <v>31 March 2025</v>
      </c>
      <c r="BJE80" s="1717"/>
      <c r="BJF80" s="1718"/>
      <c r="BJG80" s="1718"/>
      <c r="BJH80" s="1718"/>
      <c r="BJI80" s="1718"/>
      <c r="BJJ80" s="246"/>
      <c r="BJK80" s="246" t="str">
        <f>BS!$D$5</f>
        <v>31 March 2026</v>
      </c>
      <c r="BJL80" s="247" t="str">
        <f>BS!$E$5</f>
        <v>31 March 2025</v>
      </c>
      <c r="BJM80" s="1717"/>
      <c r="BJN80" s="1718"/>
      <c r="BJO80" s="1718"/>
      <c r="BJP80" s="1718"/>
      <c r="BJQ80" s="1718"/>
      <c r="BJR80" s="246"/>
      <c r="BJS80" s="246" t="str">
        <f>BS!$D$5</f>
        <v>31 March 2026</v>
      </c>
      <c r="BJT80" s="247" t="str">
        <f>BS!$E$5</f>
        <v>31 March 2025</v>
      </c>
      <c r="BJU80" s="1717"/>
      <c r="BJV80" s="1718"/>
      <c r="BJW80" s="1718"/>
      <c r="BJX80" s="1718"/>
      <c r="BJY80" s="1718"/>
      <c r="BJZ80" s="246"/>
      <c r="BKA80" s="246" t="str">
        <f>BS!$D$5</f>
        <v>31 March 2026</v>
      </c>
      <c r="BKB80" s="247" t="str">
        <f>BS!$E$5</f>
        <v>31 March 2025</v>
      </c>
      <c r="BKC80" s="1717"/>
      <c r="BKD80" s="1718"/>
      <c r="BKE80" s="1718"/>
      <c r="BKF80" s="1718"/>
      <c r="BKG80" s="1718"/>
      <c r="BKH80" s="246"/>
      <c r="BKI80" s="246" t="str">
        <f>BS!$D$5</f>
        <v>31 March 2026</v>
      </c>
      <c r="BKJ80" s="247" t="str">
        <f>BS!$E$5</f>
        <v>31 March 2025</v>
      </c>
      <c r="BKK80" s="1717"/>
      <c r="BKL80" s="1718"/>
      <c r="BKM80" s="1718"/>
      <c r="BKN80" s="1718"/>
      <c r="BKO80" s="1718"/>
      <c r="BKP80" s="246"/>
      <c r="BKQ80" s="246" t="str">
        <f>BS!$D$5</f>
        <v>31 March 2026</v>
      </c>
      <c r="BKR80" s="247" t="str">
        <f>BS!$E$5</f>
        <v>31 March 2025</v>
      </c>
      <c r="BKS80" s="1717"/>
      <c r="BKT80" s="1718"/>
      <c r="BKU80" s="1718"/>
      <c r="BKV80" s="1718"/>
      <c r="BKW80" s="1718"/>
      <c r="BKX80" s="246"/>
      <c r="BKY80" s="246" t="str">
        <f>BS!$D$5</f>
        <v>31 March 2026</v>
      </c>
      <c r="BKZ80" s="247" t="str">
        <f>BS!$E$5</f>
        <v>31 March 2025</v>
      </c>
      <c r="BLA80" s="1717"/>
      <c r="BLB80" s="1718"/>
      <c r="BLC80" s="1718"/>
      <c r="BLD80" s="1718"/>
      <c r="BLE80" s="1718"/>
      <c r="BLF80" s="246"/>
      <c r="BLG80" s="246" t="str">
        <f>BS!$D$5</f>
        <v>31 March 2026</v>
      </c>
      <c r="BLH80" s="247" t="str">
        <f>BS!$E$5</f>
        <v>31 March 2025</v>
      </c>
      <c r="BLI80" s="1717"/>
      <c r="BLJ80" s="1718"/>
      <c r="BLK80" s="1718"/>
      <c r="BLL80" s="1718"/>
      <c r="BLM80" s="1718"/>
      <c r="BLN80" s="246"/>
      <c r="BLO80" s="246" t="str">
        <f>BS!$D$5</f>
        <v>31 March 2026</v>
      </c>
      <c r="BLP80" s="247" t="str">
        <f>BS!$E$5</f>
        <v>31 March 2025</v>
      </c>
      <c r="BLQ80" s="1717"/>
      <c r="BLR80" s="1718"/>
      <c r="BLS80" s="1718"/>
      <c r="BLT80" s="1718"/>
      <c r="BLU80" s="1718"/>
      <c r="BLV80" s="246"/>
      <c r="BLW80" s="246" t="str">
        <f>BS!$D$5</f>
        <v>31 March 2026</v>
      </c>
      <c r="BLX80" s="247" t="str">
        <f>BS!$E$5</f>
        <v>31 March 2025</v>
      </c>
      <c r="BLY80" s="1717"/>
      <c r="BLZ80" s="1718"/>
      <c r="BMA80" s="1718"/>
      <c r="BMB80" s="1718"/>
      <c r="BMC80" s="1718"/>
      <c r="BMD80" s="246"/>
      <c r="BME80" s="246" t="str">
        <f>BS!$D$5</f>
        <v>31 March 2026</v>
      </c>
      <c r="BMF80" s="247" t="str">
        <f>BS!$E$5</f>
        <v>31 March 2025</v>
      </c>
      <c r="BMG80" s="1717"/>
      <c r="BMH80" s="1718"/>
      <c r="BMI80" s="1718"/>
      <c r="BMJ80" s="1718"/>
      <c r="BMK80" s="1718"/>
      <c r="BML80" s="246"/>
      <c r="BMM80" s="246" t="str">
        <f>BS!$D$5</f>
        <v>31 March 2026</v>
      </c>
      <c r="BMN80" s="247" t="str">
        <f>BS!$E$5</f>
        <v>31 March 2025</v>
      </c>
      <c r="BMO80" s="1717"/>
      <c r="BMP80" s="1718"/>
      <c r="BMQ80" s="1718"/>
      <c r="BMR80" s="1718"/>
      <c r="BMS80" s="1718"/>
      <c r="BMT80" s="246"/>
      <c r="BMU80" s="246" t="str">
        <f>BS!$D$5</f>
        <v>31 March 2026</v>
      </c>
      <c r="BMV80" s="247" t="str">
        <f>BS!$E$5</f>
        <v>31 March 2025</v>
      </c>
      <c r="BMW80" s="1717"/>
      <c r="BMX80" s="1718"/>
      <c r="BMY80" s="1718"/>
      <c r="BMZ80" s="1718"/>
      <c r="BNA80" s="1718"/>
      <c r="BNB80" s="246"/>
      <c r="BNC80" s="246" t="str">
        <f>BS!$D$5</f>
        <v>31 March 2026</v>
      </c>
      <c r="BND80" s="247" t="str">
        <f>BS!$E$5</f>
        <v>31 March 2025</v>
      </c>
      <c r="BNE80" s="1717"/>
      <c r="BNF80" s="1718"/>
      <c r="BNG80" s="1718"/>
      <c r="BNH80" s="1718"/>
      <c r="BNI80" s="1718"/>
      <c r="BNJ80" s="246"/>
      <c r="BNK80" s="246" t="str">
        <f>BS!$D$5</f>
        <v>31 March 2026</v>
      </c>
      <c r="BNL80" s="247" t="str">
        <f>BS!$E$5</f>
        <v>31 March 2025</v>
      </c>
      <c r="BNM80" s="1717"/>
      <c r="BNN80" s="1718"/>
      <c r="BNO80" s="1718"/>
      <c r="BNP80" s="1718"/>
      <c r="BNQ80" s="1718"/>
      <c r="BNR80" s="246"/>
      <c r="BNS80" s="246" t="str">
        <f>BS!$D$5</f>
        <v>31 March 2026</v>
      </c>
      <c r="BNT80" s="247" t="str">
        <f>BS!$E$5</f>
        <v>31 March 2025</v>
      </c>
      <c r="BNU80" s="1717"/>
      <c r="BNV80" s="1718"/>
      <c r="BNW80" s="1718"/>
      <c r="BNX80" s="1718"/>
      <c r="BNY80" s="1718"/>
      <c r="BNZ80" s="246"/>
      <c r="BOA80" s="246" t="str">
        <f>BS!$D$5</f>
        <v>31 March 2026</v>
      </c>
      <c r="BOB80" s="247" t="str">
        <f>BS!$E$5</f>
        <v>31 March 2025</v>
      </c>
      <c r="BOC80" s="1717"/>
      <c r="BOD80" s="1718"/>
      <c r="BOE80" s="1718"/>
      <c r="BOF80" s="1718"/>
      <c r="BOG80" s="1718"/>
      <c r="BOH80" s="246"/>
      <c r="BOI80" s="246" t="str">
        <f>BS!$D$5</f>
        <v>31 March 2026</v>
      </c>
      <c r="BOJ80" s="247" t="str">
        <f>BS!$E$5</f>
        <v>31 March 2025</v>
      </c>
      <c r="BOK80" s="1717"/>
      <c r="BOL80" s="1718"/>
      <c r="BOM80" s="1718"/>
      <c r="BON80" s="1718"/>
      <c r="BOO80" s="1718"/>
      <c r="BOP80" s="246"/>
      <c r="BOQ80" s="246" t="str">
        <f>BS!$D$5</f>
        <v>31 March 2026</v>
      </c>
      <c r="BOR80" s="247" t="str">
        <f>BS!$E$5</f>
        <v>31 March 2025</v>
      </c>
      <c r="BOS80" s="1717"/>
      <c r="BOT80" s="1718"/>
      <c r="BOU80" s="1718"/>
      <c r="BOV80" s="1718"/>
      <c r="BOW80" s="1718"/>
      <c r="BOX80" s="246"/>
      <c r="BOY80" s="246" t="str">
        <f>BS!$D$5</f>
        <v>31 March 2026</v>
      </c>
      <c r="BOZ80" s="247" t="str">
        <f>BS!$E$5</f>
        <v>31 March 2025</v>
      </c>
      <c r="BPA80" s="1717"/>
      <c r="BPB80" s="1718"/>
      <c r="BPC80" s="1718"/>
      <c r="BPD80" s="1718"/>
      <c r="BPE80" s="1718"/>
      <c r="BPF80" s="246"/>
      <c r="BPG80" s="246" t="str">
        <f>BS!$D$5</f>
        <v>31 March 2026</v>
      </c>
      <c r="BPH80" s="247" t="str">
        <f>BS!$E$5</f>
        <v>31 March 2025</v>
      </c>
      <c r="BPI80" s="1717"/>
      <c r="BPJ80" s="1718"/>
      <c r="BPK80" s="1718"/>
      <c r="BPL80" s="1718"/>
      <c r="BPM80" s="1718"/>
      <c r="BPN80" s="246"/>
      <c r="BPO80" s="246" t="str">
        <f>BS!$D$5</f>
        <v>31 March 2026</v>
      </c>
      <c r="BPP80" s="247" t="str">
        <f>BS!$E$5</f>
        <v>31 March 2025</v>
      </c>
      <c r="BPQ80" s="1717"/>
      <c r="BPR80" s="1718"/>
      <c r="BPS80" s="1718"/>
      <c r="BPT80" s="1718"/>
      <c r="BPU80" s="1718"/>
      <c r="BPV80" s="246"/>
      <c r="BPW80" s="246" t="str">
        <f>BS!$D$5</f>
        <v>31 March 2026</v>
      </c>
      <c r="BPX80" s="247" t="str">
        <f>BS!$E$5</f>
        <v>31 March 2025</v>
      </c>
      <c r="BPY80" s="1717"/>
      <c r="BPZ80" s="1718"/>
      <c r="BQA80" s="1718"/>
      <c r="BQB80" s="1718"/>
      <c r="BQC80" s="1718"/>
      <c r="BQD80" s="246"/>
      <c r="BQE80" s="246" t="str">
        <f>BS!$D$5</f>
        <v>31 March 2026</v>
      </c>
      <c r="BQF80" s="247" t="str">
        <f>BS!$E$5</f>
        <v>31 March 2025</v>
      </c>
      <c r="BQG80" s="1717"/>
      <c r="BQH80" s="1718"/>
      <c r="BQI80" s="1718"/>
      <c r="BQJ80" s="1718"/>
      <c r="BQK80" s="1718"/>
      <c r="BQL80" s="246"/>
      <c r="BQM80" s="246" t="str">
        <f>BS!$D$5</f>
        <v>31 March 2026</v>
      </c>
      <c r="BQN80" s="247" t="str">
        <f>BS!$E$5</f>
        <v>31 March 2025</v>
      </c>
      <c r="BQO80" s="1717"/>
      <c r="BQP80" s="1718"/>
      <c r="BQQ80" s="1718"/>
      <c r="BQR80" s="1718"/>
      <c r="BQS80" s="1718"/>
      <c r="BQT80" s="246"/>
      <c r="BQU80" s="246" t="str">
        <f>BS!$D$5</f>
        <v>31 March 2026</v>
      </c>
      <c r="BQV80" s="247" t="str">
        <f>BS!$E$5</f>
        <v>31 March 2025</v>
      </c>
      <c r="BQW80" s="1717"/>
      <c r="BQX80" s="1718"/>
      <c r="BQY80" s="1718"/>
      <c r="BQZ80" s="1718"/>
      <c r="BRA80" s="1718"/>
      <c r="BRB80" s="246"/>
      <c r="BRC80" s="246" t="str">
        <f>BS!$D$5</f>
        <v>31 March 2026</v>
      </c>
      <c r="BRD80" s="247" t="str">
        <f>BS!$E$5</f>
        <v>31 March 2025</v>
      </c>
      <c r="BRE80" s="1717"/>
      <c r="BRF80" s="1718"/>
      <c r="BRG80" s="1718"/>
      <c r="BRH80" s="1718"/>
      <c r="BRI80" s="1718"/>
      <c r="BRJ80" s="246"/>
      <c r="BRK80" s="246" t="str">
        <f>BS!$D$5</f>
        <v>31 March 2026</v>
      </c>
      <c r="BRL80" s="247" t="str">
        <f>BS!$E$5</f>
        <v>31 March 2025</v>
      </c>
      <c r="BRM80" s="1717"/>
      <c r="BRN80" s="1718"/>
      <c r="BRO80" s="1718"/>
      <c r="BRP80" s="1718"/>
      <c r="BRQ80" s="1718"/>
      <c r="BRR80" s="246"/>
      <c r="BRS80" s="246" t="str">
        <f>BS!$D$5</f>
        <v>31 March 2026</v>
      </c>
      <c r="BRT80" s="247" t="str">
        <f>BS!$E$5</f>
        <v>31 March 2025</v>
      </c>
      <c r="BRU80" s="1717"/>
      <c r="BRV80" s="1718"/>
      <c r="BRW80" s="1718"/>
      <c r="BRX80" s="1718"/>
      <c r="BRY80" s="1718"/>
      <c r="BRZ80" s="246"/>
      <c r="BSA80" s="246" t="str">
        <f>BS!$D$5</f>
        <v>31 March 2026</v>
      </c>
      <c r="BSB80" s="247" t="str">
        <f>BS!$E$5</f>
        <v>31 March 2025</v>
      </c>
      <c r="BSC80" s="1717"/>
      <c r="BSD80" s="1718"/>
      <c r="BSE80" s="1718"/>
      <c r="BSF80" s="1718"/>
      <c r="BSG80" s="1718"/>
      <c r="BSH80" s="246"/>
      <c r="BSI80" s="246" t="str">
        <f>BS!$D$5</f>
        <v>31 March 2026</v>
      </c>
      <c r="BSJ80" s="247" t="str">
        <f>BS!$E$5</f>
        <v>31 March 2025</v>
      </c>
      <c r="BSK80" s="1717"/>
      <c r="BSL80" s="1718"/>
      <c r="BSM80" s="1718"/>
      <c r="BSN80" s="1718"/>
      <c r="BSO80" s="1718"/>
      <c r="BSP80" s="246"/>
      <c r="BSQ80" s="246" t="str">
        <f>BS!$D$5</f>
        <v>31 March 2026</v>
      </c>
      <c r="BSR80" s="247" t="str">
        <f>BS!$E$5</f>
        <v>31 March 2025</v>
      </c>
      <c r="BSS80" s="1717"/>
      <c r="BST80" s="1718"/>
      <c r="BSU80" s="1718"/>
      <c r="BSV80" s="1718"/>
      <c r="BSW80" s="1718"/>
      <c r="BSX80" s="246"/>
      <c r="BSY80" s="246" t="str">
        <f>BS!$D$5</f>
        <v>31 March 2026</v>
      </c>
      <c r="BSZ80" s="247" t="str">
        <f>BS!$E$5</f>
        <v>31 March 2025</v>
      </c>
      <c r="BTA80" s="1717"/>
      <c r="BTB80" s="1718"/>
      <c r="BTC80" s="1718"/>
      <c r="BTD80" s="1718"/>
      <c r="BTE80" s="1718"/>
      <c r="BTF80" s="246"/>
      <c r="BTG80" s="246" t="str">
        <f>BS!$D$5</f>
        <v>31 March 2026</v>
      </c>
      <c r="BTH80" s="247" t="str">
        <f>BS!$E$5</f>
        <v>31 March 2025</v>
      </c>
      <c r="BTI80" s="1717"/>
      <c r="BTJ80" s="1718"/>
      <c r="BTK80" s="1718"/>
      <c r="BTL80" s="1718"/>
      <c r="BTM80" s="1718"/>
      <c r="BTN80" s="246"/>
      <c r="BTO80" s="246" t="str">
        <f>BS!$D$5</f>
        <v>31 March 2026</v>
      </c>
      <c r="BTP80" s="247" t="str">
        <f>BS!$E$5</f>
        <v>31 March 2025</v>
      </c>
      <c r="BTQ80" s="1717"/>
      <c r="BTR80" s="1718"/>
      <c r="BTS80" s="1718"/>
      <c r="BTT80" s="1718"/>
      <c r="BTU80" s="1718"/>
      <c r="BTV80" s="246"/>
      <c r="BTW80" s="246" t="str">
        <f>BS!$D$5</f>
        <v>31 March 2026</v>
      </c>
      <c r="BTX80" s="247" t="str">
        <f>BS!$E$5</f>
        <v>31 March 2025</v>
      </c>
      <c r="BTY80" s="1717"/>
      <c r="BTZ80" s="1718"/>
      <c r="BUA80" s="1718"/>
      <c r="BUB80" s="1718"/>
      <c r="BUC80" s="1718"/>
      <c r="BUD80" s="246"/>
      <c r="BUE80" s="246" t="str">
        <f>BS!$D$5</f>
        <v>31 March 2026</v>
      </c>
      <c r="BUF80" s="247" t="str">
        <f>BS!$E$5</f>
        <v>31 March 2025</v>
      </c>
      <c r="BUG80" s="1717"/>
      <c r="BUH80" s="1718"/>
      <c r="BUI80" s="1718"/>
      <c r="BUJ80" s="1718"/>
      <c r="BUK80" s="1718"/>
      <c r="BUL80" s="246"/>
      <c r="BUM80" s="246" t="str">
        <f>BS!$D$5</f>
        <v>31 March 2026</v>
      </c>
      <c r="BUN80" s="247" t="str">
        <f>BS!$E$5</f>
        <v>31 March 2025</v>
      </c>
      <c r="BUO80" s="1717"/>
      <c r="BUP80" s="1718"/>
      <c r="BUQ80" s="1718"/>
      <c r="BUR80" s="1718"/>
      <c r="BUS80" s="1718"/>
      <c r="BUT80" s="246"/>
      <c r="BUU80" s="246" t="str">
        <f>BS!$D$5</f>
        <v>31 March 2026</v>
      </c>
      <c r="BUV80" s="247" t="str">
        <f>BS!$E$5</f>
        <v>31 March 2025</v>
      </c>
      <c r="BUW80" s="1717"/>
      <c r="BUX80" s="1718"/>
      <c r="BUY80" s="1718"/>
      <c r="BUZ80" s="1718"/>
      <c r="BVA80" s="1718"/>
      <c r="BVB80" s="246"/>
      <c r="BVC80" s="246" t="str">
        <f>BS!$D$5</f>
        <v>31 March 2026</v>
      </c>
      <c r="BVD80" s="247" t="str">
        <f>BS!$E$5</f>
        <v>31 March 2025</v>
      </c>
      <c r="BVE80" s="1717"/>
      <c r="BVF80" s="1718"/>
      <c r="BVG80" s="1718"/>
      <c r="BVH80" s="1718"/>
      <c r="BVI80" s="1718"/>
      <c r="BVJ80" s="246"/>
      <c r="BVK80" s="246" t="str">
        <f>BS!$D$5</f>
        <v>31 March 2026</v>
      </c>
      <c r="BVL80" s="247" t="str">
        <f>BS!$E$5</f>
        <v>31 March 2025</v>
      </c>
      <c r="BVM80" s="1717"/>
      <c r="BVN80" s="1718"/>
      <c r="BVO80" s="1718"/>
      <c r="BVP80" s="1718"/>
      <c r="BVQ80" s="1718"/>
      <c r="BVR80" s="246"/>
      <c r="BVS80" s="246" t="str">
        <f>BS!$D$5</f>
        <v>31 March 2026</v>
      </c>
      <c r="BVT80" s="247" t="str">
        <f>BS!$E$5</f>
        <v>31 March 2025</v>
      </c>
      <c r="BVU80" s="1717"/>
      <c r="BVV80" s="1718"/>
      <c r="BVW80" s="1718"/>
      <c r="BVX80" s="1718"/>
      <c r="BVY80" s="1718"/>
      <c r="BVZ80" s="246"/>
      <c r="BWA80" s="246" t="str">
        <f>BS!$D$5</f>
        <v>31 March 2026</v>
      </c>
      <c r="BWB80" s="247" t="str">
        <f>BS!$E$5</f>
        <v>31 March 2025</v>
      </c>
      <c r="BWC80" s="1717"/>
      <c r="BWD80" s="1718"/>
      <c r="BWE80" s="1718"/>
      <c r="BWF80" s="1718"/>
      <c r="BWG80" s="1718"/>
      <c r="BWH80" s="246"/>
      <c r="BWI80" s="246" t="str">
        <f>BS!$D$5</f>
        <v>31 March 2026</v>
      </c>
      <c r="BWJ80" s="247" t="str">
        <f>BS!$E$5</f>
        <v>31 March 2025</v>
      </c>
      <c r="BWK80" s="1717"/>
      <c r="BWL80" s="1718"/>
      <c r="BWM80" s="1718"/>
      <c r="BWN80" s="1718"/>
      <c r="BWO80" s="1718"/>
      <c r="BWP80" s="246"/>
      <c r="BWQ80" s="246" t="str">
        <f>BS!$D$5</f>
        <v>31 March 2026</v>
      </c>
      <c r="BWR80" s="247" t="str">
        <f>BS!$E$5</f>
        <v>31 March 2025</v>
      </c>
      <c r="BWS80" s="1717"/>
      <c r="BWT80" s="1718"/>
      <c r="BWU80" s="1718"/>
      <c r="BWV80" s="1718"/>
      <c r="BWW80" s="1718"/>
      <c r="BWX80" s="246"/>
      <c r="BWY80" s="246" t="str">
        <f>BS!$D$5</f>
        <v>31 March 2026</v>
      </c>
      <c r="BWZ80" s="247" t="str">
        <f>BS!$E$5</f>
        <v>31 March 2025</v>
      </c>
      <c r="BXA80" s="1717"/>
      <c r="BXB80" s="1718"/>
      <c r="BXC80" s="1718"/>
      <c r="BXD80" s="1718"/>
      <c r="BXE80" s="1718"/>
      <c r="BXF80" s="246"/>
      <c r="BXG80" s="246" t="str">
        <f>BS!$D$5</f>
        <v>31 March 2026</v>
      </c>
      <c r="BXH80" s="247" t="str">
        <f>BS!$E$5</f>
        <v>31 March 2025</v>
      </c>
      <c r="BXI80" s="1717"/>
      <c r="BXJ80" s="1718"/>
      <c r="BXK80" s="1718"/>
      <c r="BXL80" s="1718"/>
      <c r="BXM80" s="1718"/>
      <c r="BXN80" s="246"/>
      <c r="BXO80" s="246" t="str">
        <f>BS!$D$5</f>
        <v>31 March 2026</v>
      </c>
      <c r="BXP80" s="247" t="str">
        <f>BS!$E$5</f>
        <v>31 March 2025</v>
      </c>
      <c r="BXQ80" s="1717"/>
      <c r="BXR80" s="1718"/>
      <c r="BXS80" s="1718"/>
      <c r="BXT80" s="1718"/>
      <c r="BXU80" s="1718"/>
      <c r="BXV80" s="246"/>
      <c r="BXW80" s="246" t="str">
        <f>BS!$D$5</f>
        <v>31 March 2026</v>
      </c>
      <c r="BXX80" s="247" t="str">
        <f>BS!$E$5</f>
        <v>31 March 2025</v>
      </c>
      <c r="BXY80" s="1717"/>
      <c r="BXZ80" s="1718"/>
      <c r="BYA80" s="1718"/>
      <c r="BYB80" s="1718"/>
      <c r="BYC80" s="1718"/>
      <c r="BYD80" s="246"/>
      <c r="BYE80" s="246" t="str">
        <f>BS!$D$5</f>
        <v>31 March 2026</v>
      </c>
      <c r="BYF80" s="247" t="str">
        <f>BS!$E$5</f>
        <v>31 March 2025</v>
      </c>
      <c r="BYG80" s="1717"/>
      <c r="BYH80" s="1718"/>
      <c r="BYI80" s="1718"/>
      <c r="BYJ80" s="1718"/>
      <c r="BYK80" s="1718"/>
      <c r="BYL80" s="246"/>
      <c r="BYM80" s="246" t="str">
        <f>BS!$D$5</f>
        <v>31 March 2026</v>
      </c>
      <c r="BYN80" s="247" t="str">
        <f>BS!$E$5</f>
        <v>31 March 2025</v>
      </c>
      <c r="BYO80" s="1717"/>
      <c r="BYP80" s="1718"/>
      <c r="BYQ80" s="1718"/>
      <c r="BYR80" s="1718"/>
      <c r="BYS80" s="1718"/>
      <c r="BYT80" s="246"/>
      <c r="BYU80" s="246" t="str">
        <f>BS!$D$5</f>
        <v>31 March 2026</v>
      </c>
      <c r="BYV80" s="247" t="str">
        <f>BS!$E$5</f>
        <v>31 March 2025</v>
      </c>
      <c r="BYW80" s="1717"/>
      <c r="BYX80" s="1718"/>
      <c r="BYY80" s="1718"/>
      <c r="BYZ80" s="1718"/>
      <c r="BZA80" s="1718"/>
      <c r="BZB80" s="246"/>
      <c r="BZC80" s="246" t="str">
        <f>BS!$D$5</f>
        <v>31 March 2026</v>
      </c>
      <c r="BZD80" s="247" t="str">
        <f>BS!$E$5</f>
        <v>31 March 2025</v>
      </c>
      <c r="BZE80" s="1717"/>
      <c r="BZF80" s="1718"/>
      <c r="BZG80" s="1718"/>
      <c r="BZH80" s="1718"/>
      <c r="BZI80" s="1718"/>
      <c r="BZJ80" s="246"/>
      <c r="BZK80" s="246" t="str">
        <f>BS!$D$5</f>
        <v>31 March 2026</v>
      </c>
      <c r="BZL80" s="247" t="str">
        <f>BS!$E$5</f>
        <v>31 March 2025</v>
      </c>
      <c r="BZM80" s="1717"/>
      <c r="BZN80" s="1718"/>
      <c r="BZO80" s="1718"/>
      <c r="BZP80" s="1718"/>
      <c r="BZQ80" s="1718"/>
      <c r="BZR80" s="246"/>
      <c r="BZS80" s="246" t="str">
        <f>BS!$D$5</f>
        <v>31 March 2026</v>
      </c>
      <c r="BZT80" s="247" t="str">
        <f>BS!$E$5</f>
        <v>31 March 2025</v>
      </c>
      <c r="BZU80" s="1717"/>
      <c r="BZV80" s="1718"/>
      <c r="BZW80" s="1718"/>
      <c r="BZX80" s="1718"/>
      <c r="BZY80" s="1718"/>
      <c r="BZZ80" s="246"/>
      <c r="CAA80" s="246" t="str">
        <f>BS!$D$5</f>
        <v>31 March 2026</v>
      </c>
      <c r="CAB80" s="247" t="str">
        <f>BS!$E$5</f>
        <v>31 March 2025</v>
      </c>
      <c r="CAC80" s="1717"/>
      <c r="CAD80" s="1718"/>
      <c r="CAE80" s="1718"/>
      <c r="CAF80" s="1718"/>
      <c r="CAG80" s="1718"/>
      <c r="CAH80" s="246"/>
      <c r="CAI80" s="246" t="str">
        <f>BS!$D$5</f>
        <v>31 March 2026</v>
      </c>
      <c r="CAJ80" s="247" t="str">
        <f>BS!$E$5</f>
        <v>31 March 2025</v>
      </c>
      <c r="CAK80" s="1717"/>
      <c r="CAL80" s="1718"/>
      <c r="CAM80" s="1718"/>
      <c r="CAN80" s="1718"/>
      <c r="CAO80" s="1718"/>
      <c r="CAP80" s="246"/>
      <c r="CAQ80" s="246" t="str">
        <f>BS!$D$5</f>
        <v>31 March 2026</v>
      </c>
      <c r="CAR80" s="247" t="str">
        <f>BS!$E$5</f>
        <v>31 March 2025</v>
      </c>
      <c r="CAS80" s="1717"/>
      <c r="CAT80" s="1718"/>
      <c r="CAU80" s="1718"/>
      <c r="CAV80" s="1718"/>
      <c r="CAW80" s="1718"/>
      <c r="CAX80" s="246"/>
      <c r="CAY80" s="246" t="str">
        <f>BS!$D$5</f>
        <v>31 March 2026</v>
      </c>
      <c r="CAZ80" s="247" t="str">
        <f>BS!$E$5</f>
        <v>31 March 2025</v>
      </c>
      <c r="CBA80" s="1717"/>
      <c r="CBB80" s="1718"/>
      <c r="CBC80" s="1718"/>
      <c r="CBD80" s="1718"/>
      <c r="CBE80" s="1718"/>
      <c r="CBF80" s="246"/>
      <c r="CBG80" s="246" t="str">
        <f>BS!$D$5</f>
        <v>31 March 2026</v>
      </c>
      <c r="CBH80" s="247" t="str">
        <f>BS!$E$5</f>
        <v>31 March 2025</v>
      </c>
      <c r="CBI80" s="1717"/>
      <c r="CBJ80" s="1718"/>
      <c r="CBK80" s="1718"/>
      <c r="CBL80" s="1718"/>
      <c r="CBM80" s="1718"/>
      <c r="CBN80" s="246"/>
      <c r="CBO80" s="246" t="str">
        <f>BS!$D$5</f>
        <v>31 March 2026</v>
      </c>
      <c r="CBP80" s="247" t="str">
        <f>BS!$E$5</f>
        <v>31 March 2025</v>
      </c>
      <c r="CBQ80" s="1717"/>
      <c r="CBR80" s="1718"/>
      <c r="CBS80" s="1718"/>
      <c r="CBT80" s="1718"/>
      <c r="CBU80" s="1718"/>
      <c r="CBV80" s="246"/>
      <c r="CBW80" s="246" t="str">
        <f>BS!$D$5</f>
        <v>31 March 2026</v>
      </c>
      <c r="CBX80" s="247" t="str">
        <f>BS!$E$5</f>
        <v>31 March 2025</v>
      </c>
      <c r="CBY80" s="1717"/>
      <c r="CBZ80" s="1718"/>
      <c r="CCA80" s="1718"/>
      <c r="CCB80" s="1718"/>
      <c r="CCC80" s="1718"/>
      <c r="CCD80" s="246"/>
      <c r="CCE80" s="246" t="str">
        <f>BS!$D$5</f>
        <v>31 March 2026</v>
      </c>
      <c r="CCF80" s="247" t="str">
        <f>BS!$E$5</f>
        <v>31 March 2025</v>
      </c>
      <c r="CCG80" s="1717"/>
      <c r="CCH80" s="1718"/>
      <c r="CCI80" s="1718"/>
      <c r="CCJ80" s="1718"/>
      <c r="CCK80" s="1718"/>
      <c r="CCL80" s="246"/>
      <c r="CCM80" s="246" t="str">
        <f>BS!$D$5</f>
        <v>31 March 2026</v>
      </c>
      <c r="CCN80" s="247" t="str">
        <f>BS!$E$5</f>
        <v>31 March 2025</v>
      </c>
      <c r="CCO80" s="1717"/>
      <c r="CCP80" s="1718"/>
      <c r="CCQ80" s="1718"/>
      <c r="CCR80" s="1718"/>
      <c r="CCS80" s="1718"/>
      <c r="CCT80" s="246"/>
      <c r="CCU80" s="246" t="str">
        <f>BS!$D$5</f>
        <v>31 March 2026</v>
      </c>
      <c r="CCV80" s="247" t="str">
        <f>BS!$E$5</f>
        <v>31 March 2025</v>
      </c>
      <c r="CCW80" s="1717"/>
      <c r="CCX80" s="1718"/>
      <c r="CCY80" s="1718"/>
      <c r="CCZ80" s="1718"/>
      <c r="CDA80" s="1718"/>
      <c r="CDB80" s="246"/>
      <c r="CDC80" s="246" t="str">
        <f>BS!$D$5</f>
        <v>31 March 2026</v>
      </c>
      <c r="CDD80" s="247" t="str">
        <f>BS!$E$5</f>
        <v>31 March 2025</v>
      </c>
      <c r="CDE80" s="1717"/>
      <c r="CDF80" s="1718"/>
      <c r="CDG80" s="1718"/>
      <c r="CDH80" s="1718"/>
      <c r="CDI80" s="1718"/>
      <c r="CDJ80" s="246"/>
      <c r="CDK80" s="246" t="str">
        <f>BS!$D$5</f>
        <v>31 March 2026</v>
      </c>
      <c r="CDL80" s="247" t="str">
        <f>BS!$E$5</f>
        <v>31 March 2025</v>
      </c>
      <c r="CDM80" s="1717"/>
      <c r="CDN80" s="1718"/>
      <c r="CDO80" s="1718"/>
      <c r="CDP80" s="1718"/>
      <c r="CDQ80" s="1718"/>
      <c r="CDR80" s="246"/>
      <c r="CDS80" s="246" t="str">
        <f>BS!$D$5</f>
        <v>31 March 2026</v>
      </c>
      <c r="CDT80" s="247" t="str">
        <f>BS!$E$5</f>
        <v>31 March 2025</v>
      </c>
      <c r="CDU80" s="1717"/>
      <c r="CDV80" s="1718"/>
      <c r="CDW80" s="1718"/>
      <c r="CDX80" s="1718"/>
      <c r="CDY80" s="1718"/>
      <c r="CDZ80" s="246"/>
      <c r="CEA80" s="246" t="str">
        <f>BS!$D$5</f>
        <v>31 March 2026</v>
      </c>
      <c r="CEB80" s="247" t="str">
        <f>BS!$E$5</f>
        <v>31 March 2025</v>
      </c>
      <c r="CEC80" s="1717"/>
      <c r="CED80" s="1718"/>
      <c r="CEE80" s="1718"/>
      <c r="CEF80" s="1718"/>
      <c r="CEG80" s="1718"/>
      <c r="CEH80" s="246"/>
      <c r="CEI80" s="246" t="str">
        <f>BS!$D$5</f>
        <v>31 March 2026</v>
      </c>
      <c r="CEJ80" s="247" t="str">
        <f>BS!$E$5</f>
        <v>31 March 2025</v>
      </c>
      <c r="CEK80" s="1717"/>
      <c r="CEL80" s="1718"/>
      <c r="CEM80" s="1718"/>
      <c r="CEN80" s="1718"/>
      <c r="CEO80" s="1718"/>
      <c r="CEP80" s="246"/>
      <c r="CEQ80" s="246" t="str">
        <f>BS!$D$5</f>
        <v>31 March 2026</v>
      </c>
      <c r="CER80" s="247" t="str">
        <f>BS!$E$5</f>
        <v>31 March 2025</v>
      </c>
      <c r="CES80" s="1717"/>
      <c r="CET80" s="1718"/>
      <c r="CEU80" s="1718"/>
      <c r="CEV80" s="1718"/>
      <c r="CEW80" s="1718"/>
      <c r="CEX80" s="246"/>
      <c r="CEY80" s="246" t="str">
        <f>BS!$D$5</f>
        <v>31 March 2026</v>
      </c>
      <c r="CEZ80" s="247" t="str">
        <f>BS!$E$5</f>
        <v>31 March 2025</v>
      </c>
      <c r="CFA80" s="1717"/>
      <c r="CFB80" s="1718"/>
      <c r="CFC80" s="1718"/>
      <c r="CFD80" s="1718"/>
      <c r="CFE80" s="1718"/>
      <c r="CFF80" s="246"/>
      <c r="CFG80" s="246" t="str">
        <f>BS!$D$5</f>
        <v>31 March 2026</v>
      </c>
      <c r="CFH80" s="247" t="str">
        <f>BS!$E$5</f>
        <v>31 March 2025</v>
      </c>
      <c r="CFI80" s="1717"/>
      <c r="CFJ80" s="1718"/>
      <c r="CFK80" s="1718"/>
      <c r="CFL80" s="1718"/>
      <c r="CFM80" s="1718"/>
      <c r="CFN80" s="246"/>
      <c r="CFO80" s="246" t="str">
        <f>BS!$D$5</f>
        <v>31 March 2026</v>
      </c>
      <c r="CFP80" s="247" t="str">
        <f>BS!$E$5</f>
        <v>31 March 2025</v>
      </c>
      <c r="CFQ80" s="1717"/>
      <c r="CFR80" s="1718"/>
      <c r="CFS80" s="1718"/>
      <c r="CFT80" s="1718"/>
      <c r="CFU80" s="1718"/>
      <c r="CFV80" s="246"/>
      <c r="CFW80" s="246" t="str">
        <f>BS!$D$5</f>
        <v>31 March 2026</v>
      </c>
      <c r="CFX80" s="247" t="str">
        <f>BS!$E$5</f>
        <v>31 March 2025</v>
      </c>
      <c r="CFY80" s="1717"/>
      <c r="CFZ80" s="1718"/>
      <c r="CGA80" s="1718"/>
      <c r="CGB80" s="1718"/>
      <c r="CGC80" s="1718"/>
      <c r="CGD80" s="246"/>
      <c r="CGE80" s="246" t="str">
        <f>BS!$D$5</f>
        <v>31 March 2026</v>
      </c>
      <c r="CGF80" s="247" t="str">
        <f>BS!$E$5</f>
        <v>31 March 2025</v>
      </c>
      <c r="CGG80" s="1717"/>
      <c r="CGH80" s="1718"/>
      <c r="CGI80" s="1718"/>
      <c r="CGJ80" s="1718"/>
      <c r="CGK80" s="1718"/>
      <c r="CGL80" s="246"/>
      <c r="CGM80" s="246" t="str">
        <f>BS!$D$5</f>
        <v>31 March 2026</v>
      </c>
      <c r="CGN80" s="247" t="str">
        <f>BS!$E$5</f>
        <v>31 March 2025</v>
      </c>
      <c r="CGO80" s="1717"/>
      <c r="CGP80" s="1718"/>
      <c r="CGQ80" s="1718"/>
      <c r="CGR80" s="1718"/>
      <c r="CGS80" s="1718"/>
      <c r="CGT80" s="246"/>
      <c r="CGU80" s="246" t="str">
        <f>BS!$D$5</f>
        <v>31 March 2026</v>
      </c>
      <c r="CGV80" s="247" t="str">
        <f>BS!$E$5</f>
        <v>31 March 2025</v>
      </c>
      <c r="CGW80" s="1717"/>
      <c r="CGX80" s="1718"/>
      <c r="CGY80" s="1718"/>
      <c r="CGZ80" s="1718"/>
      <c r="CHA80" s="1718"/>
      <c r="CHB80" s="246"/>
      <c r="CHC80" s="246" t="str">
        <f>BS!$D$5</f>
        <v>31 March 2026</v>
      </c>
      <c r="CHD80" s="247" t="str">
        <f>BS!$E$5</f>
        <v>31 March 2025</v>
      </c>
      <c r="CHE80" s="1717"/>
      <c r="CHF80" s="1718"/>
      <c r="CHG80" s="1718"/>
      <c r="CHH80" s="1718"/>
      <c r="CHI80" s="1718"/>
      <c r="CHJ80" s="246"/>
      <c r="CHK80" s="246" t="str">
        <f>BS!$D$5</f>
        <v>31 March 2026</v>
      </c>
      <c r="CHL80" s="247" t="str">
        <f>BS!$E$5</f>
        <v>31 March 2025</v>
      </c>
      <c r="CHM80" s="1717"/>
      <c r="CHN80" s="1718"/>
      <c r="CHO80" s="1718"/>
      <c r="CHP80" s="1718"/>
      <c r="CHQ80" s="1718"/>
      <c r="CHR80" s="246"/>
      <c r="CHS80" s="246" t="str">
        <f>BS!$D$5</f>
        <v>31 March 2026</v>
      </c>
      <c r="CHT80" s="247" t="str">
        <f>BS!$E$5</f>
        <v>31 March 2025</v>
      </c>
      <c r="CHU80" s="1717"/>
      <c r="CHV80" s="1718"/>
      <c r="CHW80" s="1718"/>
      <c r="CHX80" s="1718"/>
      <c r="CHY80" s="1718"/>
      <c r="CHZ80" s="246"/>
      <c r="CIA80" s="246" t="str">
        <f>BS!$D$5</f>
        <v>31 March 2026</v>
      </c>
      <c r="CIB80" s="247" t="str">
        <f>BS!$E$5</f>
        <v>31 March 2025</v>
      </c>
      <c r="CIC80" s="1717"/>
      <c r="CID80" s="1718"/>
      <c r="CIE80" s="1718"/>
      <c r="CIF80" s="1718"/>
      <c r="CIG80" s="1718"/>
      <c r="CIH80" s="246"/>
      <c r="CII80" s="246" t="str">
        <f>BS!$D$5</f>
        <v>31 March 2026</v>
      </c>
      <c r="CIJ80" s="247" t="str">
        <f>BS!$E$5</f>
        <v>31 March 2025</v>
      </c>
      <c r="CIK80" s="1717"/>
      <c r="CIL80" s="1718"/>
      <c r="CIM80" s="1718"/>
      <c r="CIN80" s="1718"/>
      <c r="CIO80" s="1718"/>
      <c r="CIP80" s="246"/>
      <c r="CIQ80" s="246" t="str">
        <f>BS!$D$5</f>
        <v>31 March 2026</v>
      </c>
      <c r="CIR80" s="247" t="str">
        <f>BS!$E$5</f>
        <v>31 March 2025</v>
      </c>
      <c r="CIS80" s="1717"/>
      <c r="CIT80" s="1718"/>
      <c r="CIU80" s="1718"/>
      <c r="CIV80" s="1718"/>
      <c r="CIW80" s="1718"/>
      <c r="CIX80" s="246"/>
      <c r="CIY80" s="246" t="str">
        <f>BS!$D$5</f>
        <v>31 March 2026</v>
      </c>
      <c r="CIZ80" s="247" t="str">
        <f>BS!$E$5</f>
        <v>31 March 2025</v>
      </c>
      <c r="CJA80" s="1717"/>
      <c r="CJB80" s="1718"/>
      <c r="CJC80" s="1718"/>
      <c r="CJD80" s="1718"/>
      <c r="CJE80" s="1718"/>
      <c r="CJF80" s="246"/>
      <c r="CJG80" s="246" t="str">
        <f>BS!$D$5</f>
        <v>31 March 2026</v>
      </c>
      <c r="CJH80" s="247" t="str">
        <f>BS!$E$5</f>
        <v>31 March 2025</v>
      </c>
      <c r="CJI80" s="1717"/>
      <c r="CJJ80" s="1718"/>
      <c r="CJK80" s="1718"/>
      <c r="CJL80" s="1718"/>
      <c r="CJM80" s="1718"/>
      <c r="CJN80" s="246"/>
      <c r="CJO80" s="246" t="str">
        <f>BS!$D$5</f>
        <v>31 March 2026</v>
      </c>
      <c r="CJP80" s="247" t="str">
        <f>BS!$E$5</f>
        <v>31 March 2025</v>
      </c>
      <c r="CJQ80" s="1717"/>
      <c r="CJR80" s="1718"/>
      <c r="CJS80" s="1718"/>
      <c r="CJT80" s="1718"/>
      <c r="CJU80" s="1718"/>
      <c r="CJV80" s="246"/>
      <c r="CJW80" s="246" t="str">
        <f>BS!$D$5</f>
        <v>31 March 2026</v>
      </c>
      <c r="CJX80" s="247" t="str">
        <f>BS!$E$5</f>
        <v>31 March 2025</v>
      </c>
      <c r="CJY80" s="1717"/>
      <c r="CJZ80" s="1718"/>
      <c r="CKA80" s="1718"/>
      <c r="CKB80" s="1718"/>
      <c r="CKC80" s="1718"/>
      <c r="CKD80" s="246"/>
      <c r="CKE80" s="246" t="str">
        <f>BS!$D$5</f>
        <v>31 March 2026</v>
      </c>
      <c r="CKF80" s="247" t="str">
        <f>BS!$E$5</f>
        <v>31 March 2025</v>
      </c>
      <c r="CKG80" s="1717"/>
      <c r="CKH80" s="1718"/>
      <c r="CKI80" s="1718"/>
      <c r="CKJ80" s="1718"/>
      <c r="CKK80" s="1718"/>
      <c r="CKL80" s="246"/>
      <c r="CKM80" s="246" t="str">
        <f>BS!$D$5</f>
        <v>31 March 2026</v>
      </c>
      <c r="CKN80" s="247" t="str">
        <f>BS!$E$5</f>
        <v>31 March 2025</v>
      </c>
      <c r="CKO80" s="1717"/>
      <c r="CKP80" s="1718"/>
      <c r="CKQ80" s="1718"/>
      <c r="CKR80" s="1718"/>
      <c r="CKS80" s="1718"/>
      <c r="CKT80" s="246"/>
      <c r="CKU80" s="246" t="str">
        <f>BS!$D$5</f>
        <v>31 March 2026</v>
      </c>
      <c r="CKV80" s="247" t="str">
        <f>BS!$E$5</f>
        <v>31 March 2025</v>
      </c>
      <c r="CKW80" s="1717"/>
      <c r="CKX80" s="1718"/>
      <c r="CKY80" s="1718"/>
      <c r="CKZ80" s="1718"/>
      <c r="CLA80" s="1718"/>
      <c r="CLB80" s="246"/>
      <c r="CLC80" s="246" t="str">
        <f>BS!$D$5</f>
        <v>31 March 2026</v>
      </c>
      <c r="CLD80" s="247" t="str">
        <f>BS!$E$5</f>
        <v>31 March 2025</v>
      </c>
      <c r="CLE80" s="1717"/>
      <c r="CLF80" s="1718"/>
      <c r="CLG80" s="1718"/>
      <c r="CLH80" s="1718"/>
      <c r="CLI80" s="1718"/>
      <c r="CLJ80" s="246"/>
      <c r="CLK80" s="246" t="str">
        <f>BS!$D$5</f>
        <v>31 March 2026</v>
      </c>
      <c r="CLL80" s="247" t="str">
        <f>BS!$E$5</f>
        <v>31 March 2025</v>
      </c>
      <c r="CLM80" s="1717"/>
      <c r="CLN80" s="1718"/>
      <c r="CLO80" s="1718"/>
      <c r="CLP80" s="1718"/>
      <c r="CLQ80" s="1718"/>
      <c r="CLR80" s="246"/>
      <c r="CLS80" s="246" t="str">
        <f>BS!$D$5</f>
        <v>31 March 2026</v>
      </c>
      <c r="CLT80" s="247" t="str">
        <f>BS!$E$5</f>
        <v>31 March 2025</v>
      </c>
      <c r="CLU80" s="1717"/>
      <c r="CLV80" s="1718"/>
      <c r="CLW80" s="1718"/>
      <c r="CLX80" s="1718"/>
      <c r="CLY80" s="1718"/>
      <c r="CLZ80" s="246"/>
      <c r="CMA80" s="246" t="str">
        <f>BS!$D$5</f>
        <v>31 March 2026</v>
      </c>
      <c r="CMB80" s="247" t="str">
        <f>BS!$E$5</f>
        <v>31 March 2025</v>
      </c>
      <c r="CMC80" s="1717"/>
      <c r="CMD80" s="1718"/>
      <c r="CME80" s="1718"/>
      <c r="CMF80" s="1718"/>
      <c r="CMG80" s="1718"/>
      <c r="CMH80" s="246"/>
      <c r="CMI80" s="246" t="str">
        <f>BS!$D$5</f>
        <v>31 March 2026</v>
      </c>
      <c r="CMJ80" s="247" t="str">
        <f>BS!$E$5</f>
        <v>31 March 2025</v>
      </c>
      <c r="CMK80" s="1717"/>
      <c r="CML80" s="1718"/>
      <c r="CMM80" s="1718"/>
      <c r="CMN80" s="1718"/>
      <c r="CMO80" s="1718"/>
      <c r="CMP80" s="246"/>
      <c r="CMQ80" s="246" t="str">
        <f>BS!$D$5</f>
        <v>31 March 2026</v>
      </c>
      <c r="CMR80" s="247" t="str">
        <f>BS!$E$5</f>
        <v>31 March 2025</v>
      </c>
      <c r="CMS80" s="1717"/>
      <c r="CMT80" s="1718"/>
      <c r="CMU80" s="1718"/>
      <c r="CMV80" s="1718"/>
      <c r="CMW80" s="1718"/>
      <c r="CMX80" s="246"/>
      <c r="CMY80" s="246" t="str">
        <f>BS!$D$5</f>
        <v>31 March 2026</v>
      </c>
      <c r="CMZ80" s="247" t="str">
        <f>BS!$E$5</f>
        <v>31 March 2025</v>
      </c>
      <c r="CNA80" s="1717"/>
      <c r="CNB80" s="1718"/>
      <c r="CNC80" s="1718"/>
      <c r="CND80" s="1718"/>
      <c r="CNE80" s="1718"/>
      <c r="CNF80" s="246"/>
      <c r="CNG80" s="246" t="str">
        <f>BS!$D$5</f>
        <v>31 March 2026</v>
      </c>
      <c r="CNH80" s="247" t="str">
        <f>BS!$E$5</f>
        <v>31 March 2025</v>
      </c>
      <c r="CNI80" s="1717"/>
      <c r="CNJ80" s="1718"/>
      <c r="CNK80" s="1718"/>
      <c r="CNL80" s="1718"/>
      <c r="CNM80" s="1718"/>
      <c r="CNN80" s="246"/>
      <c r="CNO80" s="246" t="str">
        <f>BS!$D$5</f>
        <v>31 March 2026</v>
      </c>
      <c r="CNP80" s="247" t="str">
        <f>BS!$E$5</f>
        <v>31 March 2025</v>
      </c>
      <c r="CNQ80" s="1717"/>
      <c r="CNR80" s="1718"/>
      <c r="CNS80" s="1718"/>
      <c r="CNT80" s="1718"/>
      <c r="CNU80" s="1718"/>
      <c r="CNV80" s="246"/>
      <c r="CNW80" s="246" t="str">
        <f>BS!$D$5</f>
        <v>31 March 2026</v>
      </c>
      <c r="CNX80" s="247" t="str">
        <f>BS!$E$5</f>
        <v>31 March 2025</v>
      </c>
      <c r="CNY80" s="1717"/>
      <c r="CNZ80" s="1718"/>
      <c r="COA80" s="1718"/>
      <c r="COB80" s="1718"/>
      <c r="COC80" s="1718"/>
      <c r="COD80" s="246"/>
      <c r="COE80" s="246" t="str">
        <f>BS!$D$5</f>
        <v>31 March 2026</v>
      </c>
      <c r="COF80" s="247" t="str">
        <f>BS!$E$5</f>
        <v>31 March 2025</v>
      </c>
      <c r="COG80" s="1717"/>
      <c r="COH80" s="1718"/>
      <c r="COI80" s="1718"/>
      <c r="COJ80" s="1718"/>
      <c r="COK80" s="1718"/>
      <c r="COL80" s="246"/>
      <c r="COM80" s="246" t="str">
        <f>BS!$D$5</f>
        <v>31 March 2026</v>
      </c>
      <c r="CON80" s="247" t="str">
        <f>BS!$E$5</f>
        <v>31 March 2025</v>
      </c>
      <c r="COO80" s="1717"/>
      <c r="COP80" s="1718"/>
      <c r="COQ80" s="1718"/>
      <c r="COR80" s="1718"/>
      <c r="COS80" s="1718"/>
      <c r="COT80" s="246"/>
      <c r="COU80" s="246" t="str">
        <f>BS!$D$5</f>
        <v>31 March 2026</v>
      </c>
      <c r="COV80" s="247" t="str">
        <f>BS!$E$5</f>
        <v>31 March 2025</v>
      </c>
      <c r="COW80" s="1717"/>
      <c r="COX80" s="1718"/>
      <c r="COY80" s="1718"/>
      <c r="COZ80" s="1718"/>
      <c r="CPA80" s="1718"/>
      <c r="CPB80" s="246"/>
      <c r="CPC80" s="246" t="str">
        <f>BS!$D$5</f>
        <v>31 March 2026</v>
      </c>
      <c r="CPD80" s="247" t="str">
        <f>BS!$E$5</f>
        <v>31 March 2025</v>
      </c>
      <c r="CPE80" s="1717"/>
      <c r="CPF80" s="1718"/>
      <c r="CPG80" s="1718"/>
      <c r="CPH80" s="1718"/>
      <c r="CPI80" s="1718"/>
      <c r="CPJ80" s="246"/>
      <c r="CPK80" s="246" t="str">
        <f>BS!$D$5</f>
        <v>31 March 2026</v>
      </c>
      <c r="CPL80" s="247" t="str">
        <f>BS!$E$5</f>
        <v>31 March 2025</v>
      </c>
      <c r="CPM80" s="1717"/>
      <c r="CPN80" s="1718"/>
      <c r="CPO80" s="1718"/>
      <c r="CPP80" s="1718"/>
      <c r="CPQ80" s="1718"/>
      <c r="CPR80" s="246"/>
      <c r="CPS80" s="246" t="str">
        <f>BS!$D$5</f>
        <v>31 March 2026</v>
      </c>
      <c r="CPT80" s="247" t="str">
        <f>BS!$E$5</f>
        <v>31 March 2025</v>
      </c>
      <c r="CPU80" s="1717"/>
      <c r="CPV80" s="1718"/>
      <c r="CPW80" s="1718"/>
      <c r="CPX80" s="1718"/>
      <c r="CPY80" s="1718"/>
      <c r="CPZ80" s="246"/>
      <c r="CQA80" s="246" t="str">
        <f>BS!$D$5</f>
        <v>31 March 2026</v>
      </c>
      <c r="CQB80" s="247" t="str">
        <f>BS!$E$5</f>
        <v>31 March 2025</v>
      </c>
      <c r="CQC80" s="1717"/>
      <c r="CQD80" s="1718"/>
      <c r="CQE80" s="1718"/>
      <c r="CQF80" s="1718"/>
      <c r="CQG80" s="1718"/>
      <c r="CQH80" s="246"/>
      <c r="CQI80" s="246" t="str">
        <f>BS!$D$5</f>
        <v>31 March 2026</v>
      </c>
      <c r="CQJ80" s="247" t="str">
        <f>BS!$E$5</f>
        <v>31 March 2025</v>
      </c>
      <c r="CQK80" s="1717"/>
      <c r="CQL80" s="1718"/>
      <c r="CQM80" s="1718"/>
      <c r="CQN80" s="1718"/>
      <c r="CQO80" s="1718"/>
      <c r="CQP80" s="246"/>
      <c r="CQQ80" s="246" t="str">
        <f>BS!$D$5</f>
        <v>31 March 2026</v>
      </c>
      <c r="CQR80" s="247" t="str">
        <f>BS!$E$5</f>
        <v>31 March 2025</v>
      </c>
      <c r="CQS80" s="1717"/>
      <c r="CQT80" s="1718"/>
      <c r="CQU80" s="1718"/>
      <c r="CQV80" s="1718"/>
      <c r="CQW80" s="1718"/>
      <c r="CQX80" s="246"/>
      <c r="CQY80" s="246" t="str">
        <f>BS!$D$5</f>
        <v>31 March 2026</v>
      </c>
      <c r="CQZ80" s="247" t="str">
        <f>BS!$E$5</f>
        <v>31 March 2025</v>
      </c>
      <c r="CRA80" s="1717"/>
      <c r="CRB80" s="1718"/>
      <c r="CRC80" s="1718"/>
      <c r="CRD80" s="1718"/>
      <c r="CRE80" s="1718"/>
      <c r="CRF80" s="246"/>
      <c r="CRG80" s="246" t="str">
        <f>BS!$D$5</f>
        <v>31 March 2026</v>
      </c>
      <c r="CRH80" s="247" t="str">
        <f>BS!$E$5</f>
        <v>31 March 2025</v>
      </c>
      <c r="CRI80" s="1717"/>
      <c r="CRJ80" s="1718"/>
      <c r="CRK80" s="1718"/>
      <c r="CRL80" s="1718"/>
      <c r="CRM80" s="1718"/>
      <c r="CRN80" s="246"/>
      <c r="CRO80" s="246" t="str">
        <f>BS!$D$5</f>
        <v>31 March 2026</v>
      </c>
      <c r="CRP80" s="247" t="str">
        <f>BS!$E$5</f>
        <v>31 March 2025</v>
      </c>
      <c r="CRQ80" s="1717"/>
      <c r="CRR80" s="1718"/>
      <c r="CRS80" s="1718"/>
      <c r="CRT80" s="1718"/>
      <c r="CRU80" s="1718"/>
      <c r="CRV80" s="246"/>
      <c r="CRW80" s="246" t="str">
        <f>BS!$D$5</f>
        <v>31 March 2026</v>
      </c>
      <c r="CRX80" s="247" t="str">
        <f>BS!$E$5</f>
        <v>31 March 2025</v>
      </c>
      <c r="CRY80" s="1717"/>
      <c r="CRZ80" s="1718"/>
      <c r="CSA80" s="1718"/>
      <c r="CSB80" s="1718"/>
      <c r="CSC80" s="1718"/>
      <c r="CSD80" s="246"/>
      <c r="CSE80" s="246" t="str">
        <f>BS!$D$5</f>
        <v>31 March 2026</v>
      </c>
      <c r="CSF80" s="247" t="str">
        <f>BS!$E$5</f>
        <v>31 March 2025</v>
      </c>
      <c r="CSG80" s="1717"/>
      <c r="CSH80" s="1718"/>
      <c r="CSI80" s="1718"/>
      <c r="CSJ80" s="1718"/>
      <c r="CSK80" s="1718"/>
      <c r="CSL80" s="246"/>
      <c r="CSM80" s="246" t="str">
        <f>BS!$D$5</f>
        <v>31 March 2026</v>
      </c>
      <c r="CSN80" s="247" t="str">
        <f>BS!$E$5</f>
        <v>31 March 2025</v>
      </c>
      <c r="CSO80" s="1717"/>
      <c r="CSP80" s="1718"/>
      <c r="CSQ80" s="1718"/>
      <c r="CSR80" s="1718"/>
      <c r="CSS80" s="1718"/>
      <c r="CST80" s="246"/>
      <c r="CSU80" s="246" t="str">
        <f>BS!$D$5</f>
        <v>31 March 2026</v>
      </c>
      <c r="CSV80" s="247" t="str">
        <f>BS!$E$5</f>
        <v>31 March 2025</v>
      </c>
      <c r="CSW80" s="1717"/>
      <c r="CSX80" s="1718"/>
      <c r="CSY80" s="1718"/>
      <c r="CSZ80" s="1718"/>
      <c r="CTA80" s="1718"/>
      <c r="CTB80" s="246"/>
      <c r="CTC80" s="246" t="str">
        <f>BS!$D$5</f>
        <v>31 March 2026</v>
      </c>
      <c r="CTD80" s="247" t="str">
        <f>BS!$E$5</f>
        <v>31 March 2025</v>
      </c>
      <c r="CTE80" s="1717"/>
      <c r="CTF80" s="1718"/>
      <c r="CTG80" s="1718"/>
      <c r="CTH80" s="1718"/>
      <c r="CTI80" s="1718"/>
      <c r="CTJ80" s="246"/>
      <c r="CTK80" s="246" t="str">
        <f>BS!$D$5</f>
        <v>31 March 2026</v>
      </c>
      <c r="CTL80" s="247" t="str">
        <f>BS!$E$5</f>
        <v>31 March 2025</v>
      </c>
      <c r="CTM80" s="1717"/>
      <c r="CTN80" s="1718"/>
      <c r="CTO80" s="1718"/>
      <c r="CTP80" s="1718"/>
      <c r="CTQ80" s="1718"/>
      <c r="CTR80" s="246"/>
      <c r="CTS80" s="246" t="str">
        <f>BS!$D$5</f>
        <v>31 March 2026</v>
      </c>
      <c r="CTT80" s="247" t="str">
        <f>BS!$E$5</f>
        <v>31 March 2025</v>
      </c>
      <c r="CTU80" s="1717"/>
      <c r="CTV80" s="1718"/>
      <c r="CTW80" s="1718"/>
      <c r="CTX80" s="1718"/>
      <c r="CTY80" s="1718"/>
      <c r="CTZ80" s="246"/>
      <c r="CUA80" s="246" t="str">
        <f>BS!$D$5</f>
        <v>31 March 2026</v>
      </c>
      <c r="CUB80" s="247" t="str">
        <f>BS!$E$5</f>
        <v>31 March 2025</v>
      </c>
      <c r="CUC80" s="1717"/>
      <c r="CUD80" s="1718"/>
      <c r="CUE80" s="1718"/>
      <c r="CUF80" s="1718"/>
      <c r="CUG80" s="1718"/>
      <c r="CUH80" s="246"/>
      <c r="CUI80" s="246" t="str">
        <f>BS!$D$5</f>
        <v>31 March 2026</v>
      </c>
      <c r="CUJ80" s="247" t="str">
        <f>BS!$E$5</f>
        <v>31 March 2025</v>
      </c>
      <c r="CUK80" s="1717"/>
      <c r="CUL80" s="1718"/>
      <c r="CUM80" s="1718"/>
      <c r="CUN80" s="1718"/>
      <c r="CUO80" s="1718"/>
      <c r="CUP80" s="246"/>
      <c r="CUQ80" s="246" t="str">
        <f>BS!$D$5</f>
        <v>31 March 2026</v>
      </c>
      <c r="CUR80" s="247" t="str">
        <f>BS!$E$5</f>
        <v>31 March 2025</v>
      </c>
      <c r="CUS80" s="1717"/>
      <c r="CUT80" s="1718"/>
      <c r="CUU80" s="1718"/>
      <c r="CUV80" s="1718"/>
      <c r="CUW80" s="1718"/>
      <c r="CUX80" s="246"/>
      <c r="CUY80" s="246" t="str">
        <f>BS!$D$5</f>
        <v>31 March 2026</v>
      </c>
      <c r="CUZ80" s="247" t="str">
        <f>BS!$E$5</f>
        <v>31 March 2025</v>
      </c>
      <c r="CVA80" s="1717"/>
      <c r="CVB80" s="1718"/>
      <c r="CVC80" s="1718"/>
      <c r="CVD80" s="1718"/>
      <c r="CVE80" s="1718"/>
      <c r="CVF80" s="246"/>
      <c r="CVG80" s="246" t="str">
        <f>BS!$D$5</f>
        <v>31 March 2026</v>
      </c>
      <c r="CVH80" s="247" t="str">
        <f>BS!$E$5</f>
        <v>31 March 2025</v>
      </c>
      <c r="CVI80" s="1717"/>
      <c r="CVJ80" s="1718"/>
      <c r="CVK80" s="1718"/>
      <c r="CVL80" s="1718"/>
      <c r="CVM80" s="1718"/>
      <c r="CVN80" s="246"/>
      <c r="CVO80" s="246" t="str">
        <f>BS!$D$5</f>
        <v>31 March 2026</v>
      </c>
      <c r="CVP80" s="247" t="str">
        <f>BS!$E$5</f>
        <v>31 March 2025</v>
      </c>
      <c r="CVQ80" s="1717"/>
      <c r="CVR80" s="1718"/>
      <c r="CVS80" s="1718"/>
      <c r="CVT80" s="1718"/>
      <c r="CVU80" s="1718"/>
      <c r="CVV80" s="246"/>
      <c r="CVW80" s="246" t="str">
        <f>BS!$D$5</f>
        <v>31 March 2026</v>
      </c>
      <c r="CVX80" s="247" t="str">
        <f>BS!$E$5</f>
        <v>31 March 2025</v>
      </c>
      <c r="CVY80" s="1717"/>
      <c r="CVZ80" s="1718"/>
      <c r="CWA80" s="1718"/>
      <c r="CWB80" s="1718"/>
      <c r="CWC80" s="1718"/>
      <c r="CWD80" s="246"/>
      <c r="CWE80" s="246" t="str">
        <f>BS!$D$5</f>
        <v>31 March 2026</v>
      </c>
      <c r="CWF80" s="247" t="str">
        <f>BS!$E$5</f>
        <v>31 March 2025</v>
      </c>
      <c r="CWG80" s="1717"/>
      <c r="CWH80" s="1718"/>
      <c r="CWI80" s="1718"/>
      <c r="CWJ80" s="1718"/>
      <c r="CWK80" s="1718"/>
      <c r="CWL80" s="246"/>
      <c r="CWM80" s="246" t="str">
        <f>BS!$D$5</f>
        <v>31 March 2026</v>
      </c>
      <c r="CWN80" s="247" t="str">
        <f>BS!$E$5</f>
        <v>31 March 2025</v>
      </c>
      <c r="CWO80" s="1717"/>
      <c r="CWP80" s="1718"/>
      <c r="CWQ80" s="1718"/>
      <c r="CWR80" s="1718"/>
      <c r="CWS80" s="1718"/>
      <c r="CWT80" s="246"/>
      <c r="CWU80" s="246" t="str">
        <f>BS!$D$5</f>
        <v>31 March 2026</v>
      </c>
      <c r="CWV80" s="247" t="str">
        <f>BS!$E$5</f>
        <v>31 March 2025</v>
      </c>
      <c r="CWW80" s="1717"/>
      <c r="CWX80" s="1718"/>
      <c r="CWY80" s="1718"/>
      <c r="CWZ80" s="1718"/>
      <c r="CXA80" s="1718"/>
      <c r="CXB80" s="246"/>
      <c r="CXC80" s="246" t="str">
        <f>BS!$D$5</f>
        <v>31 March 2026</v>
      </c>
      <c r="CXD80" s="247" t="str">
        <f>BS!$E$5</f>
        <v>31 March 2025</v>
      </c>
      <c r="CXE80" s="1717"/>
      <c r="CXF80" s="1718"/>
      <c r="CXG80" s="1718"/>
      <c r="CXH80" s="1718"/>
      <c r="CXI80" s="1718"/>
      <c r="CXJ80" s="246"/>
      <c r="CXK80" s="246" t="str">
        <f>BS!$D$5</f>
        <v>31 March 2026</v>
      </c>
      <c r="CXL80" s="247" t="str">
        <f>BS!$E$5</f>
        <v>31 March 2025</v>
      </c>
      <c r="CXM80" s="1717"/>
      <c r="CXN80" s="1718"/>
      <c r="CXO80" s="1718"/>
      <c r="CXP80" s="1718"/>
      <c r="CXQ80" s="1718"/>
      <c r="CXR80" s="246"/>
      <c r="CXS80" s="246" t="str">
        <f>BS!$D$5</f>
        <v>31 March 2026</v>
      </c>
      <c r="CXT80" s="247" t="str">
        <f>BS!$E$5</f>
        <v>31 March 2025</v>
      </c>
      <c r="CXU80" s="1717"/>
      <c r="CXV80" s="1718"/>
      <c r="CXW80" s="1718"/>
      <c r="CXX80" s="1718"/>
      <c r="CXY80" s="1718"/>
      <c r="CXZ80" s="246"/>
      <c r="CYA80" s="246" t="str">
        <f>BS!$D$5</f>
        <v>31 March 2026</v>
      </c>
      <c r="CYB80" s="247" t="str">
        <f>BS!$E$5</f>
        <v>31 March 2025</v>
      </c>
      <c r="CYC80" s="1717"/>
      <c r="CYD80" s="1718"/>
      <c r="CYE80" s="1718"/>
      <c r="CYF80" s="1718"/>
      <c r="CYG80" s="1718"/>
      <c r="CYH80" s="246"/>
      <c r="CYI80" s="246" t="str">
        <f>BS!$D$5</f>
        <v>31 March 2026</v>
      </c>
      <c r="CYJ80" s="247" t="str">
        <f>BS!$E$5</f>
        <v>31 March 2025</v>
      </c>
      <c r="CYK80" s="1717"/>
      <c r="CYL80" s="1718"/>
      <c r="CYM80" s="1718"/>
      <c r="CYN80" s="1718"/>
      <c r="CYO80" s="1718"/>
      <c r="CYP80" s="246"/>
      <c r="CYQ80" s="246" t="str">
        <f>BS!$D$5</f>
        <v>31 March 2026</v>
      </c>
      <c r="CYR80" s="247" t="str">
        <f>BS!$E$5</f>
        <v>31 March 2025</v>
      </c>
      <c r="CYS80" s="1717"/>
      <c r="CYT80" s="1718"/>
      <c r="CYU80" s="1718"/>
      <c r="CYV80" s="1718"/>
      <c r="CYW80" s="1718"/>
      <c r="CYX80" s="246"/>
      <c r="CYY80" s="246" t="str">
        <f>BS!$D$5</f>
        <v>31 March 2026</v>
      </c>
      <c r="CYZ80" s="247" t="str">
        <f>BS!$E$5</f>
        <v>31 March 2025</v>
      </c>
      <c r="CZA80" s="1717"/>
      <c r="CZB80" s="1718"/>
      <c r="CZC80" s="1718"/>
      <c r="CZD80" s="1718"/>
      <c r="CZE80" s="1718"/>
      <c r="CZF80" s="246"/>
      <c r="CZG80" s="246" t="str">
        <f>BS!$D$5</f>
        <v>31 March 2026</v>
      </c>
      <c r="CZH80" s="247" t="str">
        <f>BS!$E$5</f>
        <v>31 March 2025</v>
      </c>
      <c r="CZI80" s="1717"/>
      <c r="CZJ80" s="1718"/>
      <c r="CZK80" s="1718"/>
      <c r="CZL80" s="1718"/>
      <c r="CZM80" s="1718"/>
      <c r="CZN80" s="246"/>
      <c r="CZO80" s="246" t="str">
        <f>BS!$D$5</f>
        <v>31 March 2026</v>
      </c>
      <c r="CZP80" s="247" t="str">
        <f>BS!$E$5</f>
        <v>31 March 2025</v>
      </c>
      <c r="CZQ80" s="1717"/>
      <c r="CZR80" s="1718"/>
      <c r="CZS80" s="1718"/>
      <c r="CZT80" s="1718"/>
      <c r="CZU80" s="1718"/>
      <c r="CZV80" s="246"/>
      <c r="CZW80" s="246" t="str">
        <f>BS!$D$5</f>
        <v>31 March 2026</v>
      </c>
      <c r="CZX80" s="247" t="str">
        <f>BS!$E$5</f>
        <v>31 March 2025</v>
      </c>
      <c r="CZY80" s="1717"/>
      <c r="CZZ80" s="1718"/>
      <c r="DAA80" s="1718"/>
      <c r="DAB80" s="1718"/>
      <c r="DAC80" s="1718"/>
      <c r="DAD80" s="246"/>
      <c r="DAE80" s="246" t="str">
        <f>BS!$D$5</f>
        <v>31 March 2026</v>
      </c>
      <c r="DAF80" s="247" t="str">
        <f>BS!$E$5</f>
        <v>31 March 2025</v>
      </c>
      <c r="DAG80" s="1717"/>
      <c r="DAH80" s="1718"/>
      <c r="DAI80" s="1718"/>
      <c r="DAJ80" s="1718"/>
      <c r="DAK80" s="1718"/>
      <c r="DAL80" s="246"/>
      <c r="DAM80" s="246" t="str">
        <f>BS!$D$5</f>
        <v>31 March 2026</v>
      </c>
      <c r="DAN80" s="247" t="str">
        <f>BS!$E$5</f>
        <v>31 March 2025</v>
      </c>
      <c r="DAO80" s="1717"/>
      <c r="DAP80" s="1718"/>
      <c r="DAQ80" s="1718"/>
      <c r="DAR80" s="1718"/>
      <c r="DAS80" s="1718"/>
      <c r="DAT80" s="246"/>
      <c r="DAU80" s="246" t="str">
        <f>BS!$D$5</f>
        <v>31 March 2026</v>
      </c>
      <c r="DAV80" s="247" t="str">
        <f>BS!$E$5</f>
        <v>31 March 2025</v>
      </c>
      <c r="DAW80" s="1717"/>
      <c r="DAX80" s="1718"/>
      <c r="DAY80" s="1718"/>
      <c r="DAZ80" s="1718"/>
      <c r="DBA80" s="1718"/>
      <c r="DBB80" s="246"/>
      <c r="DBC80" s="246" t="str">
        <f>BS!$D$5</f>
        <v>31 March 2026</v>
      </c>
      <c r="DBD80" s="247" t="str">
        <f>BS!$E$5</f>
        <v>31 March 2025</v>
      </c>
      <c r="DBE80" s="1717"/>
      <c r="DBF80" s="1718"/>
      <c r="DBG80" s="1718"/>
      <c r="DBH80" s="1718"/>
      <c r="DBI80" s="1718"/>
      <c r="DBJ80" s="246"/>
      <c r="DBK80" s="246" t="str">
        <f>BS!$D$5</f>
        <v>31 March 2026</v>
      </c>
      <c r="DBL80" s="247" t="str">
        <f>BS!$E$5</f>
        <v>31 March 2025</v>
      </c>
      <c r="DBM80" s="1717"/>
      <c r="DBN80" s="1718"/>
      <c r="DBO80" s="1718"/>
      <c r="DBP80" s="1718"/>
      <c r="DBQ80" s="1718"/>
      <c r="DBR80" s="246"/>
      <c r="DBS80" s="246" t="str">
        <f>BS!$D$5</f>
        <v>31 March 2026</v>
      </c>
      <c r="DBT80" s="247" t="str">
        <f>BS!$E$5</f>
        <v>31 March 2025</v>
      </c>
      <c r="DBU80" s="1717"/>
      <c r="DBV80" s="1718"/>
      <c r="DBW80" s="1718"/>
      <c r="DBX80" s="1718"/>
      <c r="DBY80" s="1718"/>
      <c r="DBZ80" s="246"/>
      <c r="DCA80" s="246" t="str">
        <f>BS!$D$5</f>
        <v>31 March 2026</v>
      </c>
      <c r="DCB80" s="247" t="str">
        <f>BS!$E$5</f>
        <v>31 March 2025</v>
      </c>
      <c r="DCC80" s="1717"/>
      <c r="DCD80" s="1718"/>
      <c r="DCE80" s="1718"/>
      <c r="DCF80" s="1718"/>
      <c r="DCG80" s="1718"/>
      <c r="DCH80" s="246"/>
      <c r="DCI80" s="246" t="str">
        <f>BS!$D$5</f>
        <v>31 March 2026</v>
      </c>
      <c r="DCJ80" s="247" t="str">
        <f>BS!$E$5</f>
        <v>31 March 2025</v>
      </c>
      <c r="DCK80" s="1717"/>
      <c r="DCL80" s="1718"/>
      <c r="DCM80" s="1718"/>
      <c r="DCN80" s="1718"/>
      <c r="DCO80" s="1718"/>
      <c r="DCP80" s="246"/>
      <c r="DCQ80" s="246" t="str">
        <f>BS!$D$5</f>
        <v>31 March 2026</v>
      </c>
      <c r="DCR80" s="247" t="str">
        <f>BS!$E$5</f>
        <v>31 March 2025</v>
      </c>
      <c r="DCS80" s="1717"/>
      <c r="DCT80" s="1718"/>
      <c r="DCU80" s="1718"/>
      <c r="DCV80" s="1718"/>
      <c r="DCW80" s="1718"/>
      <c r="DCX80" s="246"/>
      <c r="DCY80" s="246" t="str">
        <f>BS!$D$5</f>
        <v>31 March 2026</v>
      </c>
      <c r="DCZ80" s="247" t="str">
        <f>BS!$E$5</f>
        <v>31 March 2025</v>
      </c>
      <c r="DDA80" s="1717"/>
      <c r="DDB80" s="1718"/>
      <c r="DDC80" s="1718"/>
      <c r="DDD80" s="1718"/>
      <c r="DDE80" s="1718"/>
      <c r="DDF80" s="246"/>
      <c r="DDG80" s="246" t="str">
        <f>BS!$D$5</f>
        <v>31 March 2026</v>
      </c>
      <c r="DDH80" s="247" t="str">
        <f>BS!$E$5</f>
        <v>31 March 2025</v>
      </c>
      <c r="DDI80" s="1717"/>
      <c r="DDJ80" s="1718"/>
      <c r="DDK80" s="1718"/>
      <c r="DDL80" s="1718"/>
      <c r="DDM80" s="1718"/>
      <c r="DDN80" s="246"/>
      <c r="DDO80" s="246" t="str">
        <f>BS!$D$5</f>
        <v>31 March 2026</v>
      </c>
      <c r="DDP80" s="247" t="str">
        <f>BS!$E$5</f>
        <v>31 March 2025</v>
      </c>
      <c r="DDQ80" s="1717"/>
      <c r="DDR80" s="1718"/>
      <c r="DDS80" s="1718"/>
      <c r="DDT80" s="1718"/>
      <c r="DDU80" s="1718"/>
      <c r="DDV80" s="246"/>
      <c r="DDW80" s="246" t="str">
        <f>BS!$D$5</f>
        <v>31 March 2026</v>
      </c>
      <c r="DDX80" s="247" t="str">
        <f>BS!$E$5</f>
        <v>31 March 2025</v>
      </c>
      <c r="DDY80" s="1717"/>
      <c r="DDZ80" s="1718"/>
      <c r="DEA80" s="1718"/>
      <c r="DEB80" s="1718"/>
      <c r="DEC80" s="1718"/>
      <c r="DED80" s="246"/>
      <c r="DEE80" s="246" t="str">
        <f>BS!$D$5</f>
        <v>31 March 2026</v>
      </c>
      <c r="DEF80" s="247" t="str">
        <f>BS!$E$5</f>
        <v>31 March 2025</v>
      </c>
      <c r="DEG80" s="1717"/>
      <c r="DEH80" s="1718"/>
      <c r="DEI80" s="1718"/>
      <c r="DEJ80" s="1718"/>
      <c r="DEK80" s="1718"/>
      <c r="DEL80" s="246"/>
      <c r="DEM80" s="246" t="str">
        <f>BS!$D$5</f>
        <v>31 March 2026</v>
      </c>
      <c r="DEN80" s="247" t="str">
        <f>BS!$E$5</f>
        <v>31 March 2025</v>
      </c>
      <c r="DEO80" s="1717"/>
      <c r="DEP80" s="1718"/>
      <c r="DEQ80" s="1718"/>
      <c r="DER80" s="1718"/>
      <c r="DES80" s="1718"/>
      <c r="DET80" s="246"/>
      <c r="DEU80" s="246" t="str">
        <f>BS!$D$5</f>
        <v>31 March 2026</v>
      </c>
      <c r="DEV80" s="247" t="str">
        <f>BS!$E$5</f>
        <v>31 March 2025</v>
      </c>
      <c r="DEW80" s="1717"/>
      <c r="DEX80" s="1718"/>
      <c r="DEY80" s="1718"/>
      <c r="DEZ80" s="1718"/>
      <c r="DFA80" s="1718"/>
      <c r="DFB80" s="246"/>
      <c r="DFC80" s="246" t="str">
        <f>BS!$D$5</f>
        <v>31 March 2026</v>
      </c>
      <c r="DFD80" s="247" t="str">
        <f>BS!$E$5</f>
        <v>31 March 2025</v>
      </c>
      <c r="DFE80" s="1717"/>
      <c r="DFF80" s="1718"/>
      <c r="DFG80" s="1718"/>
      <c r="DFH80" s="1718"/>
      <c r="DFI80" s="1718"/>
      <c r="DFJ80" s="246"/>
      <c r="DFK80" s="246" t="str">
        <f>BS!$D$5</f>
        <v>31 March 2026</v>
      </c>
      <c r="DFL80" s="247" t="str">
        <f>BS!$E$5</f>
        <v>31 March 2025</v>
      </c>
      <c r="DFM80" s="1717"/>
      <c r="DFN80" s="1718"/>
      <c r="DFO80" s="1718"/>
      <c r="DFP80" s="1718"/>
      <c r="DFQ80" s="1718"/>
      <c r="DFR80" s="246"/>
      <c r="DFS80" s="246" t="str">
        <f>BS!$D$5</f>
        <v>31 March 2026</v>
      </c>
      <c r="DFT80" s="247" t="str">
        <f>BS!$E$5</f>
        <v>31 March 2025</v>
      </c>
      <c r="DFU80" s="1717"/>
      <c r="DFV80" s="1718"/>
      <c r="DFW80" s="1718"/>
      <c r="DFX80" s="1718"/>
      <c r="DFY80" s="1718"/>
      <c r="DFZ80" s="246"/>
      <c r="DGA80" s="246" t="str">
        <f>BS!$D$5</f>
        <v>31 March 2026</v>
      </c>
      <c r="DGB80" s="247" t="str">
        <f>BS!$E$5</f>
        <v>31 March 2025</v>
      </c>
      <c r="DGC80" s="1717"/>
      <c r="DGD80" s="1718"/>
      <c r="DGE80" s="1718"/>
      <c r="DGF80" s="1718"/>
      <c r="DGG80" s="1718"/>
      <c r="DGH80" s="246"/>
      <c r="DGI80" s="246" t="str">
        <f>BS!$D$5</f>
        <v>31 March 2026</v>
      </c>
      <c r="DGJ80" s="247" t="str">
        <f>BS!$E$5</f>
        <v>31 March 2025</v>
      </c>
      <c r="DGK80" s="1717"/>
      <c r="DGL80" s="1718"/>
      <c r="DGM80" s="1718"/>
      <c r="DGN80" s="1718"/>
      <c r="DGO80" s="1718"/>
      <c r="DGP80" s="246"/>
      <c r="DGQ80" s="246" t="str">
        <f>BS!$D$5</f>
        <v>31 March 2026</v>
      </c>
      <c r="DGR80" s="247" t="str">
        <f>BS!$E$5</f>
        <v>31 March 2025</v>
      </c>
      <c r="DGS80" s="1717"/>
      <c r="DGT80" s="1718"/>
      <c r="DGU80" s="1718"/>
      <c r="DGV80" s="1718"/>
      <c r="DGW80" s="1718"/>
      <c r="DGX80" s="246"/>
      <c r="DGY80" s="246" t="str">
        <f>BS!$D$5</f>
        <v>31 March 2026</v>
      </c>
      <c r="DGZ80" s="247" t="str">
        <f>BS!$E$5</f>
        <v>31 March 2025</v>
      </c>
      <c r="DHA80" s="1717"/>
      <c r="DHB80" s="1718"/>
      <c r="DHC80" s="1718"/>
      <c r="DHD80" s="1718"/>
      <c r="DHE80" s="1718"/>
      <c r="DHF80" s="246"/>
      <c r="DHG80" s="246" t="str">
        <f>BS!$D$5</f>
        <v>31 March 2026</v>
      </c>
      <c r="DHH80" s="247" t="str">
        <f>BS!$E$5</f>
        <v>31 March 2025</v>
      </c>
      <c r="DHI80" s="1717"/>
      <c r="DHJ80" s="1718"/>
      <c r="DHK80" s="1718"/>
      <c r="DHL80" s="1718"/>
      <c r="DHM80" s="1718"/>
      <c r="DHN80" s="246"/>
      <c r="DHO80" s="246" t="str">
        <f>BS!$D$5</f>
        <v>31 March 2026</v>
      </c>
      <c r="DHP80" s="247" t="str">
        <f>BS!$E$5</f>
        <v>31 March 2025</v>
      </c>
      <c r="DHQ80" s="1717"/>
      <c r="DHR80" s="1718"/>
      <c r="DHS80" s="1718"/>
      <c r="DHT80" s="1718"/>
      <c r="DHU80" s="1718"/>
      <c r="DHV80" s="246"/>
      <c r="DHW80" s="246" t="str">
        <f>BS!$D$5</f>
        <v>31 March 2026</v>
      </c>
      <c r="DHX80" s="247" t="str">
        <f>BS!$E$5</f>
        <v>31 March 2025</v>
      </c>
      <c r="DHY80" s="1717"/>
      <c r="DHZ80" s="1718"/>
      <c r="DIA80" s="1718"/>
      <c r="DIB80" s="1718"/>
      <c r="DIC80" s="1718"/>
      <c r="DID80" s="246"/>
      <c r="DIE80" s="246" t="str">
        <f>BS!$D$5</f>
        <v>31 March 2026</v>
      </c>
      <c r="DIF80" s="247" t="str">
        <f>BS!$E$5</f>
        <v>31 March 2025</v>
      </c>
      <c r="DIG80" s="1717"/>
      <c r="DIH80" s="1718"/>
      <c r="DII80" s="1718"/>
      <c r="DIJ80" s="1718"/>
      <c r="DIK80" s="1718"/>
      <c r="DIL80" s="246"/>
      <c r="DIM80" s="246" t="str">
        <f>BS!$D$5</f>
        <v>31 March 2026</v>
      </c>
      <c r="DIN80" s="247" t="str">
        <f>BS!$E$5</f>
        <v>31 March 2025</v>
      </c>
      <c r="DIO80" s="1717"/>
      <c r="DIP80" s="1718"/>
      <c r="DIQ80" s="1718"/>
      <c r="DIR80" s="1718"/>
      <c r="DIS80" s="1718"/>
      <c r="DIT80" s="246"/>
      <c r="DIU80" s="246" t="str">
        <f>BS!$D$5</f>
        <v>31 March 2026</v>
      </c>
      <c r="DIV80" s="247" t="str">
        <f>BS!$E$5</f>
        <v>31 March 2025</v>
      </c>
      <c r="DIW80" s="1717"/>
      <c r="DIX80" s="1718"/>
      <c r="DIY80" s="1718"/>
      <c r="DIZ80" s="1718"/>
      <c r="DJA80" s="1718"/>
      <c r="DJB80" s="246"/>
      <c r="DJC80" s="246" t="str">
        <f>BS!$D$5</f>
        <v>31 March 2026</v>
      </c>
      <c r="DJD80" s="247" t="str">
        <f>BS!$E$5</f>
        <v>31 March 2025</v>
      </c>
      <c r="DJE80" s="1717"/>
      <c r="DJF80" s="1718"/>
      <c r="DJG80" s="1718"/>
      <c r="DJH80" s="1718"/>
      <c r="DJI80" s="1718"/>
      <c r="DJJ80" s="246"/>
      <c r="DJK80" s="246" t="str">
        <f>BS!$D$5</f>
        <v>31 March 2026</v>
      </c>
      <c r="DJL80" s="247" t="str">
        <f>BS!$E$5</f>
        <v>31 March 2025</v>
      </c>
      <c r="DJM80" s="1717"/>
      <c r="DJN80" s="1718"/>
      <c r="DJO80" s="1718"/>
      <c r="DJP80" s="1718"/>
      <c r="DJQ80" s="1718"/>
      <c r="DJR80" s="246"/>
      <c r="DJS80" s="246" t="str">
        <f>BS!$D$5</f>
        <v>31 March 2026</v>
      </c>
      <c r="DJT80" s="247" t="str">
        <f>BS!$E$5</f>
        <v>31 March 2025</v>
      </c>
      <c r="DJU80" s="1717"/>
      <c r="DJV80" s="1718"/>
      <c r="DJW80" s="1718"/>
      <c r="DJX80" s="1718"/>
      <c r="DJY80" s="1718"/>
      <c r="DJZ80" s="246"/>
      <c r="DKA80" s="246" t="str">
        <f>BS!$D$5</f>
        <v>31 March 2026</v>
      </c>
      <c r="DKB80" s="247" t="str">
        <f>BS!$E$5</f>
        <v>31 March 2025</v>
      </c>
      <c r="DKC80" s="1717"/>
      <c r="DKD80" s="1718"/>
      <c r="DKE80" s="1718"/>
      <c r="DKF80" s="1718"/>
      <c r="DKG80" s="1718"/>
      <c r="DKH80" s="246"/>
      <c r="DKI80" s="246" t="str">
        <f>BS!$D$5</f>
        <v>31 March 2026</v>
      </c>
      <c r="DKJ80" s="247" t="str">
        <f>BS!$E$5</f>
        <v>31 March 2025</v>
      </c>
      <c r="DKK80" s="1717"/>
      <c r="DKL80" s="1718"/>
      <c r="DKM80" s="1718"/>
      <c r="DKN80" s="1718"/>
      <c r="DKO80" s="1718"/>
      <c r="DKP80" s="246"/>
      <c r="DKQ80" s="246" t="str">
        <f>BS!$D$5</f>
        <v>31 March 2026</v>
      </c>
      <c r="DKR80" s="247" t="str">
        <f>BS!$E$5</f>
        <v>31 March 2025</v>
      </c>
      <c r="DKS80" s="1717"/>
      <c r="DKT80" s="1718"/>
      <c r="DKU80" s="1718"/>
      <c r="DKV80" s="1718"/>
      <c r="DKW80" s="1718"/>
      <c r="DKX80" s="246"/>
      <c r="DKY80" s="246" t="str">
        <f>BS!$D$5</f>
        <v>31 March 2026</v>
      </c>
      <c r="DKZ80" s="247" t="str">
        <f>BS!$E$5</f>
        <v>31 March 2025</v>
      </c>
      <c r="DLA80" s="1717"/>
      <c r="DLB80" s="1718"/>
      <c r="DLC80" s="1718"/>
      <c r="DLD80" s="1718"/>
      <c r="DLE80" s="1718"/>
      <c r="DLF80" s="246"/>
      <c r="DLG80" s="246" t="str">
        <f>BS!$D$5</f>
        <v>31 March 2026</v>
      </c>
      <c r="DLH80" s="247" t="str">
        <f>BS!$E$5</f>
        <v>31 March 2025</v>
      </c>
      <c r="DLI80" s="1717"/>
      <c r="DLJ80" s="1718"/>
      <c r="DLK80" s="1718"/>
      <c r="DLL80" s="1718"/>
      <c r="DLM80" s="1718"/>
      <c r="DLN80" s="246"/>
      <c r="DLO80" s="246" t="str">
        <f>BS!$D$5</f>
        <v>31 March 2026</v>
      </c>
      <c r="DLP80" s="247" t="str">
        <f>BS!$E$5</f>
        <v>31 March 2025</v>
      </c>
      <c r="DLQ80" s="1717"/>
      <c r="DLR80" s="1718"/>
      <c r="DLS80" s="1718"/>
      <c r="DLT80" s="1718"/>
      <c r="DLU80" s="1718"/>
      <c r="DLV80" s="246"/>
      <c r="DLW80" s="246" t="str">
        <f>BS!$D$5</f>
        <v>31 March 2026</v>
      </c>
      <c r="DLX80" s="247" t="str">
        <f>BS!$E$5</f>
        <v>31 March 2025</v>
      </c>
      <c r="DLY80" s="1717"/>
      <c r="DLZ80" s="1718"/>
      <c r="DMA80" s="1718"/>
      <c r="DMB80" s="1718"/>
      <c r="DMC80" s="1718"/>
      <c r="DMD80" s="246"/>
      <c r="DME80" s="246" t="str">
        <f>BS!$D$5</f>
        <v>31 March 2026</v>
      </c>
      <c r="DMF80" s="247" t="str">
        <f>BS!$E$5</f>
        <v>31 March 2025</v>
      </c>
      <c r="DMG80" s="1717"/>
      <c r="DMH80" s="1718"/>
      <c r="DMI80" s="1718"/>
      <c r="DMJ80" s="1718"/>
      <c r="DMK80" s="1718"/>
      <c r="DML80" s="246"/>
      <c r="DMM80" s="246" t="str">
        <f>BS!$D$5</f>
        <v>31 March 2026</v>
      </c>
      <c r="DMN80" s="247" t="str">
        <f>BS!$E$5</f>
        <v>31 March 2025</v>
      </c>
      <c r="DMO80" s="1717"/>
      <c r="DMP80" s="1718"/>
      <c r="DMQ80" s="1718"/>
      <c r="DMR80" s="1718"/>
      <c r="DMS80" s="1718"/>
      <c r="DMT80" s="246"/>
      <c r="DMU80" s="246" t="str">
        <f>BS!$D$5</f>
        <v>31 March 2026</v>
      </c>
      <c r="DMV80" s="247" t="str">
        <f>BS!$E$5</f>
        <v>31 March 2025</v>
      </c>
      <c r="DMW80" s="1717"/>
      <c r="DMX80" s="1718"/>
      <c r="DMY80" s="1718"/>
      <c r="DMZ80" s="1718"/>
      <c r="DNA80" s="1718"/>
      <c r="DNB80" s="246"/>
      <c r="DNC80" s="246" t="str">
        <f>BS!$D$5</f>
        <v>31 March 2026</v>
      </c>
      <c r="DND80" s="247" t="str">
        <f>BS!$E$5</f>
        <v>31 March 2025</v>
      </c>
      <c r="DNE80" s="1717"/>
      <c r="DNF80" s="1718"/>
      <c r="DNG80" s="1718"/>
      <c r="DNH80" s="1718"/>
      <c r="DNI80" s="1718"/>
      <c r="DNJ80" s="246"/>
      <c r="DNK80" s="246" t="str">
        <f>BS!$D$5</f>
        <v>31 March 2026</v>
      </c>
      <c r="DNL80" s="247" t="str">
        <f>BS!$E$5</f>
        <v>31 March 2025</v>
      </c>
      <c r="DNM80" s="1717"/>
      <c r="DNN80" s="1718"/>
      <c r="DNO80" s="1718"/>
      <c r="DNP80" s="1718"/>
      <c r="DNQ80" s="1718"/>
      <c r="DNR80" s="246"/>
      <c r="DNS80" s="246" t="str">
        <f>BS!$D$5</f>
        <v>31 March 2026</v>
      </c>
      <c r="DNT80" s="247" t="str">
        <f>BS!$E$5</f>
        <v>31 March 2025</v>
      </c>
      <c r="DNU80" s="1717"/>
      <c r="DNV80" s="1718"/>
      <c r="DNW80" s="1718"/>
      <c r="DNX80" s="1718"/>
      <c r="DNY80" s="1718"/>
      <c r="DNZ80" s="246"/>
      <c r="DOA80" s="246" t="str">
        <f>BS!$D$5</f>
        <v>31 March 2026</v>
      </c>
      <c r="DOB80" s="247" t="str">
        <f>BS!$E$5</f>
        <v>31 March 2025</v>
      </c>
      <c r="DOC80" s="1717"/>
      <c r="DOD80" s="1718"/>
      <c r="DOE80" s="1718"/>
      <c r="DOF80" s="1718"/>
      <c r="DOG80" s="1718"/>
      <c r="DOH80" s="246"/>
      <c r="DOI80" s="246" t="str">
        <f>BS!$D$5</f>
        <v>31 March 2026</v>
      </c>
      <c r="DOJ80" s="247" t="str">
        <f>BS!$E$5</f>
        <v>31 March 2025</v>
      </c>
      <c r="DOK80" s="1717"/>
      <c r="DOL80" s="1718"/>
      <c r="DOM80" s="1718"/>
      <c r="DON80" s="1718"/>
      <c r="DOO80" s="1718"/>
      <c r="DOP80" s="246"/>
      <c r="DOQ80" s="246" t="str">
        <f>BS!$D$5</f>
        <v>31 March 2026</v>
      </c>
      <c r="DOR80" s="247" t="str">
        <f>BS!$E$5</f>
        <v>31 March 2025</v>
      </c>
      <c r="DOS80" s="1717"/>
      <c r="DOT80" s="1718"/>
      <c r="DOU80" s="1718"/>
      <c r="DOV80" s="1718"/>
      <c r="DOW80" s="1718"/>
      <c r="DOX80" s="246"/>
      <c r="DOY80" s="246" t="str">
        <f>BS!$D$5</f>
        <v>31 March 2026</v>
      </c>
      <c r="DOZ80" s="247" t="str">
        <f>BS!$E$5</f>
        <v>31 March 2025</v>
      </c>
      <c r="DPA80" s="1717"/>
      <c r="DPB80" s="1718"/>
      <c r="DPC80" s="1718"/>
      <c r="DPD80" s="1718"/>
      <c r="DPE80" s="1718"/>
      <c r="DPF80" s="246"/>
      <c r="DPG80" s="246" t="str">
        <f>BS!$D$5</f>
        <v>31 March 2026</v>
      </c>
      <c r="DPH80" s="247" t="str">
        <f>BS!$E$5</f>
        <v>31 March 2025</v>
      </c>
      <c r="DPI80" s="1717"/>
      <c r="DPJ80" s="1718"/>
      <c r="DPK80" s="1718"/>
      <c r="DPL80" s="1718"/>
      <c r="DPM80" s="1718"/>
      <c r="DPN80" s="246"/>
      <c r="DPO80" s="246" t="str">
        <f>BS!$D$5</f>
        <v>31 March 2026</v>
      </c>
      <c r="DPP80" s="247" t="str">
        <f>BS!$E$5</f>
        <v>31 March 2025</v>
      </c>
      <c r="DPQ80" s="1717"/>
      <c r="DPR80" s="1718"/>
      <c r="DPS80" s="1718"/>
      <c r="DPT80" s="1718"/>
      <c r="DPU80" s="1718"/>
      <c r="DPV80" s="246"/>
      <c r="DPW80" s="246" t="str">
        <f>BS!$D$5</f>
        <v>31 March 2026</v>
      </c>
      <c r="DPX80" s="247" t="str">
        <f>BS!$E$5</f>
        <v>31 March 2025</v>
      </c>
      <c r="DPY80" s="1717"/>
      <c r="DPZ80" s="1718"/>
      <c r="DQA80" s="1718"/>
      <c r="DQB80" s="1718"/>
      <c r="DQC80" s="1718"/>
      <c r="DQD80" s="246"/>
      <c r="DQE80" s="246" t="str">
        <f>BS!$D$5</f>
        <v>31 March 2026</v>
      </c>
      <c r="DQF80" s="247" t="str">
        <f>BS!$E$5</f>
        <v>31 March 2025</v>
      </c>
      <c r="DQG80" s="1717"/>
      <c r="DQH80" s="1718"/>
      <c r="DQI80" s="1718"/>
      <c r="DQJ80" s="1718"/>
      <c r="DQK80" s="1718"/>
      <c r="DQL80" s="246"/>
      <c r="DQM80" s="246" t="str">
        <f>BS!$D$5</f>
        <v>31 March 2026</v>
      </c>
      <c r="DQN80" s="247" t="str">
        <f>BS!$E$5</f>
        <v>31 March 2025</v>
      </c>
      <c r="DQO80" s="1717"/>
      <c r="DQP80" s="1718"/>
      <c r="DQQ80" s="1718"/>
      <c r="DQR80" s="1718"/>
      <c r="DQS80" s="1718"/>
      <c r="DQT80" s="246"/>
      <c r="DQU80" s="246" t="str">
        <f>BS!$D$5</f>
        <v>31 March 2026</v>
      </c>
      <c r="DQV80" s="247" t="str">
        <f>BS!$E$5</f>
        <v>31 March 2025</v>
      </c>
      <c r="DQW80" s="1717"/>
      <c r="DQX80" s="1718"/>
      <c r="DQY80" s="1718"/>
      <c r="DQZ80" s="1718"/>
      <c r="DRA80" s="1718"/>
      <c r="DRB80" s="246"/>
      <c r="DRC80" s="246" t="str">
        <f>BS!$D$5</f>
        <v>31 March 2026</v>
      </c>
      <c r="DRD80" s="247" t="str">
        <f>BS!$E$5</f>
        <v>31 March 2025</v>
      </c>
      <c r="DRE80" s="1717"/>
      <c r="DRF80" s="1718"/>
      <c r="DRG80" s="1718"/>
      <c r="DRH80" s="1718"/>
      <c r="DRI80" s="1718"/>
      <c r="DRJ80" s="246"/>
      <c r="DRK80" s="246" t="str">
        <f>BS!$D$5</f>
        <v>31 March 2026</v>
      </c>
      <c r="DRL80" s="247" t="str">
        <f>BS!$E$5</f>
        <v>31 March 2025</v>
      </c>
      <c r="DRM80" s="1717"/>
      <c r="DRN80" s="1718"/>
      <c r="DRO80" s="1718"/>
      <c r="DRP80" s="1718"/>
      <c r="DRQ80" s="1718"/>
      <c r="DRR80" s="246"/>
      <c r="DRS80" s="246" t="str">
        <f>BS!$D$5</f>
        <v>31 March 2026</v>
      </c>
      <c r="DRT80" s="247" t="str">
        <f>BS!$E$5</f>
        <v>31 March 2025</v>
      </c>
      <c r="DRU80" s="1717"/>
      <c r="DRV80" s="1718"/>
      <c r="DRW80" s="1718"/>
      <c r="DRX80" s="1718"/>
      <c r="DRY80" s="1718"/>
      <c r="DRZ80" s="246"/>
      <c r="DSA80" s="246" t="str">
        <f>BS!$D$5</f>
        <v>31 March 2026</v>
      </c>
      <c r="DSB80" s="247" t="str">
        <f>BS!$E$5</f>
        <v>31 March 2025</v>
      </c>
      <c r="DSC80" s="1717"/>
      <c r="DSD80" s="1718"/>
      <c r="DSE80" s="1718"/>
      <c r="DSF80" s="1718"/>
      <c r="DSG80" s="1718"/>
      <c r="DSH80" s="246"/>
      <c r="DSI80" s="246" t="str">
        <f>BS!$D$5</f>
        <v>31 March 2026</v>
      </c>
      <c r="DSJ80" s="247" t="str">
        <f>BS!$E$5</f>
        <v>31 March 2025</v>
      </c>
      <c r="DSK80" s="1717"/>
      <c r="DSL80" s="1718"/>
      <c r="DSM80" s="1718"/>
      <c r="DSN80" s="1718"/>
      <c r="DSO80" s="1718"/>
      <c r="DSP80" s="246"/>
      <c r="DSQ80" s="246" t="str">
        <f>BS!$D$5</f>
        <v>31 March 2026</v>
      </c>
      <c r="DSR80" s="247" t="str">
        <f>BS!$E$5</f>
        <v>31 March 2025</v>
      </c>
      <c r="DSS80" s="1717"/>
      <c r="DST80" s="1718"/>
      <c r="DSU80" s="1718"/>
      <c r="DSV80" s="1718"/>
      <c r="DSW80" s="1718"/>
      <c r="DSX80" s="246"/>
      <c r="DSY80" s="246" t="str">
        <f>BS!$D$5</f>
        <v>31 March 2026</v>
      </c>
      <c r="DSZ80" s="247" t="str">
        <f>BS!$E$5</f>
        <v>31 March 2025</v>
      </c>
      <c r="DTA80" s="1717"/>
      <c r="DTB80" s="1718"/>
      <c r="DTC80" s="1718"/>
      <c r="DTD80" s="1718"/>
      <c r="DTE80" s="1718"/>
      <c r="DTF80" s="246"/>
      <c r="DTG80" s="246" t="str">
        <f>BS!$D$5</f>
        <v>31 March 2026</v>
      </c>
      <c r="DTH80" s="247" t="str">
        <f>BS!$E$5</f>
        <v>31 March 2025</v>
      </c>
      <c r="DTI80" s="1717"/>
      <c r="DTJ80" s="1718"/>
      <c r="DTK80" s="1718"/>
      <c r="DTL80" s="1718"/>
      <c r="DTM80" s="1718"/>
      <c r="DTN80" s="246"/>
      <c r="DTO80" s="246" t="str">
        <f>BS!$D$5</f>
        <v>31 March 2026</v>
      </c>
      <c r="DTP80" s="247" t="str">
        <f>BS!$E$5</f>
        <v>31 March 2025</v>
      </c>
      <c r="DTQ80" s="1717"/>
      <c r="DTR80" s="1718"/>
      <c r="DTS80" s="1718"/>
      <c r="DTT80" s="1718"/>
      <c r="DTU80" s="1718"/>
      <c r="DTV80" s="246"/>
      <c r="DTW80" s="246" t="str">
        <f>BS!$D$5</f>
        <v>31 March 2026</v>
      </c>
      <c r="DTX80" s="247" t="str">
        <f>BS!$E$5</f>
        <v>31 March 2025</v>
      </c>
      <c r="DTY80" s="1717"/>
      <c r="DTZ80" s="1718"/>
      <c r="DUA80" s="1718"/>
      <c r="DUB80" s="1718"/>
      <c r="DUC80" s="1718"/>
      <c r="DUD80" s="246"/>
      <c r="DUE80" s="246" t="str">
        <f>BS!$D$5</f>
        <v>31 March 2026</v>
      </c>
      <c r="DUF80" s="247" t="str">
        <f>BS!$E$5</f>
        <v>31 March 2025</v>
      </c>
      <c r="DUG80" s="1717"/>
      <c r="DUH80" s="1718"/>
      <c r="DUI80" s="1718"/>
      <c r="DUJ80" s="1718"/>
      <c r="DUK80" s="1718"/>
      <c r="DUL80" s="246"/>
      <c r="DUM80" s="246" t="str">
        <f>BS!$D$5</f>
        <v>31 March 2026</v>
      </c>
      <c r="DUN80" s="247" t="str">
        <f>BS!$E$5</f>
        <v>31 March 2025</v>
      </c>
      <c r="DUO80" s="1717"/>
      <c r="DUP80" s="1718"/>
      <c r="DUQ80" s="1718"/>
      <c r="DUR80" s="1718"/>
      <c r="DUS80" s="1718"/>
      <c r="DUT80" s="246"/>
      <c r="DUU80" s="246" t="str">
        <f>BS!$D$5</f>
        <v>31 March 2026</v>
      </c>
      <c r="DUV80" s="247" t="str">
        <f>BS!$E$5</f>
        <v>31 March 2025</v>
      </c>
      <c r="DUW80" s="1717"/>
      <c r="DUX80" s="1718"/>
      <c r="DUY80" s="1718"/>
      <c r="DUZ80" s="1718"/>
      <c r="DVA80" s="1718"/>
      <c r="DVB80" s="246"/>
      <c r="DVC80" s="246" t="str">
        <f>BS!$D$5</f>
        <v>31 March 2026</v>
      </c>
      <c r="DVD80" s="247" t="str">
        <f>BS!$E$5</f>
        <v>31 March 2025</v>
      </c>
      <c r="DVE80" s="1717"/>
      <c r="DVF80" s="1718"/>
      <c r="DVG80" s="1718"/>
      <c r="DVH80" s="1718"/>
      <c r="DVI80" s="1718"/>
      <c r="DVJ80" s="246"/>
      <c r="DVK80" s="246" t="str">
        <f>BS!$D$5</f>
        <v>31 March 2026</v>
      </c>
      <c r="DVL80" s="247" t="str">
        <f>BS!$E$5</f>
        <v>31 March 2025</v>
      </c>
      <c r="DVM80" s="1717"/>
      <c r="DVN80" s="1718"/>
      <c r="DVO80" s="1718"/>
      <c r="DVP80" s="1718"/>
      <c r="DVQ80" s="1718"/>
      <c r="DVR80" s="246"/>
      <c r="DVS80" s="246" t="str">
        <f>BS!$D$5</f>
        <v>31 March 2026</v>
      </c>
      <c r="DVT80" s="247" t="str">
        <f>BS!$E$5</f>
        <v>31 March 2025</v>
      </c>
      <c r="DVU80" s="1717"/>
      <c r="DVV80" s="1718"/>
      <c r="DVW80" s="1718"/>
      <c r="DVX80" s="1718"/>
      <c r="DVY80" s="1718"/>
      <c r="DVZ80" s="246"/>
      <c r="DWA80" s="246" t="str">
        <f>BS!$D$5</f>
        <v>31 March 2026</v>
      </c>
      <c r="DWB80" s="247" t="str">
        <f>BS!$E$5</f>
        <v>31 March 2025</v>
      </c>
      <c r="DWC80" s="1717"/>
      <c r="DWD80" s="1718"/>
      <c r="DWE80" s="1718"/>
      <c r="DWF80" s="1718"/>
      <c r="DWG80" s="1718"/>
      <c r="DWH80" s="246"/>
      <c r="DWI80" s="246" t="str">
        <f>BS!$D$5</f>
        <v>31 March 2026</v>
      </c>
      <c r="DWJ80" s="247" t="str">
        <f>BS!$E$5</f>
        <v>31 March 2025</v>
      </c>
      <c r="DWK80" s="1717"/>
      <c r="DWL80" s="1718"/>
      <c r="DWM80" s="1718"/>
      <c r="DWN80" s="1718"/>
      <c r="DWO80" s="1718"/>
      <c r="DWP80" s="246"/>
      <c r="DWQ80" s="246" t="str">
        <f>BS!$D$5</f>
        <v>31 March 2026</v>
      </c>
      <c r="DWR80" s="247" t="str">
        <f>BS!$E$5</f>
        <v>31 March 2025</v>
      </c>
      <c r="DWS80" s="1717"/>
      <c r="DWT80" s="1718"/>
      <c r="DWU80" s="1718"/>
      <c r="DWV80" s="1718"/>
      <c r="DWW80" s="1718"/>
      <c r="DWX80" s="246"/>
      <c r="DWY80" s="246" t="str">
        <f>BS!$D$5</f>
        <v>31 March 2026</v>
      </c>
      <c r="DWZ80" s="247" t="str">
        <f>BS!$E$5</f>
        <v>31 March 2025</v>
      </c>
      <c r="DXA80" s="1717"/>
      <c r="DXB80" s="1718"/>
      <c r="DXC80" s="1718"/>
      <c r="DXD80" s="1718"/>
      <c r="DXE80" s="1718"/>
      <c r="DXF80" s="246"/>
      <c r="DXG80" s="246" t="str">
        <f>BS!$D$5</f>
        <v>31 March 2026</v>
      </c>
      <c r="DXH80" s="247" t="str">
        <f>BS!$E$5</f>
        <v>31 March 2025</v>
      </c>
      <c r="DXI80" s="1717"/>
      <c r="DXJ80" s="1718"/>
      <c r="DXK80" s="1718"/>
      <c r="DXL80" s="1718"/>
      <c r="DXM80" s="1718"/>
      <c r="DXN80" s="246"/>
      <c r="DXO80" s="246" t="str">
        <f>BS!$D$5</f>
        <v>31 March 2026</v>
      </c>
      <c r="DXP80" s="247" t="str">
        <f>BS!$E$5</f>
        <v>31 March 2025</v>
      </c>
      <c r="DXQ80" s="1717"/>
      <c r="DXR80" s="1718"/>
      <c r="DXS80" s="1718"/>
      <c r="DXT80" s="1718"/>
      <c r="DXU80" s="1718"/>
      <c r="DXV80" s="246"/>
      <c r="DXW80" s="246" t="str">
        <f>BS!$D$5</f>
        <v>31 March 2026</v>
      </c>
      <c r="DXX80" s="247" t="str">
        <f>BS!$E$5</f>
        <v>31 March 2025</v>
      </c>
      <c r="DXY80" s="1717"/>
      <c r="DXZ80" s="1718"/>
      <c r="DYA80" s="1718"/>
      <c r="DYB80" s="1718"/>
      <c r="DYC80" s="1718"/>
      <c r="DYD80" s="246"/>
      <c r="DYE80" s="246" t="str">
        <f>BS!$D$5</f>
        <v>31 March 2026</v>
      </c>
      <c r="DYF80" s="247" t="str">
        <f>BS!$E$5</f>
        <v>31 March 2025</v>
      </c>
      <c r="DYG80" s="1717"/>
      <c r="DYH80" s="1718"/>
      <c r="DYI80" s="1718"/>
      <c r="DYJ80" s="1718"/>
      <c r="DYK80" s="1718"/>
      <c r="DYL80" s="246"/>
      <c r="DYM80" s="246" t="str">
        <f>BS!$D$5</f>
        <v>31 March 2026</v>
      </c>
      <c r="DYN80" s="247" t="str">
        <f>BS!$E$5</f>
        <v>31 March 2025</v>
      </c>
      <c r="DYO80" s="1717"/>
      <c r="DYP80" s="1718"/>
      <c r="DYQ80" s="1718"/>
      <c r="DYR80" s="1718"/>
      <c r="DYS80" s="1718"/>
      <c r="DYT80" s="246"/>
      <c r="DYU80" s="246" t="str">
        <f>BS!$D$5</f>
        <v>31 March 2026</v>
      </c>
      <c r="DYV80" s="247" t="str">
        <f>BS!$E$5</f>
        <v>31 March 2025</v>
      </c>
      <c r="DYW80" s="1717"/>
      <c r="DYX80" s="1718"/>
      <c r="DYY80" s="1718"/>
      <c r="DYZ80" s="1718"/>
      <c r="DZA80" s="1718"/>
      <c r="DZB80" s="246"/>
      <c r="DZC80" s="246" t="str">
        <f>BS!$D$5</f>
        <v>31 March 2026</v>
      </c>
      <c r="DZD80" s="247" t="str">
        <f>BS!$E$5</f>
        <v>31 March 2025</v>
      </c>
      <c r="DZE80" s="1717"/>
      <c r="DZF80" s="1718"/>
      <c r="DZG80" s="1718"/>
      <c r="DZH80" s="1718"/>
      <c r="DZI80" s="1718"/>
      <c r="DZJ80" s="246"/>
      <c r="DZK80" s="246" t="str">
        <f>BS!$D$5</f>
        <v>31 March 2026</v>
      </c>
      <c r="DZL80" s="247" t="str">
        <f>BS!$E$5</f>
        <v>31 March 2025</v>
      </c>
      <c r="DZM80" s="1717"/>
      <c r="DZN80" s="1718"/>
      <c r="DZO80" s="1718"/>
      <c r="DZP80" s="1718"/>
      <c r="DZQ80" s="1718"/>
      <c r="DZR80" s="246"/>
      <c r="DZS80" s="246" t="str">
        <f>BS!$D$5</f>
        <v>31 March 2026</v>
      </c>
      <c r="DZT80" s="247" t="str">
        <f>BS!$E$5</f>
        <v>31 March 2025</v>
      </c>
      <c r="DZU80" s="1717"/>
      <c r="DZV80" s="1718"/>
      <c r="DZW80" s="1718"/>
      <c r="DZX80" s="1718"/>
      <c r="DZY80" s="1718"/>
      <c r="DZZ80" s="246"/>
      <c r="EAA80" s="246" t="str">
        <f>BS!$D$5</f>
        <v>31 March 2026</v>
      </c>
      <c r="EAB80" s="247" t="str">
        <f>BS!$E$5</f>
        <v>31 March 2025</v>
      </c>
      <c r="EAC80" s="1717"/>
      <c r="EAD80" s="1718"/>
      <c r="EAE80" s="1718"/>
      <c r="EAF80" s="1718"/>
      <c r="EAG80" s="1718"/>
      <c r="EAH80" s="246"/>
      <c r="EAI80" s="246" t="str">
        <f>BS!$D$5</f>
        <v>31 March 2026</v>
      </c>
      <c r="EAJ80" s="247" t="str">
        <f>BS!$E$5</f>
        <v>31 March 2025</v>
      </c>
      <c r="EAK80" s="1717"/>
      <c r="EAL80" s="1718"/>
      <c r="EAM80" s="1718"/>
      <c r="EAN80" s="1718"/>
      <c r="EAO80" s="1718"/>
      <c r="EAP80" s="246"/>
      <c r="EAQ80" s="246" t="str">
        <f>BS!$D$5</f>
        <v>31 March 2026</v>
      </c>
      <c r="EAR80" s="247" t="str">
        <f>BS!$E$5</f>
        <v>31 March 2025</v>
      </c>
      <c r="EAS80" s="1717"/>
      <c r="EAT80" s="1718"/>
      <c r="EAU80" s="1718"/>
      <c r="EAV80" s="1718"/>
      <c r="EAW80" s="1718"/>
      <c r="EAX80" s="246"/>
      <c r="EAY80" s="246" t="str">
        <f>BS!$D$5</f>
        <v>31 March 2026</v>
      </c>
      <c r="EAZ80" s="247" t="str">
        <f>BS!$E$5</f>
        <v>31 March 2025</v>
      </c>
      <c r="EBA80" s="1717"/>
      <c r="EBB80" s="1718"/>
      <c r="EBC80" s="1718"/>
      <c r="EBD80" s="1718"/>
      <c r="EBE80" s="1718"/>
      <c r="EBF80" s="246"/>
      <c r="EBG80" s="246" t="str">
        <f>BS!$D$5</f>
        <v>31 March 2026</v>
      </c>
      <c r="EBH80" s="247" t="str">
        <f>BS!$E$5</f>
        <v>31 March 2025</v>
      </c>
      <c r="EBI80" s="1717"/>
      <c r="EBJ80" s="1718"/>
      <c r="EBK80" s="1718"/>
      <c r="EBL80" s="1718"/>
      <c r="EBM80" s="1718"/>
      <c r="EBN80" s="246"/>
      <c r="EBO80" s="246" t="str">
        <f>BS!$D$5</f>
        <v>31 March 2026</v>
      </c>
      <c r="EBP80" s="247" t="str">
        <f>BS!$E$5</f>
        <v>31 March 2025</v>
      </c>
      <c r="EBQ80" s="1717"/>
      <c r="EBR80" s="1718"/>
      <c r="EBS80" s="1718"/>
      <c r="EBT80" s="1718"/>
      <c r="EBU80" s="1718"/>
      <c r="EBV80" s="246"/>
      <c r="EBW80" s="246" t="str">
        <f>BS!$D$5</f>
        <v>31 March 2026</v>
      </c>
      <c r="EBX80" s="247" t="str">
        <f>BS!$E$5</f>
        <v>31 March 2025</v>
      </c>
      <c r="EBY80" s="1717"/>
      <c r="EBZ80" s="1718"/>
      <c r="ECA80" s="1718"/>
      <c r="ECB80" s="1718"/>
      <c r="ECC80" s="1718"/>
      <c r="ECD80" s="246"/>
      <c r="ECE80" s="246" t="str">
        <f>BS!$D$5</f>
        <v>31 March 2026</v>
      </c>
      <c r="ECF80" s="247" t="str">
        <f>BS!$E$5</f>
        <v>31 March 2025</v>
      </c>
      <c r="ECG80" s="1717"/>
      <c r="ECH80" s="1718"/>
      <c r="ECI80" s="1718"/>
      <c r="ECJ80" s="1718"/>
      <c r="ECK80" s="1718"/>
      <c r="ECL80" s="246"/>
      <c r="ECM80" s="246" t="str">
        <f>BS!$D$5</f>
        <v>31 March 2026</v>
      </c>
      <c r="ECN80" s="247" t="str">
        <f>BS!$E$5</f>
        <v>31 March 2025</v>
      </c>
      <c r="ECO80" s="1717"/>
      <c r="ECP80" s="1718"/>
      <c r="ECQ80" s="1718"/>
      <c r="ECR80" s="1718"/>
      <c r="ECS80" s="1718"/>
      <c r="ECT80" s="246"/>
      <c r="ECU80" s="246" t="str">
        <f>BS!$D$5</f>
        <v>31 March 2026</v>
      </c>
      <c r="ECV80" s="247" t="str">
        <f>BS!$E$5</f>
        <v>31 March 2025</v>
      </c>
      <c r="ECW80" s="1717"/>
      <c r="ECX80" s="1718"/>
      <c r="ECY80" s="1718"/>
      <c r="ECZ80" s="1718"/>
      <c r="EDA80" s="1718"/>
      <c r="EDB80" s="246"/>
      <c r="EDC80" s="246" t="str">
        <f>BS!$D$5</f>
        <v>31 March 2026</v>
      </c>
      <c r="EDD80" s="247" t="str">
        <f>BS!$E$5</f>
        <v>31 March 2025</v>
      </c>
      <c r="EDE80" s="1717"/>
      <c r="EDF80" s="1718"/>
      <c r="EDG80" s="1718"/>
      <c r="EDH80" s="1718"/>
      <c r="EDI80" s="1718"/>
      <c r="EDJ80" s="246"/>
      <c r="EDK80" s="246" t="str">
        <f>BS!$D$5</f>
        <v>31 March 2026</v>
      </c>
      <c r="EDL80" s="247" t="str">
        <f>BS!$E$5</f>
        <v>31 March 2025</v>
      </c>
      <c r="EDM80" s="1717"/>
      <c r="EDN80" s="1718"/>
      <c r="EDO80" s="1718"/>
      <c r="EDP80" s="1718"/>
      <c r="EDQ80" s="1718"/>
      <c r="EDR80" s="246"/>
      <c r="EDS80" s="246" t="str">
        <f>BS!$D$5</f>
        <v>31 March 2026</v>
      </c>
      <c r="EDT80" s="247" t="str">
        <f>BS!$E$5</f>
        <v>31 March 2025</v>
      </c>
      <c r="EDU80" s="1717"/>
      <c r="EDV80" s="1718"/>
      <c r="EDW80" s="1718"/>
      <c r="EDX80" s="1718"/>
      <c r="EDY80" s="1718"/>
      <c r="EDZ80" s="246"/>
      <c r="EEA80" s="246" t="str">
        <f>BS!$D$5</f>
        <v>31 March 2026</v>
      </c>
      <c r="EEB80" s="247" t="str">
        <f>BS!$E$5</f>
        <v>31 March 2025</v>
      </c>
      <c r="EEC80" s="1717"/>
      <c r="EED80" s="1718"/>
      <c r="EEE80" s="1718"/>
      <c r="EEF80" s="1718"/>
      <c r="EEG80" s="1718"/>
      <c r="EEH80" s="246"/>
      <c r="EEI80" s="246" t="str">
        <f>BS!$D$5</f>
        <v>31 March 2026</v>
      </c>
      <c r="EEJ80" s="247" t="str">
        <f>BS!$E$5</f>
        <v>31 March 2025</v>
      </c>
      <c r="EEK80" s="1717"/>
      <c r="EEL80" s="1718"/>
      <c r="EEM80" s="1718"/>
      <c r="EEN80" s="1718"/>
      <c r="EEO80" s="1718"/>
      <c r="EEP80" s="246"/>
      <c r="EEQ80" s="246" t="str">
        <f>BS!$D$5</f>
        <v>31 March 2026</v>
      </c>
      <c r="EER80" s="247" t="str">
        <f>BS!$E$5</f>
        <v>31 March 2025</v>
      </c>
      <c r="EES80" s="1717"/>
      <c r="EET80" s="1718"/>
      <c r="EEU80" s="1718"/>
      <c r="EEV80" s="1718"/>
      <c r="EEW80" s="1718"/>
      <c r="EEX80" s="246"/>
      <c r="EEY80" s="246" t="str">
        <f>BS!$D$5</f>
        <v>31 March 2026</v>
      </c>
      <c r="EEZ80" s="247" t="str">
        <f>BS!$E$5</f>
        <v>31 March 2025</v>
      </c>
      <c r="EFA80" s="1717"/>
      <c r="EFB80" s="1718"/>
      <c r="EFC80" s="1718"/>
      <c r="EFD80" s="1718"/>
      <c r="EFE80" s="1718"/>
      <c r="EFF80" s="246"/>
      <c r="EFG80" s="246" t="str">
        <f>BS!$D$5</f>
        <v>31 March 2026</v>
      </c>
      <c r="EFH80" s="247" t="str">
        <f>BS!$E$5</f>
        <v>31 March 2025</v>
      </c>
      <c r="EFI80" s="1717"/>
      <c r="EFJ80" s="1718"/>
      <c r="EFK80" s="1718"/>
      <c r="EFL80" s="1718"/>
      <c r="EFM80" s="1718"/>
      <c r="EFN80" s="246"/>
      <c r="EFO80" s="246" t="str">
        <f>BS!$D$5</f>
        <v>31 March 2026</v>
      </c>
      <c r="EFP80" s="247" t="str">
        <f>BS!$E$5</f>
        <v>31 March 2025</v>
      </c>
      <c r="EFQ80" s="1717"/>
      <c r="EFR80" s="1718"/>
      <c r="EFS80" s="1718"/>
      <c r="EFT80" s="1718"/>
      <c r="EFU80" s="1718"/>
      <c r="EFV80" s="246"/>
      <c r="EFW80" s="246" t="str">
        <f>BS!$D$5</f>
        <v>31 March 2026</v>
      </c>
      <c r="EFX80" s="247" t="str">
        <f>BS!$E$5</f>
        <v>31 March 2025</v>
      </c>
      <c r="EFY80" s="1717"/>
      <c r="EFZ80" s="1718"/>
      <c r="EGA80" s="1718"/>
      <c r="EGB80" s="1718"/>
      <c r="EGC80" s="1718"/>
      <c r="EGD80" s="246"/>
      <c r="EGE80" s="246" t="str">
        <f>BS!$D$5</f>
        <v>31 March 2026</v>
      </c>
      <c r="EGF80" s="247" t="str">
        <f>BS!$E$5</f>
        <v>31 March 2025</v>
      </c>
      <c r="EGG80" s="1717"/>
      <c r="EGH80" s="1718"/>
      <c r="EGI80" s="1718"/>
      <c r="EGJ80" s="1718"/>
      <c r="EGK80" s="1718"/>
      <c r="EGL80" s="246"/>
      <c r="EGM80" s="246" t="str">
        <f>BS!$D$5</f>
        <v>31 March 2026</v>
      </c>
      <c r="EGN80" s="247" t="str">
        <f>BS!$E$5</f>
        <v>31 March 2025</v>
      </c>
      <c r="EGO80" s="1717"/>
      <c r="EGP80" s="1718"/>
      <c r="EGQ80" s="1718"/>
      <c r="EGR80" s="1718"/>
      <c r="EGS80" s="1718"/>
      <c r="EGT80" s="246"/>
      <c r="EGU80" s="246" t="str">
        <f>BS!$D$5</f>
        <v>31 March 2026</v>
      </c>
      <c r="EGV80" s="247" t="str">
        <f>BS!$E$5</f>
        <v>31 March 2025</v>
      </c>
      <c r="EGW80" s="1717"/>
      <c r="EGX80" s="1718"/>
      <c r="EGY80" s="1718"/>
      <c r="EGZ80" s="1718"/>
      <c r="EHA80" s="1718"/>
      <c r="EHB80" s="246"/>
      <c r="EHC80" s="246" t="str">
        <f>BS!$D$5</f>
        <v>31 March 2026</v>
      </c>
      <c r="EHD80" s="247" t="str">
        <f>BS!$E$5</f>
        <v>31 March 2025</v>
      </c>
      <c r="EHE80" s="1717"/>
      <c r="EHF80" s="1718"/>
      <c r="EHG80" s="1718"/>
      <c r="EHH80" s="1718"/>
      <c r="EHI80" s="1718"/>
      <c r="EHJ80" s="246"/>
      <c r="EHK80" s="246" t="str">
        <f>BS!$D$5</f>
        <v>31 March 2026</v>
      </c>
      <c r="EHL80" s="247" t="str">
        <f>BS!$E$5</f>
        <v>31 March 2025</v>
      </c>
      <c r="EHM80" s="1717"/>
      <c r="EHN80" s="1718"/>
      <c r="EHO80" s="1718"/>
      <c r="EHP80" s="1718"/>
      <c r="EHQ80" s="1718"/>
      <c r="EHR80" s="246"/>
      <c r="EHS80" s="246" t="str">
        <f>BS!$D$5</f>
        <v>31 March 2026</v>
      </c>
      <c r="EHT80" s="247" t="str">
        <f>BS!$E$5</f>
        <v>31 March 2025</v>
      </c>
      <c r="EHU80" s="1717"/>
      <c r="EHV80" s="1718"/>
      <c r="EHW80" s="1718"/>
      <c r="EHX80" s="1718"/>
      <c r="EHY80" s="1718"/>
      <c r="EHZ80" s="246"/>
      <c r="EIA80" s="246" t="str">
        <f>BS!$D$5</f>
        <v>31 March 2026</v>
      </c>
      <c r="EIB80" s="247" t="str">
        <f>BS!$E$5</f>
        <v>31 March 2025</v>
      </c>
      <c r="EIC80" s="1717"/>
      <c r="EID80" s="1718"/>
      <c r="EIE80" s="1718"/>
      <c r="EIF80" s="1718"/>
      <c r="EIG80" s="1718"/>
      <c r="EIH80" s="246"/>
      <c r="EII80" s="246" t="str">
        <f>BS!$D$5</f>
        <v>31 March 2026</v>
      </c>
      <c r="EIJ80" s="247" t="str">
        <f>BS!$E$5</f>
        <v>31 March 2025</v>
      </c>
      <c r="EIK80" s="1717"/>
      <c r="EIL80" s="1718"/>
      <c r="EIM80" s="1718"/>
      <c r="EIN80" s="1718"/>
      <c r="EIO80" s="1718"/>
      <c r="EIP80" s="246"/>
      <c r="EIQ80" s="246" t="str">
        <f>BS!$D$5</f>
        <v>31 March 2026</v>
      </c>
      <c r="EIR80" s="247" t="str">
        <f>BS!$E$5</f>
        <v>31 March 2025</v>
      </c>
      <c r="EIS80" s="1717"/>
      <c r="EIT80" s="1718"/>
      <c r="EIU80" s="1718"/>
      <c r="EIV80" s="1718"/>
      <c r="EIW80" s="1718"/>
      <c r="EIX80" s="246"/>
      <c r="EIY80" s="246" t="str">
        <f>BS!$D$5</f>
        <v>31 March 2026</v>
      </c>
      <c r="EIZ80" s="247" t="str">
        <f>BS!$E$5</f>
        <v>31 March 2025</v>
      </c>
      <c r="EJA80" s="1717"/>
      <c r="EJB80" s="1718"/>
      <c r="EJC80" s="1718"/>
      <c r="EJD80" s="1718"/>
      <c r="EJE80" s="1718"/>
      <c r="EJF80" s="246"/>
      <c r="EJG80" s="246" t="str">
        <f>BS!$D$5</f>
        <v>31 March 2026</v>
      </c>
      <c r="EJH80" s="247" t="str">
        <f>BS!$E$5</f>
        <v>31 March 2025</v>
      </c>
      <c r="EJI80" s="1717"/>
      <c r="EJJ80" s="1718"/>
      <c r="EJK80" s="1718"/>
      <c r="EJL80" s="1718"/>
      <c r="EJM80" s="1718"/>
      <c r="EJN80" s="246"/>
      <c r="EJO80" s="246" t="str">
        <f>BS!$D$5</f>
        <v>31 March 2026</v>
      </c>
      <c r="EJP80" s="247" t="str">
        <f>BS!$E$5</f>
        <v>31 March 2025</v>
      </c>
      <c r="EJQ80" s="1717"/>
      <c r="EJR80" s="1718"/>
      <c r="EJS80" s="1718"/>
      <c r="EJT80" s="1718"/>
      <c r="EJU80" s="1718"/>
      <c r="EJV80" s="246"/>
      <c r="EJW80" s="246" t="str">
        <f>BS!$D$5</f>
        <v>31 March 2026</v>
      </c>
      <c r="EJX80" s="247" t="str">
        <f>BS!$E$5</f>
        <v>31 March 2025</v>
      </c>
      <c r="EJY80" s="1717"/>
      <c r="EJZ80" s="1718"/>
      <c r="EKA80" s="1718"/>
      <c r="EKB80" s="1718"/>
      <c r="EKC80" s="1718"/>
      <c r="EKD80" s="246"/>
      <c r="EKE80" s="246" t="str">
        <f>BS!$D$5</f>
        <v>31 March 2026</v>
      </c>
      <c r="EKF80" s="247" t="str">
        <f>BS!$E$5</f>
        <v>31 March 2025</v>
      </c>
      <c r="EKG80" s="1717"/>
      <c r="EKH80" s="1718"/>
      <c r="EKI80" s="1718"/>
      <c r="EKJ80" s="1718"/>
      <c r="EKK80" s="1718"/>
      <c r="EKL80" s="246"/>
      <c r="EKM80" s="246" t="str">
        <f>BS!$D$5</f>
        <v>31 March 2026</v>
      </c>
      <c r="EKN80" s="247" t="str">
        <f>BS!$E$5</f>
        <v>31 March 2025</v>
      </c>
      <c r="EKO80" s="1717"/>
      <c r="EKP80" s="1718"/>
      <c r="EKQ80" s="1718"/>
      <c r="EKR80" s="1718"/>
      <c r="EKS80" s="1718"/>
      <c r="EKT80" s="246"/>
      <c r="EKU80" s="246" t="str">
        <f>BS!$D$5</f>
        <v>31 March 2026</v>
      </c>
      <c r="EKV80" s="247" t="str">
        <f>BS!$E$5</f>
        <v>31 March 2025</v>
      </c>
      <c r="EKW80" s="1717"/>
      <c r="EKX80" s="1718"/>
      <c r="EKY80" s="1718"/>
      <c r="EKZ80" s="1718"/>
      <c r="ELA80" s="1718"/>
      <c r="ELB80" s="246"/>
      <c r="ELC80" s="246" t="str">
        <f>BS!$D$5</f>
        <v>31 March 2026</v>
      </c>
      <c r="ELD80" s="247" t="str">
        <f>BS!$E$5</f>
        <v>31 March 2025</v>
      </c>
      <c r="ELE80" s="1717"/>
      <c r="ELF80" s="1718"/>
      <c r="ELG80" s="1718"/>
      <c r="ELH80" s="1718"/>
      <c r="ELI80" s="1718"/>
      <c r="ELJ80" s="246"/>
      <c r="ELK80" s="246" t="str">
        <f>BS!$D$5</f>
        <v>31 March 2026</v>
      </c>
      <c r="ELL80" s="247" t="str">
        <f>BS!$E$5</f>
        <v>31 March 2025</v>
      </c>
      <c r="ELM80" s="1717"/>
      <c r="ELN80" s="1718"/>
      <c r="ELO80" s="1718"/>
      <c r="ELP80" s="1718"/>
      <c r="ELQ80" s="1718"/>
      <c r="ELR80" s="246"/>
      <c r="ELS80" s="246" t="str">
        <f>BS!$D$5</f>
        <v>31 March 2026</v>
      </c>
      <c r="ELT80" s="247" t="str">
        <f>BS!$E$5</f>
        <v>31 March 2025</v>
      </c>
      <c r="ELU80" s="1717"/>
      <c r="ELV80" s="1718"/>
      <c r="ELW80" s="1718"/>
      <c r="ELX80" s="1718"/>
      <c r="ELY80" s="1718"/>
      <c r="ELZ80" s="246"/>
      <c r="EMA80" s="246" t="str">
        <f>BS!$D$5</f>
        <v>31 March 2026</v>
      </c>
      <c r="EMB80" s="247" t="str">
        <f>BS!$E$5</f>
        <v>31 March 2025</v>
      </c>
      <c r="EMC80" s="1717"/>
      <c r="EMD80" s="1718"/>
      <c r="EME80" s="1718"/>
      <c r="EMF80" s="1718"/>
      <c r="EMG80" s="1718"/>
      <c r="EMH80" s="246"/>
      <c r="EMI80" s="246" t="str">
        <f>BS!$D$5</f>
        <v>31 March 2026</v>
      </c>
      <c r="EMJ80" s="247" t="str">
        <f>BS!$E$5</f>
        <v>31 March 2025</v>
      </c>
      <c r="EMK80" s="1717"/>
      <c r="EML80" s="1718"/>
      <c r="EMM80" s="1718"/>
      <c r="EMN80" s="1718"/>
      <c r="EMO80" s="1718"/>
      <c r="EMP80" s="246"/>
      <c r="EMQ80" s="246" t="str">
        <f>BS!$D$5</f>
        <v>31 March 2026</v>
      </c>
      <c r="EMR80" s="247" t="str">
        <f>BS!$E$5</f>
        <v>31 March 2025</v>
      </c>
      <c r="EMS80" s="1717"/>
      <c r="EMT80" s="1718"/>
      <c r="EMU80" s="1718"/>
      <c r="EMV80" s="1718"/>
      <c r="EMW80" s="1718"/>
      <c r="EMX80" s="246"/>
      <c r="EMY80" s="246" t="str">
        <f>BS!$D$5</f>
        <v>31 March 2026</v>
      </c>
      <c r="EMZ80" s="247" t="str">
        <f>BS!$E$5</f>
        <v>31 March 2025</v>
      </c>
      <c r="ENA80" s="1717"/>
      <c r="ENB80" s="1718"/>
      <c r="ENC80" s="1718"/>
      <c r="END80" s="1718"/>
      <c r="ENE80" s="1718"/>
      <c r="ENF80" s="246"/>
      <c r="ENG80" s="246" t="str">
        <f>BS!$D$5</f>
        <v>31 March 2026</v>
      </c>
      <c r="ENH80" s="247" t="str">
        <f>BS!$E$5</f>
        <v>31 March 2025</v>
      </c>
      <c r="ENI80" s="1717"/>
      <c r="ENJ80" s="1718"/>
      <c r="ENK80" s="1718"/>
      <c r="ENL80" s="1718"/>
      <c r="ENM80" s="1718"/>
      <c r="ENN80" s="246"/>
      <c r="ENO80" s="246" t="str">
        <f>BS!$D$5</f>
        <v>31 March 2026</v>
      </c>
      <c r="ENP80" s="247" t="str">
        <f>BS!$E$5</f>
        <v>31 March 2025</v>
      </c>
      <c r="ENQ80" s="1717"/>
      <c r="ENR80" s="1718"/>
      <c r="ENS80" s="1718"/>
      <c r="ENT80" s="1718"/>
      <c r="ENU80" s="1718"/>
      <c r="ENV80" s="246"/>
      <c r="ENW80" s="246" t="str">
        <f>BS!$D$5</f>
        <v>31 March 2026</v>
      </c>
      <c r="ENX80" s="247" t="str">
        <f>BS!$E$5</f>
        <v>31 March 2025</v>
      </c>
      <c r="ENY80" s="1717"/>
      <c r="ENZ80" s="1718"/>
      <c r="EOA80" s="1718"/>
      <c r="EOB80" s="1718"/>
      <c r="EOC80" s="1718"/>
      <c r="EOD80" s="246"/>
      <c r="EOE80" s="246" t="str">
        <f>BS!$D$5</f>
        <v>31 March 2026</v>
      </c>
      <c r="EOF80" s="247" t="str">
        <f>BS!$E$5</f>
        <v>31 March 2025</v>
      </c>
      <c r="EOG80" s="1717"/>
      <c r="EOH80" s="1718"/>
      <c r="EOI80" s="1718"/>
      <c r="EOJ80" s="1718"/>
      <c r="EOK80" s="1718"/>
      <c r="EOL80" s="246"/>
      <c r="EOM80" s="246" t="str">
        <f>BS!$D$5</f>
        <v>31 March 2026</v>
      </c>
      <c r="EON80" s="247" t="str">
        <f>BS!$E$5</f>
        <v>31 March 2025</v>
      </c>
      <c r="EOO80" s="1717"/>
      <c r="EOP80" s="1718"/>
      <c r="EOQ80" s="1718"/>
      <c r="EOR80" s="1718"/>
      <c r="EOS80" s="1718"/>
      <c r="EOT80" s="246"/>
      <c r="EOU80" s="246" t="str">
        <f>BS!$D$5</f>
        <v>31 March 2026</v>
      </c>
      <c r="EOV80" s="247" t="str">
        <f>BS!$E$5</f>
        <v>31 March 2025</v>
      </c>
      <c r="EOW80" s="1717"/>
      <c r="EOX80" s="1718"/>
      <c r="EOY80" s="1718"/>
      <c r="EOZ80" s="1718"/>
      <c r="EPA80" s="1718"/>
      <c r="EPB80" s="246"/>
      <c r="EPC80" s="246" t="str">
        <f>BS!$D$5</f>
        <v>31 March 2026</v>
      </c>
      <c r="EPD80" s="247" t="str">
        <f>BS!$E$5</f>
        <v>31 March 2025</v>
      </c>
      <c r="EPE80" s="1717"/>
      <c r="EPF80" s="1718"/>
      <c r="EPG80" s="1718"/>
      <c r="EPH80" s="1718"/>
      <c r="EPI80" s="1718"/>
      <c r="EPJ80" s="246"/>
      <c r="EPK80" s="246" t="str">
        <f>BS!$D$5</f>
        <v>31 March 2026</v>
      </c>
      <c r="EPL80" s="247" t="str">
        <f>BS!$E$5</f>
        <v>31 March 2025</v>
      </c>
      <c r="EPM80" s="1717"/>
      <c r="EPN80" s="1718"/>
      <c r="EPO80" s="1718"/>
      <c r="EPP80" s="1718"/>
      <c r="EPQ80" s="1718"/>
      <c r="EPR80" s="246"/>
      <c r="EPS80" s="246" t="str">
        <f>BS!$D$5</f>
        <v>31 March 2026</v>
      </c>
      <c r="EPT80" s="247" t="str">
        <f>BS!$E$5</f>
        <v>31 March 2025</v>
      </c>
      <c r="EPU80" s="1717"/>
      <c r="EPV80" s="1718"/>
      <c r="EPW80" s="1718"/>
      <c r="EPX80" s="1718"/>
      <c r="EPY80" s="1718"/>
      <c r="EPZ80" s="246"/>
      <c r="EQA80" s="246" t="str">
        <f>BS!$D$5</f>
        <v>31 March 2026</v>
      </c>
      <c r="EQB80" s="247" t="str">
        <f>BS!$E$5</f>
        <v>31 March 2025</v>
      </c>
      <c r="EQC80" s="1717"/>
      <c r="EQD80" s="1718"/>
      <c r="EQE80" s="1718"/>
      <c r="EQF80" s="1718"/>
      <c r="EQG80" s="1718"/>
      <c r="EQH80" s="246"/>
      <c r="EQI80" s="246" t="str">
        <f>BS!$D$5</f>
        <v>31 March 2026</v>
      </c>
      <c r="EQJ80" s="247" t="str">
        <f>BS!$E$5</f>
        <v>31 March 2025</v>
      </c>
      <c r="EQK80" s="1717"/>
      <c r="EQL80" s="1718"/>
      <c r="EQM80" s="1718"/>
      <c r="EQN80" s="1718"/>
      <c r="EQO80" s="1718"/>
      <c r="EQP80" s="246"/>
      <c r="EQQ80" s="246" t="str">
        <f>BS!$D$5</f>
        <v>31 March 2026</v>
      </c>
      <c r="EQR80" s="247" t="str">
        <f>BS!$E$5</f>
        <v>31 March 2025</v>
      </c>
      <c r="EQS80" s="1717"/>
      <c r="EQT80" s="1718"/>
      <c r="EQU80" s="1718"/>
      <c r="EQV80" s="1718"/>
      <c r="EQW80" s="1718"/>
      <c r="EQX80" s="246"/>
      <c r="EQY80" s="246" t="str">
        <f>BS!$D$5</f>
        <v>31 March 2026</v>
      </c>
      <c r="EQZ80" s="247" t="str">
        <f>BS!$E$5</f>
        <v>31 March 2025</v>
      </c>
      <c r="ERA80" s="1717"/>
      <c r="ERB80" s="1718"/>
      <c r="ERC80" s="1718"/>
      <c r="ERD80" s="1718"/>
      <c r="ERE80" s="1718"/>
      <c r="ERF80" s="246"/>
      <c r="ERG80" s="246" t="str">
        <f>BS!$D$5</f>
        <v>31 March 2026</v>
      </c>
      <c r="ERH80" s="247" t="str">
        <f>BS!$E$5</f>
        <v>31 March 2025</v>
      </c>
      <c r="ERI80" s="1717"/>
      <c r="ERJ80" s="1718"/>
      <c r="ERK80" s="1718"/>
      <c r="ERL80" s="1718"/>
      <c r="ERM80" s="1718"/>
      <c r="ERN80" s="246"/>
      <c r="ERO80" s="246" t="str">
        <f>BS!$D$5</f>
        <v>31 March 2026</v>
      </c>
      <c r="ERP80" s="247" t="str">
        <f>BS!$E$5</f>
        <v>31 March 2025</v>
      </c>
      <c r="ERQ80" s="1717"/>
      <c r="ERR80" s="1718"/>
      <c r="ERS80" s="1718"/>
      <c r="ERT80" s="1718"/>
      <c r="ERU80" s="1718"/>
      <c r="ERV80" s="246"/>
      <c r="ERW80" s="246" t="str">
        <f>BS!$D$5</f>
        <v>31 March 2026</v>
      </c>
      <c r="ERX80" s="247" t="str">
        <f>BS!$E$5</f>
        <v>31 March 2025</v>
      </c>
      <c r="ERY80" s="1717"/>
      <c r="ERZ80" s="1718"/>
      <c r="ESA80" s="1718"/>
      <c r="ESB80" s="1718"/>
      <c r="ESC80" s="1718"/>
      <c r="ESD80" s="246"/>
      <c r="ESE80" s="246" t="str">
        <f>BS!$D$5</f>
        <v>31 March 2026</v>
      </c>
      <c r="ESF80" s="247" t="str">
        <f>BS!$E$5</f>
        <v>31 March 2025</v>
      </c>
      <c r="ESG80" s="1717"/>
      <c r="ESH80" s="1718"/>
      <c r="ESI80" s="1718"/>
      <c r="ESJ80" s="1718"/>
      <c r="ESK80" s="1718"/>
      <c r="ESL80" s="246"/>
      <c r="ESM80" s="246" t="str">
        <f>BS!$D$5</f>
        <v>31 March 2026</v>
      </c>
      <c r="ESN80" s="247" t="str">
        <f>BS!$E$5</f>
        <v>31 March 2025</v>
      </c>
      <c r="ESO80" s="1717"/>
      <c r="ESP80" s="1718"/>
      <c r="ESQ80" s="1718"/>
      <c r="ESR80" s="1718"/>
      <c r="ESS80" s="1718"/>
      <c r="EST80" s="246"/>
      <c r="ESU80" s="246" t="str">
        <f>BS!$D$5</f>
        <v>31 March 2026</v>
      </c>
      <c r="ESV80" s="247" t="str">
        <f>BS!$E$5</f>
        <v>31 March 2025</v>
      </c>
      <c r="ESW80" s="1717"/>
      <c r="ESX80" s="1718"/>
      <c r="ESY80" s="1718"/>
      <c r="ESZ80" s="1718"/>
      <c r="ETA80" s="1718"/>
      <c r="ETB80" s="246"/>
      <c r="ETC80" s="246" t="str">
        <f>BS!$D$5</f>
        <v>31 March 2026</v>
      </c>
      <c r="ETD80" s="247" t="str">
        <f>BS!$E$5</f>
        <v>31 March 2025</v>
      </c>
      <c r="ETE80" s="1717"/>
      <c r="ETF80" s="1718"/>
      <c r="ETG80" s="1718"/>
      <c r="ETH80" s="1718"/>
      <c r="ETI80" s="1718"/>
      <c r="ETJ80" s="246"/>
      <c r="ETK80" s="246" t="str">
        <f>BS!$D$5</f>
        <v>31 March 2026</v>
      </c>
      <c r="ETL80" s="247" t="str">
        <f>BS!$E$5</f>
        <v>31 March 2025</v>
      </c>
      <c r="ETM80" s="1717"/>
      <c r="ETN80" s="1718"/>
      <c r="ETO80" s="1718"/>
      <c r="ETP80" s="1718"/>
      <c r="ETQ80" s="1718"/>
      <c r="ETR80" s="246"/>
      <c r="ETS80" s="246" t="str">
        <f>BS!$D$5</f>
        <v>31 March 2026</v>
      </c>
      <c r="ETT80" s="247" t="str">
        <f>BS!$E$5</f>
        <v>31 March 2025</v>
      </c>
      <c r="ETU80" s="1717"/>
      <c r="ETV80" s="1718"/>
      <c r="ETW80" s="1718"/>
      <c r="ETX80" s="1718"/>
      <c r="ETY80" s="1718"/>
      <c r="ETZ80" s="246"/>
      <c r="EUA80" s="246" t="str">
        <f>BS!$D$5</f>
        <v>31 March 2026</v>
      </c>
      <c r="EUB80" s="247" t="str">
        <f>BS!$E$5</f>
        <v>31 March 2025</v>
      </c>
      <c r="EUC80" s="1717"/>
      <c r="EUD80" s="1718"/>
      <c r="EUE80" s="1718"/>
      <c r="EUF80" s="1718"/>
      <c r="EUG80" s="1718"/>
      <c r="EUH80" s="246"/>
      <c r="EUI80" s="246" t="str">
        <f>BS!$D$5</f>
        <v>31 March 2026</v>
      </c>
      <c r="EUJ80" s="247" t="str">
        <f>BS!$E$5</f>
        <v>31 March 2025</v>
      </c>
      <c r="EUK80" s="1717"/>
      <c r="EUL80" s="1718"/>
      <c r="EUM80" s="1718"/>
      <c r="EUN80" s="1718"/>
      <c r="EUO80" s="1718"/>
      <c r="EUP80" s="246"/>
      <c r="EUQ80" s="246" t="str">
        <f>BS!$D$5</f>
        <v>31 March 2026</v>
      </c>
      <c r="EUR80" s="247" t="str">
        <f>BS!$E$5</f>
        <v>31 March 2025</v>
      </c>
      <c r="EUS80" s="1717"/>
      <c r="EUT80" s="1718"/>
      <c r="EUU80" s="1718"/>
      <c r="EUV80" s="1718"/>
      <c r="EUW80" s="1718"/>
      <c r="EUX80" s="246"/>
      <c r="EUY80" s="246" t="str">
        <f>BS!$D$5</f>
        <v>31 March 2026</v>
      </c>
      <c r="EUZ80" s="247" t="str">
        <f>BS!$E$5</f>
        <v>31 March 2025</v>
      </c>
      <c r="EVA80" s="1717"/>
      <c r="EVB80" s="1718"/>
      <c r="EVC80" s="1718"/>
      <c r="EVD80" s="1718"/>
      <c r="EVE80" s="1718"/>
      <c r="EVF80" s="246"/>
      <c r="EVG80" s="246" t="str">
        <f>BS!$D$5</f>
        <v>31 March 2026</v>
      </c>
      <c r="EVH80" s="247" t="str">
        <f>BS!$E$5</f>
        <v>31 March 2025</v>
      </c>
      <c r="EVI80" s="1717"/>
      <c r="EVJ80" s="1718"/>
      <c r="EVK80" s="1718"/>
      <c r="EVL80" s="1718"/>
      <c r="EVM80" s="1718"/>
      <c r="EVN80" s="246"/>
      <c r="EVO80" s="246" t="str">
        <f>BS!$D$5</f>
        <v>31 March 2026</v>
      </c>
      <c r="EVP80" s="247" t="str">
        <f>BS!$E$5</f>
        <v>31 March 2025</v>
      </c>
      <c r="EVQ80" s="1717"/>
      <c r="EVR80" s="1718"/>
      <c r="EVS80" s="1718"/>
      <c r="EVT80" s="1718"/>
      <c r="EVU80" s="1718"/>
      <c r="EVV80" s="246"/>
      <c r="EVW80" s="246" t="str">
        <f>BS!$D$5</f>
        <v>31 March 2026</v>
      </c>
      <c r="EVX80" s="247" t="str">
        <f>BS!$E$5</f>
        <v>31 March 2025</v>
      </c>
      <c r="EVY80" s="1717"/>
      <c r="EVZ80" s="1718"/>
      <c r="EWA80" s="1718"/>
      <c r="EWB80" s="1718"/>
      <c r="EWC80" s="1718"/>
      <c r="EWD80" s="246"/>
      <c r="EWE80" s="246" t="str">
        <f>BS!$D$5</f>
        <v>31 March 2026</v>
      </c>
      <c r="EWF80" s="247" t="str">
        <f>BS!$E$5</f>
        <v>31 March 2025</v>
      </c>
      <c r="EWG80" s="1717"/>
      <c r="EWH80" s="1718"/>
      <c r="EWI80" s="1718"/>
      <c r="EWJ80" s="1718"/>
      <c r="EWK80" s="1718"/>
      <c r="EWL80" s="246"/>
      <c r="EWM80" s="246" t="str">
        <f>BS!$D$5</f>
        <v>31 March 2026</v>
      </c>
      <c r="EWN80" s="247" t="str">
        <f>BS!$E$5</f>
        <v>31 March 2025</v>
      </c>
      <c r="EWO80" s="1717"/>
      <c r="EWP80" s="1718"/>
      <c r="EWQ80" s="1718"/>
      <c r="EWR80" s="1718"/>
      <c r="EWS80" s="1718"/>
      <c r="EWT80" s="246"/>
      <c r="EWU80" s="246" t="str">
        <f>BS!$D$5</f>
        <v>31 March 2026</v>
      </c>
      <c r="EWV80" s="247" t="str">
        <f>BS!$E$5</f>
        <v>31 March 2025</v>
      </c>
      <c r="EWW80" s="1717"/>
      <c r="EWX80" s="1718"/>
      <c r="EWY80" s="1718"/>
      <c r="EWZ80" s="1718"/>
      <c r="EXA80" s="1718"/>
      <c r="EXB80" s="246"/>
      <c r="EXC80" s="246" t="str">
        <f>BS!$D$5</f>
        <v>31 March 2026</v>
      </c>
      <c r="EXD80" s="247" t="str">
        <f>BS!$E$5</f>
        <v>31 March 2025</v>
      </c>
      <c r="EXE80" s="1717"/>
      <c r="EXF80" s="1718"/>
      <c r="EXG80" s="1718"/>
      <c r="EXH80" s="1718"/>
      <c r="EXI80" s="1718"/>
      <c r="EXJ80" s="246"/>
      <c r="EXK80" s="246" t="str">
        <f>BS!$D$5</f>
        <v>31 March 2026</v>
      </c>
      <c r="EXL80" s="247" t="str">
        <f>BS!$E$5</f>
        <v>31 March 2025</v>
      </c>
      <c r="EXM80" s="1717"/>
      <c r="EXN80" s="1718"/>
      <c r="EXO80" s="1718"/>
      <c r="EXP80" s="1718"/>
      <c r="EXQ80" s="1718"/>
      <c r="EXR80" s="246"/>
      <c r="EXS80" s="246" t="str">
        <f>BS!$D$5</f>
        <v>31 March 2026</v>
      </c>
      <c r="EXT80" s="247" t="str">
        <f>BS!$E$5</f>
        <v>31 March 2025</v>
      </c>
      <c r="EXU80" s="1717"/>
      <c r="EXV80" s="1718"/>
      <c r="EXW80" s="1718"/>
      <c r="EXX80" s="1718"/>
      <c r="EXY80" s="1718"/>
      <c r="EXZ80" s="246"/>
      <c r="EYA80" s="246" t="str">
        <f>BS!$D$5</f>
        <v>31 March 2026</v>
      </c>
      <c r="EYB80" s="247" t="str">
        <f>BS!$E$5</f>
        <v>31 March 2025</v>
      </c>
      <c r="EYC80" s="1717"/>
      <c r="EYD80" s="1718"/>
      <c r="EYE80" s="1718"/>
      <c r="EYF80" s="1718"/>
      <c r="EYG80" s="1718"/>
      <c r="EYH80" s="246"/>
      <c r="EYI80" s="246" t="str">
        <f>BS!$D$5</f>
        <v>31 March 2026</v>
      </c>
      <c r="EYJ80" s="247" t="str">
        <f>BS!$E$5</f>
        <v>31 March 2025</v>
      </c>
      <c r="EYK80" s="1717"/>
      <c r="EYL80" s="1718"/>
      <c r="EYM80" s="1718"/>
      <c r="EYN80" s="1718"/>
      <c r="EYO80" s="1718"/>
      <c r="EYP80" s="246"/>
      <c r="EYQ80" s="246" t="str">
        <f>BS!$D$5</f>
        <v>31 March 2026</v>
      </c>
      <c r="EYR80" s="247" t="str">
        <f>BS!$E$5</f>
        <v>31 March 2025</v>
      </c>
      <c r="EYS80" s="1717"/>
      <c r="EYT80" s="1718"/>
      <c r="EYU80" s="1718"/>
      <c r="EYV80" s="1718"/>
      <c r="EYW80" s="1718"/>
      <c r="EYX80" s="246"/>
      <c r="EYY80" s="246" t="str">
        <f>BS!$D$5</f>
        <v>31 March 2026</v>
      </c>
      <c r="EYZ80" s="247" t="str">
        <f>BS!$E$5</f>
        <v>31 March 2025</v>
      </c>
      <c r="EZA80" s="1717"/>
      <c r="EZB80" s="1718"/>
      <c r="EZC80" s="1718"/>
      <c r="EZD80" s="1718"/>
      <c r="EZE80" s="1718"/>
      <c r="EZF80" s="246"/>
      <c r="EZG80" s="246" t="str">
        <f>BS!$D$5</f>
        <v>31 March 2026</v>
      </c>
      <c r="EZH80" s="247" t="str">
        <f>BS!$E$5</f>
        <v>31 March 2025</v>
      </c>
      <c r="EZI80" s="1717"/>
      <c r="EZJ80" s="1718"/>
      <c r="EZK80" s="1718"/>
      <c r="EZL80" s="1718"/>
      <c r="EZM80" s="1718"/>
      <c r="EZN80" s="246"/>
      <c r="EZO80" s="246" t="str">
        <f>BS!$D$5</f>
        <v>31 March 2026</v>
      </c>
      <c r="EZP80" s="247" t="str">
        <f>BS!$E$5</f>
        <v>31 March 2025</v>
      </c>
      <c r="EZQ80" s="1717"/>
      <c r="EZR80" s="1718"/>
      <c r="EZS80" s="1718"/>
      <c r="EZT80" s="1718"/>
      <c r="EZU80" s="1718"/>
      <c r="EZV80" s="246"/>
      <c r="EZW80" s="246" t="str">
        <f>BS!$D$5</f>
        <v>31 March 2026</v>
      </c>
      <c r="EZX80" s="247" t="str">
        <f>BS!$E$5</f>
        <v>31 March 2025</v>
      </c>
      <c r="EZY80" s="1717"/>
      <c r="EZZ80" s="1718"/>
      <c r="FAA80" s="1718"/>
      <c r="FAB80" s="1718"/>
      <c r="FAC80" s="1718"/>
      <c r="FAD80" s="246"/>
      <c r="FAE80" s="246" t="str">
        <f>BS!$D$5</f>
        <v>31 March 2026</v>
      </c>
      <c r="FAF80" s="247" t="str">
        <f>BS!$E$5</f>
        <v>31 March 2025</v>
      </c>
      <c r="FAG80" s="1717"/>
      <c r="FAH80" s="1718"/>
      <c r="FAI80" s="1718"/>
      <c r="FAJ80" s="1718"/>
      <c r="FAK80" s="1718"/>
      <c r="FAL80" s="246"/>
      <c r="FAM80" s="246" t="str">
        <f>BS!$D$5</f>
        <v>31 March 2026</v>
      </c>
      <c r="FAN80" s="247" t="str">
        <f>BS!$E$5</f>
        <v>31 March 2025</v>
      </c>
      <c r="FAO80" s="1717"/>
      <c r="FAP80" s="1718"/>
      <c r="FAQ80" s="1718"/>
      <c r="FAR80" s="1718"/>
      <c r="FAS80" s="1718"/>
      <c r="FAT80" s="246"/>
      <c r="FAU80" s="246" t="str">
        <f>BS!$D$5</f>
        <v>31 March 2026</v>
      </c>
      <c r="FAV80" s="247" t="str">
        <f>BS!$E$5</f>
        <v>31 March 2025</v>
      </c>
      <c r="FAW80" s="1717"/>
      <c r="FAX80" s="1718"/>
      <c r="FAY80" s="1718"/>
      <c r="FAZ80" s="1718"/>
      <c r="FBA80" s="1718"/>
      <c r="FBB80" s="246"/>
      <c r="FBC80" s="246" t="str">
        <f>BS!$D$5</f>
        <v>31 March 2026</v>
      </c>
      <c r="FBD80" s="247" t="str">
        <f>BS!$E$5</f>
        <v>31 March 2025</v>
      </c>
      <c r="FBE80" s="1717"/>
      <c r="FBF80" s="1718"/>
      <c r="FBG80" s="1718"/>
      <c r="FBH80" s="1718"/>
      <c r="FBI80" s="1718"/>
      <c r="FBJ80" s="246"/>
      <c r="FBK80" s="246" t="str">
        <f>BS!$D$5</f>
        <v>31 March 2026</v>
      </c>
      <c r="FBL80" s="247" t="str">
        <f>BS!$E$5</f>
        <v>31 March 2025</v>
      </c>
      <c r="FBM80" s="1717"/>
      <c r="FBN80" s="1718"/>
      <c r="FBO80" s="1718"/>
      <c r="FBP80" s="1718"/>
      <c r="FBQ80" s="1718"/>
      <c r="FBR80" s="246"/>
      <c r="FBS80" s="246" t="str">
        <f>BS!$D$5</f>
        <v>31 March 2026</v>
      </c>
      <c r="FBT80" s="247" t="str">
        <f>BS!$E$5</f>
        <v>31 March 2025</v>
      </c>
      <c r="FBU80" s="1717"/>
      <c r="FBV80" s="1718"/>
      <c r="FBW80" s="1718"/>
      <c r="FBX80" s="1718"/>
      <c r="FBY80" s="1718"/>
      <c r="FBZ80" s="246"/>
      <c r="FCA80" s="246" t="str">
        <f>BS!$D$5</f>
        <v>31 March 2026</v>
      </c>
      <c r="FCB80" s="247" t="str">
        <f>BS!$E$5</f>
        <v>31 March 2025</v>
      </c>
      <c r="FCC80" s="1717"/>
      <c r="FCD80" s="1718"/>
      <c r="FCE80" s="1718"/>
      <c r="FCF80" s="1718"/>
      <c r="FCG80" s="1718"/>
      <c r="FCH80" s="246"/>
      <c r="FCI80" s="246" t="str">
        <f>BS!$D$5</f>
        <v>31 March 2026</v>
      </c>
      <c r="FCJ80" s="247" t="str">
        <f>BS!$E$5</f>
        <v>31 March 2025</v>
      </c>
      <c r="FCK80" s="1717"/>
      <c r="FCL80" s="1718"/>
      <c r="FCM80" s="1718"/>
      <c r="FCN80" s="1718"/>
      <c r="FCO80" s="1718"/>
      <c r="FCP80" s="246"/>
      <c r="FCQ80" s="246" t="str">
        <f>BS!$D$5</f>
        <v>31 March 2026</v>
      </c>
      <c r="FCR80" s="247" t="str">
        <f>BS!$E$5</f>
        <v>31 March 2025</v>
      </c>
      <c r="FCS80" s="1717"/>
      <c r="FCT80" s="1718"/>
      <c r="FCU80" s="1718"/>
      <c r="FCV80" s="1718"/>
      <c r="FCW80" s="1718"/>
      <c r="FCX80" s="246"/>
      <c r="FCY80" s="246" t="str">
        <f>BS!$D$5</f>
        <v>31 March 2026</v>
      </c>
      <c r="FCZ80" s="247" t="str">
        <f>BS!$E$5</f>
        <v>31 March 2025</v>
      </c>
      <c r="FDA80" s="1717"/>
      <c r="FDB80" s="1718"/>
      <c r="FDC80" s="1718"/>
      <c r="FDD80" s="1718"/>
      <c r="FDE80" s="1718"/>
      <c r="FDF80" s="246"/>
      <c r="FDG80" s="246" t="str">
        <f>BS!$D$5</f>
        <v>31 March 2026</v>
      </c>
      <c r="FDH80" s="247" t="str">
        <f>BS!$E$5</f>
        <v>31 March 2025</v>
      </c>
      <c r="FDI80" s="1717"/>
      <c r="FDJ80" s="1718"/>
      <c r="FDK80" s="1718"/>
      <c r="FDL80" s="1718"/>
      <c r="FDM80" s="1718"/>
      <c r="FDN80" s="246"/>
      <c r="FDO80" s="246" t="str">
        <f>BS!$D$5</f>
        <v>31 March 2026</v>
      </c>
      <c r="FDP80" s="247" t="str">
        <f>BS!$E$5</f>
        <v>31 March 2025</v>
      </c>
      <c r="FDQ80" s="1717"/>
      <c r="FDR80" s="1718"/>
      <c r="FDS80" s="1718"/>
      <c r="FDT80" s="1718"/>
      <c r="FDU80" s="1718"/>
      <c r="FDV80" s="246"/>
      <c r="FDW80" s="246" t="str">
        <f>BS!$D$5</f>
        <v>31 March 2026</v>
      </c>
      <c r="FDX80" s="247" t="str">
        <f>BS!$E$5</f>
        <v>31 March 2025</v>
      </c>
      <c r="FDY80" s="1717"/>
      <c r="FDZ80" s="1718"/>
      <c r="FEA80" s="1718"/>
      <c r="FEB80" s="1718"/>
      <c r="FEC80" s="1718"/>
      <c r="FED80" s="246"/>
      <c r="FEE80" s="246" t="str">
        <f>BS!$D$5</f>
        <v>31 March 2026</v>
      </c>
      <c r="FEF80" s="247" t="str">
        <f>BS!$E$5</f>
        <v>31 March 2025</v>
      </c>
      <c r="FEG80" s="1717"/>
      <c r="FEH80" s="1718"/>
      <c r="FEI80" s="1718"/>
      <c r="FEJ80" s="1718"/>
      <c r="FEK80" s="1718"/>
      <c r="FEL80" s="246"/>
      <c r="FEM80" s="246" t="str">
        <f>BS!$D$5</f>
        <v>31 March 2026</v>
      </c>
      <c r="FEN80" s="247" t="str">
        <f>BS!$E$5</f>
        <v>31 March 2025</v>
      </c>
      <c r="FEO80" s="1717"/>
      <c r="FEP80" s="1718"/>
      <c r="FEQ80" s="1718"/>
      <c r="FER80" s="1718"/>
      <c r="FES80" s="1718"/>
      <c r="FET80" s="246"/>
      <c r="FEU80" s="246" t="str">
        <f>BS!$D$5</f>
        <v>31 March 2026</v>
      </c>
      <c r="FEV80" s="247" t="str">
        <f>BS!$E$5</f>
        <v>31 March 2025</v>
      </c>
      <c r="FEW80" s="1717"/>
      <c r="FEX80" s="1718"/>
      <c r="FEY80" s="1718"/>
      <c r="FEZ80" s="1718"/>
      <c r="FFA80" s="1718"/>
      <c r="FFB80" s="246"/>
      <c r="FFC80" s="246" t="str">
        <f>BS!$D$5</f>
        <v>31 March 2026</v>
      </c>
      <c r="FFD80" s="247" t="str">
        <f>BS!$E$5</f>
        <v>31 March 2025</v>
      </c>
      <c r="FFE80" s="1717"/>
      <c r="FFF80" s="1718"/>
      <c r="FFG80" s="1718"/>
      <c r="FFH80" s="1718"/>
      <c r="FFI80" s="1718"/>
      <c r="FFJ80" s="246"/>
      <c r="FFK80" s="246" t="str">
        <f>BS!$D$5</f>
        <v>31 March 2026</v>
      </c>
      <c r="FFL80" s="247" t="str">
        <f>BS!$E$5</f>
        <v>31 March 2025</v>
      </c>
      <c r="FFM80" s="1717"/>
      <c r="FFN80" s="1718"/>
      <c r="FFO80" s="1718"/>
      <c r="FFP80" s="1718"/>
      <c r="FFQ80" s="1718"/>
      <c r="FFR80" s="246"/>
      <c r="FFS80" s="246" t="str">
        <f>BS!$D$5</f>
        <v>31 March 2026</v>
      </c>
      <c r="FFT80" s="247" t="str">
        <f>BS!$E$5</f>
        <v>31 March 2025</v>
      </c>
      <c r="FFU80" s="1717"/>
      <c r="FFV80" s="1718"/>
      <c r="FFW80" s="1718"/>
      <c r="FFX80" s="1718"/>
      <c r="FFY80" s="1718"/>
      <c r="FFZ80" s="246"/>
      <c r="FGA80" s="246" t="str">
        <f>BS!$D$5</f>
        <v>31 March 2026</v>
      </c>
      <c r="FGB80" s="247" t="str">
        <f>BS!$E$5</f>
        <v>31 March 2025</v>
      </c>
      <c r="FGC80" s="1717"/>
      <c r="FGD80" s="1718"/>
      <c r="FGE80" s="1718"/>
      <c r="FGF80" s="1718"/>
      <c r="FGG80" s="1718"/>
      <c r="FGH80" s="246"/>
      <c r="FGI80" s="246" t="str">
        <f>BS!$D$5</f>
        <v>31 March 2026</v>
      </c>
      <c r="FGJ80" s="247" t="str">
        <f>BS!$E$5</f>
        <v>31 March 2025</v>
      </c>
      <c r="FGK80" s="1717"/>
      <c r="FGL80" s="1718"/>
      <c r="FGM80" s="1718"/>
      <c r="FGN80" s="1718"/>
      <c r="FGO80" s="1718"/>
      <c r="FGP80" s="246"/>
      <c r="FGQ80" s="246" t="str">
        <f>BS!$D$5</f>
        <v>31 March 2026</v>
      </c>
      <c r="FGR80" s="247" t="str">
        <f>BS!$E$5</f>
        <v>31 March 2025</v>
      </c>
      <c r="FGS80" s="1717"/>
      <c r="FGT80" s="1718"/>
      <c r="FGU80" s="1718"/>
      <c r="FGV80" s="1718"/>
      <c r="FGW80" s="1718"/>
      <c r="FGX80" s="246"/>
      <c r="FGY80" s="246" t="str">
        <f>BS!$D$5</f>
        <v>31 March 2026</v>
      </c>
      <c r="FGZ80" s="247" t="str">
        <f>BS!$E$5</f>
        <v>31 March 2025</v>
      </c>
      <c r="FHA80" s="1717"/>
      <c r="FHB80" s="1718"/>
      <c r="FHC80" s="1718"/>
      <c r="FHD80" s="1718"/>
      <c r="FHE80" s="1718"/>
      <c r="FHF80" s="246"/>
      <c r="FHG80" s="246" t="str">
        <f>BS!$D$5</f>
        <v>31 March 2026</v>
      </c>
      <c r="FHH80" s="247" t="str">
        <f>BS!$E$5</f>
        <v>31 March 2025</v>
      </c>
      <c r="FHI80" s="1717"/>
      <c r="FHJ80" s="1718"/>
      <c r="FHK80" s="1718"/>
      <c r="FHL80" s="1718"/>
      <c r="FHM80" s="1718"/>
      <c r="FHN80" s="246"/>
      <c r="FHO80" s="246" t="str">
        <f>BS!$D$5</f>
        <v>31 March 2026</v>
      </c>
      <c r="FHP80" s="247" t="str">
        <f>BS!$E$5</f>
        <v>31 March 2025</v>
      </c>
      <c r="FHQ80" s="1717"/>
      <c r="FHR80" s="1718"/>
      <c r="FHS80" s="1718"/>
      <c r="FHT80" s="1718"/>
      <c r="FHU80" s="1718"/>
      <c r="FHV80" s="246"/>
      <c r="FHW80" s="246" t="str">
        <f>BS!$D$5</f>
        <v>31 March 2026</v>
      </c>
      <c r="FHX80" s="247" t="str">
        <f>BS!$E$5</f>
        <v>31 March 2025</v>
      </c>
      <c r="FHY80" s="1717"/>
      <c r="FHZ80" s="1718"/>
      <c r="FIA80" s="1718"/>
      <c r="FIB80" s="1718"/>
      <c r="FIC80" s="1718"/>
      <c r="FID80" s="246"/>
      <c r="FIE80" s="246" t="str">
        <f>BS!$D$5</f>
        <v>31 March 2026</v>
      </c>
      <c r="FIF80" s="247" t="str">
        <f>BS!$E$5</f>
        <v>31 March 2025</v>
      </c>
      <c r="FIG80" s="1717"/>
      <c r="FIH80" s="1718"/>
      <c r="FII80" s="1718"/>
      <c r="FIJ80" s="1718"/>
      <c r="FIK80" s="1718"/>
      <c r="FIL80" s="246"/>
      <c r="FIM80" s="246" t="str">
        <f>BS!$D$5</f>
        <v>31 March 2026</v>
      </c>
      <c r="FIN80" s="247" t="str">
        <f>BS!$E$5</f>
        <v>31 March 2025</v>
      </c>
      <c r="FIO80" s="1717"/>
      <c r="FIP80" s="1718"/>
      <c r="FIQ80" s="1718"/>
      <c r="FIR80" s="1718"/>
      <c r="FIS80" s="1718"/>
      <c r="FIT80" s="246"/>
      <c r="FIU80" s="246" t="str">
        <f>BS!$D$5</f>
        <v>31 March 2026</v>
      </c>
      <c r="FIV80" s="247" t="str">
        <f>BS!$E$5</f>
        <v>31 March 2025</v>
      </c>
      <c r="FIW80" s="1717"/>
      <c r="FIX80" s="1718"/>
      <c r="FIY80" s="1718"/>
      <c r="FIZ80" s="1718"/>
      <c r="FJA80" s="1718"/>
      <c r="FJB80" s="246"/>
      <c r="FJC80" s="246" t="str">
        <f>BS!$D$5</f>
        <v>31 March 2026</v>
      </c>
      <c r="FJD80" s="247" t="str">
        <f>BS!$E$5</f>
        <v>31 March 2025</v>
      </c>
      <c r="FJE80" s="1717"/>
      <c r="FJF80" s="1718"/>
      <c r="FJG80" s="1718"/>
      <c r="FJH80" s="1718"/>
      <c r="FJI80" s="1718"/>
      <c r="FJJ80" s="246"/>
      <c r="FJK80" s="246" t="str">
        <f>BS!$D$5</f>
        <v>31 March 2026</v>
      </c>
      <c r="FJL80" s="247" t="str">
        <f>BS!$E$5</f>
        <v>31 March 2025</v>
      </c>
      <c r="FJM80" s="1717"/>
      <c r="FJN80" s="1718"/>
      <c r="FJO80" s="1718"/>
      <c r="FJP80" s="1718"/>
      <c r="FJQ80" s="1718"/>
      <c r="FJR80" s="246"/>
      <c r="FJS80" s="246" t="str">
        <f>BS!$D$5</f>
        <v>31 March 2026</v>
      </c>
      <c r="FJT80" s="247" t="str">
        <f>BS!$E$5</f>
        <v>31 March 2025</v>
      </c>
      <c r="FJU80" s="1717"/>
      <c r="FJV80" s="1718"/>
      <c r="FJW80" s="1718"/>
      <c r="FJX80" s="1718"/>
      <c r="FJY80" s="1718"/>
      <c r="FJZ80" s="246"/>
      <c r="FKA80" s="246" t="str">
        <f>BS!$D$5</f>
        <v>31 March 2026</v>
      </c>
      <c r="FKB80" s="247" t="str">
        <f>BS!$E$5</f>
        <v>31 March 2025</v>
      </c>
      <c r="FKC80" s="1717"/>
      <c r="FKD80" s="1718"/>
      <c r="FKE80" s="1718"/>
      <c r="FKF80" s="1718"/>
      <c r="FKG80" s="1718"/>
      <c r="FKH80" s="246"/>
      <c r="FKI80" s="246" t="str">
        <f>BS!$D$5</f>
        <v>31 March 2026</v>
      </c>
      <c r="FKJ80" s="247" t="str">
        <f>BS!$E$5</f>
        <v>31 March 2025</v>
      </c>
      <c r="FKK80" s="1717"/>
      <c r="FKL80" s="1718"/>
      <c r="FKM80" s="1718"/>
      <c r="FKN80" s="1718"/>
      <c r="FKO80" s="1718"/>
      <c r="FKP80" s="246"/>
      <c r="FKQ80" s="246" t="str">
        <f>BS!$D$5</f>
        <v>31 March 2026</v>
      </c>
      <c r="FKR80" s="247" t="str">
        <f>BS!$E$5</f>
        <v>31 March 2025</v>
      </c>
      <c r="FKS80" s="1717"/>
      <c r="FKT80" s="1718"/>
      <c r="FKU80" s="1718"/>
      <c r="FKV80" s="1718"/>
      <c r="FKW80" s="1718"/>
      <c r="FKX80" s="246"/>
      <c r="FKY80" s="246" t="str">
        <f>BS!$D$5</f>
        <v>31 March 2026</v>
      </c>
      <c r="FKZ80" s="247" t="str">
        <f>BS!$E$5</f>
        <v>31 March 2025</v>
      </c>
      <c r="FLA80" s="1717"/>
      <c r="FLB80" s="1718"/>
      <c r="FLC80" s="1718"/>
      <c r="FLD80" s="1718"/>
      <c r="FLE80" s="1718"/>
      <c r="FLF80" s="246"/>
      <c r="FLG80" s="246" t="str">
        <f>BS!$D$5</f>
        <v>31 March 2026</v>
      </c>
      <c r="FLH80" s="247" t="str">
        <f>BS!$E$5</f>
        <v>31 March 2025</v>
      </c>
      <c r="FLI80" s="1717"/>
      <c r="FLJ80" s="1718"/>
      <c r="FLK80" s="1718"/>
      <c r="FLL80" s="1718"/>
      <c r="FLM80" s="1718"/>
      <c r="FLN80" s="246"/>
      <c r="FLO80" s="246" t="str">
        <f>BS!$D$5</f>
        <v>31 March 2026</v>
      </c>
      <c r="FLP80" s="247" t="str">
        <f>BS!$E$5</f>
        <v>31 March 2025</v>
      </c>
      <c r="FLQ80" s="1717"/>
      <c r="FLR80" s="1718"/>
      <c r="FLS80" s="1718"/>
      <c r="FLT80" s="1718"/>
      <c r="FLU80" s="1718"/>
      <c r="FLV80" s="246"/>
      <c r="FLW80" s="246" t="str">
        <f>BS!$D$5</f>
        <v>31 March 2026</v>
      </c>
      <c r="FLX80" s="247" t="str">
        <f>BS!$E$5</f>
        <v>31 March 2025</v>
      </c>
      <c r="FLY80" s="1717"/>
      <c r="FLZ80" s="1718"/>
      <c r="FMA80" s="1718"/>
      <c r="FMB80" s="1718"/>
      <c r="FMC80" s="1718"/>
      <c r="FMD80" s="246"/>
      <c r="FME80" s="246" t="str">
        <f>BS!$D$5</f>
        <v>31 March 2026</v>
      </c>
      <c r="FMF80" s="247" t="str">
        <f>BS!$E$5</f>
        <v>31 March 2025</v>
      </c>
      <c r="FMG80" s="1717"/>
      <c r="FMH80" s="1718"/>
      <c r="FMI80" s="1718"/>
      <c r="FMJ80" s="1718"/>
      <c r="FMK80" s="1718"/>
      <c r="FML80" s="246"/>
      <c r="FMM80" s="246" t="str">
        <f>BS!$D$5</f>
        <v>31 March 2026</v>
      </c>
      <c r="FMN80" s="247" t="str">
        <f>BS!$E$5</f>
        <v>31 March 2025</v>
      </c>
      <c r="FMO80" s="1717"/>
      <c r="FMP80" s="1718"/>
      <c r="FMQ80" s="1718"/>
      <c r="FMR80" s="1718"/>
      <c r="FMS80" s="1718"/>
      <c r="FMT80" s="246"/>
      <c r="FMU80" s="246" t="str">
        <f>BS!$D$5</f>
        <v>31 March 2026</v>
      </c>
      <c r="FMV80" s="247" t="str">
        <f>BS!$E$5</f>
        <v>31 March 2025</v>
      </c>
      <c r="FMW80" s="1717"/>
      <c r="FMX80" s="1718"/>
      <c r="FMY80" s="1718"/>
      <c r="FMZ80" s="1718"/>
      <c r="FNA80" s="1718"/>
      <c r="FNB80" s="246"/>
      <c r="FNC80" s="246" t="str">
        <f>BS!$D$5</f>
        <v>31 March 2026</v>
      </c>
      <c r="FND80" s="247" t="str">
        <f>BS!$E$5</f>
        <v>31 March 2025</v>
      </c>
      <c r="FNE80" s="1717"/>
      <c r="FNF80" s="1718"/>
      <c r="FNG80" s="1718"/>
      <c r="FNH80" s="1718"/>
      <c r="FNI80" s="1718"/>
      <c r="FNJ80" s="246"/>
      <c r="FNK80" s="246" t="str">
        <f>BS!$D$5</f>
        <v>31 March 2026</v>
      </c>
      <c r="FNL80" s="247" t="str">
        <f>BS!$E$5</f>
        <v>31 March 2025</v>
      </c>
      <c r="FNM80" s="1717"/>
      <c r="FNN80" s="1718"/>
      <c r="FNO80" s="1718"/>
      <c r="FNP80" s="1718"/>
      <c r="FNQ80" s="1718"/>
      <c r="FNR80" s="246"/>
      <c r="FNS80" s="246" t="str">
        <f>BS!$D$5</f>
        <v>31 March 2026</v>
      </c>
      <c r="FNT80" s="247" t="str">
        <f>BS!$E$5</f>
        <v>31 March 2025</v>
      </c>
      <c r="FNU80" s="1717"/>
      <c r="FNV80" s="1718"/>
      <c r="FNW80" s="1718"/>
      <c r="FNX80" s="1718"/>
      <c r="FNY80" s="1718"/>
      <c r="FNZ80" s="246"/>
      <c r="FOA80" s="246" t="str">
        <f>BS!$D$5</f>
        <v>31 March 2026</v>
      </c>
      <c r="FOB80" s="247" t="str">
        <f>BS!$E$5</f>
        <v>31 March 2025</v>
      </c>
      <c r="FOC80" s="1717"/>
      <c r="FOD80" s="1718"/>
      <c r="FOE80" s="1718"/>
      <c r="FOF80" s="1718"/>
      <c r="FOG80" s="1718"/>
      <c r="FOH80" s="246"/>
      <c r="FOI80" s="246" t="str">
        <f>BS!$D$5</f>
        <v>31 March 2026</v>
      </c>
      <c r="FOJ80" s="247" t="str">
        <f>BS!$E$5</f>
        <v>31 March 2025</v>
      </c>
      <c r="FOK80" s="1717"/>
      <c r="FOL80" s="1718"/>
      <c r="FOM80" s="1718"/>
      <c r="FON80" s="1718"/>
      <c r="FOO80" s="1718"/>
      <c r="FOP80" s="246"/>
      <c r="FOQ80" s="246" t="str">
        <f>BS!$D$5</f>
        <v>31 March 2026</v>
      </c>
      <c r="FOR80" s="247" t="str">
        <f>BS!$E$5</f>
        <v>31 March 2025</v>
      </c>
      <c r="FOS80" s="1717"/>
      <c r="FOT80" s="1718"/>
      <c r="FOU80" s="1718"/>
      <c r="FOV80" s="1718"/>
      <c r="FOW80" s="1718"/>
      <c r="FOX80" s="246"/>
      <c r="FOY80" s="246" t="str">
        <f>BS!$D$5</f>
        <v>31 March 2026</v>
      </c>
      <c r="FOZ80" s="247" t="str">
        <f>BS!$E$5</f>
        <v>31 March 2025</v>
      </c>
      <c r="FPA80" s="1717"/>
      <c r="FPB80" s="1718"/>
      <c r="FPC80" s="1718"/>
      <c r="FPD80" s="1718"/>
      <c r="FPE80" s="1718"/>
      <c r="FPF80" s="246"/>
      <c r="FPG80" s="246" t="str">
        <f>BS!$D$5</f>
        <v>31 March 2026</v>
      </c>
      <c r="FPH80" s="247" t="str">
        <f>BS!$E$5</f>
        <v>31 March 2025</v>
      </c>
      <c r="FPI80" s="1717"/>
      <c r="FPJ80" s="1718"/>
      <c r="FPK80" s="1718"/>
      <c r="FPL80" s="1718"/>
      <c r="FPM80" s="1718"/>
      <c r="FPN80" s="246"/>
      <c r="FPO80" s="246" t="str">
        <f>BS!$D$5</f>
        <v>31 March 2026</v>
      </c>
      <c r="FPP80" s="247" t="str">
        <f>BS!$E$5</f>
        <v>31 March 2025</v>
      </c>
      <c r="FPQ80" s="1717"/>
      <c r="FPR80" s="1718"/>
      <c r="FPS80" s="1718"/>
      <c r="FPT80" s="1718"/>
      <c r="FPU80" s="1718"/>
      <c r="FPV80" s="246"/>
      <c r="FPW80" s="246" t="str">
        <f>BS!$D$5</f>
        <v>31 March 2026</v>
      </c>
      <c r="FPX80" s="247" t="str">
        <f>BS!$E$5</f>
        <v>31 March 2025</v>
      </c>
      <c r="FPY80" s="1717"/>
      <c r="FPZ80" s="1718"/>
      <c r="FQA80" s="1718"/>
      <c r="FQB80" s="1718"/>
      <c r="FQC80" s="1718"/>
      <c r="FQD80" s="246"/>
      <c r="FQE80" s="246" t="str">
        <f>BS!$D$5</f>
        <v>31 March 2026</v>
      </c>
      <c r="FQF80" s="247" t="str">
        <f>BS!$E$5</f>
        <v>31 March 2025</v>
      </c>
      <c r="FQG80" s="1717"/>
      <c r="FQH80" s="1718"/>
      <c r="FQI80" s="1718"/>
      <c r="FQJ80" s="1718"/>
      <c r="FQK80" s="1718"/>
      <c r="FQL80" s="246"/>
      <c r="FQM80" s="246" t="str">
        <f>BS!$D$5</f>
        <v>31 March 2026</v>
      </c>
      <c r="FQN80" s="247" t="str">
        <f>BS!$E$5</f>
        <v>31 March 2025</v>
      </c>
      <c r="FQO80" s="1717"/>
      <c r="FQP80" s="1718"/>
      <c r="FQQ80" s="1718"/>
      <c r="FQR80" s="1718"/>
      <c r="FQS80" s="1718"/>
      <c r="FQT80" s="246"/>
      <c r="FQU80" s="246" t="str">
        <f>BS!$D$5</f>
        <v>31 March 2026</v>
      </c>
      <c r="FQV80" s="247" t="str">
        <f>BS!$E$5</f>
        <v>31 March 2025</v>
      </c>
      <c r="FQW80" s="1717"/>
      <c r="FQX80" s="1718"/>
      <c r="FQY80" s="1718"/>
      <c r="FQZ80" s="1718"/>
      <c r="FRA80" s="1718"/>
      <c r="FRB80" s="246"/>
      <c r="FRC80" s="246" t="str">
        <f>BS!$D$5</f>
        <v>31 March 2026</v>
      </c>
      <c r="FRD80" s="247" t="str">
        <f>BS!$E$5</f>
        <v>31 March 2025</v>
      </c>
      <c r="FRE80" s="1717"/>
      <c r="FRF80" s="1718"/>
      <c r="FRG80" s="1718"/>
      <c r="FRH80" s="1718"/>
      <c r="FRI80" s="1718"/>
      <c r="FRJ80" s="246"/>
      <c r="FRK80" s="246" t="str">
        <f>BS!$D$5</f>
        <v>31 March 2026</v>
      </c>
      <c r="FRL80" s="247" t="str">
        <f>BS!$E$5</f>
        <v>31 March 2025</v>
      </c>
      <c r="FRM80" s="1717"/>
      <c r="FRN80" s="1718"/>
      <c r="FRO80" s="1718"/>
      <c r="FRP80" s="1718"/>
      <c r="FRQ80" s="1718"/>
      <c r="FRR80" s="246"/>
      <c r="FRS80" s="246" t="str">
        <f>BS!$D$5</f>
        <v>31 March 2026</v>
      </c>
      <c r="FRT80" s="247" t="str">
        <f>BS!$E$5</f>
        <v>31 March 2025</v>
      </c>
      <c r="FRU80" s="1717"/>
      <c r="FRV80" s="1718"/>
      <c r="FRW80" s="1718"/>
      <c r="FRX80" s="1718"/>
      <c r="FRY80" s="1718"/>
      <c r="FRZ80" s="246"/>
      <c r="FSA80" s="246" t="str">
        <f>BS!$D$5</f>
        <v>31 March 2026</v>
      </c>
      <c r="FSB80" s="247" t="str">
        <f>BS!$E$5</f>
        <v>31 March 2025</v>
      </c>
      <c r="FSC80" s="1717"/>
      <c r="FSD80" s="1718"/>
      <c r="FSE80" s="1718"/>
      <c r="FSF80" s="1718"/>
      <c r="FSG80" s="1718"/>
      <c r="FSH80" s="246"/>
      <c r="FSI80" s="246" t="str">
        <f>BS!$D$5</f>
        <v>31 March 2026</v>
      </c>
      <c r="FSJ80" s="247" t="str">
        <f>BS!$E$5</f>
        <v>31 March 2025</v>
      </c>
      <c r="FSK80" s="1717"/>
      <c r="FSL80" s="1718"/>
      <c r="FSM80" s="1718"/>
      <c r="FSN80" s="1718"/>
      <c r="FSO80" s="1718"/>
      <c r="FSP80" s="246"/>
      <c r="FSQ80" s="246" t="str">
        <f>BS!$D$5</f>
        <v>31 March 2026</v>
      </c>
      <c r="FSR80" s="247" t="str">
        <f>BS!$E$5</f>
        <v>31 March 2025</v>
      </c>
      <c r="FSS80" s="1717"/>
      <c r="FST80" s="1718"/>
      <c r="FSU80" s="1718"/>
      <c r="FSV80" s="1718"/>
      <c r="FSW80" s="1718"/>
      <c r="FSX80" s="246"/>
      <c r="FSY80" s="246" t="str">
        <f>BS!$D$5</f>
        <v>31 March 2026</v>
      </c>
      <c r="FSZ80" s="247" t="str">
        <f>BS!$E$5</f>
        <v>31 March 2025</v>
      </c>
      <c r="FTA80" s="1717"/>
      <c r="FTB80" s="1718"/>
      <c r="FTC80" s="1718"/>
      <c r="FTD80" s="1718"/>
      <c r="FTE80" s="1718"/>
      <c r="FTF80" s="246"/>
      <c r="FTG80" s="246" t="str">
        <f>BS!$D$5</f>
        <v>31 March 2026</v>
      </c>
      <c r="FTH80" s="247" t="str">
        <f>BS!$E$5</f>
        <v>31 March 2025</v>
      </c>
      <c r="FTI80" s="1717"/>
      <c r="FTJ80" s="1718"/>
      <c r="FTK80" s="1718"/>
      <c r="FTL80" s="1718"/>
      <c r="FTM80" s="1718"/>
      <c r="FTN80" s="246"/>
      <c r="FTO80" s="246" t="str">
        <f>BS!$D$5</f>
        <v>31 March 2026</v>
      </c>
      <c r="FTP80" s="247" t="str">
        <f>BS!$E$5</f>
        <v>31 March 2025</v>
      </c>
      <c r="FTQ80" s="1717"/>
      <c r="FTR80" s="1718"/>
      <c r="FTS80" s="1718"/>
      <c r="FTT80" s="1718"/>
      <c r="FTU80" s="1718"/>
      <c r="FTV80" s="246"/>
      <c r="FTW80" s="246" t="str">
        <f>BS!$D$5</f>
        <v>31 March 2026</v>
      </c>
      <c r="FTX80" s="247" t="str">
        <f>BS!$E$5</f>
        <v>31 March 2025</v>
      </c>
      <c r="FTY80" s="1717"/>
      <c r="FTZ80" s="1718"/>
      <c r="FUA80" s="1718"/>
      <c r="FUB80" s="1718"/>
      <c r="FUC80" s="1718"/>
      <c r="FUD80" s="246"/>
      <c r="FUE80" s="246" t="str">
        <f>BS!$D$5</f>
        <v>31 March 2026</v>
      </c>
      <c r="FUF80" s="247" t="str">
        <f>BS!$E$5</f>
        <v>31 March 2025</v>
      </c>
      <c r="FUG80" s="1717"/>
      <c r="FUH80" s="1718"/>
      <c r="FUI80" s="1718"/>
      <c r="FUJ80" s="1718"/>
      <c r="FUK80" s="1718"/>
      <c r="FUL80" s="246"/>
      <c r="FUM80" s="246" t="str">
        <f>BS!$D$5</f>
        <v>31 March 2026</v>
      </c>
      <c r="FUN80" s="247" t="str">
        <f>BS!$E$5</f>
        <v>31 March 2025</v>
      </c>
      <c r="FUO80" s="1717"/>
      <c r="FUP80" s="1718"/>
      <c r="FUQ80" s="1718"/>
      <c r="FUR80" s="1718"/>
      <c r="FUS80" s="1718"/>
      <c r="FUT80" s="246"/>
      <c r="FUU80" s="246" t="str">
        <f>BS!$D$5</f>
        <v>31 March 2026</v>
      </c>
      <c r="FUV80" s="247" t="str">
        <f>BS!$E$5</f>
        <v>31 March 2025</v>
      </c>
      <c r="FUW80" s="1717"/>
      <c r="FUX80" s="1718"/>
      <c r="FUY80" s="1718"/>
      <c r="FUZ80" s="1718"/>
      <c r="FVA80" s="1718"/>
      <c r="FVB80" s="246"/>
      <c r="FVC80" s="246" t="str">
        <f>BS!$D$5</f>
        <v>31 March 2026</v>
      </c>
      <c r="FVD80" s="247" t="str">
        <f>BS!$E$5</f>
        <v>31 March 2025</v>
      </c>
      <c r="FVE80" s="1717"/>
      <c r="FVF80" s="1718"/>
      <c r="FVG80" s="1718"/>
      <c r="FVH80" s="1718"/>
      <c r="FVI80" s="1718"/>
      <c r="FVJ80" s="246"/>
      <c r="FVK80" s="246" t="str">
        <f>BS!$D$5</f>
        <v>31 March 2026</v>
      </c>
      <c r="FVL80" s="247" t="str">
        <f>BS!$E$5</f>
        <v>31 March 2025</v>
      </c>
      <c r="FVM80" s="1717"/>
      <c r="FVN80" s="1718"/>
      <c r="FVO80" s="1718"/>
      <c r="FVP80" s="1718"/>
      <c r="FVQ80" s="1718"/>
      <c r="FVR80" s="246"/>
      <c r="FVS80" s="246" t="str">
        <f>BS!$D$5</f>
        <v>31 March 2026</v>
      </c>
      <c r="FVT80" s="247" t="str">
        <f>BS!$E$5</f>
        <v>31 March 2025</v>
      </c>
      <c r="FVU80" s="1717"/>
      <c r="FVV80" s="1718"/>
      <c r="FVW80" s="1718"/>
      <c r="FVX80" s="1718"/>
      <c r="FVY80" s="1718"/>
      <c r="FVZ80" s="246"/>
      <c r="FWA80" s="246" t="str">
        <f>BS!$D$5</f>
        <v>31 March 2026</v>
      </c>
      <c r="FWB80" s="247" t="str">
        <f>BS!$E$5</f>
        <v>31 March 2025</v>
      </c>
      <c r="FWC80" s="1717"/>
      <c r="FWD80" s="1718"/>
      <c r="FWE80" s="1718"/>
      <c r="FWF80" s="1718"/>
      <c r="FWG80" s="1718"/>
      <c r="FWH80" s="246"/>
      <c r="FWI80" s="246" t="str">
        <f>BS!$D$5</f>
        <v>31 March 2026</v>
      </c>
      <c r="FWJ80" s="247" t="str">
        <f>BS!$E$5</f>
        <v>31 March 2025</v>
      </c>
      <c r="FWK80" s="1717"/>
      <c r="FWL80" s="1718"/>
      <c r="FWM80" s="1718"/>
      <c r="FWN80" s="1718"/>
      <c r="FWO80" s="1718"/>
      <c r="FWP80" s="246"/>
      <c r="FWQ80" s="246" t="str">
        <f>BS!$D$5</f>
        <v>31 March 2026</v>
      </c>
      <c r="FWR80" s="247" t="str">
        <f>BS!$E$5</f>
        <v>31 March 2025</v>
      </c>
      <c r="FWS80" s="1717"/>
      <c r="FWT80" s="1718"/>
      <c r="FWU80" s="1718"/>
      <c r="FWV80" s="1718"/>
      <c r="FWW80" s="1718"/>
      <c r="FWX80" s="246"/>
      <c r="FWY80" s="246" t="str">
        <f>BS!$D$5</f>
        <v>31 March 2026</v>
      </c>
      <c r="FWZ80" s="247" t="str">
        <f>BS!$E$5</f>
        <v>31 March 2025</v>
      </c>
      <c r="FXA80" s="1717"/>
      <c r="FXB80" s="1718"/>
      <c r="FXC80" s="1718"/>
      <c r="FXD80" s="1718"/>
      <c r="FXE80" s="1718"/>
      <c r="FXF80" s="246"/>
      <c r="FXG80" s="246" t="str">
        <f>BS!$D$5</f>
        <v>31 March 2026</v>
      </c>
      <c r="FXH80" s="247" t="str">
        <f>BS!$E$5</f>
        <v>31 March 2025</v>
      </c>
      <c r="FXI80" s="1717"/>
      <c r="FXJ80" s="1718"/>
      <c r="FXK80" s="1718"/>
      <c r="FXL80" s="1718"/>
      <c r="FXM80" s="1718"/>
      <c r="FXN80" s="246"/>
      <c r="FXO80" s="246" t="str">
        <f>BS!$D$5</f>
        <v>31 March 2026</v>
      </c>
      <c r="FXP80" s="247" t="str">
        <f>BS!$E$5</f>
        <v>31 March 2025</v>
      </c>
      <c r="FXQ80" s="1717"/>
      <c r="FXR80" s="1718"/>
      <c r="FXS80" s="1718"/>
      <c r="FXT80" s="1718"/>
      <c r="FXU80" s="1718"/>
      <c r="FXV80" s="246"/>
      <c r="FXW80" s="246" t="str">
        <f>BS!$D$5</f>
        <v>31 March 2026</v>
      </c>
      <c r="FXX80" s="247" t="str">
        <f>BS!$E$5</f>
        <v>31 March 2025</v>
      </c>
      <c r="FXY80" s="1717"/>
      <c r="FXZ80" s="1718"/>
      <c r="FYA80" s="1718"/>
      <c r="FYB80" s="1718"/>
      <c r="FYC80" s="1718"/>
      <c r="FYD80" s="246"/>
      <c r="FYE80" s="246" t="str">
        <f>BS!$D$5</f>
        <v>31 March 2026</v>
      </c>
      <c r="FYF80" s="247" t="str">
        <f>BS!$E$5</f>
        <v>31 March 2025</v>
      </c>
      <c r="FYG80" s="1717"/>
      <c r="FYH80" s="1718"/>
      <c r="FYI80" s="1718"/>
      <c r="FYJ80" s="1718"/>
      <c r="FYK80" s="1718"/>
      <c r="FYL80" s="246"/>
      <c r="FYM80" s="246" t="str">
        <f>BS!$D$5</f>
        <v>31 March 2026</v>
      </c>
      <c r="FYN80" s="247" t="str">
        <f>BS!$E$5</f>
        <v>31 March 2025</v>
      </c>
      <c r="FYO80" s="1717"/>
      <c r="FYP80" s="1718"/>
      <c r="FYQ80" s="1718"/>
      <c r="FYR80" s="1718"/>
      <c r="FYS80" s="1718"/>
      <c r="FYT80" s="246"/>
      <c r="FYU80" s="246" t="str">
        <f>BS!$D$5</f>
        <v>31 March 2026</v>
      </c>
      <c r="FYV80" s="247" t="str">
        <f>BS!$E$5</f>
        <v>31 March 2025</v>
      </c>
      <c r="FYW80" s="1717"/>
      <c r="FYX80" s="1718"/>
      <c r="FYY80" s="1718"/>
      <c r="FYZ80" s="1718"/>
      <c r="FZA80" s="1718"/>
      <c r="FZB80" s="246"/>
      <c r="FZC80" s="246" t="str">
        <f>BS!$D$5</f>
        <v>31 March 2026</v>
      </c>
      <c r="FZD80" s="247" t="str">
        <f>BS!$E$5</f>
        <v>31 March 2025</v>
      </c>
      <c r="FZE80" s="1717"/>
      <c r="FZF80" s="1718"/>
      <c r="FZG80" s="1718"/>
      <c r="FZH80" s="1718"/>
      <c r="FZI80" s="1718"/>
      <c r="FZJ80" s="246"/>
      <c r="FZK80" s="246" t="str">
        <f>BS!$D$5</f>
        <v>31 March 2026</v>
      </c>
      <c r="FZL80" s="247" t="str">
        <f>BS!$E$5</f>
        <v>31 March 2025</v>
      </c>
      <c r="FZM80" s="1717"/>
      <c r="FZN80" s="1718"/>
      <c r="FZO80" s="1718"/>
      <c r="FZP80" s="1718"/>
      <c r="FZQ80" s="1718"/>
      <c r="FZR80" s="246"/>
      <c r="FZS80" s="246" t="str">
        <f>BS!$D$5</f>
        <v>31 March 2026</v>
      </c>
      <c r="FZT80" s="247" t="str">
        <f>BS!$E$5</f>
        <v>31 March 2025</v>
      </c>
      <c r="FZU80" s="1717"/>
      <c r="FZV80" s="1718"/>
      <c r="FZW80" s="1718"/>
      <c r="FZX80" s="1718"/>
      <c r="FZY80" s="1718"/>
      <c r="FZZ80" s="246"/>
      <c r="GAA80" s="246" t="str">
        <f>BS!$D$5</f>
        <v>31 March 2026</v>
      </c>
      <c r="GAB80" s="247" t="str">
        <f>BS!$E$5</f>
        <v>31 March 2025</v>
      </c>
      <c r="GAC80" s="1717"/>
      <c r="GAD80" s="1718"/>
      <c r="GAE80" s="1718"/>
      <c r="GAF80" s="1718"/>
      <c r="GAG80" s="1718"/>
      <c r="GAH80" s="246"/>
      <c r="GAI80" s="246" t="str">
        <f>BS!$D$5</f>
        <v>31 March 2026</v>
      </c>
      <c r="GAJ80" s="247" t="str">
        <f>BS!$E$5</f>
        <v>31 March 2025</v>
      </c>
      <c r="GAK80" s="1717"/>
      <c r="GAL80" s="1718"/>
      <c r="GAM80" s="1718"/>
      <c r="GAN80" s="1718"/>
      <c r="GAO80" s="1718"/>
      <c r="GAP80" s="246"/>
      <c r="GAQ80" s="246" t="str">
        <f>BS!$D$5</f>
        <v>31 March 2026</v>
      </c>
      <c r="GAR80" s="247" t="str">
        <f>BS!$E$5</f>
        <v>31 March 2025</v>
      </c>
      <c r="GAS80" s="1717"/>
      <c r="GAT80" s="1718"/>
      <c r="GAU80" s="1718"/>
      <c r="GAV80" s="1718"/>
      <c r="GAW80" s="1718"/>
      <c r="GAX80" s="246"/>
      <c r="GAY80" s="246" t="str">
        <f>BS!$D$5</f>
        <v>31 March 2026</v>
      </c>
      <c r="GAZ80" s="247" t="str">
        <f>BS!$E$5</f>
        <v>31 March 2025</v>
      </c>
      <c r="GBA80" s="1717"/>
      <c r="GBB80" s="1718"/>
      <c r="GBC80" s="1718"/>
      <c r="GBD80" s="1718"/>
      <c r="GBE80" s="1718"/>
      <c r="GBF80" s="246"/>
      <c r="GBG80" s="246" t="str">
        <f>BS!$D$5</f>
        <v>31 March 2026</v>
      </c>
      <c r="GBH80" s="247" t="str">
        <f>BS!$E$5</f>
        <v>31 March 2025</v>
      </c>
      <c r="GBI80" s="1717"/>
      <c r="GBJ80" s="1718"/>
      <c r="GBK80" s="1718"/>
      <c r="GBL80" s="1718"/>
      <c r="GBM80" s="1718"/>
      <c r="GBN80" s="246"/>
      <c r="GBO80" s="246" t="str">
        <f>BS!$D$5</f>
        <v>31 March 2026</v>
      </c>
      <c r="GBP80" s="247" t="str">
        <f>BS!$E$5</f>
        <v>31 March 2025</v>
      </c>
      <c r="GBQ80" s="1717"/>
      <c r="GBR80" s="1718"/>
      <c r="GBS80" s="1718"/>
      <c r="GBT80" s="1718"/>
      <c r="GBU80" s="1718"/>
      <c r="GBV80" s="246"/>
      <c r="GBW80" s="246" t="str">
        <f>BS!$D$5</f>
        <v>31 March 2026</v>
      </c>
      <c r="GBX80" s="247" t="str">
        <f>BS!$E$5</f>
        <v>31 March 2025</v>
      </c>
      <c r="GBY80" s="1717"/>
      <c r="GBZ80" s="1718"/>
      <c r="GCA80" s="1718"/>
      <c r="GCB80" s="1718"/>
      <c r="GCC80" s="1718"/>
      <c r="GCD80" s="246"/>
      <c r="GCE80" s="246" t="str">
        <f>BS!$D$5</f>
        <v>31 March 2026</v>
      </c>
      <c r="GCF80" s="247" t="str">
        <f>BS!$E$5</f>
        <v>31 March 2025</v>
      </c>
      <c r="GCG80" s="1717"/>
      <c r="GCH80" s="1718"/>
      <c r="GCI80" s="1718"/>
      <c r="GCJ80" s="1718"/>
      <c r="GCK80" s="1718"/>
      <c r="GCL80" s="246"/>
      <c r="GCM80" s="246" t="str">
        <f>BS!$D$5</f>
        <v>31 March 2026</v>
      </c>
      <c r="GCN80" s="247" t="str">
        <f>BS!$E$5</f>
        <v>31 March 2025</v>
      </c>
      <c r="GCO80" s="1717"/>
      <c r="GCP80" s="1718"/>
      <c r="GCQ80" s="1718"/>
      <c r="GCR80" s="1718"/>
      <c r="GCS80" s="1718"/>
      <c r="GCT80" s="246"/>
      <c r="GCU80" s="246" t="str">
        <f>BS!$D$5</f>
        <v>31 March 2026</v>
      </c>
      <c r="GCV80" s="247" t="str">
        <f>BS!$E$5</f>
        <v>31 March 2025</v>
      </c>
      <c r="GCW80" s="1717"/>
      <c r="GCX80" s="1718"/>
      <c r="GCY80" s="1718"/>
      <c r="GCZ80" s="1718"/>
      <c r="GDA80" s="1718"/>
      <c r="GDB80" s="246"/>
      <c r="GDC80" s="246" t="str">
        <f>BS!$D$5</f>
        <v>31 March 2026</v>
      </c>
      <c r="GDD80" s="247" t="str">
        <f>BS!$E$5</f>
        <v>31 March 2025</v>
      </c>
      <c r="GDE80" s="1717"/>
      <c r="GDF80" s="1718"/>
      <c r="GDG80" s="1718"/>
      <c r="GDH80" s="1718"/>
      <c r="GDI80" s="1718"/>
      <c r="GDJ80" s="246"/>
      <c r="GDK80" s="246" t="str">
        <f>BS!$D$5</f>
        <v>31 March 2026</v>
      </c>
      <c r="GDL80" s="247" t="str">
        <f>BS!$E$5</f>
        <v>31 March 2025</v>
      </c>
      <c r="GDM80" s="1717"/>
      <c r="GDN80" s="1718"/>
      <c r="GDO80" s="1718"/>
      <c r="GDP80" s="1718"/>
      <c r="GDQ80" s="1718"/>
      <c r="GDR80" s="246"/>
      <c r="GDS80" s="246" t="str">
        <f>BS!$D$5</f>
        <v>31 March 2026</v>
      </c>
      <c r="GDT80" s="247" t="str">
        <f>BS!$E$5</f>
        <v>31 March 2025</v>
      </c>
      <c r="GDU80" s="1717"/>
      <c r="GDV80" s="1718"/>
      <c r="GDW80" s="1718"/>
      <c r="GDX80" s="1718"/>
      <c r="GDY80" s="1718"/>
      <c r="GDZ80" s="246"/>
      <c r="GEA80" s="246" t="str">
        <f>BS!$D$5</f>
        <v>31 March 2026</v>
      </c>
      <c r="GEB80" s="247" t="str">
        <f>BS!$E$5</f>
        <v>31 March 2025</v>
      </c>
      <c r="GEC80" s="1717"/>
      <c r="GED80" s="1718"/>
      <c r="GEE80" s="1718"/>
      <c r="GEF80" s="1718"/>
      <c r="GEG80" s="1718"/>
      <c r="GEH80" s="246"/>
      <c r="GEI80" s="246" t="str">
        <f>BS!$D$5</f>
        <v>31 March 2026</v>
      </c>
      <c r="GEJ80" s="247" t="str">
        <f>BS!$E$5</f>
        <v>31 March 2025</v>
      </c>
      <c r="GEK80" s="1717"/>
      <c r="GEL80" s="1718"/>
      <c r="GEM80" s="1718"/>
      <c r="GEN80" s="1718"/>
      <c r="GEO80" s="1718"/>
      <c r="GEP80" s="246"/>
      <c r="GEQ80" s="246" t="str">
        <f>BS!$D$5</f>
        <v>31 March 2026</v>
      </c>
      <c r="GER80" s="247" t="str">
        <f>BS!$E$5</f>
        <v>31 March 2025</v>
      </c>
      <c r="GES80" s="1717"/>
      <c r="GET80" s="1718"/>
      <c r="GEU80" s="1718"/>
      <c r="GEV80" s="1718"/>
      <c r="GEW80" s="1718"/>
      <c r="GEX80" s="246"/>
      <c r="GEY80" s="246" t="str">
        <f>BS!$D$5</f>
        <v>31 March 2026</v>
      </c>
      <c r="GEZ80" s="247" t="str">
        <f>BS!$E$5</f>
        <v>31 March 2025</v>
      </c>
      <c r="GFA80" s="1717"/>
      <c r="GFB80" s="1718"/>
      <c r="GFC80" s="1718"/>
      <c r="GFD80" s="1718"/>
      <c r="GFE80" s="1718"/>
      <c r="GFF80" s="246"/>
      <c r="GFG80" s="246" t="str">
        <f>BS!$D$5</f>
        <v>31 March 2026</v>
      </c>
      <c r="GFH80" s="247" t="str">
        <f>BS!$E$5</f>
        <v>31 March 2025</v>
      </c>
      <c r="GFI80" s="1717"/>
      <c r="GFJ80" s="1718"/>
      <c r="GFK80" s="1718"/>
      <c r="GFL80" s="1718"/>
      <c r="GFM80" s="1718"/>
      <c r="GFN80" s="246"/>
      <c r="GFO80" s="246" t="str">
        <f>BS!$D$5</f>
        <v>31 March 2026</v>
      </c>
      <c r="GFP80" s="247" t="str">
        <f>BS!$E$5</f>
        <v>31 March 2025</v>
      </c>
      <c r="GFQ80" s="1717"/>
      <c r="GFR80" s="1718"/>
      <c r="GFS80" s="1718"/>
      <c r="GFT80" s="1718"/>
      <c r="GFU80" s="1718"/>
      <c r="GFV80" s="246"/>
      <c r="GFW80" s="246" t="str">
        <f>BS!$D$5</f>
        <v>31 March 2026</v>
      </c>
      <c r="GFX80" s="247" t="str">
        <f>BS!$E$5</f>
        <v>31 March 2025</v>
      </c>
      <c r="GFY80" s="1717"/>
      <c r="GFZ80" s="1718"/>
      <c r="GGA80" s="1718"/>
      <c r="GGB80" s="1718"/>
      <c r="GGC80" s="1718"/>
      <c r="GGD80" s="246"/>
      <c r="GGE80" s="246" t="str">
        <f>BS!$D$5</f>
        <v>31 March 2026</v>
      </c>
      <c r="GGF80" s="247" t="str">
        <f>BS!$E$5</f>
        <v>31 March 2025</v>
      </c>
      <c r="GGG80" s="1717"/>
      <c r="GGH80" s="1718"/>
      <c r="GGI80" s="1718"/>
      <c r="GGJ80" s="1718"/>
      <c r="GGK80" s="1718"/>
      <c r="GGL80" s="246"/>
      <c r="GGM80" s="246" t="str">
        <f>BS!$D$5</f>
        <v>31 March 2026</v>
      </c>
      <c r="GGN80" s="247" t="str">
        <f>BS!$E$5</f>
        <v>31 March 2025</v>
      </c>
      <c r="GGO80" s="1717"/>
      <c r="GGP80" s="1718"/>
      <c r="GGQ80" s="1718"/>
      <c r="GGR80" s="1718"/>
      <c r="GGS80" s="1718"/>
      <c r="GGT80" s="246"/>
      <c r="GGU80" s="246" t="str">
        <f>BS!$D$5</f>
        <v>31 March 2026</v>
      </c>
      <c r="GGV80" s="247" t="str">
        <f>BS!$E$5</f>
        <v>31 March 2025</v>
      </c>
      <c r="GGW80" s="1717"/>
      <c r="GGX80" s="1718"/>
      <c r="GGY80" s="1718"/>
      <c r="GGZ80" s="1718"/>
      <c r="GHA80" s="1718"/>
      <c r="GHB80" s="246"/>
      <c r="GHC80" s="246" t="str">
        <f>BS!$D$5</f>
        <v>31 March 2026</v>
      </c>
      <c r="GHD80" s="247" t="str">
        <f>BS!$E$5</f>
        <v>31 March 2025</v>
      </c>
      <c r="GHE80" s="1717"/>
      <c r="GHF80" s="1718"/>
      <c r="GHG80" s="1718"/>
      <c r="GHH80" s="1718"/>
      <c r="GHI80" s="1718"/>
      <c r="GHJ80" s="246"/>
      <c r="GHK80" s="246" t="str">
        <f>BS!$D$5</f>
        <v>31 March 2026</v>
      </c>
      <c r="GHL80" s="247" t="str">
        <f>BS!$E$5</f>
        <v>31 March 2025</v>
      </c>
      <c r="GHM80" s="1717"/>
      <c r="GHN80" s="1718"/>
      <c r="GHO80" s="1718"/>
      <c r="GHP80" s="1718"/>
      <c r="GHQ80" s="1718"/>
      <c r="GHR80" s="246"/>
      <c r="GHS80" s="246" t="str">
        <f>BS!$D$5</f>
        <v>31 March 2026</v>
      </c>
      <c r="GHT80" s="247" t="str">
        <f>BS!$E$5</f>
        <v>31 March 2025</v>
      </c>
      <c r="GHU80" s="1717"/>
      <c r="GHV80" s="1718"/>
      <c r="GHW80" s="1718"/>
      <c r="GHX80" s="1718"/>
      <c r="GHY80" s="1718"/>
      <c r="GHZ80" s="246"/>
      <c r="GIA80" s="246" t="str">
        <f>BS!$D$5</f>
        <v>31 March 2026</v>
      </c>
      <c r="GIB80" s="247" t="str">
        <f>BS!$E$5</f>
        <v>31 March 2025</v>
      </c>
      <c r="GIC80" s="1717"/>
      <c r="GID80" s="1718"/>
      <c r="GIE80" s="1718"/>
      <c r="GIF80" s="1718"/>
      <c r="GIG80" s="1718"/>
      <c r="GIH80" s="246"/>
      <c r="GII80" s="246" t="str">
        <f>BS!$D$5</f>
        <v>31 March 2026</v>
      </c>
      <c r="GIJ80" s="247" t="str">
        <f>BS!$E$5</f>
        <v>31 March 2025</v>
      </c>
      <c r="GIK80" s="1717"/>
      <c r="GIL80" s="1718"/>
      <c r="GIM80" s="1718"/>
      <c r="GIN80" s="1718"/>
      <c r="GIO80" s="1718"/>
      <c r="GIP80" s="246"/>
      <c r="GIQ80" s="246" t="str">
        <f>BS!$D$5</f>
        <v>31 March 2026</v>
      </c>
      <c r="GIR80" s="247" t="str">
        <f>BS!$E$5</f>
        <v>31 March 2025</v>
      </c>
      <c r="GIS80" s="1717"/>
      <c r="GIT80" s="1718"/>
      <c r="GIU80" s="1718"/>
      <c r="GIV80" s="1718"/>
      <c r="GIW80" s="1718"/>
      <c r="GIX80" s="246"/>
      <c r="GIY80" s="246" t="str">
        <f>BS!$D$5</f>
        <v>31 March 2026</v>
      </c>
      <c r="GIZ80" s="247" t="str">
        <f>BS!$E$5</f>
        <v>31 March 2025</v>
      </c>
      <c r="GJA80" s="1717"/>
      <c r="GJB80" s="1718"/>
      <c r="GJC80" s="1718"/>
      <c r="GJD80" s="1718"/>
      <c r="GJE80" s="1718"/>
      <c r="GJF80" s="246"/>
      <c r="GJG80" s="246" t="str">
        <f>BS!$D$5</f>
        <v>31 March 2026</v>
      </c>
      <c r="GJH80" s="247" t="str">
        <f>BS!$E$5</f>
        <v>31 March 2025</v>
      </c>
      <c r="GJI80" s="1717"/>
      <c r="GJJ80" s="1718"/>
      <c r="GJK80" s="1718"/>
      <c r="GJL80" s="1718"/>
      <c r="GJM80" s="1718"/>
      <c r="GJN80" s="246"/>
      <c r="GJO80" s="246" t="str">
        <f>BS!$D$5</f>
        <v>31 March 2026</v>
      </c>
      <c r="GJP80" s="247" t="str">
        <f>BS!$E$5</f>
        <v>31 March 2025</v>
      </c>
      <c r="GJQ80" s="1717"/>
      <c r="GJR80" s="1718"/>
      <c r="GJS80" s="1718"/>
      <c r="GJT80" s="1718"/>
      <c r="GJU80" s="1718"/>
      <c r="GJV80" s="246"/>
      <c r="GJW80" s="246" t="str">
        <f>BS!$D$5</f>
        <v>31 March 2026</v>
      </c>
      <c r="GJX80" s="247" t="str">
        <f>BS!$E$5</f>
        <v>31 March 2025</v>
      </c>
      <c r="GJY80" s="1717"/>
      <c r="GJZ80" s="1718"/>
      <c r="GKA80" s="1718"/>
      <c r="GKB80" s="1718"/>
      <c r="GKC80" s="1718"/>
      <c r="GKD80" s="246"/>
      <c r="GKE80" s="246" t="str">
        <f>BS!$D$5</f>
        <v>31 March 2026</v>
      </c>
      <c r="GKF80" s="247" t="str">
        <f>BS!$E$5</f>
        <v>31 March 2025</v>
      </c>
      <c r="GKG80" s="1717"/>
      <c r="GKH80" s="1718"/>
      <c r="GKI80" s="1718"/>
      <c r="GKJ80" s="1718"/>
      <c r="GKK80" s="1718"/>
      <c r="GKL80" s="246"/>
      <c r="GKM80" s="246" t="str">
        <f>BS!$D$5</f>
        <v>31 March 2026</v>
      </c>
      <c r="GKN80" s="247" t="str">
        <f>BS!$E$5</f>
        <v>31 March 2025</v>
      </c>
      <c r="GKO80" s="1717"/>
      <c r="GKP80" s="1718"/>
      <c r="GKQ80" s="1718"/>
      <c r="GKR80" s="1718"/>
      <c r="GKS80" s="1718"/>
      <c r="GKT80" s="246"/>
      <c r="GKU80" s="246" t="str">
        <f>BS!$D$5</f>
        <v>31 March 2026</v>
      </c>
      <c r="GKV80" s="247" t="str">
        <f>BS!$E$5</f>
        <v>31 March 2025</v>
      </c>
      <c r="GKW80" s="1717"/>
      <c r="GKX80" s="1718"/>
      <c r="GKY80" s="1718"/>
      <c r="GKZ80" s="1718"/>
      <c r="GLA80" s="1718"/>
      <c r="GLB80" s="246"/>
      <c r="GLC80" s="246" t="str">
        <f>BS!$D$5</f>
        <v>31 March 2026</v>
      </c>
      <c r="GLD80" s="247" t="str">
        <f>BS!$E$5</f>
        <v>31 March 2025</v>
      </c>
      <c r="GLE80" s="1717"/>
      <c r="GLF80" s="1718"/>
      <c r="GLG80" s="1718"/>
      <c r="GLH80" s="1718"/>
      <c r="GLI80" s="1718"/>
      <c r="GLJ80" s="246"/>
      <c r="GLK80" s="246" t="str">
        <f>BS!$D$5</f>
        <v>31 March 2026</v>
      </c>
      <c r="GLL80" s="247" t="str">
        <f>BS!$E$5</f>
        <v>31 March 2025</v>
      </c>
      <c r="GLM80" s="1717"/>
      <c r="GLN80" s="1718"/>
      <c r="GLO80" s="1718"/>
      <c r="GLP80" s="1718"/>
      <c r="GLQ80" s="1718"/>
      <c r="GLR80" s="246"/>
      <c r="GLS80" s="246" t="str">
        <f>BS!$D$5</f>
        <v>31 March 2026</v>
      </c>
      <c r="GLT80" s="247" t="str">
        <f>BS!$E$5</f>
        <v>31 March 2025</v>
      </c>
      <c r="GLU80" s="1717"/>
      <c r="GLV80" s="1718"/>
      <c r="GLW80" s="1718"/>
      <c r="GLX80" s="1718"/>
      <c r="GLY80" s="1718"/>
      <c r="GLZ80" s="246"/>
      <c r="GMA80" s="246" t="str">
        <f>BS!$D$5</f>
        <v>31 March 2026</v>
      </c>
      <c r="GMB80" s="247" t="str">
        <f>BS!$E$5</f>
        <v>31 March 2025</v>
      </c>
      <c r="GMC80" s="1717"/>
      <c r="GMD80" s="1718"/>
      <c r="GME80" s="1718"/>
      <c r="GMF80" s="1718"/>
      <c r="GMG80" s="1718"/>
      <c r="GMH80" s="246"/>
      <c r="GMI80" s="246" t="str">
        <f>BS!$D$5</f>
        <v>31 March 2026</v>
      </c>
      <c r="GMJ80" s="247" t="str">
        <f>BS!$E$5</f>
        <v>31 March 2025</v>
      </c>
      <c r="GMK80" s="1717"/>
      <c r="GML80" s="1718"/>
      <c r="GMM80" s="1718"/>
      <c r="GMN80" s="1718"/>
      <c r="GMO80" s="1718"/>
      <c r="GMP80" s="246"/>
      <c r="GMQ80" s="246" t="str">
        <f>BS!$D$5</f>
        <v>31 March 2026</v>
      </c>
      <c r="GMR80" s="247" t="str">
        <f>BS!$E$5</f>
        <v>31 March 2025</v>
      </c>
      <c r="GMS80" s="1717"/>
      <c r="GMT80" s="1718"/>
      <c r="GMU80" s="1718"/>
      <c r="GMV80" s="1718"/>
      <c r="GMW80" s="1718"/>
      <c r="GMX80" s="246"/>
      <c r="GMY80" s="246" t="str">
        <f>BS!$D$5</f>
        <v>31 March 2026</v>
      </c>
      <c r="GMZ80" s="247" t="str">
        <f>BS!$E$5</f>
        <v>31 March 2025</v>
      </c>
      <c r="GNA80" s="1717"/>
      <c r="GNB80" s="1718"/>
      <c r="GNC80" s="1718"/>
      <c r="GND80" s="1718"/>
      <c r="GNE80" s="1718"/>
      <c r="GNF80" s="246"/>
      <c r="GNG80" s="246" t="str">
        <f>BS!$D$5</f>
        <v>31 March 2026</v>
      </c>
      <c r="GNH80" s="247" t="str">
        <f>BS!$E$5</f>
        <v>31 March 2025</v>
      </c>
      <c r="GNI80" s="1717"/>
      <c r="GNJ80" s="1718"/>
      <c r="GNK80" s="1718"/>
      <c r="GNL80" s="1718"/>
      <c r="GNM80" s="1718"/>
      <c r="GNN80" s="246"/>
      <c r="GNO80" s="246" t="str">
        <f>BS!$D$5</f>
        <v>31 March 2026</v>
      </c>
      <c r="GNP80" s="247" t="str">
        <f>BS!$E$5</f>
        <v>31 March 2025</v>
      </c>
      <c r="GNQ80" s="1717"/>
      <c r="GNR80" s="1718"/>
      <c r="GNS80" s="1718"/>
      <c r="GNT80" s="1718"/>
      <c r="GNU80" s="1718"/>
      <c r="GNV80" s="246"/>
      <c r="GNW80" s="246" t="str">
        <f>BS!$D$5</f>
        <v>31 March 2026</v>
      </c>
      <c r="GNX80" s="247" t="str">
        <f>BS!$E$5</f>
        <v>31 March 2025</v>
      </c>
      <c r="GNY80" s="1717"/>
      <c r="GNZ80" s="1718"/>
      <c r="GOA80" s="1718"/>
      <c r="GOB80" s="1718"/>
      <c r="GOC80" s="1718"/>
      <c r="GOD80" s="246"/>
      <c r="GOE80" s="246" t="str">
        <f>BS!$D$5</f>
        <v>31 March 2026</v>
      </c>
      <c r="GOF80" s="247" t="str">
        <f>BS!$E$5</f>
        <v>31 March 2025</v>
      </c>
      <c r="GOG80" s="1717"/>
      <c r="GOH80" s="1718"/>
      <c r="GOI80" s="1718"/>
      <c r="GOJ80" s="1718"/>
      <c r="GOK80" s="1718"/>
      <c r="GOL80" s="246"/>
      <c r="GOM80" s="246" t="str">
        <f>BS!$D$5</f>
        <v>31 March 2026</v>
      </c>
      <c r="GON80" s="247" t="str">
        <f>BS!$E$5</f>
        <v>31 March 2025</v>
      </c>
      <c r="GOO80" s="1717"/>
      <c r="GOP80" s="1718"/>
      <c r="GOQ80" s="1718"/>
      <c r="GOR80" s="1718"/>
      <c r="GOS80" s="1718"/>
      <c r="GOT80" s="246"/>
      <c r="GOU80" s="246" t="str">
        <f>BS!$D$5</f>
        <v>31 March 2026</v>
      </c>
      <c r="GOV80" s="247" t="str">
        <f>BS!$E$5</f>
        <v>31 March 2025</v>
      </c>
      <c r="GOW80" s="1717"/>
      <c r="GOX80" s="1718"/>
      <c r="GOY80" s="1718"/>
      <c r="GOZ80" s="1718"/>
      <c r="GPA80" s="1718"/>
      <c r="GPB80" s="246"/>
      <c r="GPC80" s="246" t="str">
        <f>BS!$D$5</f>
        <v>31 March 2026</v>
      </c>
      <c r="GPD80" s="247" t="str">
        <f>BS!$E$5</f>
        <v>31 March 2025</v>
      </c>
      <c r="GPE80" s="1717"/>
      <c r="GPF80" s="1718"/>
      <c r="GPG80" s="1718"/>
      <c r="GPH80" s="1718"/>
      <c r="GPI80" s="1718"/>
      <c r="GPJ80" s="246"/>
      <c r="GPK80" s="246" t="str">
        <f>BS!$D$5</f>
        <v>31 March 2026</v>
      </c>
      <c r="GPL80" s="247" t="str">
        <f>BS!$E$5</f>
        <v>31 March 2025</v>
      </c>
      <c r="GPM80" s="1717"/>
      <c r="GPN80" s="1718"/>
      <c r="GPO80" s="1718"/>
      <c r="GPP80" s="1718"/>
      <c r="GPQ80" s="1718"/>
      <c r="GPR80" s="246"/>
      <c r="GPS80" s="246" t="str">
        <f>BS!$D$5</f>
        <v>31 March 2026</v>
      </c>
      <c r="GPT80" s="247" t="str">
        <f>BS!$E$5</f>
        <v>31 March 2025</v>
      </c>
      <c r="GPU80" s="1717"/>
      <c r="GPV80" s="1718"/>
      <c r="GPW80" s="1718"/>
      <c r="GPX80" s="1718"/>
      <c r="GPY80" s="1718"/>
      <c r="GPZ80" s="246"/>
      <c r="GQA80" s="246" t="str">
        <f>BS!$D$5</f>
        <v>31 March 2026</v>
      </c>
      <c r="GQB80" s="247" t="str">
        <f>BS!$E$5</f>
        <v>31 March 2025</v>
      </c>
      <c r="GQC80" s="1717"/>
      <c r="GQD80" s="1718"/>
      <c r="GQE80" s="1718"/>
      <c r="GQF80" s="1718"/>
      <c r="GQG80" s="1718"/>
      <c r="GQH80" s="246"/>
      <c r="GQI80" s="246" t="str">
        <f>BS!$D$5</f>
        <v>31 March 2026</v>
      </c>
      <c r="GQJ80" s="247" t="str">
        <f>BS!$E$5</f>
        <v>31 March 2025</v>
      </c>
      <c r="GQK80" s="1717"/>
      <c r="GQL80" s="1718"/>
      <c r="GQM80" s="1718"/>
      <c r="GQN80" s="1718"/>
      <c r="GQO80" s="1718"/>
      <c r="GQP80" s="246"/>
      <c r="GQQ80" s="246" t="str">
        <f>BS!$D$5</f>
        <v>31 March 2026</v>
      </c>
      <c r="GQR80" s="247" t="str">
        <f>BS!$E$5</f>
        <v>31 March 2025</v>
      </c>
      <c r="GQS80" s="1717"/>
      <c r="GQT80" s="1718"/>
      <c r="GQU80" s="1718"/>
      <c r="GQV80" s="1718"/>
      <c r="GQW80" s="1718"/>
      <c r="GQX80" s="246"/>
      <c r="GQY80" s="246" t="str">
        <f>BS!$D$5</f>
        <v>31 March 2026</v>
      </c>
      <c r="GQZ80" s="247" t="str">
        <f>BS!$E$5</f>
        <v>31 March 2025</v>
      </c>
      <c r="GRA80" s="1717"/>
      <c r="GRB80" s="1718"/>
      <c r="GRC80" s="1718"/>
      <c r="GRD80" s="1718"/>
      <c r="GRE80" s="1718"/>
      <c r="GRF80" s="246"/>
      <c r="GRG80" s="246" t="str">
        <f>BS!$D$5</f>
        <v>31 March 2026</v>
      </c>
      <c r="GRH80" s="247" t="str">
        <f>BS!$E$5</f>
        <v>31 March 2025</v>
      </c>
      <c r="GRI80" s="1717"/>
      <c r="GRJ80" s="1718"/>
      <c r="GRK80" s="1718"/>
      <c r="GRL80" s="1718"/>
      <c r="GRM80" s="1718"/>
      <c r="GRN80" s="246"/>
      <c r="GRO80" s="246" t="str">
        <f>BS!$D$5</f>
        <v>31 March 2026</v>
      </c>
      <c r="GRP80" s="247" t="str">
        <f>BS!$E$5</f>
        <v>31 March 2025</v>
      </c>
      <c r="GRQ80" s="1717"/>
      <c r="GRR80" s="1718"/>
      <c r="GRS80" s="1718"/>
      <c r="GRT80" s="1718"/>
      <c r="GRU80" s="1718"/>
      <c r="GRV80" s="246"/>
      <c r="GRW80" s="246" t="str">
        <f>BS!$D$5</f>
        <v>31 March 2026</v>
      </c>
      <c r="GRX80" s="247" t="str">
        <f>BS!$E$5</f>
        <v>31 March 2025</v>
      </c>
      <c r="GRY80" s="1717"/>
      <c r="GRZ80" s="1718"/>
      <c r="GSA80" s="1718"/>
      <c r="GSB80" s="1718"/>
      <c r="GSC80" s="1718"/>
      <c r="GSD80" s="246"/>
      <c r="GSE80" s="246" t="str">
        <f>BS!$D$5</f>
        <v>31 March 2026</v>
      </c>
      <c r="GSF80" s="247" t="str">
        <f>BS!$E$5</f>
        <v>31 March 2025</v>
      </c>
      <c r="GSG80" s="1717"/>
      <c r="GSH80" s="1718"/>
      <c r="GSI80" s="1718"/>
      <c r="GSJ80" s="1718"/>
      <c r="GSK80" s="1718"/>
      <c r="GSL80" s="246"/>
      <c r="GSM80" s="246" t="str">
        <f>BS!$D$5</f>
        <v>31 March 2026</v>
      </c>
      <c r="GSN80" s="247" t="str">
        <f>BS!$E$5</f>
        <v>31 March 2025</v>
      </c>
      <c r="GSO80" s="1717"/>
      <c r="GSP80" s="1718"/>
      <c r="GSQ80" s="1718"/>
      <c r="GSR80" s="1718"/>
      <c r="GSS80" s="1718"/>
      <c r="GST80" s="246"/>
      <c r="GSU80" s="246" t="str">
        <f>BS!$D$5</f>
        <v>31 March 2026</v>
      </c>
      <c r="GSV80" s="247" t="str">
        <f>BS!$E$5</f>
        <v>31 March 2025</v>
      </c>
      <c r="GSW80" s="1717"/>
      <c r="GSX80" s="1718"/>
      <c r="GSY80" s="1718"/>
      <c r="GSZ80" s="1718"/>
      <c r="GTA80" s="1718"/>
      <c r="GTB80" s="246"/>
      <c r="GTC80" s="246" t="str">
        <f>BS!$D$5</f>
        <v>31 March 2026</v>
      </c>
      <c r="GTD80" s="247" t="str">
        <f>BS!$E$5</f>
        <v>31 March 2025</v>
      </c>
      <c r="GTE80" s="1717"/>
      <c r="GTF80" s="1718"/>
      <c r="GTG80" s="1718"/>
      <c r="GTH80" s="1718"/>
      <c r="GTI80" s="1718"/>
      <c r="GTJ80" s="246"/>
      <c r="GTK80" s="246" t="str">
        <f>BS!$D$5</f>
        <v>31 March 2026</v>
      </c>
      <c r="GTL80" s="247" t="str">
        <f>BS!$E$5</f>
        <v>31 March 2025</v>
      </c>
      <c r="GTM80" s="1717"/>
      <c r="GTN80" s="1718"/>
      <c r="GTO80" s="1718"/>
      <c r="GTP80" s="1718"/>
      <c r="GTQ80" s="1718"/>
      <c r="GTR80" s="246"/>
      <c r="GTS80" s="246" t="str">
        <f>BS!$D$5</f>
        <v>31 March 2026</v>
      </c>
      <c r="GTT80" s="247" t="str">
        <f>BS!$E$5</f>
        <v>31 March 2025</v>
      </c>
      <c r="GTU80" s="1717"/>
      <c r="GTV80" s="1718"/>
      <c r="GTW80" s="1718"/>
      <c r="GTX80" s="1718"/>
      <c r="GTY80" s="1718"/>
      <c r="GTZ80" s="246"/>
      <c r="GUA80" s="246" t="str">
        <f>BS!$D$5</f>
        <v>31 March 2026</v>
      </c>
      <c r="GUB80" s="247" t="str">
        <f>BS!$E$5</f>
        <v>31 March 2025</v>
      </c>
      <c r="GUC80" s="1717"/>
      <c r="GUD80" s="1718"/>
      <c r="GUE80" s="1718"/>
      <c r="GUF80" s="1718"/>
      <c r="GUG80" s="1718"/>
      <c r="GUH80" s="246"/>
      <c r="GUI80" s="246" t="str">
        <f>BS!$D$5</f>
        <v>31 March 2026</v>
      </c>
      <c r="GUJ80" s="247" t="str">
        <f>BS!$E$5</f>
        <v>31 March 2025</v>
      </c>
      <c r="GUK80" s="1717"/>
      <c r="GUL80" s="1718"/>
      <c r="GUM80" s="1718"/>
      <c r="GUN80" s="1718"/>
      <c r="GUO80" s="1718"/>
      <c r="GUP80" s="246"/>
      <c r="GUQ80" s="246" t="str">
        <f>BS!$D$5</f>
        <v>31 March 2026</v>
      </c>
      <c r="GUR80" s="247" t="str">
        <f>BS!$E$5</f>
        <v>31 March 2025</v>
      </c>
      <c r="GUS80" s="1717"/>
      <c r="GUT80" s="1718"/>
      <c r="GUU80" s="1718"/>
      <c r="GUV80" s="1718"/>
      <c r="GUW80" s="1718"/>
      <c r="GUX80" s="246"/>
      <c r="GUY80" s="246" t="str">
        <f>BS!$D$5</f>
        <v>31 March 2026</v>
      </c>
      <c r="GUZ80" s="247" t="str">
        <f>BS!$E$5</f>
        <v>31 March 2025</v>
      </c>
      <c r="GVA80" s="1717"/>
      <c r="GVB80" s="1718"/>
      <c r="GVC80" s="1718"/>
      <c r="GVD80" s="1718"/>
      <c r="GVE80" s="1718"/>
      <c r="GVF80" s="246"/>
      <c r="GVG80" s="246" t="str">
        <f>BS!$D$5</f>
        <v>31 March 2026</v>
      </c>
      <c r="GVH80" s="247" t="str">
        <f>BS!$E$5</f>
        <v>31 March 2025</v>
      </c>
      <c r="GVI80" s="1717"/>
      <c r="GVJ80" s="1718"/>
      <c r="GVK80" s="1718"/>
      <c r="GVL80" s="1718"/>
      <c r="GVM80" s="1718"/>
      <c r="GVN80" s="246"/>
      <c r="GVO80" s="246" t="str">
        <f>BS!$D$5</f>
        <v>31 March 2026</v>
      </c>
      <c r="GVP80" s="247" t="str">
        <f>BS!$E$5</f>
        <v>31 March 2025</v>
      </c>
      <c r="GVQ80" s="1717"/>
      <c r="GVR80" s="1718"/>
      <c r="GVS80" s="1718"/>
      <c r="GVT80" s="1718"/>
      <c r="GVU80" s="1718"/>
      <c r="GVV80" s="246"/>
      <c r="GVW80" s="246" t="str">
        <f>BS!$D$5</f>
        <v>31 March 2026</v>
      </c>
      <c r="GVX80" s="247" t="str">
        <f>BS!$E$5</f>
        <v>31 March 2025</v>
      </c>
      <c r="GVY80" s="1717"/>
      <c r="GVZ80" s="1718"/>
      <c r="GWA80" s="1718"/>
      <c r="GWB80" s="1718"/>
      <c r="GWC80" s="1718"/>
      <c r="GWD80" s="246"/>
      <c r="GWE80" s="246" t="str">
        <f>BS!$D$5</f>
        <v>31 March 2026</v>
      </c>
      <c r="GWF80" s="247" t="str">
        <f>BS!$E$5</f>
        <v>31 March 2025</v>
      </c>
      <c r="GWG80" s="1717"/>
      <c r="GWH80" s="1718"/>
      <c r="GWI80" s="1718"/>
      <c r="GWJ80" s="1718"/>
      <c r="GWK80" s="1718"/>
      <c r="GWL80" s="246"/>
      <c r="GWM80" s="246" t="str">
        <f>BS!$D$5</f>
        <v>31 March 2026</v>
      </c>
      <c r="GWN80" s="247" t="str">
        <f>BS!$E$5</f>
        <v>31 March 2025</v>
      </c>
      <c r="GWO80" s="1717"/>
      <c r="GWP80" s="1718"/>
      <c r="GWQ80" s="1718"/>
      <c r="GWR80" s="1718"/>
      <c r="GWS80" s="1718"/>
      <c r="GWT80" s="246"/>
      <c r="GWU80" s="246" t="str">
        <f>BS!$D$5</f>
        <v>31 March 2026</v>
      </c>
      <c r="GWV80" s="247" t="str">
        <f>BS!$E$5</f>
        <v>31 March 2025</v>
      </c>
      <c r="GWW80" s="1717"/>
      <c r="GWX80" s="1718"/>
      <c r="GWY80" s="1718"/>
      <c r="GWZ80" s="1718"/>
      <c r="GXA80" s="1718"/>
      <c r="GXB80" s="246"/>
      <c r="GXC80" s="246" t="str">
        <f>BS!$D$5</f>
        <v>31 March 2026</v>
      </c>
      <c r="GXD80" s="247" t="str">
        <f>BS!$E$5</f>
        <v>31 March 2025</v>
      </c>
      <c r="GXE80" s="1717"/>
      <c r="GXF80" s="1718"/>
      <c r="GXG80" s="1718"/>
      <c r="GXH80" s="1718"/>
      <c r="GXI80" s="1718"/>
      <c r="GXJ80" s="246"/>
      <c r="GXK80" s="246" t="str">
        <f>BS!$D$5</f>
        <v>31 March 2026</v>
      </c>
      <c r="GXL80" s="247" t="str">
        <f>BS!$E$5</f>
        <v>31 March 2025</v>
      </c>
      <c r="GXM80" s="1717"/>
      <c r="GXN80" s="1718"/>
      <c r="GXO80" s="1718"/>
      <c r="GXP80" s="1718"/>
      <c r="GXQ80" s="1718"/>
      <c r="GXR80" s="246"/>
      <c r="GXS80" s="246" t="str">
        <f>BS!$D$5</f>
        <v>31 March 2026</v>
      </c>
      <c r="GXT80" s="247" t="str">
        <f>BS!$E$5</f>
        <v>31 March 2025</v>
      </c>
      <c r="GXU80" s="1717"/>
      <c r="GXV80" s="1718"/>
      <c r="GXW80" s="1718"/>
      <c r="GXX80" s="1718"/>
      <c r="GXY80" s="1718"/>
      <c r="GXZ80" s="246"/>
      <c r="GYA80" s="246" t="str">
        <f>BS!$D$5</f>
        <v>31 March 2026</v>
      </c>
      <c r="GYB80" s="247" t="str">
        <f>BS!$E$5</f>
        <v>31 March 2025</v>
      </c>
      <c r="GYC80" s="1717"/>
      <c r="GYD80" s="1718"/>
      <c r="GYE80" s="1718"/>
      <c r="GYF80" s="1718"/>
      <c r="GYG80" s="1718"/>
      <c r="GYH80" s="246"/>
      <c r="GYI80" s="246" t="str">
        <f>BS!$D$5</f>
        <v>31 March 2026</v>
      </c>
      <c r="GYJ80" s="247" t="str">
        <f>BS!$E$5</f>
        <v>31 March 2025</v>
      </c>
      <c r="GYK80" s="1717"/>
      <c r="GYL80" s="1718"/>
      <c r="GYM80" s="1718"/>
      <c r="GYN80" s="1718"/>
      <c r="GYO80" s="1718"/>
      <c r="GYP80" s="246"/>
      <c r="GYQ80" s="246" t="str">
        <f>BS!$D$5</f>
        <v>31 March 2026</v>
      </c>
      <c r="GYR80" s="247" t="str">
        <f>BS!$E$5</f>
        <v>31 March 2025</v>
      </c>
      <c r="GYS80" s="1717"/>
      <c r="GYT80" s="1718"/>
      <c r="GYU80" s="1718"/>
      <c r="GYV80" s="1718"/>
      <c r="GYW80" s="1718"/>
      <c r="GYX80" s="246"/>
      <c r="GYY80" s="246" t="str">
        <f>BS!$D$5</f>
        <v>31 March 2026</v>
      </c>
      <c r="GYZ80" s="247" t="str">
        <f>BS!$E$5</f>
        <v>31 March 2025</v>
      </c>
      <c r="GZA80" s="1717"/>
      <c r="GZB80" s="1718"/>
      <c r="GZC80" s="1718"/>
      <c r="GZD80" s="1718"/>
      <c r="GZE80" s="1718"/>
      <c r="GZF80" s="246"/>
      <c r="GZG80" s="246" t="str">
        <f>BS!$D$5</f>
        <v>31 March 2026</v>
      </c>
      <c r="GZH80" s="247" t="str">
        <f>BS!$E$5</f>
        <v>31 March 2025</v>
      </c>
      <c r="GZI80" s="1717"/>
      <c r="GZJ80" s="1718"/>
      <c r="GZK80" s="1718"/>
      <c r="GZL80" s="1718"/>
      <c r="GZM80" s="1718"/>
      <c r="GZN80" s="246"/>
      <c r="GZO80" s="246" t="str">
        <f>BS!$D$5</f>
        <v>31 March 2026</v>
      </c>
      <c r="GZP80" s="247" t="str">
        <f>BS!$E$5</f>
        <v>31 March 2025</v>
      </c>
      <c r="GZQ80" s="1717"/>
      <c r="GZR80" s="1718"/>
      <c r="GZS80" s="1718"/>
      <c r="GZT80" s="1718"/>
      <c r="GZU80" s="1718"/>
      <c r="GZV80" s="246"/>
      <c r="GZW80" s="246" t="str">
        <f>BS!$D$5</f>
        <v>31 March 2026</v>
      </c>
      <c r="GZX80" s="247" t="str">
        <f>BS!$E$5</f>
        <v>31 March 2025</v>
      </c>
      <c r="GZY80" s="1717"/>
      <c r="GZZ80" s="1718"/>
      <c r="HAA80" s="1718"/>
      <c r="HAB80" s="1718"/>
      <c r="HAC80" s="1718"/>
      <c r="HAD80" s="246"/>
      <c r="HAE80" s="246" t="str">
        <f>BS!$D$5</f>
        <v>31 March 2026</v>
      </c>
      <c r="HAF80" s="247" t="str">
        <f>BS!$E$5</f>
        <v>31 March 2025</v>
      </c>
      <c r="HAG80" s="1717"/>
      <c r="HAH80" s="1718"/>
      <c r="HAI80" s="1718"/>
      <c r="HAJ80" s="1718"/>
      <c r="HAK80" s="1718"/>
      <c r="HAL80" s="246"/>
      <c r="HAM80" s="246" t="str">
        <f>BS!$D$5</f>
        <v>31 March 2026</v>
      </c>
      <c r="HAN80" s="247" t="str">
        <f>BS!$E$5</f>
        <v>31 March 2025</v>
      </c>
      <c r="HAO80" s="1717"/>
      <c r="HAP80" s="1718"/>
      <c r="HAQ80" s="1718"/>
      <c r="HAR80" s="1718"/>
      <c r="HAS80" s="1718"/>
      <c r="HAT80" s="246"/>
      <c r="HAU80" s="246" t="str">
        <f>BS!$D$5</f>
        <v>31 March 2026</v>
      </c>
      <c r="HAV80" s="247" t="str">
        <f>BS!$E$5</f>
        <v>31 March 2025</v>
      </c>
      <c r="HAW80" s="1717"/>
      <c r="HAX80" s="1718"/>
      <c r="HAY80" s="1718"/>
      <c r="HAZ80" s="1718"/>
      <c r="HBA80" s="1718"/>
      <c r="HBB80" s="246"/>
      <c r="HBC80" s="246" t="str">
        <f>BS!$D$5</f>
        <v>31 March 2026</v>
      </c>
      <c r="HBD80" s="247" t="str">
        <f>BS!$E$5</f>
        <v>31 March 2025</v>
      </c>
      <c r="HBE80" s="1717"/>
      <c r="HBF80" s="1718"/>
      <c r="HBG80" s="1718"/>
      <c r="HBH80" s="1718"/>
      <c r="HBI80" s="1718"/>
      <c r="HBJ80" s="246"/>
      <c r="HBK80" s="246" t="str">
        <f>BS!$D$5</f>
        <v>31 March 2026</v>
      </c>
      <c r="HBL80" s="247" t="str">
        <f>BS!$E$5</f>
        <v>31 March 2025</v>
      </c>
      <c r="HBM80" s="1717"/>
      <c r="HBN80" s="1718"/>
      <c r="HBO80" s="1718"/>
      <c r="HBP80" s="1718"/>
      <c r="HBQ80" s="1718"/>
      <c r="HBR80" s="246"/>
      <c r="HBS80" s="246" t="str">
        <f>BS!$D$5</f>
        <v>31 March 2026</v>
      </c>
      <c r="HBT80" s="247" t="str">
        <f>BS!$E$5</f>
        <v>31 March 2025</v>
      </c>
      <c r="HBU80" s="1717"/>
      <c r="HBV80" s="1718"/>
      <c r="HBW80" s="1718"/>
      <c r="HBX80" s="1718"/>
      <c r="HBY80" s="1718"/>
      <c r="HBZ80" s="246"/>
      <c r="HCA80" s="246" t="str">
        <f>BS!$D$5</f>
        <v>31 March 2026</v>
      </c>
      <c r="HCB80" s="247" t="str">
        <f>BS!$E$5</f>
        <v>31 March 2025</v>
      </c>
      <c r="HCC80" s="1717"/>
      <c r="HCD80" s="1718"/>
      <c r="HCE80" s="1718"/>
      <c r="HCF80" s="1718"/>
      <c r="HCG80" s="1718"/>
      <c r="HCH80" s="246"/>
      <c r="HCI80" s="246" t="str">
        <f>BS!$D$5</f>
        <v>31 March 2026</v>
      </c>
      <c r="HCJ80" s="247" t="str">
        <f>BS!$E$5</f>
        <v>31 March 2025</v>
      </c>
      <c r="HCK80" s="1717"/>
      <c r="HCL80" s="1718"/>
      <c r="HCM80" s="1718"/>
      <c r="HCN80" s="1718"/>
      <c r="HCO80" s="1718"/>
      <c r="HCP80" s="246"/>
      <c r="HCQ80" s="246" t="str">
        <f>BS!$D$5</f>
        <v>31 March 2026</v>
      </c>
      <c r="HCR80" s="247" t="str">
        <f>BS!$E$5</f>
        <v>31 March 2025</v>
      </c>
      <c r="HCS80" s="1717"/>
      <c r="HCT80" s="1718"/>
      <c r="HCU80" s="1718"/>
      <c r="HCV80" s="1718"/>
      <c r="HCW80" s="1718"/>
      <c r="HCX80" s="246"/>
      <c r="HCY80" s="246" t="str">
        <f>BS!$D$5</f>
        <v>31 March 2026</v>
      </c>
      <c r="HCZ80" s="247" t="str">
        <f>BS!$E$5</f>
        <v>31 March 2025</v>
      </c>
      <c r="HDA80" s="1717"/>
      <c r="HDB80" s="1718"/>
      <c r="HDC80" s="1718"/>
      <c r="HDD80" s="1718"/>
      <c r="HDE80" s="1718"/>
      <c r="HDF80" s="246"/>
      <c r="HDG80" s="246" t="str">
        <f>BS!$D$5</f>
        <v>31 March 2026</v>
      </c>
      <c r="HDH80" s="247" t="str">
        <f>BS!$E$5</f>
        <v>31 March 2025</v>
      </c>
      <c r="HDI80" s="1717"/>
      <c r="HDJ80" s="1718"/>
      <c r="HDK80" s="1718"/>
      <c r="HDL80" s="1718"/>
      <c r="HDM80" s="1718"/>
      <c r="HDN80" s="246"/>
      <c r="HDO80" s="246" t="str">
        <f>BS!$D$5</f>
        <v>31 March 2026</v>
      </c>
      <c r="HDP80" s="247" t="str">
        <f>BS!$E$5</f>
        <v>31 March 2025</v>
      </c>
      <c r="HDQ80" s="1717"/>
      <c r="HDR80" s="1718"/>
      <c r="HDS80" s="1718"/>
      <c r="HDT80" s="1718"/>
      <c r="HDU80" s="1718"/>
      <c r="HDV80" s="246"/>
      <c r="HDW80" s="246" t="str">
        <f>BS!$D$5</f>
        <v>31 March 2026</v>
      </c>
      <c r="HDX80" s="247" t="str">
        <f>BS!$E$5</f>
        <v>31 March 2025</v>
      </c>
      <c r="HDY80" s="1717"/>
      <c r="HDZ80" s="1718"/>
      <c r="HEA80" s="1718"/>
      <c r="HEB80" s="1718"/>
      <c r="HEC80" s="1718"/>
      <c r="HED80" s="246"/>
      <c r="HEE80" s="246" t="str">
        <f>BS!$D$5</f>
        <v>31 March 2026</v>
      </c>
      <c r="HEF80" s="247" t="str">
        <f>BS!$E$5</f>
        <v>31 March 2025</v>
      </c>
      <c r="HEG80" s="1717"/>
      <c r="HEH80" s="1718"/>
      <c r="HEI80" s="1718"/>
      <c r="HEJ80" s="1718"/>
      <c r="HEK80" s="1718"/>
      <c r="HEL80" s="246"/>
      <c r="HEM80" s="246" t="str">
        <f>BS!$D$5</f>
        <v>31 March 2026</v>
      </c>
      <c r="HEN80" s="247" t="str">
        <f>BS!$E$5</f>
        <v>31 March 2025</v>
      </c>
      <c r="HEO80" s="1717"/>
      <c r="HEP80" s="1718"/>
      <c r="HEQ80" s="1718"/>
      <c r="HER80" s="1718"/>
      <c r="HES80" s="1718"/>
      <c r="HET80" s="246"/>
      <c r="HEU80" s="246" t="str">
        <f>BS!$D$5</f>
        <v>31 March 2026</v>
      </c>
      <c r="HEV80" s="247" t="str">
        <f>BS!$E$5</f>
        <v>31 March 2025</v>
      </c>
      <c r="HEW80" s="1717"/>
      <c r="HEX80" s="1718"/>
      <c r="HEY80" s="1718"/>
      <c r="HEZ80" s="1718"/>
      <c r="HFA80" s="1718"/>
      <c r="HFB80" s="246"/>
      <c r="HFC80" s="246" t="str">
        <f>BS!$D$5</f>
        <v>31 March 2026</v>
      </c>
      <c r="HFD80" s="247" t="str">
        <f>BS!$E$5</f>
        <v>31 March 2025</v>
      </c>
      <c r="HFE80" s="1717"/>
      <c r="HFF80" s="1718"/>
      <c r="HFG80" s="1718"/>
      <c r="HFH80" s="1718"/>
      <c r="HFI80" s="1718"/>
      <c r="HFJ80" s="246"/>
      <c r="HFK80" s="246" t="str">
        <f>BS!$D$5</f>
        <v>31 March 2026</v>
      </c>
      <c r="HFL80" s="247" t="str">
        <f>BS!$E$5</f>
        <v>31 March 2025</v>
      </c>
      <c r="HFM80" s="1717"/>
      <c r="HFN80" s="1718"/>
      <c r="HFO80" s="1718"/>
      <c r="HFP80" s="1718"/>
      <c r="HFQ80" s="1718"/>
      <c r="HFR80" s="246"/>
      <c r="HFS80" s="246" t="str">
        <f>BS!$D$5</f>
        <v>31 March 2026</v>
      </c>
      <c r="HFT80" s="247" t="str">
        <f>BS!$E$5</f>
        <v>31 March 2025</v>
      </c>
      <c r="HFU80" s="1717"/>
      <c r="HFV80" s="1718"/>
      <c r="HFW80" s="1718"/>
      <c r="HFX80" s="1718"/>
      <c r="HFY80" s="1718"/>
      <c r="HFZ80" s="246"/>
      <c r="HGA80" s="246" t="str">
        <f>BS!$D$5</f>
        <v>31 March 2026</v>
      </c>
      <c r="HGB80" s="247" t="str">
        <f>BS!$E$5</f>
        <v>31 March 2025</v>
      </c>
      <c r="HGC80" s="1717"/>
      <c r="HGD80" s="1718"/>
      <c r="HGE80" s="1718"/>
      <c r="HGF80" s="1718"/>
      <c r="HGG80" s="1718"/>
      <c r="HGH80" s="246"/>
      <c r="HGI80" s="246" t="str">
        <f>BS!$D$5</f>
        <v>31 March 2026</v>
      </c>
      <c r="HGJ80" s="247" t="str">
        <f>BS!$E$5</f>
        <v>31 March 2025</v>
      </c>
      <c r="HGK80" s="1717"/>
      <c r="HGL80" s="1718"/>
      <c r="HGM80" s="1718"/>
      <c r="HGN80" s="1718"/>
      <c r="HGO80" s="1718"/>
      <c r="HGP80" s="246"/>
      <c r="HGQ80" s="246" t="str">
        <f>BS!$D$5</f>
        <v>31 March 2026</v>
      </c>
      <c r="HGR80" s="247" t="str">
        <f>BS!$E$5</f>
        <v>31 March 2025</v>
      </c>
      <c r="HGS80" s="1717"/>
      <c r="HGT80" s="1718"/>
      <c r="HGU80" s="1718"/>
      <c r="HGV80" s="1718"/>
      <c r="HGW80" s="1718"/>
      <c r="HGX80" s="246"/>
      <c r="HGY80" s="246" t="str">
        <f>BS!$D$5</f>
        <v>31 March 2026</v>
      </c>
      <c r="HGZ80" s="247" t="str">
        <f>BS!$E$5</f>
        <v>31 March 2025</v>
      </c>
      <c r="HHA80" s="1717"/>
      <c r="HHB80" s="1718"/>
      <c r="HHC80" s="1718"/>
      <c r="HHD80" s="1718"/>
      <c r="HHE80" s="1718"/>
      <c r="HHF80" s="246"/>
      <c r="HHG80" s="246" t="str">
        <f>BS!$D$5</f>
        <v>31 March 2026</v>
      </c>
      <c r="HHH80" s="247" t="str">
        <f>BS!$E$5</f>
        <v>31 March 2025</v>
      </c>
      <c r="HHI80" s="1717"/>
      <c r="HHJ80" s="1718"/>
      <c r="HHK80" s="1718"/>
      <c r="HHL80" s="1718"/>
      <c r="HHM80" s="1718"/>
      <c r="HHN80" s="246"/>
      <c r="HHO80" s="246" t="str">
        <f>BS!$D$5</f>
        <v>31 March 2026</v>
      </c>
      <c r="HHP80" s="247" t="str">
        <f>BS!$E$5</f>
        <v>31 March 2025</v>
      </c>
      <c r="HHQ80" s="1717"/>
      <c r="HHR80" s="1718"/>
      <c r="HHS80" s="1718"/>
      <c r="HHT80" s="1718"/>
      <c r="HHU80" s="1718"/>
      <c r="HHV80" s="246"/>
      <c r="HHW80" s="246" t="str">
        <f>BS!$D$5</f>
        <v>31 March 2026</v>
      </c>
      <c r="HHX80" s="247" t="str">
        <f>BS!$E$5</f>
        <v>31 March 2025</v>
      </c>
      <c r="HHY80" s="1717"/>
      <c r="HHZ80" s="1718"/>
      <c r="HIA80" s="1718"/>
      <c r="HIB80" s="1718"/>
      <c r="HIC80" s="1718"/>
      <c r="HID80" s="246"/>
      <c r="HIE80" s="246" t="str">
        <f>BS!$D$5</f>
        <v>31 March 2026</v>
      </c>
      <c r="HIF80" s="247" t="str">
        <f>BS!$E$5</f>
        <v>31 March 2025</v>
      </c>
      <c r="HIG80" s="1717"/>
      <c r="HIH80" s="1718"/>
      <c r="HII80" s="1718"/>
      <c r="HIJ80" s="1718"/>
      <c r="HIK80" s="1718"/>
      <c r="HIL80" s="246"/>
      <c r="HIM80" s="246" t="str">
        <f>BS!$D$5</f>
        <v>31 March 2026</v>
      </c>
      <c r="HIN80" s="247" t="str">
        <f>BS!$E$5</f>
        <v>31 March 2025</v>
      </c>
      <c r="HIO80" s="1717"/>
      <c r="HIP80" s="1718"/>
      <c r="HIQ80" s="1718"/>
      <c r="HIR80" s="1718"/>
      <c r="HIS80" s="1718"/>
      <c r="HIT80" s="246"/>
      <c r="HIU80" s="246" t="str">
        <f>BS!$D$5</f>
        <v>31 March 2026</v>
      </c>
      <c r="HIV80" s="247" t="str">
        <f>BS!$E$5</f>
        <v>31 March 2025</v>
      </c>
      <c r="HIW80" s="1717"/>
      <c r="HIX80" s="1718"/>
      <c r="HIY80" s="1718"/>
      <c r="HIZ80" s="1718"/>
      <c r="HJA80" s="1718"/>
      <c r="HJB80" s="246"/>
      <c r="HJC80" s="246" t="str">
        <f>BS!$D$5</f>
        <v>31 March 2026</v>
      </c>
      <c r="HJD80" s="247" t="str">
        <f>BS!$E$5</f>
        <v>31 March 2025</v>
      </c>
      <c r="HJE80" s="1717"/>
      <c r="HJF80" s="1718"/>
      <c r="HJG80" s="1718"/>
      <c r="HJH80" s="1718"/>
      <c r="HJI80" s="1718"/>
      <c r="HJJ80" s="246"/>
      <c r="HJK80" s="246" t="str">
        <f>BS!$D$5</f>
        <v>31 March 2026</v>
      </c>
      <c r="HJL80" s="247" t="str">
        <f>BS!$E$5</f>
        <v>31 March 2025</v>
      </c>
      <c r="HJM80" s="1717"/>
      <c r="HJN80" s="1718"/>
      <c r="HJO80" s="1718"/>
      <c r="HJP80" s="1718"/>
      <c r="HJQ80" s="1718"/>
      <c r="HJR80" s="246"/>
      <c r="HJS80" s="246" t="str">
        <f>BS!$D$5</f>
        <v>31 March 2026</v>
      </c>
      <c r="HJT80" s="247" t="str">
        <f>BS!$E$5</f>
        <v>31 March 2025</v>
      </c>
      <c r="HJU80" s="1717"/>
      <c r="HJV80" s="1718"/>
      <c r="HJW80" s="1718"/>
      <c r="HJX80" s="1718"/>
      <c r="HJY80" s="1718"/>
      <c r="HJZ80" s="246"/>
      <c r="HKA80" s="246" t="str">
        <f>BS!$D$5</f>
        <v>31 March 2026</v>
      </c>
      <c r="HKB80" s="247" t="str">
        <f>BS!$E$5</f>
        <v>31 March 2025</v>
      </c>
      <c r="HKC80" s="1717"/>
      <c r="HKD80" s="1718"/>
      <c r="HKE80" s="1718"/>
      <c r="HKF80" s="1718"/>
      <c r="HKG80" s="1718"/>
      <c r="HKH80" s="246"/>
      <c r="HKI80" s="246" t="str">
        <f>BS!$D$5</f>
        <v>31 March 2026</v>
      </c>
      <c r="HKJ80" s="247" t="str">
        <f>BS!$E$5</f>
        <v>31 March 2025</v>
      </c>
      <c r="HKK80" s="1717"/>
      <c r="HKL80" s="1718"/>
      <c r="HKM80" s="1718"/>
      <c r="HKN80" s="1718"/>
      <c r="HKO80" s="1718"/>
      <c r="HKP80" s="246"/>
      <c r="HKQ80" s="246" t="str">
        <f>BS!$D$5</f>
        <v>31 March 2026</v>
      </c>
      <c r="HKR80" s="247" t="str">
        <f>BS!$E$5</f>
        <v>31 March 2025</v>
      </c>
      <c r="HKS80" s="1717"/>
      <c r="HKT80" s="1718"/>
      <c r="HKU80" s="1718"/>
      <c r="HKV80" s="1718"/>
      <c r="HKW80" s="1718"/>
      <c r="HKX80" s="246"/>
      <c r="HKY80" s="246" t="str">
        <f>BS!$D$5</f>
        <v>31 March 2026</v>
      </c>
      <c r="HKZ80" s="247" t="str">
        <f>BS!$E$5</f>
        <v>31 March 2025</v>
      </c>
      <c r="HLA80" s="1717"/>
      <c r="HLB80" s="1718"/>
      <c r="HLC80" s="1718"/>
      <c r="HLD80" s="1718"/>
      <c r="HLE80" s="1718"/>
      <c r="HLF80" s="246"/>
      <c r="HLG80" s="246" t="str">
        <f>BS!$D$5</f>
        <v>31 March 2026</v>
      </c>
      <c r="HLH80" s="247" t="str">
        <f>BS!$E$5</f>
        <v>31 March 2025</v>
      </c>
      <c r="HLI80" s="1717"/>
      <c r="HLJ80" s="1718"/>
      <c r="HLK80" s="1718"/>
      <c r="HLL80" s="1718"/>
      <c r="HLM80" s="1718"/>
      <c r="HLN80" s="246"/>
      <c r="HLO80" s="246" t="str">
        <f>BS!$D$5</f>
        <v>31 March 2026</v>
      </c>
      <c r="HLP80" s="247" t="str">
        <f>BS!$E$5</f>
        <v>31 March 2025</v>
      </c>
      <c r="HLQ80" s="1717"/>
      <c r="HLR80" s="1718"/>
      <c r="HLS80" s="1718"/>
      <c r="HLT80" s="1718"/>
      <c r="HLU80" s="1718"/>
      <c r="HLV80" s="246"/>
      <c r="HLW80" s="246" t="str">
        <f>BS!$D$5</f>
        <v>31 March 2026</v>
      </c>
      <c r="HLX80" s="247" t="str">
        <f>BS!$E$5</f>
        <v>31 March 2025</v>
      </c>
      <c r="HLY80" s="1717"/>
      <c r="HLZ80" s="1718"/>
      <c r="HMA80" s="1718"/>
      <c r="HMB80" s="1718"/>
      <c r="HMC80" s="1718"/>
      <c r="HMD80" s="246"/>
      <c r="HME80" s="246" t="str">
        <f>BS!$D$5</f>
        <v>31 March 2026</v>
      </c>
      <c r="HMF80" s="247" t="str">
        <f>BS!$E$5</f>
        <v>31 March 2025</v>
      </c>
      <c r="HMG80" s="1717"/>
      <c r="HMH80" s="1718"/>
      <c r="HMI80" s="1718"/>
      <c r="HMJ80" s="1718"/>
      <c r="HMK80" s="1718"/>
      <c r="HML80" s="246"/>
      <c r="HMM80" s="246" t="str">
        <f>BS!$D$5</f>
        <v>31 March 2026</v>
      </c>
      <c r="HMN80" s="247" t="str">
        <f>BS!$E$5</f>
        <v>31 March 2025</v>
      </c>
      <c r="HMO80" s="1717"/>
      <c r="HMP80" s="1718"/>
      <c r="HMQ80" s="1718"/>
      <c r="HMR80" s="1718"/>
      <c r="HMS80" s="1718"/>
      <c r="HMT80" s="246"/>
      <c r="HMU80" s="246" t="str">
        <f>BS!$D$5</f>
        <v>31 March 2026</v>
      </c>
      <c r="HMV80" s="247" t="str">
        <f>BS!$E$5</f>
        <v>31 March 2025</v>
      </c>
      <c r="HMW80" s="1717"/>
      <c r="HMX80" s="1718"/>
      <c r="HMY80" s="1718"/>
      <c r="HMZ80" s="1718"/>
      <c r="HNA80" s="1718"/>
      <c r="HNB80" s="246"/>
      <c r="HNC80" s="246" t="str">
        <f>BS!$D$5</f>
        <v>31 March 2026</v>
      </c>
      <c r="HND80" s="247" t="str">
        <f>BS!$E$5</f>
        <v>31 March 2025</v>
      </c>
      <c r="HNE80" s="1717"/>
      <c r="HNF80" s="1718"/>
      <c r="HNG80" s="1718"/>
      <c r="HNH80" s="1718"/>
      <c r="HNI80" s="1718"/>
      <c r="HNJ80" s="246"/>
      <c r="HNK80" s="246" t="str">
        <f>BS!$D$5</f>
        <v>31 March 2026</v>
      </c>
      <c r="HNL80" s="247" t="str">
        <f>BS!$E$5</f>
        <v>31 March 2025</v>
      </c>
      <c r="HNM80" s="1717"/>
      <c r="HNN80" s="1718"/>
      <c r="HNO80" s="1718"/>
      <c r="HNP80" s="1718"/>
      <c r="HNQ80" s="1718"/>
      <c r="HNR80" s="246"/>
      <c r="HNS80" s="246" t="str">
        <f>BS!$D$5</f>
        <v>31 March 2026</v>
      </c>
      <c r="HNT80" s="247" t="str">
        <f>BS!$E$5</f>
        <v>31 March 2025</v>
      </c>
      <c r="HNU80" s="1717"/>
      <c r="HNV80" s="1718"/>
      <c r="HNW80" s="1718"/>
      <c r="HNX80" s="1718"/>
      <c r="HNY80" s="1718"/>
      <c r="HNZ80" s="246"/>
      <c r="HOA80" s="246" t="str">
        <f>BS!$D$5</f>
        <v>31 March 2026</v>
      </c>
      <c r="HOB80" s="247" t="str">
        <f>BS!$E$5</f>
        <v>31 March 2025</v>
      </c>
      <c r="HOC80" s="1717"/>
      <c r="HOD80" s="1718"/>
      <c r="HOE80" s="1718"/>
      <c r="HOF80" s="1718"/>
      <c r="HOG80" s="1718"/>
      <c r="HOH80" s="246"/>
      <c r="HOI80" s="246" t="str">
        <f>BS!$D$5</f>
        <v>31 March 2026</v>
      </c>
      <c r="HOJ80" s="247" t="str">
        <f>BS!$E$5</f>
        <v>31 March 2025</v>
      </c>
      <c r="HOK80" s="1717"/>
      <c r="HOL80" s="1718"/>
      <c r="HOM80" s="1718"/>
      <c r="HON80" s="1718"/>
      <c r="HOO80" s="1718"/>
      <c r="HOP80" s="246"/>
      <c r="HOQ80" s="246" t="str">
        <f>BS!$D$5</f>
        <v>31 March 2026</v>
      </c>
      <c r="HOR80" s="247" t="str">
        <f>BS!$E$5</f>
        <v>31 March 2025</v>
      </c>
      <c r="HOS80" s="1717"/>
      <c r="HOT80" s="1718"/>
      <c r="HOU80" s="1718"/>
      <c r="HOV80" s="1718"/>
      <c r="HOW80" s="1718"/>
      <c r="HOX80" s="246"/>
      <c r="HOY80" s="246" t="str">
        <f>BS!$D$5</f>
        <v>31 March 2026</v>
      </c>
      <c r="HOZ80" s="247" t="str">
        <f>BS!$E$5</f>
        <v>31 March 2025</v>
      </c>
      <c r="HPA80" s="1717"/>
      <c r="HPB80" s="1718"/>
      <c r="HPC80" s="1718"/>
      <c r="HPD80" s="1718"/>
      <c r="HPE80" s="1718"/>
      <c r="HPF80" s="246"/>
      <c r="HPG80" s="246" t="str">
        <f>BS!$D$5</f>
        <v>31 March 2026</v>
      </c>
      <c r="HPH80" s="247" t="str">
        <f>BS!$E$5</f>
        <v>31 March 2025</v>
      </c>
      <c r="HPI80" s="1717"/>
      <c r="HPJ80" s="1718"/>
      <c r="HPK80" s="1718"/>
      <c r="HPL80" s="1718"/>
      <c r="HPM80" s="1718"/>
      <c r="HPN80" s="246"/>
      <c r="HPO80" s="246" t="str">
        <f>BS!$D$5</f>
        <v>31 March 2026</v>
      </c>
      <c r="HPP80" s="247" t="str">
        <f>BS!$E$5</f>
        <v>31 March 2025</v>
      </c>
      <c r="HPQ80" s="1717"/>
      <c r="HPR80" s="1718"/>
      <c r="HPS80" s="1718"/>
      <c r="HPT80" s="1718"/>
      <c r="HPU80" s="1718"/>
      <c r="HPV80" s="246"/>
      <c r="HPW80" s="246" t="str">
        <f>BS!$D$5</f>
        <v>31 March 2026</v>
      </c>
      <c r="HPX80" s="247" t="str">
        <f>BS!$E$5</f>
        <v>31 March 2025</v>
      </c>
      <c r="HPY80" s="1717"/>
      <c r="HPZ80" s="1718"/>
      <c r="HQA80" s="1718"/>
      <c r="HQB80" s="1718"/>
      <c r="HQC80" s="1718"/>
      <c r="HQD80" s="246"/>
      <c r="HQE80" s="246" t="str">
        <f>BS!$D$5</f>
        <v>31 March 2026</v>
      </c>
      <c r="HQF80" s="247" t="str">
        <f>BS!$E$5</f>
        <v>31 March 2025</v>
      </c>
      <c r="HQG80" s="1717"/>
      <c r="HQH80" s="1718"/>
      <c r="HQI80" s="1718"/>
      <c r="HQJ80" s="1718"/>
      <c r="HQK80" s="1718"/>
      <c r="HQL80" s="246"/>
      <c r="HQM80" s="246" t="str">
        <f>BS!$D$5</f>
        <v>31 March 2026</v>
      </c>
      <c r="HQN80" s="247" t="str">
        <f>BS!$E$5</f>
        <v>31 March 2025</v>
      </c>
      <c r="HQO80" s="1717"/>
      <c r="HQP80" s="1718"/>
      <c r="HQQ80" s="1718"/>
      <c r="HQR80" s="1718"/>
      <c r="HQS80" s="1718"/>
      <c r="HQT80" s="246"/>
      <c r="HQU80" s="246" t="str">
        <f>BS!$D$5</f>
        <v>31 March 2026</v>
      </c>
      <c r="HQV80" s="247" t="str">
        <f>BS!$E$5</f>
        <v>31 March 2025</v>
      </c>
      <c r="HQW80" s="1717"/>
      <c r="HQX80" s="1718"/>
      <c r="HQY80" s="1718"/>
      <c r="HQZ80" s="1718"/>
      <c r="HRA80" s="1718"/>
      <c r="HRB80" s="246"/>
      <c r="HRC80" s="246" t="str">
        <f>BS!$D$5</f>
        <v>31 March 2026</v>
      </c>
      <c r="HRD80" s="247" t="str">
        <f>BS!$E$5</f>
        <v>31 March 2025</v>
      </c>
      <c r="HRE80" s="1717"/>
      <c r="HRF80" s="1718"/>
      <c r="HRG80" s="1718"/>
      <c r="HRH80" s="1718"/>
      <c r="HRI80" s="1718"/>
      <c r="HRJ80" s="246"/>
      <c r="HRK80" s="246" t="str">
        <f>BS!$D$5</f>
        <v>31 March 2026</v>
      </c>
      <c r="HRL80" s="247" t="str">
        <f>BS!$E$5</f>
        <v>31 March 2025</v>
      </c>
      <c r="HRM80" s="1717"/>
      <c r="HRN80" s="1718"/>
      <c r="HRO80" s="1718"/>
      <c r="HRP80" s="1718"/>
      <c r="HRQ80" s="1718"/>
      <c r="HRR80" s="246"/>
      <c r="HRS80" s="246" t="str">
        <f>BS!$D$5</f>
        <v>31 March 2026</v>
      </c>
      <c r="HRT80" s="247" t="str">
        <f>BS!$E$5</f>
        <v>31 March 2025</v>
      </c>
      <c r="HRU80" s="1717"/>
      <c r="HRV80" s="1718"/>
      <c r="HRW80" s="1718"/>
      <c r="HRX80" s="1718"/>
      <c r="HRY80" s="1718"/>
      <c r="HRZ80" s="246"/>
      <c r="HSA80" s="246" t="str">
        <f>BS!$D$5</f>
        <v>31 March 2026</v>
      </c>
      <c r="HSB80" s="247" t="str">
        <f>BS!$E$5</f>
        <v>31 March 2025</v>
      </c>
      <c r="HSC80" s="1717"/>
      <c r="HSD80" s="1718"/>
      <c r="HSE80" s="1718"/>
      <c r="HSF80" s="1718"/>
      <c r="HSG80" s="1718"/>
      <c r="HSH80" s="246"/>
      <c r="HSI80" s="246" t="str">
        <f>BS!$D$5</f>
        <v>31 March 2026</v>
      </c>
      <c r="HSJ80" s="247" t="str">
        <f>BS!$E$5</f>
        <v>31 March 2025</v>
      </c>
      <c r="HSK80" s="1717"/>
      <c r="HSL80" s="1718"/>
      <c r="HSM80" s="1718"/>
      <c r="HSN80" s="1718"/>
      <c r="HSO80" s="1718"/>
      <c r="HSP80" s="246"/>
      <c r="HSQ80" s="246" t="str">
        <f>BS!$D$5</f>
        <v>31 March 2026</v>
      </c>
      <c r="HSR80" s="247" t="str">
        <f>BS!$E$5</f>
        <v>31 March 2025</v>
      </c>
      <c r="HSS80" s="1717"/>
      <c r="HST80" s="1718"/>
      <c r="HSU80" s="1718"/>
      <c r="HSV80" s="1718"/>
      <c r="HSW80" s="1718"/>
      <c r="HSX80" s="246"/>
      <c r="HSY80" s="246" t="str">
        <f>BS!$D$5</f>
        <v>31 March 2026</v>
      </c>
      <c r="HSZ80" s="247" t="str">
        <f>BS!$E$5</f>
        <v>31 March 2025</v>
      </c>
      <c r="HTA80" s="1717"/>
      <c r="HTB80" s="1718"/>
      <c r="HTC80" s="1718"/>
      <c r="HTD80" s="1718"/>
      <c r="HTE80" s="1718"/>
      <c r="HTF80" s="246"/>
      <c r="HTG80" s="246" t="str">
        <f>BS!$D$5</f>
        <v>31 March 2026</v>
      </c>
      <c r="HTH80" s="247" t="str">
        <f>BS!$E$5</f>
        <v>31 March 2025</v>
      </c>
      <c r="HTI80" s="1717"/>
      <c r="HTJ80" s="1718"/>
      <c r="HTK80" s="1718"/>
      <c r="HTL80" s="1718"/>
      <c r="HTM80" s="1718"/>
      <c r="HTN80" s="246"/>
      <c r="HTO80" s="246" t="str">
        <f>BS!$D$5</f>
        <v>31 March 2026</v>
      </c>
      <c r="HTP80" s="247" t="str">
        <f>BS!$E$5</f>
        <v>31 March 2025</v>
      </c>
      <c r="HTQ80" s="1717"/>
      <c r="HTR80" s="1718"/>
      <c r="HTS80" s="1718"/>
      <c r="HTT80" s="1718"/>
      <c r="HTU80" s="1718"/>
      <c r="HTV80" s="246"/>
      <c r="HTW80" s="246" t="str">
        <f>BS!$D$5</f>
        <v>31 March 2026</v>
      </c>
      <c r="HTX80" s="247" t="str">
        <f>BS!$E$5</f>
        <v>31 March 2025</v>
      </c>
      <c r="HTY80" s="1717"/>
      <c r="HTZ80" s="1718"/>
      <c r="HUA80" s="1718"/>
      <c r="HUB80" s="1718"/>
      <c r="HUC80" s="1718"/>
      <c r="HUD80" s="246"/>
      <c r="HUE80" s="246" t="str">
        <f>BS!$D$5</f>
        <v>31 March 2026</v>
      </c>
      <c r="HUF80" s="247" t="str">
        <f>BS!$E$5</f>
        <v>31 March 2025</v>
      </c>
      <c r="HUG80" s="1717"/>
      <c r="HUH80" s="1718"/>
      <c r="HUI80" s="1718"/>
      <c r="HUJ80" s="1718"/>
      <c r="HUK80" s="1718"/>
      <c r="HUL80" s="246"/>
      <c r="HUM80" s="246" t="str">
        <f>BS!$D$5</f>
        <v>31 March 2026</v>
      </c>
      <c r="HUN80" s="247" t="str">
        <f>BS!$E$5</f>
        <v>31 March 2025</v>
      </c>
      <c r="HUO80" s="1717"/>
      <c r="HUP80" s="1718"/>
      <c r="HUQ80" s="1718"/>
      <c r="HUR80" s="1718"/>
      <c r="HUS80" s="1718"/>
      <c r="HUT80" s="246"/>
      <c r="HUU80" s="246" t="str">
        <f>BS!$D$5</f>
        <v>31 March 2026</v>
      </c>
      <c r="HUV80" s="247" t="str">
        <f>BS!$E$5</f>
        <v>31 March 2025</v>
      </c>
      <c r="HUW80" s="1717"/>
      <c r="HUX80" s="1718"/>
      <c r="HUY80" s="1718"/>
      <c r="HUZ80" s="1718"/>
      <c r="HVA80" s="1718"/>
      <c r="HVB80" s="246"/>
      <c r="HVC80" s="246" t="str">
        <f>BS!$D$5</f>
        <v>31 March 2026</v>
      </c>
      <c r="HVD80" s="247" t="str">
        <f>BS!$E$5</f>
        <v>31 March 2025</v>
      </c>
      <c r="HVE80" s="1717"/>
      <c r="HVF80" s="1718"/>
      <c r="HVG80" s="1718"/>
      <c r="HVH80" s="1718"/>
      <c r="HVI80" s="1718"/>
      <c r="HVJ80" s="246"/>
      <c r="HVK80" s="246" t="str">
        <f>BS!$D$5</f>
        <v>31 March 2026</v>
      </c>
      <c r="HVL80" s="247" t="str">
        <f>BS!$E$5</f>
        <v>31 March 2025</v>
      </c>
      <c r="HVM80" s="1717"/>
      <c r="HVN80" s="1718"/>
      <c r="HVO80" s="1718"/>
      <c r="HVP80" s="1718"/>
      <c r="HVQ80" s="1718"/>
      <c r="HVR80" s="246"/>
      <c r="HVS80" s="246" t="str">
        <f>BS!$D$5</f>
        <v>31 March 2026</v>
      </c>
      <c r="HVT80" s="247" t="str">
        <f>BS!$E$5</f>
        <v>31 March 2025</v>
      </c>
      <c r="HVU80" s="1717"/>
      <c r="HVV80" s="1718"/>
      <c r="HVW80" s="1718"/>
      <c r="HVX80" s="1718"/>
      <c r="HVY80" s="1718"/>
      <c r="HVZ80" s="246"/>
      <c r="HWA80" s="246" t="str">
        <f>BS!$D$5</f>
        <v>31 March 2026</v>
      </c>
      <c r="HWB80" s="247" t="str">
        <f>BS!$E$5</f>
        <v>31 March 2025</v>
      </c>
      <c r="HWC80" s="1717"/>
      <c r="HWD80" s="1718"/>
      <c r="HWE80" s="1718"/>
      <c r="HWF80" s="1718"/>
      <c r="HWG80" s="1718"/>
      <c r="HWH80" s="246"/>
      <c r="HWI80" s="246" t="str">
        <f>BS!$D$5</f>
        <v>31 March 2026</v>
      </c>
      <c r="HWJ80" s="247" t="str">
        <f>BS!$E$5</f>
        <v>31 March 2025</v>
      </c>
      <c r="HWK80" s="1717"/>
      <c r="HWL80" s="1718"/>
      <c r="HWM80" s="1718"/>
      <c r="HWN80" s="1718"/>
      <c r="HWO80" s="1718"/>
      <c r="HWP80" s="246"/>
      <c r="HWQ80" s="246" t="str">
        <f>BS!$D$5</f>
        <v>31 March 2026</v>
      </c>
      <c r="HWR80" s="247" t="str">
        <f>BS!$E$5</f>
        <v>31 March 2025</v>
      </c>
      <c r="HWS80" s="1717"/>
      <c r="HWT80" s="1718"/>
      <c r="HWU80" s="1718"/>
      <c r="HWV80" s="1718"/>
      <c r="HWW80" s="1718"/>
      <c r="HWX80" s="246"/>
      <c r="HWY80" s="246" t="str">
        <f>BS!$D$5</f>
        <v>31 March 2026</v>
      </c>
      <c r="HWZ80" s="247" t="str">
        <f>BS!$E$5</f>
        <v>31 March 2025</v>
      </c>
      <c r="HXA80" s="1717"/>
      <c r="HXB80" s="1718"/>
      <c r="HXC80" s="1718"/>
      <c r="HXD80" s="1718"/>
      <c r="HXE80" s="1718"/>
      <c r="HXF80" s="246"/>
      <c r="HXG80" s="246" t="str">
        <f>BS!$D$5</f>
        <v>31 March 2026</v>
      </c>
      <c r="HXH80" s="247" t="str">
        <f>BS!$E$5</f>
        <v>31 March 2025</v>
      </c>
      <c r="HXI80" s="1717"/>
      <c r="HXJ80" s="1718"/>
      <c r="HXK80" s="1718"/>
      <c r="HXL80" s="1718"/>
      <c r="HXM80" s="1718"/>
      <c r="HXN80" s="246"/>
      <c r="HXO80" s="246" t="str">
        <f>BS!$D$5</f>
        <v>31 March 2026</v>
      </c>
      <c r="HXP80" s="247" t="str">
        <f>BS!$E$5</f>
        <v>31 March 2025</v>
      </c>
      <c r="HXQ80" s="1717"/>
      <c r="HXR80" s="1718"/>
      <c r="HXS80" s="1718"/>
      <c r="HXT80" s="1718"/>
      <c r="HXU80" s="1718"/>
      <c r="HXV80" s="246"/>
      <c r="HXW80" s="246" t="str">
        <f>BS!$D$5</f>
        <v>31 March 2026</v>
      </c>
      <c r="HXX80" s="247" t="str">
        <f>BS!$E$5</f>
        <v>31 March 2025</v>
      </c>
      <c r="HXY80" s="1717"/>
      <c r="HXZ80" s="1718"/>
      <c r="HYA80" s="1718"/>
      <c r="HYB80" s="1718"/>
      <c r="HYC80" s="1718"/>
      <c r="HYD80" s="246"/>
      <c r="HYE80" s="246" t="str">
        <f>BS!$D$5</f>
        <v>31 March 2026</v>
      </c>
      <c r="HYF80" s="247" t="str">
        <f>BS!$E$5</f>
        <v>31 March 2025</v>
      </c>
      <c r="HYG80" s="1717"/>
      <c r="HYH80" s="1718"/>
      <c r="HYI80" s="1718"/>
      <c r="HYJ80" s="1718"/>
      <c r="HYK80" s="1718"/>
      <c r="HYL80" s="246"/>
      <c r="HYM80" s="246" t="str">
        <f>BS!$D$5</f>
        <v>31 March 2026</v>
      </c>
      <c r="HYN80" s="247" t="str">
        <f>BS!$E$5</f>
        <v>31 March 2025</v>
      </c>
      <c r="HYO80" s="1717"/>
      <c r="HYP80" s="1718"/>
      <c r="HYQ80" s="1718"/>
      <c r="HYR80" s="1718"/>
      <c r="HYS80" s="1718"/>
      <c r="HYT80" s="246"/>
      <c r="HYU80" s="246" t="str">
        <f>BS!$D$5</f>
        <v>31 March 2026</v>
      </c>
      <c r="HYV80" s="247" t="str">
        <f>BS!$E$5</f>
        <v>31 March 2025</v>
      </c>
      <c r="HYW80" s="1717"/>
      <c r="HYX80" s="1718"/>
      <c r="HYY80" s="1718"/>
      <c r="HYZ80" s="1718"/>
      <c r="HZA80" s="1718"/>
      <c r="HZB80" s="246"/>
      <c r="HZC80" s="246" t="str">
        <f>BS!$D$5</f>
        <v>31 March 2026</v>
      </c>
      <c r="HZD80" s="247" t="str">
        <f>BS!$E$5</f>
        <v>31 March 2025</v>
      </c>
      <c r="HZE80" s="1717"/>
      <c r="HZF80" s="1718"/>
      <c r="HZG80" s="1718"/>
      <c r="HZH80" s="1718"/>
      <c r="HZI80" s="1718"/>
      <c r="HZJ80" s="246"/>
      <c r="HZK80" s="246" t="str">
        <f>BS!$D$5</f>
        <v>31 March 2026</v>
      </c>
      <c r="HZL80" s="247" t="str">
        <f>BS!$E$5</f>
        <v>31 March 2025</v>
      </c>
      <c r="HZM80" s="1717"/>
      <c r="HZN80" s="1718"/>
      <c r="HZO80" s="1718"/>
      <c r="HZP80" s="1718"/>
      <c r="HZQ80" s="1718"/>
      <c r="HZR80" s="246"/>
      <c r="HZS80" s="246" t="str">
        <f>BS!$D$5</f>
        <v>31 March 2026</v>
      </c>
      <c r="HZT80" s="247" t="str">
        <f>BS!$E$5</f>
        <v>31 March 2025</v>
      </c>
      <c r="HZU80" s="1717"/>
      <c r="HZV80" s="1718"/>
      <c r="HZW80" s="1718"/>
      <c r="HZX80" s="1718"/>
      <c r="HZY80" s="1718"/>
      <c r="HZZ80" s="246"/>
      <c r="IAA80" s="246" t="str">
        <f>BS!$D$5</f>
        <v>31 March 2026</v>
      </c>
      <c r="IAB80" s="247" t="str">
        <f>BS!$E$5</f>
        <v>31 March 2025</v>
      </c>
      <c r="IAC80" s="1717"/>
      <c r="IAD80" s="1718"/>
      <c r="IAE80" s="1718"/>
      <c r="IAF80" s="1718"/>
      <c r="IAG80" s="1718"/>
      <c r="IAH80" s="246"/>
      <c r="IAI80" s="246" t="str">
        <f>BS!$D$5</f>
        <v>31 March 2026</v>
      </c>
      <c r="IAJ80" s="247" t="str">
        <f>BS!$E$5</f>
        <v>31 March 2025</v>
      </c>
      <c r="IAK80" s="1717"/>
      <c r="IAL80" s="1718"/>
      <c r="IAM80" s="1718"/>
      <c r="IAN80" s="1718"/>
      <c r="IAO80" s="1718"/>
      <c r="IAP80" s="246"/>
      <c r="IAQ80" s="246" t="str">
        <f>BS!$D$5</f>
        <v>31 March 2026</v>
      </c>
      <c r="IAR80" s="247" t="str">
        <f>BS!$E$5</f>
        <v>31 March 2025</v>
      </c>
      <c r="IAS80" s="1717"/>
      <c r="IAT80" s="1718"/>
      <c r="IAU80" s="1718"/>
      <c r="IAV80" s="1718"/>
      <c r="IAW80" s="1718"/>
      <c r="IAX80" s="246"/>
      <c r="IAY80" s="246" t="str">
        <f>BS!$D$5</f>
        <v>31 March 2026</v>
      </c>
      <c r="IAZ80" s="247" t="str">
        <f>BS!$E$5</f>
        <v>31 March 2025</v>
      </c>
      <c r="IBA80" s="1717"/>
      <c r="IBB80" s="1718"/>
      <c r="IBC80" s="1718"/>
      <c r="IBD80" s="1718"/>
      <c r="IBE80" s="1718"/>
      <c r="IBF80" s="246"/>
      <c r="IBG80" s="246" t="str">
        <f>BS!$D$5</f>
        <v>31 March 2026</v>
      </c>
      <c r="IBH80" s="247" t="str">
        <f>BS!$E$5</f>
        <v>31 March 2025</v>
      </c>
      <c r="IBI80" s="1717"/>
      <c r="IBJ80" s="1718"/>
      <c r="IBK80" s="1718"/>
      <c r="IBL80" s="1718"/>
      <c r="IBM80" s="1718"/>
      <c r="IBN80" s="246"/>
      <c r="IBO80" s="246" t="str">
        <f>BS!$D$5</f>
        <v>31 March 2026</v>
      </c>
      <c r="IBP80" s="247" t="str">
        <f>BS!$E$5</f>
        <v>31 March 2025</v>
      </c>
      <c r="IBQ80" s="1717"/>
      <c r="IBR80" s="1718"/>
      <c r="IBS80" s="1718"/>
      <c r="IBT80" s="1718"/>
      <c r="IBU80" s="1718"/>
      <c r="IBV80" s="246"/>
      <c r="IBW80" s="246" t="str">
        <f>BS!$D$5</f>
        <v>31 March 2026</v>
      </c>
      <c r="IBX80" s="247" t="str">
        <f>BS!$E$5</f>
        <v>31 March 2025</v>
      </c>
      <c r="IBY80" s="1717"/>
      <c r="IBZ80" s="1718"/>
      <c r="ICA80" s="1718"/>
      <c r="ICB80" s="1718"/>
      <c r="ICC80" s="1718"/>
      <c r="ICD80" s="246"/>
      <c r="ICE80" s="246" t="str">
        <f>BS!$D$5</f>
        <v>31 March 2026</v>
      </c>
      <c r="ICF80" s="247" t="str">
        <f>BS!$E$5</f>
        <v>31 March 2025</v>
      </c>
      <c r="ICG80" s="1717"/>
      <c r="ICH80" s="1718"/>
      <c r="ICI80" s="1718"/>
      <c r="ICJ80" s="1718"/>
      <c r="ICK80" s="1718"/>
      <c r="ICL80" s="246"/>
      <c r="ICM80" s="246" t="str">
        <f>BS!$D$5</f>
        <v>31 March 2026</v>
      </c>
      <c r="ICN80" s="247" t="str">
        <f>BS!$E$5</f>
        <v>31 March 2025</v>
      </c>
      <c r="ICO80" s="1717"/>
      <c r="ICP80" s="1718"/>
      <c r="ICQ80" s="1718"/>
      <c r="ICR80" s="1718"/>
      <c r="ICS80" s="1718"/>
      <c r="ICT80" s="246"/>
      <c r="ICU80" s="246" t="str">
        <f>BS!$D$5</f>
        <v>31 March 2026</v>
      </c>
      <c r="ICV80" s="247" t="str">
        <f>BS!$E$5</f>
        <v>31 March 2025</v>
      </c>
      <c r="ICW80" s="1717"/>
      <c r="ICX80" s="1718"/>
      <c r="ICY80" s="1718"/>
      <c r="ICZ80" s="1718"/>
      <c r="IDA80" s="1718"/>
      <c r="IDB80" s="246"/>
      <c r="IDC80" s="246" t="str">
        <f>BS!$D$5</f>
        <v>31 March 2026</v>
      </c>
      <c r="IDD80" s="247" t="str">
        <f>BS!$E$5</f>
        <v>31 March 2025</v>
      </c>
      <c r="IDE80" s="1717"/>
      <c r="IDF80" s="1718"/>
      <c r="IDG80" s="1718"/>
      <c r="IDH80" s="1718"/>
      <c r="IDI80" s="1718"/>
      <c r="IDJ80" s="246"/>
      <c r="IDK80" s="246" t="str">
        <f>BS!$D$5</f>
        <v>31 March 2026</v>
      </c>
      <c r="IDL80" s="247" t="str">
        <f>BS!$E$5</f>
        <v>31 March 2025</v>
      </c>
      <c r="IDM80" s="1717"/>
      <c r="IDN80" s="1718"/>
      <c r="IDO80" s="1718"/>
      <c r="IDP80" s="1718"/>
      <c r="IDQ80" s="1718"/>
      <c r="IDR80" s="246"/>
      <c r="IDS80" s="246" t="str">
        <f>BS!$D$5</f>
        <v>31 March 2026</v>
      </c>
      <c r="IDT80" s="247" t="str">
        <f>BS!$E$5</f>
        <v>31 March 2025</v>
      </c>
      <c r="IDU80" s="1717"/>
      <c r="IDV80" s="1718"/>
      <c r="IDW80" s="1718"/>
      <c r="IDX80" s="1718"/>
      <c r="IDY80" s="1718"/>
      <c r="IDZ80" s="246"/>
      <c r="IEA80" s="246" t="str">
        <f>BS!$D$5</f>
        <v>31 March 2026</v>
      </c>
      <c r="IEB80" s="247" t="str">
        <f>BS!$E$5</f>
        <v>31 March 2025</v>
      </c>
      <c r="IEC80" s="1717"/>
      <c r="IED80" s="1718"/>
      <c r="IEE80" s="1718"/>
      <c r="IEF80" s="1718"/>
      <c r="IEG80" s="1718"/>
      <c r="IEH80" s="246"/>
      <c r="IEI80" s="246" t="str">
        <f>BS!$D$5</f>
        <v>31 March 2026</v>
      </c>
      <c r="IEJ80" s="247" t="str">
        <f>BS!$E$5</f>
        <v>31 March 2025</v>
      </c>
      <c r="IEK80" s="1717"/>
      <c r="IEL80" s="1718"/>
      <c r="IEM80" s="1718"/>
      <c r="IEN80" s="1718"/>
      <c r="IEO80" s="1718"/>
      <c r="IEP80" s="246"/>
      <c r="IEQ80" s="246" t="str">
        <f>BS!$D$5</f>
        <v>31 March 2026</v>
      </c>
      <c r="IER80" s="247" t="str">
        <f>BS!$E$5</f>
        <v>31 March 2025</v>
      </c>
      <c r="IES80" s="1717"/>
      <c r="IET80" s="1718"/>
      <c r="IEU80" s="1718"/>
      <c r="IEV80" s="1718"/>
      <c r="IEW80" s="1718"/>
      <c r="IEX80" s="246"/>
      <c r="IEY80" s="246" t="str">
        <f>BS!$D$5</f>
        <v>31 March 2026</v>
      </c>
      <c r="IEZ80" s="247" t="str">
        <f>BS!$E$5</f>
        <v>31 March 2025</v>
      </c>
      <c r="IFA80" s="1717"/>
      <c r="IFB80" s="1718"/>
      <c r="IFC80" s="1718"/>
      <c r="IFD80" s="1718"/>
      <c r="IFE80" s="1718"/>
      <c r="IFF80" s="246"/>
      <c r="IFG80" s="246" t="str">
        <f>BS!$D$5</f>
        <v>31 March 2026</v>
      </c>
      <c r="IFH80" s="247" t="str">
        <f>BS!$E$5</f>
        <v>31 March 2025</v>
      </c>
      <c r="IFI80" s="1717"/>
      <c r="IFJ80" s="1718"/>
      <c r="IFK80" s="1718"/>
      <c r="IFL80" s="1718"/>
      <c r="IFM80" s="1718"/>
      <c r="IFN80" s="246"/>
      <c r="IFO80" s="246" t="str">
        <f>BS!$D$5</f>
        <v>31 March 2026</v>
      </c>
      <c r="IFP80" s="247" t="str">
        <f>BS!$E$5</f>
        <v>31 March 2025</v>
      </c>
      <c r="IFQ80" s="1717"/>
      <c r="IFR80" s="1718"/>
      <c r="IFS80" s="1718"/>
      <c r="IFT80" s="1718"/>
      <c r="IFU80" s="1718"/>
      <c r="IFV80" s="246"/>
      <c r="IFW80" s="246" t="str">
        <f>BS!$D$5</f>
        <v>31 March 2026</v>
      </c>
      <c r="IFX80" s="247" t="str">
        <f>BS!$E$5</f>
        <v>31 March 2025</v>
      </c>
      <c r="IFY80" s="1717"/>
      <c r="IFZ80" s="1718"/>
      <c r="IGA80" s="1718"/>
      <c r="IGB80" s="1718"/>
      <c r="IGC80" s="1718"/>
      <c r="IGD80" s="246"/>
      <c r="IGE80" s="246" t="str">
        <f>BS!$D$5</f>
        <v>31 March 2026</v>
      </c>
      <c r="IGF80" s="247" t="str">
        <f>BS!$E$5</f>
        <v>31 March 2025</v>
      </c>
      <c r="IGG80" s="1717"/>
      <c r="IGH80" s="1718"/>
      <c r="IGI80" s="1718"/>
      <c r="IGJ80" s="1718"/>
      <c r="IGK80" s="1718"/>
      <c r="IGL80" s="246"/>
      <c r="IGM80" s="246" t="str">
        <f>BS!$D$5</f>
        <v>31 March 2026</v>
      </c>
      <c r="IGN80" s="247" t="str">
        <f>BS!$E$5</f>
        <v>31 March 2025</v>
      </c>
      <c r="IGO80" s="1717"/>
      <c r="IGP80" s="1718"/>
      <c r="IGQ80" s="1718"/>
      <c r="IGR80" s="1718"/>
      <c r="IGS80" s="1718"/>
      <c r="IGT80" s="246"/>
      <c r="IGU80" s="246" t="str">
        <f>BS!$D$5</f>
        <v>31 March 2026</v>
      </c>
      <c r="IGV80" s="247" t="str">
        <f>BS!$E$5</f>
        <v>31 March 2025</v>
      </c>
      <c r="IGW80" s="1717"/>
      <c r="IGX80" s="1718"/>
      <c r="IGY80" s="1718"/>
      <c r="IGZ80" s="1718"/>
      <c r="IHA80" s="1718"/>
      <c r="IHB80" s="246"/>
      <c r="IHC80" s="246" t="str">
        <f>BS!$D$5</f>
        <v>31 March 2026</v>
      </c>
      <c r="IHD80" s="247" t="str">
        <f>BS!$E$5</f>
        <v>31 March 2025</v>
      </c>
      <c r="IHE80" s="1717"/>
      <c r="IHF80" s="1718"/>
      <c r="IHG80" s="1718"/>
      <c r="IHH80" s="1718"/>
      <c r="IHI80" s="1718"/>
      <c r="IHJ80" s="246"/>
      <c r="IHK80" s="246" t="str">
        <f>BS!$D$5</f>
        <v>31 March 2026</v>
      </c>
      <c r="IHL80" s="247" t="str">
        <f>BS!$E$5</f>
        <v>31 March 2025</v>
      </c>
      <c r="IHM80" s="1717"/>
      <c r="IHN80" s="1718"/>
      <c r="IHO80" s="1718"/>
      <c r="IHP80" s="1718"/>
      <c r="IHQ80" s="1718"/>
      <c r="IHR80" s="246"/>
      <c r="IHS80" s="246" t="str">
        <f>BS!$D$5</f>
        <v>31 March 2026</v>
      </c>
      <c r="IHT80" s="247" t="str">
        <f>BS!$E$5</f>
        <v>31 March 2025</v>
      </c>
      <c r="IHU80" s="1717"/>
      <c r="IHV80" s="1718"/>
      <c r="IHW80" s="1718"/>
      <c r="IHX80" s="1718"/>
      <c r="IHY80" s="1718"/>
      <c r="IHZ80" s="246"/>
      <c r="IIA80" s="246" t="str">
        <f>BS!$D$5</f>
        <v>31 March 2026</v>
      </c>
      <c r="IIB80" s="247" t="str">
        <f>BS!$E$5</f>
        <v>31 March 2025</v>
      </c>
      <c r="IIC80" s="1717"/>
      <c r="IID80" s="1718"/>
      <c r="IIE80" s="1718"/>
      <c r="IIF80" s="1718"/>
      <c r="IIG80" s="1718"/>
      <c r="IIH80" s="246"/>
      <c r="III80" s="246" t="str">
        <f>BS!$D$5</f>
        <v>31 March 2026</v>
      </c>
      <c r="IIJ80" s="247" t="str">
        <f>BS!$E$5</f>
        <v>31 March 2025</v>
      </c>
      <c r="IIK80" s="1717"/>
      <c r="IIL80" s="1718"/>
      <c r="IIM80" s="1718"/>
      <c r="IIN80" s="1718"/>
      <c r="IIO80" s="1718"/>
      <c r="IIP80" s="246"/>
      <c r="IIQ80" s="246" t="str">
        <f>BS!$D$5</f>
        <v>31 March 2026</v>
      </c>
      <c r="IIR80" s="247" t="str">
        <f>BS!$E$5</f>
        <v>31 March 2025</v>
      </c>
      <c r="IIS80" s="1717"/>
      <c r="IIT80" s="1718"/>
      <c r="IIU80" s="1718"/>
      <c r="IIV80" s="1718"/>
      <c r="IIW80" s="1718"/>
      <c r="IIX80" s="246"/>
      <c r="IIY80" s="246" t="str">
        <f>BS!$D$5</f>
        <v>31 March 2026</v>
      </c>
      <c r="IIZ80" s="247" t="str">
        <f>BS!$E$5</f>
        <v>31 March 2025</v>
      </c>
      <c r="IJA80" s="1717"/>
      <c r="IJB80" s="1718"/>
      <c r="IJC80" s="1718"/>
      <c r="IJD80" s="1718"/>
      <c r="IJE80" s="1718"/>
      <c r="IJF80" s="246"/>
      <c r="IJG80" s="246" t="str">
        <f>BS!$D$5</f>
        <v>31 March 2026</v>
      </c>
      <c r="IJH80" s="247" t="str">
        <f>BS!$E$5</f>
        <v>31 March 2025</v>
      </c>
      <c r="IJI80" s="1717"/>
      <c r="IJJ80" s="1718"/>
      <c r="IJK80" s="1718"/>
      <c r="IJL80" s="1718"/>
      <c r="IJM80" s="1718"/>
      <c r="IJN80" s="246"/>
      <c r="IJO80" s="246" t="str">
        <f>BS!$D$5</f>
        <v>31 March 2026</v>
      </c>
      <c r="IJP80" s="247" t="str">
        <f>BS!$E$5</f>
        <v>31 March 2025</v>
      </c>
      <c r="IJQ80" s="1717"/>
      <c r="IJR80" s="1718"/>
      <c r="IJS80" s="1718"/>
      <c r="IJT80" s="1718"/>
      <c r="IJU80" s="1718"/>
      <c r="IJV80" s="246"/>
      <c r="IJW80" s="246" t="str">
        <f>BS!$D$5</f>
        <v>31 March 2026</v>
      </c>
      <c r="IJX80" s="247" t="str">
        <f>BS!$E$5</f>
        <v>31 March 2025</v>
      </c>
      <c r="IJY80" s="1717"/>
      <c r="IJZ80" s="1718"/>
      <c r="IKA80" s="1718"/>
      <c r="IKB80" s="1718"/>
      <c r="IKC80" s="1718"/>
      <c r="IKD80" s="246"/>
      <c r="IKE80" s="246" t="str">
        <f>BS!$D$5</f>
        <v>31 March 2026</v>
      </c>
      <c r="IKF80" s="247" t="str">
        <f>BS!$E$5</f>
        <v>31 March 2025</v>
      </c>
      <c r="IKG80" s="1717"/>
      <c r="IKH80" s="1718"/>
      <c r="IKI80" s="1718"/>
      <c r="IKJ80" s="1718"/>
      <c r="IKK80" s="1718"/>
      <c r="IKL80" s="246"/>
      <c r="IKM80" s="246" t="str">
        <f>BS!$D$5</f>
        <v>31 March 2026</v>
      </c>
      <c r="IKN80" s="247" t="str">
        <f>BS!$E$5</f>
        <v>31 March 2025</v>
      </c>
      <c r="IKO80" s="1717"/>
      <c r="IKP80" s="1718"/>
      <c r="IKQ80" s="1718"/>
      <c r="IKR80" s="1718"/>
      <c r="IKS80" s="1718"/>
      <c r="IKT80" s="246"/>
      <c r="IKU80" s="246" t="str">
        <f>BS!$D$5</f>
        <v>31 March 2026</v>
      </c>
      <c r="IKV80" s="247" t="str">
        <f>BS!$E$5</f>
        <v>31 March 2025</v>
      </c>
      <c r="IKW80" s="1717"/>
      <c r="IKX80" s="1718"/>
      <c r="IKY80" s="1718"/>
      <c r="IKZ80" s="1718"/>
      <c r="ILA80" s="1718"/>
      <c r="ILB80" s="246"/>
      <c r="ILC80" s="246" t="str">
        <f>BS!$D$5</f>
        <v>31 March 2026</v>
      </c>
      <c r="ILD80" s="247" t="str">
        <f>BS!$E$5</f>
        <v>31 March 2025</v>
      </c>
      <c r="ILE80" s="1717"/>
      <c r="ILF80" s="1718"/>
      <c r="ILG80" s="1718"/>
      <c r="ILH80" s="1718"/>
      <c r="ILI80" s="1718"/>
      <c r="ILJ80" s="246"/>
      <c r="ILK80" s="246" t="str">
        <f>BS!$D$5</f>
        <v>31 March 2026</v>
      </c>
      <c r="ILL80" s="247" t="str">
        <f>BS!$E$5</f>
        <v>31 March 2025</v>
      </c>
      <c r="ILM80" s="1717"/>
      <c r="ILN80" s="1718"/>
      <c r="ILO80" s="1718"/>
      <c r="ILP80" s="1718"/>
      <c r="ILQ80" s="1718"/>
      <c r="ILR80" s="246"/>
      <c r="ILS80" s="246" t="str">
        <f>BS!$D$5</f>
        <v>31 March 2026</v>
      </c>
      <c r="ILT80" s="247" t="str">
        <f>BS!$E$5</f>
        <v>31 March 2025</v>
      </c>
      <c r="ILU80" s="1717"/>
      <c r="ILV80" s="1718"/>
      <c r="ILW80" s="1718"/>
      <c r="ILX80" s="1718"/>
      <c r="ILY80" s="1718"/>
      <c r="ILZ80" s="246"/>
      <c r="IMA80" s="246" t="str">
        <f>BS!$D$5</f>
        <v>31 March 2026</v>
      </c>
      <c r="IMB80" s="247" t="str">
        <f>BS!$E$5</f>
        <v>31 March 2025</v>
      </c>
      <c r="IMC80" s="1717"/>
      <c r="IMD80" s="1718"/>
      <c r="IME80" s="1718"/>
      <c r="IMF80" s="1718"/>
      <c r="IMG80" s="1718"/>
      <c r="IMH80" s="246"/>
      <c r="IMI80" s="246" t="str">
        <f>BS!$D$5</f>
        <v>31 March 2026</v>
      </c>
      <c r="IMJ80" s="247" t="str">
        <f>BS!$E$5</f>
        <v>31 March 2025</v>
      </c>
      <c r="IMK80" s="1717"/>
      <c r="IML80" s="1718"/>
      <c r="IMM80" s="1718"/>
      <c r="IMN80" s="1718"/>
      <c r="IMO80" s="1718"/>
      <c r="IMP80" s="246"/>
      <c r="IMQ80" s="246" t="str">
        <f>BS!$D$5</f>
        <v>31 March 2026</v>
      </c>
      <c r="IMR80" s="247" t="str">
        <f>BS!$E$5</f>
        <v>31 March 2025</v>
      </c>
      <c r="IMS80" s="1717"/>
      <c r="IMT80" s="1718"/>
      <c r="IMU80" s="1718"/>
      <c r="IMV80" s="1718"/>
      <c r="IMW80" s="1718"/>
      <c r="IMX80" s="246"/>
      <c r="IMY80" s="246" t="str">
        <f>BS!$D$5</f>
        <v>31 March 2026</v>
      </c>
      <c r="IMZ80" s="247" t="str">
        <f>BS!$E$5</f>
        <v>31 March 2025</v>
      </c>
      <c r="INA80" s="1717"/>
      <c r="INB80" s="1718"/>
      <c r="INC80" s="1718"/>
      <c r="IND80" s="1718"/>
      <c r="INE80" s="1718"/>
      <c r="INF80" s="246"/>
      <c r="ING80" s="246" t="str">
        <f>BS!$D$5</f>
        <v>31 March 2026</v>
      </c>
      <c r="INH80" s="247" t="str">
        <f>BS!$E$5</f>
        <v>31 March 2025</v>
      </c>
      <c r="INI80" s="1717"/>
      <c r="INJ80" s="1718"/>
      <c r="INK80" s="1718"/>
      <c r="INL80" s="1718"/>
      <c r="INM80" s="1718"/>
      <c r="INN80" s="246"/>
      <c r="INO80" s="246" t="str">
        <f>BS!$D$5</f>
        <v>31 March 2026</v>
      </c>
      <c r="INP80" s="247" t="str">
        <f>BS!$E$5</f>
        <v>31 March 2025</v>
      </c>
      <c r="INQ80" s="1717"/>
      <c r="INR80" s="1718"/>
      <c r="INS80" s="1718"/>
      <c r="INT80" s="1718"/>
      <c r="INU80" s="1718"/>
      <c r="INV80" s="246"/>
      <c r="INW80" s="246" t="str">
        <f>BS!$D$5</f>
        <v>31 March 2026</v>
      </c>
      <c r="INX80" s="247" t="str">
        <f>BS!$E$5</f>
        <v>31 March 2025</v>
      </c>
      <c r="INY80" s="1717"/>
      <c r="INZ80" s="1718"/>
      <c r="IOA80" s="1718"/>
      <c r="IOB80" s="1718"/>
      <c r="IOC80" s="1718"/>
      <c r="IOD80" s="246"/>
      <c r="IOE80" s="246" t="str">
        <f>BS!$D$5</f>
        <v>31 March 2026</v>
      </c>
      <c r="IOF80" s="247" t="str">
        <f>BS!$E$5</f>
        <v>31 March 2025</v>
      </c>
      <c r="IOG80" s="1717"/>
      <c r="IOH80" s="1718"/>
      <c r="IOI80" s="1718"/>
      <c r="IOJ80" s="1718"/>
      <c r="IOK80" s="1718"/>
      <c r="IOL80" s="246"/>
      <c r="IOM80" s="246" t="str">
        <f>BS!$D$5</f>
        <v>31 March 2026</v>
      </c>
      <c r="ION80" s="247" t="str">
        <f>BS!$E$5</f>
        <v>31 March 2025</v>
      </c>
      <c r="IOO80" s="1717"/>
      <c r="IOP80" s="1718"/>
      <c r="IOQ80" s="1718"/>
      <c r="IOR80" s="1718"/>
      <c r="IOS80" s="1718"/>
      <c r="IOT80" s="246"/>
      <c r="IOU80" s="246" t="str">
        <f>BS!$D$5</f>
        <v>31 March 2026</v>
      </c>
      <c r="IOV80" s="247" t="str">
        <f>BS!$E$5</f>
        <v>31 March 2025</v>
      </c>
      <c r="IOW80" s="1717"/>
      <c r="IOX80" s="1718"/>
      <c r="IOY80" s="1718"/>
      <c r="IOZ80" s="1718"/>
      <c r="IPA80" s="1718"/>
      <c r="IPB80" s="246"/>
      <c r="IPC80" s="246" t="str">
        <f>BS!$D$5</f>
        <v>31 March 2026</v>
      </c>
      <c r="IPD80" s="247" t="str">
        <f>BS!$E$5</f>
        <v>31 March 2025</v>
      </c>
      <c r="IPE80" s="1717"/>
      <c r="IPF80" s="1718"/>
      <c r="IPG80" s="1718"/>
      <c r="IPH80" s="1718"/>
      <c r="IPI80" s="1718"/>
      <c r="IPJ80" s="246"/>
      <c r="IPK80" s="246" t="str">
        <f>BS!$D$5</f>
        <v>31 March 2026</v>
      </c>
      <c r="IPL80" s="247" t="str">
        <f>BS!$E$5</f>
        <v>31 March 2025</v>
      </c>
      <c r="IPM80" s="1717"/>
      <c r="IPN80" s="1718"/>
      <c r="IPO80" s="1718"/>
      <c r="IPP80" s="1718"/>
      <c r="IPQ80" s="1718"/>
      <c r="IPR80" s="246"/>
      <c r="IPS80" s="246" t="str">
        <f>BS!$D$5</f>
        <v>31 March 2026</v>
      </c>
      <c r="IPT80" s="247" t="str">
        <f>BS!$E$5</f>
        <v>31 March 2025</v>
      </c>
      <c r="IPU80" s="1717"/>
      <c r="IPV80" s="1718"/>
      <c r="IPW80" s="1718"/>
      <c r="IPX80" s="1718"/>
      <c r="IPY80" s="1718"/>
      <c r="IPZ80" s="246"/>
      <c r="IQA80" s="246" t="str">
        <f>BS!$D$5</f>
        <v>31 March 2026</v>
      </c>
      <c r="IQB80" s="247" t="str">
        <f>BS!$E$5</f>
        <v>31 March 2025</v>
      </c>
      <c r="IQC80" s="1717"/>
      <c r="IQD80" s="1718"/>
      <c r="IQE80" s="1718"/>
      <c r="IQF80" s="1718"/>
      <c r="IQG80" s="1718"/>
      <c r="IQH80" s="246"/>
      <c r="IQI80" s="246" t="str">
        <f>BS!$D$5</f>
        <v>31 March 2026</v>
      </c>
      <c r="IQJ80" s="247" t="str">
        <f>BS!$E$5</f>
        <v>31 March 2025</v>
      </c>
      <c r="IQK80" s="1717"/>
      <c r="IQL80" s="1718"/>
      <c r="IQM80" s="1718"/>
      <c r="IQN80" s="1718"/>
      <c r="IQO80" s="1718"/>
      <c r="IQP80" s="246"/>
      <c r="IQQ80" s="246" t="str">
        <f>BS!$D$5</f>
        <v>31 March 2026</v>
      </c>
      <c r="IQR80" s="247" t="str">
        <f>BS!$E$5</f>
        <v>31 March 2025</v>
      </c>
      <c r="IQS80" s="1717"/>
      <c r="IQT80" s="1718"/>
      <c r="IQU80" s="1718"/>
      <c r="IQV80" s="1718"/>
      <c r="IQW80" s="1718"/>
      <c r="IQX80" s="246"/>
      <c r="IQY80" s="246" t="str">
        <f>BS!$D$5</f>
        <v>31 March 2026</v>
      </c>
      <c r="IQZ80" s="247" t="str">
        <f>BS!$E$5</f>
        <v>31 March 2025</v>
      </c>
      <c r="IRA80" s="1717"/>
      <c r="IRB80" s="1718"/>
      <c r="IRC80" s="1718"/>
      <c r="IRD80" s="1718"/>
      <c r="IRE80" s="1718"/>
      <c r="IRF80" s="246"/>
      <c r="IRG80" s="246" t="str">
        <f>BS!$D$5</f>
        <v>31 March 2026</v>
      </c>
      <c r="IRH80" s="247" t="str">
        <f>BS!$E$5</f>
        <v>31 March 2025</v>
      </c>
      <c r="IRI80" s="1717"/>
      <c r="IRJ80" s="1718"/>
      <c r="IRK80" s="1718"/>
      <c r="IRL80" s="1718"/>
      <c r="IRM80" s="1718"/>
      <c r="IRN80" s="246"/>
      <c r="IRO80" s="246" t="str">
        <f>BS!$D$5</f>
        <v>31 March 2026</v>
      </c>
      <c r="IRP80" s="247" t="str">
        <f>BS!$E$5</f>
        <v>31 March 2025</v>
      </c>
      <c r="IRQ80" s="1717"/>
      <c r="IRR80" s="1718"/>
      <c r="IRS80" s="1718"/>
      <c r="IRT80" s="1718"/>
      <c r="IRU80" s="1718"/>
      <c r="IRV80" s="246"/>
      <c r="IRW80" s="246" t="str">
        <f>BS!$D$5</f>
        <v>31 March 2026</v>
      </c>
      <c r="IRX80" s="247" t="str">
        <f>BS!$E$5</f>
        <v>31 March 2025</v>
      </c>
      <c r="IRY80" s="1717"/>
      <c r="IRZ80" s="1718"/>
      <c r="ISA80" s="1718"/>
      <c r="ISB80" s="1718"/>
      <c r="ISC80" s="1718"/>
      <c r="ISD80" s="246"/>
      <c r="ISE80" s="246" t="str">
        <f>BS!$D$5</f>
        <v>31 March 2026</v>
      </c>
      <c r="ISF80" s="247" t="str">
        <f>BS!$E$5</f>
        <v>31 March 2025</v>
      </c>
      <c r="ISG80" s="1717"/>
      <c r="ISH80" s="1718"/>
      <c r="ISI80" s="1718"/>
      <c r="ISJ80" s="1718"/>
      <c r="ISK80" s="1718"/>
      <c r="ISL80" s="246"/>
      <c r="ISM80" s="246" t="str">
        <f>BS!$D$5</f>
        <v>31 March 2026</v>
      </c>
      <c r="ISN80" s="247" t="str">
        <f>BS!$E$5</f>
        <v>31 March 2025</v>
      </c>
      <c r="ISO80" s="1717"/>
      <c r="ISP80" s="1718"/>
      <c r="ISQ80" s="1718"/>
      <c r="ISR80" s="1718"/>
      <c r="ISS80" s="1718"/>
      <c r="IST80" s="246"/>
      <c r="ISU80" s="246" t="str">
        <f>BS!$D$5</f>
        <v>31 March 2026</v>
      </c>
      <c r="ISV80" s="247" t="str">
        <f>BS!$E$5</f>
        <v>31 March 2025</v>
      </c>
      <c r="ISW80" s="1717"/>
      <c r="ISX80" s="1718"/>
      <c r="ISY80" s="1718"/>
      <c r="ISZ80" s="1718"/>
      <c r="ITA80" s="1718"/>
      <c r="ITB80" s="246"/>
      <c r="ITC80" s="246" t="str">
        <f>BS!$D$5</f>
        <v>31 March 2026</v>
      </c>
      <c r="ITD80" s="247" t="str">
        <f>BS!$E$5</f>
        <v>31 March 2025</v>
      </c>
      <c r="ITE80" s="1717"/>
      <c r="ITF80" s="1718"/>
      <c r="ITG80" s="1718"/>
      <c r="ITH80" s="1718"/>
      <c r="ITI80" s="1718"/>
      <c r="ITJ80" s="246"/>
      <c r="ITK80" s="246" t="str">
        <f>BS!$D$5</f>
        <v>31 March 2026</v>
      </c>
      <c r="ITL80" s="247" t="str">
        <f>BS!$E$5</f>
        <v>31 March 2025</v>
      </c>
      <c r="ITM80" s="1717"/>
      <c r="ITN80" s="1718"/>
      <c r="ITO80" s="1718"/>
      <c r="ITP80" s="1718"/>
      <c r="ITQ80" s="1718"/>
      <c r="ITR80" s="246"/>
      <c r="ITS80" s="246" t="str">
        <f>BS!$D$5</f>
        <v>31 March 2026</v>
      </c>
      <c r="ITT80" s="247" t="str">
        <f>BS!$E$5</f>
        <v>31 March 2025</v>
      </c>
      <c r="ITU80" s="1717"/>
      <c r="ITV80" s="1718"/>
      <c r="ITW80" s="1718"/>
      <c r="ITX80" s="1718"/>
      <c r="ITY80" s="1718"/>
      <c r="ITZ80" s="246"/>
      <c r="IUA80" s="246" t="str">
        <f>BS!$D$5</f>
        <v>31 March 2026</v>
      </c>
      <c r="IUB80" s="247" t="str">
        <f>BS!$E$5</f>
        <v>31 March 2025</v>
      </c>
      <c r="IUC80" s="1717"/>
      <c r="IUD80" s="1718"/>
      <c r="IUE80" s="1718"/>
      <c r="IUF80" s="1718"/>
      <c r="IUG80" s="1718"/>
      <c r="IUH80" s="246"/>
      <c r="IUI80" s="246" t="str">
        <f>BS!$D$5</f>
        <v>31 March 2026</v>
      </c>
      <c r="IUJ80" s="247" t="str">
        <f>BS!$E$5</f>
        <v>31 March 2025</v>
      </c>
      <c r="IUK80" s="1717"/>
      <c r="IUL80" s="1718"/>
      <c r="IUM80" s="1718"/>
      <c r="IUN80" s="1718"/>
      <c r="IUO80" s="1718"/>
      <c r="IUP80" s="246"/>
      <c r="IUQ80" s="246" t="str">
        <f>BS!$D$5</f>
        <v>31 March 2026</v>
      </c>
      <c r="IUR80" s="247" t="str">
        <f>BS!$E$5</f>
        <v>31 March 2025</v>
      </c>
      <c r="IUS80" s="1717"/>
      <c r="IUT80" s="1718"/>
      <c r="IUU80" s="1718"/>
      <c r="IUV80" s="1718"/>
      <c r="IUW80" s="1718"/>
      <c r="IUX80" s="246"/>
      <c r="IUY80" s="246" t="str">
        <f>BS!$D$5</f>
        <v>31 March 2026</v>
      </c>
      <c r="IUZ80" s="247" t="str">
        <f>BS!$E$5</f>
        <v>31 March 2025</v>
      </c>
      <c r="IVA80" s="1717"/>
      <c r="IVB80" s="1718"/>
      <c r="IVC80" s="1718"/>
      <c r="IVD80" s="1718"/>
      <c r="IVE80" s="1718"/>
      <c r="IVF80" s="246"/>
      <c r="IVG80" s="246" t="str">
        <f>BS!$D$5</f>
        <v>31 March 2026</v>
      </c>
      <c r="IVH80" s="247" t="str">
        <f>BS!$E$5</f>
        <v>31 March 2025</v>
      </c>
      <c r="IVI80" s="1717"/>
      <c r="IVJ80" s="1718"/>
      <c r="IVK80" s="1718"/>
      <c r="IVL80" s="1718"/>
      <c r="IVM80" s="1718"/>
      <c r="IVN80" s="246"/>
      <c r="IVO80" s="246" t="str">
        <f>BS!$D$5</f>
        <v>31 March 2026</v>
      </c>
      <c r="IVP80" s="247" t="str">
        <f>BS!$E$5</f>
        <v>31 March 2025</v>
      </c>
      <c r="IVQ80" s="1717"/>
      <c r="IVR80" s="1718"/>
      <c r="IVS80" s="1718"/>
      <c r="IVT80" s="1718"/>
      <c r="IVU80" s="1718"/>
      <c r="IVV80" s="246"/>
      <c r="IVW80" s="246" t="str">
        <f>BS!$D$5</f>
        <v>31 March 2026</v>
      </c>
      <c r="IVX80" s="247" t="str">
        <f>BS!$E$5</f>
        <v>31 March 2025</v>
      </c>
      <c r="IVY80" s="1717"/>
      <c r="IVZ80" s="1718"/>
      <c r="IWA80" s="1718"/>
      <c r="IWB80" s="1718"/>
      <c r="IWC80" s="1718"/>
      <c r="IWD80" s="246"/>
      <c r="IWE80" s="246" t="str">
        <f>BS!$D$5</f>
        <v>31 March 2026</v>
      </c>
      <c r="IWF80" s="247" t="str">
        <f>BS!$E$5</f>
        <v>31 March 2025</v>
      </c>
      <c r="IWG80" s="1717"/>
      <c r="IWH80" s="1718"/>
      <c r="IWI80" s="1718"/>
      <c r="IWJ80" s="1718"/>
      <c r="IWK80" s="1718"/>
      <c r="IWL80" s="246"/>
      <c r="IWM80" s="246" t="str">
        <f>BS!$D$5</f>
        <v>31 March 2026</v>
      </c>
      <c r="IWN80" s="247" t="str">
        <f>BS!$E$5</f>
        <v>31 March 2025</v>
      </c>
      <c r="IWO80" s="1717"/>
      <c r="IWP80" s="1718"/>
      <c r="IWQ80" s="1718"/>
      <c r="IWR80" s="1718"/>
      <c r="IWS80" s="1718"/>
      <c r="IWT80" s="246"/>
      <c r="IWU80" s="246" t="str">
        <f>BS!$D$5</f>
        <v>31 March 2026</v>
      </c>
      <c r="IWV80" s="247" t="str">
        <f>BS!$E$5</f>
        <v>31 March 2025</v>
      </c>
      <c r="IWW80" s="1717"/>
      <c r="IWX80" s="1718"/>
      <c r="IWY80" s="1718"/>
      <c r="IWZ80" s="1718"/>
      <c r="IXA80" s="1718"/>
      <c r="IXB80" s="246"/>
      <c r="IXC80" s="246" t="str">
        <f>BS!$D$5</f>
        <v>31 March 2026</v>
      </c>
      <c r="IXD80" s="247" t="str">
        <f>BS!$E$5</f>
        <v>31 March 2025</v>
      </c>
      <c r="IXE80" s="1717"/>
      <c r="IXF80" s="1718"/>
      <c r="IXG80" s="1718"/>
      <c r="IXH80" s="1718"/>
      <c r="IXI80" s="1718"/>
      <c r="IXJ80" s="246"/>
      <c r="IXK80" s="246" t="str">
        <f>BS!$D$5</f>
        <v>31 March 2026</v>
      </c>
      <c r="IXL80" s="247" t="str">
        <f>BS!$E$5</f>
        <v>31 March 2025</v>
      </c>
      <c r="IXM80" s="1717"/>
      <c r="IXN80" s="1718"/>
      <c r="IXO80" s="1718"/>
      <c r="IXP80" s="1718"/>
      <c r="IXQ80" s="1718"/>
      <c r="IXR80" s="246"/>
      <c r="IXS80" s="246" t="str">
        <f>BS!$D$5</f>
        <v>31 March 2026</v>
      </c>
      <c r="IXT80" s="247" t="str">
        <f>BS!$E$5</f>
        <v>31 March 2025</v>
      </c>
      <c r="IXU80" s="1717"/>
      <c r="IXV80" s="1718"/>
      <c r="IXW80" s="1718"/>
      <c r="IXX80" s="1718"/>
      <c r="IXY80" s="1718"/>
      <c r="IXZ80" s="246"/>
      <c r="IYA80" s="246" t="str">
        <f>BS!$D$5</f>
        <v>31 March 2026</v>
      </c>
      <c r="IYB80" s="247" t="str">
        <f>BS!$E$5</f>
        <v>31 March 2025</v>
      </c>
      <c r="IYC80" s="1717"/>
      <c r="IYD80" s="1718"/>
      <c r="IYE80" s="1718"/>
      <c r="IYF80" s="1718"/>
      <c r="IYG80" s="1718"/>
      <c r="IYH80" s="246"/>
      <c r="IYI80" s="246" t="str">
        <f>BS!$D$5</f>
        <v>31 March 2026</v>
      </c>
      <c r="IYJ80" s="247" t="str">
        <f>BS!$E$5</f>
        <v>31 March 2025</v>
      </c>
      <c r="IYK80" s="1717"/>
      <c r="IYL80" s="1718"/>
      <c r="IYM80" s="1718"/>
      <c r="IYN80" s="1718"/>
      <c r="IYO80" s="1718"/>
      <c r="IYP80" s="246"/>
      <c r="IYQ80" s="246" t="str">
        <f>BS!$D$5</f>
        <v>31 March 2026</v>
      </c>
      <c r="IYR80" s="247" t="str">
        <f>BS!$E$5</f>
        <v>31 March 2025</v>
      </c>
      <c r="IYS80" s="1717"/>
      <c r="IYT80" s="1718"/>
      <c r="IYU80" s="1718"/>
      <c r="IYV80" s="1718"/>
      <c r="IYW80" s="1718"/>
      <c r="IYX80" s="246"/>
      <c r="IYY80" s="246" t="str">
        <f>BS!$D$5</f>
        <v>31 March 2026</v>
      </c>
      <c r="IYZ80" s="247" t="str">
        <f>BS!$E$5</f>
        <v>31 March 2025</v>
      </c>
      <c r="IZA80" s="1717"/>
      <c r="IZB80" s="1718"/>
      <c r="IZC80" s="1718"/>
      <c r="IZD80" s="1718"/>
      <c r="IZE80" s="1718"/>
      <c r="IZF80" s="246"/>
      <c r="IZG80" s="246" t="str">
        <f>BS!$D$5</f>
        <v>31 March 2026</v>
      </c>
      <c r="IZH80" s="247" t="str">
        <f>BS!$E$5</f>
        <v>31 March 2025</v>
      </c>
      <c r="IZI80" s="1717"/>
      <c r="IZJ80" s="1718"/>
      <c r="IZK80" s="1718"/>
      <c r="IZL80" s="1718"/>
      <c r="IZM80" s="1718"/>
      <c r="IZN80" s="246"/>
      <c r="IZO80" s="246" t="str">
        <f>BS!$D$5</f>
        <v>31 March 2026</v>
      </c>
      <c r="IZP80" s="247" t="str">
        <f>BS!$E$5</f>
        <v>31 March 2025</v>
      </c>
      <c r="IZQ80" s="1717"/>
      <c r="IZR80" s="1718"/>
      <c r="IZS80" s="1718"/>
      <c r="IZT80" s="1718"/>
      <c r="IZU80" s="1718"/>
      <c r="IZV80" s="246"/>
      <c r="IZW80" s="246" t="str">
        <f>BS!$D$5</f>
        <v>31 March 2026</v>
      </c>
      <c r="IZX80" s="247" t="str">
        <f>BS!$E$5</f>
        <v>31 March 2025</v>
      </c>
      <c r="IZY80" s="1717"/>
      <c r="IZZ80" s="1718"/>
      <c r="JAA80" s="1718"/>
      <c r="JAB80" s="1718"/>
      <c r="JAC80" s="1718"/>
      <c r="JAD80" s="246"/>
      <c r="JAE80" s="246" t="str">
        <f>BS!$D$5</f>
        <v>31 March 2026</v>
      </c>
      <c r="JAF80" s="247" t="str">
        <f>BS!$E$5</f>
        <v>31 March 2025</v>
      </c>
      <c r="JAG80" s="1717"/>
      <c r="JAH80" s="1718"/>
      <c r="JAI80" s="1718"/>
      <c r="JAJ80" s="1718"/>
      <c r="JAK80" s="1718"/>
      <c r="JAL80" s="246"/>
      <c r="JAM80" s="246" t="str">
        <f>BS!$D$5</f>
        <v>31 March 2026</v>
      </c>
      <c r="JAN80" s="247" t="str">
        <f>BS!$E$5</f>
        <v>31 March 2025</v>
      </c>
      <c r="JAO80" s="1717"/>
      <c r="JAP80" s="1718"/>
      <c r="JAQ80" s="1718"/>
      <c r="JAR80" s="1718"/>
      <c r="JAS80" s="1718"/>
      <c r="JAT80" s="246"/>
      <c r="JAU80" s="246" t="str">
        <f>BS!$D$5</f>
        <v>31 March 2026</v>
      </c>
      <c r="JAV80" s="247" t="str">
        <f>BS!$E$5</f>
        <v>31 March 2025</v>
      </c>
      <c r="JAW80" s="1717"/>
      <c r="JAX80" s="1718"/>
      <c r="JAY80" s="1718"/>
      <c r="JAZ80" s="1718"/>
      <c r="JBA80" s="1718"/>
      <c r="JBB80" s="246"/>
      <c r="JBC80" s="246" t="str">
        <f>BS!$D$5</f>
        <v>31 March 2026</v>
      </c>
      <c r="JBD80" s="247" t="str">
        <f>BS!$E$5</f>
        <v>31 March 2025</v>
      </c>
      <c r="JBE80" s="1717"/>
      <c r="JBF80" s="1718"/>
      <c r="JBG80" s="1718"/>
      <c r="JBH80" s="1718"/>
      <c r="JBI80" s="1718"/>
      <c r="JBJ80" s="246"/>
      <c r="JBK80" s="246" t="str">
        <f>BS!$D$5</f>
        <v>31 March 2026</v>
      </c>
      <c r="JBL80" s="247" t="str">
        <f>BS!$E$5</f>
        <v>31 March 2025</v>
      </c>
      <c r="JBM80" s="1717"/>
      <c r="JBN80" s="1718"/>
      <c r="JBO80" s="1718"/>
      <c r="JBP80" s="1718"/>
      <c r="JBQ80" s="1718"/>
      <c r="JBR80" s="246"/>
      <c r="JBS80" s="246" t="str">
        <f>BS!$D$5</f>
        <v>31 March 2026</v>
      </c>
      <c r="JBT80" s="247" t="str">
        <f>BS!$E$5</f>
        <v>31 March 2025</v>
      </c>
      <c r="JBU80" s="1717"/>
      <c r="JBV80" s="1718"/>
      <c r="JBW80" s="1718"/>
      <c r="JBX80" s="1718"/>
      <c r="JBY80" s="1718"/>
      <c r="JBZ80" s="246"/>
      <c r="JCA80" s="246" t="str">
        <f>BS!$D$5</f>
        <v>31 March 2026</v>
      </c>
      <c r="JCB80" s="247" t="str">
        <f>BS!$E$5</f>
        <v>31 March 2025</v>
      </c>
      <c r="JCC80" s="1717"/>
      <c r="JCD80" s="1718"/>
      <c r="JCE80" s="1718"/>
      <c r="JCF80" s="1718"/>
      <c r="JCG80" s="1718"/>
      <c r="JCH80" s="246"/>
      <c r="JCI80" s="246" t="str">
        <f>BS!$D$5</f>
        <v>31 March 2026</v>
      </c>
      <c r="JCJ80" s="247" t="str">
        <f>BS!$E$5</f>
        <v>31 March 2025</v>
      </c>
      <c r="JCK80" s="1717"/>
      <c r="JCL80" s="1718"/>
      <c r="JCM80" s="1718"/>
      <c r="JCN80" s="1718"/>
      <c r="JCO80" s="1718"/>
      <c r="JCP80" s="246"/>
      <c r="JCQ80" s="246" t="str">
        <f>BS!$D$5</f>
        <v>31 March 2026</v>
      </c>
      <c r="JCR80" s="247" t="str">
        <f>BS!$E$5</f>
        <v>31 March 2025</v>
      </c>
      <c r="JCS80" s="1717"/>
      <c r="JCT80" s="1718"/>
      <c r="JCU80" s="1718"/>
      <c r="JCV80" s="1718"/>
      <c r="JCW80" s="1718"/>
      <c r="JCX80" s="246"/>
      <c r="JCY80" s="246" t="str">
        <f>BS!$D$5</f>
        <v>31 March 2026</v>
      </c>
      <c r="JCZ80" s="247" t="str">
        <f>BS!$E$5</f>
        <v>31 March 2025</v>
      </c>
      <c r="JDA80" s="1717"/>
      <c r="JDB80" s="1718"/>
      <c r="JDC80" s="1718"/>
      <c r="JDD80" s="1718"/>
      <c r="JDE80" s="1718"/>
      <c r="JDF80" s="246"/>
      <c r="JDG80" s="246" t="str">
        <f>BS!$D$5</f>
        <v>31 March 2026</v>
      </c>
      <c r="JDH80" s="247" t="str">
        <f>BS!$E$5</f>
        <v>31 March 2025</v>
      </c>
      <c r="JDI80" s="1717"/>
      <c r="JDJ80" s="1718"/>
      <c r="JDK80" s="1718"/>
      <c r="JDL80" s="1718"/>
      <c r="JDM80" s="1718"/>
      <c r="JDN80" s="246"/>
      <c r="JDO80" s="246" t="str">
        <f>BS!$D$5</f>
        <v>31 March 2026</v>
      </c>
      <c r="JDP80" s="247" t="str">
        <f>BS!$E$5</f>
        <v>31 March 2025</v>
      </c>
      <c r="JDQ80" s="1717"/>
      <c r="JDR80" s="1718"/>
      <c r="JDS80" s="1718"/>
      <c r="JDT80" s="1718"/>
      <c r="JDU80" s="1718"/>
      <c r="JDV80" s="246"/>
      <c r="JDW80" s="246" t="str">
        <f>BS!$D$5</f>
        <v>31 March 2026</v>
      </c>
      <c r="JDX80" s="247" t="str">
        <f>BS!$E$5</f>
        <v>31 March 2025</v>
      </c>
      <c r="JDY80" s="1717"/>
      <c r="JDZ80" s="1718"/>
      <c r="JEA80" s="1718"/>
      <c r="JEB80" s="1718"/>
      <c r="JEC80" s="1718"/>
      <c r="JED80" s="246"/>
      <c r="JEE80" s="246" t="str">
        <f>BS!$D$5</f>
        <v>31 March 2026</v>
      </c>
      <c r="JEF80" s="247" t="str">
        <f>BS!$E$5</f>
        <v>31 March 2025</v>
      </c>
      <c r="JEG80" s="1717"/>
      <c r="JEH80" s="1718"/>
      <c r="JEI80" s="1718"/>
      <c r="JEJ80" s="1718"/>
      <c r="JEK80" s="1718"/>
      <c r="JEL80" s="246"/>
      <c r="JEM80" s="246" t="str">
        <f>BS!$D$5</f>
        <v>31 March 2026</v>
      </c>
      <c r="JEN80" s="247" t="str">
        <f>BS!$E$5</f>
        <v>31 March 2025</v>
      </c>
      <c r="JEO80" s="1717"/>
      <c r="JEP80" s="1718"/>
      <c r="JEQ80" s="1718"/>
      <c r="JER80" s="1718"/>
      <c r="JES80" s="1718"/>
      <c r="JET80" s="246"/>
      <c r="JEU80" s="246" t="str">
        <f>BS!$D$5</f>
        <v>31 March 2026</v>
      </c>
      <c r="JEV80" s="247" t="str">
        <f>BS!$E$5</f>
        <v>31 March 2025</v>
      </c>
      <c r="JEW80" s="1717"/>
      <c r="JEX80" s="1718"/>
      <c r="JEY80" s="1718"/>
      <c r="JEZ80" s="1718"/>
      <c r="JFA80" s="1718"/>
      <c r="JFB80" s="246"/>
      <c r="JFC80" s="246" t="str">
        <f>BS!$D$5</f>
        <v>31 March 2026</v>
      </c>
      <c r="JFD80" s="247" t="str">
        <f>BS!$E$5</f>
        <v>31 March 2025</v>
      </c>
      <c r="JFE80" s="1717"/>
      <c r="JFF80" s="1718"/>
      <c r="JFG80" s="1718"/>
      <c r="JFH80" s="1718"/>
      <c r="JFI80" s="1718"/>
      <c r="JFJ80" s="246"/>
      <c r="JFK80" s="246" t="str">
        <f>BS!$D$5</f>
        <v>31 March 2026</v>
      </c>
      <c r="JFL80" s="247" t="str">
        <f>BS!$E$5</f>
        <v>31 March 2025</v>
      </c>
      <c r="JFM80" s="1717"/>
      <c r="JFN80" s="1718"/>
      <c r="JFO80" s="1718"/>
      <c r="JFP80" s="1718"/>
      <c r="JFQ80" s="1718"/>
      <c r="JFR80" s="246"/>
      <c r="JFS80" s="246" t="str">
        <f>BS!$D$5</f>
        <v>31 March 2026</v>
      </c>
      <c r="JFT80" s="247" t="str">
        <f>BS!$E$5</f>
        <v>31 March 2025</v>
      </c>
      <c r="JFU80" s="1717"/>
      <c r="JFV80" s="1718"/>
      <c r="JFW80" s="1718"/>
      <c r="JFX80" s="1718"/>
      <c r="JFY80" s="1718"/>
      <c r="JFZ80" s="246"/>
      <c r="JGA80" s="246" t="str">
        <f>BS!$D$5</f>
        <v>31 March 2026</v>
      </c>
      <c r="JGB80" s="247" t="str">
        <f>BS!$E$5</f>
        <v>31 March 2025</v>
      </c>
      <c r="JGC80" s="1717"/>
      <c r="JGD80" s="1718"/>
      <c r="JGE80" s="1718"/>
      <c r="JGF80" s="1718"/>
      <c r="JGG80" s="1718"/>
      <c r="JGH80" s="246"/>
      <c r="JGI80" s="246" t="str">
        <f>BS!$D$5</f>
        <v>31 March 2026</v>
      </c>
      <c r="JGJ80" s="247" t="str">
        <f>BS!$E$5</f>
        <v>31 March 2025</v>
      </c>
      <c r="JGK80" s="1717"/>
      <c r="JGL80" s="1718"/>
      <c r="JGM80" s="1718"/>
      <c r="JGN80" s="1718"/>
      <c r="JGO80" s="1718"/>
      <c r="JGP80" s="246"/>
      <c r="JGQ80" s="246" t="str">
        <f>BS!$D$5</f>
        <v>31 March 2026</v>
      </c>
      <c r="JGR80" s="247" t="str">
        <f>BS!$E$5</f>
        <v>31 March 2025</v>
      </c>
      <c r="JGS80" s="1717"/>
      <c r="JGT80" s="1718"/>
      <c r="JGU80" s="1718"/>
      <c r="JGV80" s="1718"/>
      <c r="JGW80" s="1718"/>
      <c r="JGX80" s="246"/>
      <c r="JGY80" s="246" t="str">
        <f>BS!$D$5</f>
        <v>31 March 2026</v>
      </c>
      <c r="JGZ80" s="247" t="str">
        <f>BS!$E$5</f>
        <v>31 March 2025</v>
      </c>
      <c r="JHA80" s="1717"/>
      <c r="JHB80" s="1718"/>
      <c r="JHC80" s="1718"/>
      <c r="JHD80" s="1718"/>
      <c r="JHE80" s="1718"/>
      <c r="JHF80" s="246"/>
      <c r="JHG80" s="246" t="str">
        <f>BS!$D$5</f>
        <v>31 March 2026</v>
      </c>
      <c r="JHH80" s="247" t="str">
        <f>BS!$E$5</f>
        <v>31 March 2025</v>
      </c>
      <c r="JHI80" s="1717"/>
      <c r="JHJ80" s="1718"/>
      <c r="JHK80" s="1718"/>
      <c r="JHL80" s="1718"/>
      <c r="JHM80" s="1718"/>
      <c r="JHN80" s="246"/>
      <c r="JHO80" s="246" t="str">
        <f>BS!$D$5</f>
        <v>31 March 2026</v>
      </c>
      <c r="JHP80" s="247" t="str">
        <f>BS!$E$5</f>
        <v>31 March 2025</v>
      </c>
      <c r="JHQ80" s="1717"/>
      <c r="JHR80" s="1718"/>
      <c r="JHS80" s="1718"/>
      <c r="JHT80" s="1718"/>
      <c r="JHU80" s="1718"/>
      <c r="JHV80" s="246"/>
      <c r="JHW80" s="246" t="str">
        <f>BS!$D$5</f>
        <v>31 March 2026</v>
      </c>
      <c r="JHX80" s="247" t="str">
        <f>BS!$E$5</f>
        <v>31 March 2025</v>
      </c>
      <c r="JHY80" s="1717"/>
      <c r="JHZ80" s="1718"/>
      <c r="JIA80" s="1718"/>
      <c r="JIB80" s="1718"/>
      <c r="JIC80" s="1718"/>
      <c r="JID80" s="246"/>
      <c r="JIE80" s="246" t="str">
        <f>BS!$D$5</f>
        <v>31 March 2026</v>
      </c>
      <c r="JIF80" s="247" t="str">
        <f>BS!$E$5</f>
        <v>31 March 2025</v>
      </c>
      <c r="JIG80" s="1717"/>
      <c r="JIH80" s="1718"/>
      <c r="JII80" s="1718"/>
      <c r="JIJ80" s="1718"/>
      <c r="JIK80" s="1718"/>
      <c r="JIL80" s="246"/>
      <c r="JIM80" s="246" t="str">
        <f>BS!$D$5</f>
        <v>31 March 2026</v>
      </c>
      <c r="JIN80" s="247" t="str">
        <f>BS!$E$5</f>
        <v>31 March 2025</v>
      </c>
      <c r="JIO80" s="1717"/>
      <c r="JIP80" s="1718"/>
      <c r="JIQ80" s="1718"/>
      <c r="JIR80" s="1718"/>
      <c r="JIS80" s="1718"/>
      <c r="JIT80" s="246"/>
      <c r="JIU80" s="246" t="str">
        <f>BS!$D$5</f>
        <v>31 March 2026</v>
      </c>
      <c r="JIV80" s="247" t="str">
        <f>BS!$E$5</f>
        <v>31 March 2025</v>
      </c>
      <c r="JIW80" s="1717"/>
      <c r="JIX80" s="1718"/>
      <c r="JIY80" s="1718"/>
      <c r="JIZ80" s="1718"/>
      <c r="JJA80" s="1718"/>
      <c r="JJB80" s="246"/>
      <c r="JJC80" s="246" t="str">
        <f>BS!$D$5</f>
        <v>31 March 2026</v>
      </c>
      <c r="JJD80" s="247" t="str">
        <f>BS!$E$5</f>
        <v>31 March 2025</v>
      </c>
      <c r="JJE80" s="1717"/>
      <c r="JJF80" s="1718"/>
      <c r="JJG80" s="1718"/>
      <c r="JJH80" s="1718"/>
      <c r="JJI80" s="1718"/>
      <c r="JJJ80" s="246"/>
      <c r="JJK80" s="246" t="str">
        <f>BS!$D$5</f>
        <v>31 March 2026</v>
      </c>
      <c r="JJL80" s="247" t="str">
        <f>BS!$E$5</f>
        <v>31 March 2025</v>
      </c>
      <c r="JJM80" s="1717"/>
      <c r="JJN80" s="1718"/>
      <c r="JJO80" s="1718"/>
      <c r="JJP80" s="1718"/>
      <c r="JJQ80" s="1718"/>
      <c r="JJR80" s="246"/>
      <c r="JJS80" s="246" t="str">
        <f>BS!$D$5</f>
        <v>31 March 2026</v>
      </c>
      <c r="JJT80" s="247" t="str">
        <f>BS!$E$5</f>
        <v>31 March 2025</v>
      </c>
      <c r="JJU80" s="1717"/>
      <c r="JJV80" s="1718"/>
      <c r="JJW80" s="1718"/>
      <c r="JJX80" s="1718"/>
      <c r="JJY80" s="1718"/>
      <c r="JJZ80" s="246"/>
      <c r="JKA80" s="246" t="str">
        <f>BS!$D$5</f>
        <v>31 March 2026</v>
      </c>
      <c r="JKB80" s="247" t="str">
        <f>BS!$E$5</f>
        <v>31 March 2025</v>
      </c>
      <c r="JKC80" s="1717"/>
      <c r="JKD80" s="1718"/>
      <c r="JKE80" s="1718"/>
      <c r="JKF80" s="1718"/>
      <c r="JKG80" s="1718"/>
      <c r="JKH80" s="246"/>
      <c r="JKI80" s="246" t="str">
        <f>BS!$D$5</f>
        <v>31 March 2026</v>
      </c>
      <c r="JKJ80" s="247" t="str">
        <f>BS!$E$5</f>
        <v>31 March 2025</v>
      </c>
      <c r="JKK80" s="1717"/>
      <c r="JKL80" s="1718"/>
      <c r="JKM80" s="1718"/>
      <c r="JKN80" s="1718"/>
      <c r="JKO80" s="1718"/>
      <c r="JKP80" s="246"/>
      <c r="JKQ80" s="246" t="str">
        <f>BS!$D$5</f>
        <v>31 March 2026</v>
      </c>
      <c r="JKR80" s="247" t="str">
        <f>BS!$E$5</f>
        <v>31 March 2025</v>
      </c>
      <c r="JKS80" s="1717"/>
      <c r="JKT80" s="1718"/>
      <c r="JKU80" s="1718"/>
      <c r="JKV80" s="1718"/>
      <c r="JKW80" s="1718"/>
      <c r="JKX80" s="246"/>
      <c r="JKY80" s="246" t="str">
        <f>BS!$D$5</f>
        <v>31 March 2026</v>
      </c>
      <c r="JKZ80" s="247" t="str">
        <f>BS!$E$5</f>
        <v>31 March 2025</v>
      </c>
      <c r="JLA80" s="1717"/>
      <c r="JLB80" s="1718"/>
      <c r="JLC80" s="1718"/>
      <c r="JLD80" s="1718"/>
      <c r="JLE80" s="1718"/>
      <c r="JLF80" s="246"/>
      <c r="JLG80" s="246" t="str">
        <f>BS!$D$5</f>
        <v>31 March 2026</v>
      </c>
      <c r="JLH80" s="247" t="str">
        <f>BS!$E$5</f>
        <v>31 March 2025</v>
      </c>
      <c r="JLI80" s="1717"/>
      <c r="JLJ80" s="1718"/>
      <c r="JLK80" s="1718"/>
      <c r="JLL80" s="1718"/>
      <c r="JLM80" s="1718"/>
      <c r="JLN80" s="246"/>
      <c r="JLO80" s="246" t="str">
        <f>BS!$D$5</f>
        <v>31 March 2026</v>
      </c>
      <c r="JLP80" s="247" t="str">
        <f>BS!$E$5</f>
        <v>31 March 2025</v>
      </c>
      <c r="JLQ80" s="1717"/>
      <c r="JLR80" s="1718"/>
      <c r="JLS80" s="1718"/>
      <c r="JLT80" s="1718"/>
      <c r="JLU80" s="1718"/>
      <c r="JLV80" s="246"/>
      <c r="JLW80" s="246" t="str">
        <f>BS!$D$5</f>
        <v>31 March 2026</v>
      </c>
      <c r="JLX80" s="247" t="str">
        <f>BS!$E$5</f>
        <v>31 March 2025</v>
      </c>
      <c r="JLY80" s="1717"/>
      <c r="JLZ80" s="1718"/>
      <c r="JMA80" s="1718"/>
      <c r="JMB80" s="1718"/>
      <c r="JMC80" s="1718"/>
      <c r="JMD80" s="246"/>
      <c r="JME80" s="246" t="str">
        <f>BS!$D$5</f>
        <v>31 March 2026</v>
      </c>
      <c r="JMF80" s="247" t="str">
        <f>BS!$E$5</f>
        <v>31 March 2025</v>
      </c>
      <c r="JMG80" s="1717"/>
      <c r="JMH80" s="1718"/>
      <c r="JMI80" s="1718"/>
      <c r="JMJ80" s="1718"/>
      <c r="JMK80" s="1718"/>
      <c r="JML80" s="246"/>
      <c r="JMM80" s="246" t="str">
        <f>BS!$D$5</f>
        <v>31 March 2026</v>
      </c>
      <c r="JMN80" s="247" t="str">
        <f>BS!$E$5</f>
        <v>31 March 2025</v>
      </c>
      <c r="JMO80" s="1717"/>
      <c r="JMP80" s="1718"/>
      <c r="JMQ80" s="1718"/>
      <c r="JMR80" s="1718"/>
      <c r="JMS80" s="1718"/>
      <c r="JMT80" s="246"/>
      <c r="JMU80" s="246" t="str">
        <f>BS!$D$5</f>
        <v>31 March 2026</v>
      </c>
      <c r="JMV80" s="247" t="str">
        <f>BS!$E$5</f>
        <v>31 March 2025</v>
      </c>
      <c r="JMW80" s="1717"/>
      <c r="JMX80" s="1718"/>
      <c r="JMY80" s="1718"/>
      <c r="JMZ80" s="1718"/>
      <c r="JNA80" s="1718"/>
      <c r="JNB80" s="246"/>
      <c r="JNC80" s="246" t="str">
        <f>BS!$D$5</f>
        <v>31 March 2026</v>
      </c>
      <c r="JND80" s="247" t="str">
        <f>BS!$E$5</f>
        <v>31 March 2025</v>
      </c>
      <c r="JNE80" s="1717"/>
      <c r="JNF80" s="1718"/>
      <c r="JNG80" s="1718"/>
      <c r="JNH80" s="1718"/>
      <c r="JNI80" s="1718"/>
      <c r="JNJ80" s="246"/>
      <c r="JNK80" s="246" t="str">
        <f>BS!$D$5</f>
        <v>31 March 2026</v>
      </c>
      <c r="JNL80" s="247" t="str">
        <f>BS!$E$5</f>
        <v>31 March 2025</v>
      </c>
      <c r="JNM80" s="1717"/>
      <c r="JNN80" s="1718"/>
      <c r="JNO80" s="1718"/>
      <c r="JNP80" s="1718"/>
      <c r="JNQ80" s="1718"/>
      <c r="JNR80" s="246"/>
      <c r="JNS80" s="246" t="str">
        <f>BS!$D$5</f>
        <v>31 March 2026</v>
      </c>
      <c r="JNT80" s="247" t="str">
        <f>BS!$E$5</f>
        <v>31 March 2025</v>
      </c>
      <c r="JNU80" s="1717"/>
      <c r="JNV80" s="1718"/>
      <c r="JNW80" s="1718"/>
      <c r="JNX80" s="1718"/>
      <c r="JNY80" s="1718"/>
      <c r="JNZ80" s="246"/>
      <c r="JOA80" s="246" t="str">
        <f>BS!$D$5</f>
        <v>31 March 2026</v>
      </c>
      <c r="JOB80" s="247" t="str">
        <f>BS!$E$5</f>
        <v>31 March 2025</v>
      </c>
      <c r="JOC80" s="1717"/>
      <c r="JOD80" s="1718"/>
      <c r="JOE80" s="1718"/>
      <c r="JOF80" s="1718"/>
      <c r="JOG80" s="1718"/>
      <c r="JOH80" s="246"/>
      <c r="JOI80" s="246" t="str">
        <f>BS!$D$5</f>
        <v>31 March 2026</v>
      </c>
      <c r="JOJ80" s="247" t="str">
        <f>BS!$E$5</f>
        <v>31 March 2025</v>
      </c>
      <c r="JOK80" s="1717"/>
      <c r="JOL80" s="1718"/>
      <c r="JOM80" s="1718"/>
      <c r="JON80" s="1718"/>
      <c r="JOO80" s="1718"/>
      <c r="JOP80" s="246"/>
      <c r="JOQ80" s="246" t="str">
        <f>BS!$D$5</f>
        <v>31 March 2026</v>
      </c>
      <c r="JOR80" s="247" t="str">
        <f>BS!$E$5</f>
        <v>31 March 2025</v>
      </c>
      <c r="JOS80" s="1717"/>
      <c r="JOT80" s="1718"/>
      <c r="JOU80" s="1718"/>
      <c r="JOV80" s="1718"/>
      <c r="JOW80" s="1718"/>
      <c r="JOX80" s="246"/>
      <c r="JOY80" s="246" t="str">
        <f>BS!$D$5</f>
        <v>31 March 2026</v>
      </c>
      <c r="JOZ80" s="247" t="str">
        <f>BS!$E$5</f>
        <v>31 March 2025</v>
      </c>
      <c r="JPA80" s="1717"/>
      <c r="JPB80" s="1718"/>
      <c r="JPC80" s="1718"/>
      <c r="JPD80" s="1718"/>
      <c r="JPE80" s="1718"/>
      <c r="JPF80" s="246"/>
      <c r="JPG80" s="246" t="str">
        <f>BS!$D$5</f>
        <v>31 March 2026</v>
      </c>
      <c r="JPH80" s="247" t="str">
        <f>BS!$E$5</f>
        <v>31 March 2025</v>
      </c>
      <c r="JPI80" s="1717"/>
      <c r="JPJ80" s="1718"/>
      <c r="JPK80" s="1718"/>
      <c r="JPL80" s="1718"/>
      <c r="JPM80" s="1718"/>
      <c r="JPN80" s="246"/>
      <c r="JPO80" s="246" t="str">
        <f>BS!$D$5</f>
        <v>31 March 2026</v>
      </c>
      <c r="JPP80" s="247" t="str">
        <f>BS!$E$5</f>
        <v>31 March 2025</v>
      </c>
      <c r="JPQ80" s="1717"/>
      <c r="JPR80" s="1718"/>
      <c r="JPS80" s="1718"/>
      <c r="JPT80" s="1718"/>
      <c r="JPU80" s="1718"/>
      <c r="JPV80" s="246"/>
      <c r="JPW80" s="246" t="str">
        <f>BS!$D$5</f>
        <v>31 March 2026</v>
      </c>
      <c r="JPX80" s="247" t="str">
        <f>BS!$E$5</f>
        <v>31 March 2025</v>
      </c>
      <c r="JPY80" s="1717"/>
      <c r="JPZ80" s="1718"/>
      <c r="JQA80" s="1718"/>
      <c r="JQB80" s="1718"/>
      <c r="JQC80" s="1718"/>
      <c r="JQD80" s="246"/>
      <c r="JQE80" s="246" t="str">
        <f>BS!$D$5</f>
        <v>31 March 2026</v>
      </c>
      <c r="JQF80" s="247" t="str">
        <f>BS!$E$5</f>
        <v>31 March 2025</v>
      </c>
      <c r="JQG80" s="1717"/>
      <c r="JQH80" s="1718"/>
      <c r="JQI80" s="1718"/>
      <c r="JQJ80" s="1718"/>
      <c r="JQK80" s="1718"/>
      <c r="JQL80" s="246"/>
      <c r="JQM80" s="246" t="str">
        <f>BS!$D$5</f>
        <v>31 March 2026</v>
      </c>
      <c r="JQN80" s="247" t="str">
        <f>BS!$E$5</f>
        <v>31 March 2025</v>
      </c>
      <c r="JQO80" s="1717"/>
      <c r="JQP80" s="1718"/>
      <c r="JQQ80" s="1718"/>
      <c r="JQR80" s="1718"/>
      <c r="JQS80" s="1718"/>
      <c r="JQT80" s="246"/>
      <c r="JQU80" s="246" t="str">
        <f>BS!$D$5</f>
        <v>31 March 2026</v>
      </c>
      <c r="JQV80" s="247" t="str">
        <f>BS!$E$5</f>
        <v>31 March 2025</v>
      </c>
      <c r="JQW80" s="1717"/>
      <c r="JQX80" s="1718"/>
      <c r="JQY80" s="1718"/>
      <c r="JQZ80" s="1718"/>
      <c r="JRA80" s="1718"/>
      <c r="JRB80" s="246"/>
      <c r="JRC80" s="246" t="str">
        <f>BS!$D$5</f>
        <v>31 March 2026</v>
      </c>
      <c r="JRD80" s="247" t="str">
        <f>BS!$E$5</f>
        <v>31 March 2025</v>
      </c>
      <c r="JRE80" s="1717"/>
      <c r="JRF80" s="1718"/>
      <c r="JRG80" s="1718"/>
      <c r="JRH80" s="1718"/>
      <c r="JRI80" s="1718"/>
      <c r="JRJ80" s="246"/>
      <c r="JRK80" s="246" t="str">
        <f>BS!$D$5</f>
        <v>31 March 2026</v>
      </c>
      <c r="JRL80" s="247" t="str">
        <f>BS!$E$5</f>
        <v>31 March 2025</v>
      </c>
      <c r="JRM80" s="1717"/>
      <c r="JRN80" s="1718"/>
      <c r="JRO80" s="1718"/>
      <c r="JRP80" s="1718"/>
      <c r="JRQ80" s="1718"/>
      <c r="JRR80" s="246"/>
      <c r="JRS80" s="246" t="str">
        <f>BS!$D$5</f>
        <v>31 March 2026</v>
      </c>
      <c r="JRT80" s="247" t="str">
        <f>BS!$E$5</f>
        <v>31 March 2025</v>
      </c>
      <c r="JRU80" s="1717"/>
      <c r="JRV80" s="1718"/>
      <c r="JRW80" s="1718"/>
      <c r="JRX80" s="1718"/>
      <c r="JRY80" s="1718"/>
      <c r="JRZ80" s="246"/>
      <c r="JSA80" s="246" t="str">
        <f>BS!$D$5</f>
        <v>31 March 2026</v>
      </c>
      <c r="JSB80" s="247" t="str">
        <f>BS!$E$5</f>
        <v>31 March 2025</v>
      </c>
      <c r="JSC80" s="1717"/>
      <c r="JSD80" s="1718"/>
      <c r="JSE80" s="1718"/>
      <c r="JSF80" s="1718"/>
      <c r="JSG80" s="1718"/>
      <c r="JSH80" s="246"/>
      <c r="JSI80" s="246" t="str">
        <f>BS!$D$5</f>
        <v>31 March 2026</v>
      </c>
      <c r="JSJ80" s="247" t="str">
        <f>BS!$E$5</f>
        <v>31 March 2025</v>
      </c>
      <c r="JSK80" s="1717"/>
      <c r="JSL80" s="1718"/>
      <c r="JSM80" s="1718"/>
      <c r="JSN80" s="1718"/>
      <c r="JSO80" s="1718"/>
      <c r="JSP80" s="246"/>
      <c r="JSQ80" s="246" t="str">
        <f>BS!$D$5</f>
        <v>31 March 2026</v>
      </c>
      <c r="JSR80" s="247" t="str">
        <f>BS!$E$5</f>
        <v>31 March 2025</v>
      </c>
      <c r="JSS80" s="1717"/>
      <c r="JST80" s="1718"/>
      <c r="JSU80" s="1718"/>
      <c r="JSV80" s="1718"/>
      <c r="JSW80" s="1718"/>
      <c r="JSX80" s="246"/>
      <c r="JSY80" s="246" t="str">
        <f>BS!$D$5</f>
        <v>31 March 2026</v>
      </c>
      <c r="JSZ80" s="247" t="str">
        <f>BS!$E$5</f>
        <v>31 March 2025</v>
      </c>
      <c r="JTA80" s="1717"/>
      <c r="JTB80" s="1718"/>
      <c r="JTC80" s="1718"/>
      <c r="JTD80" s="1718"/>
      <c r="JTE80" s="1718"/>
      <c r="JTF80" s="246"/>
      <c r="JTG80" s="246" t="str">
        <f>BS!$D$5</f>
        <v>31 March 2026</v>
      </c>
      <c r="JTH80" s="247" t="str">
        <f>BS!$E$5</f>
        <v>31 March 2025</v>
      </c>
      <c r="JTI80" s="1717"/>
      <c r="JTJ80" s="1718"/>
      <c r="JTK80" s="1718"/>
      <c r="JTL80" s="1718"/>
      <c r="JTM80" s="1718"/>
      <c r="JTN80" s="246"/>
      <c r="JTO80" s="246" t="str">
        <f>BS!$D$5</f>
        <v>31 March 2026</v>
      </c>
      <c r="JTP80" s="247" t="str">
        <f>BS!$E$5</f>
        <v>31 March 2025</v>
      </c>
      <c r="JTQ80" s="1717"/>
      <c r="JTR80" s="1718"/>
      <c r="JTS80" s="1718"/>
      <c r="JTT80" s="1718"/>
      <c r="JTU80" s="1718"/>
      <c r="JTV80" s="246"/>
      <c r="JTW80" s="246" t="str">
        <f>BS!$D$5</f>
        <v>31 March 2026</v>
      </c>
      <c r="JTX80" s="247" t="str">
        <f>BS!$E$5</f>
        <v>31 March 2025</v>
      </c>
      <c r="JTY80" s="1717"/>
      <c r="JTZ80" s="1718"/>
      <c r="JUA80" s="1718"/>
      <c r="JUB80" s="1718"/>
      <c r="JUC80" s="1718"/>
      <c r="JUD80" s="246"/>
      <c r="JUE80" s="246" t="str">
        <f>BS!$D$5</f>
        <v>31 March 2026</v>
      </c>
      <c r="JUF80" s="247" t="str">
        <f>BS!$E$5</f>
        <v>31 March 2025</v>
      </c>
      <c r="JUG80" s="1717"/>
      <c r="JUH80" s="1718"/>
      <c r="JUI80" s="1718"/>
      <c r="JUJ80" s="1718"/>
      <c r="JUK80" s="1718"/>
      <c r="JUL80" s="246"/>
      <c r="JUM80" s="246" t="str">
        <f>BS!$D$5</f>
        <v>31 March 2026</v>
      </c>
      <c r="JUN80" s="247" t="str">
        <f>BS!$E$5</f>
        <v>31 March 2025</v>
      </c>
      <c r="JUO80" s="1717"/>
      <c r="JUP80" s="1718"/>
      <c r="JUQ80" s="1718"/>
      <c r="JUR80" s="1718"/>
      <c r="JUS80" s="1718"/>
      <c r="JUT80" s="246"/>
      <c r="JUU80" s="246" t="str">
        <f>BS!$D$5</f>
        <v>31 March 2026</v>
      </c>
      <c r="JUV80" s="247" t="str">
        <f>BS!$E$5</f>
        <v>31 March 2025</v>
      </c>
      <c r="JUW80" s="1717"/>
      <c r="JUX80" s="1718"/>
      <c r="JUY80" s="1718"/>
      <c r="JUZ80" s="1718"/>
      <c r="JVA80" s="1718"/>
      <c r="JVB80" s="246"/>
      <c r="JVC80" s="246" t="str">
        <f>BS!$D$5</f>
        <v>31 March 2026</v>
      </c>
      <c r="JVD80" s="247" t="str">
        <f>BS!$E$5</f>
        <v>31 March 2025</v>
      </c>
      <c r="JVE80" s="1717"/>
      <c r="JVF80" s="1718"/>
      <c r="JVG80" s="1718"/>
      <c r="JVH80" s="1718"/>
      <c r="JVI80" s="1718"/>
      <c r="JVJ80" s="246"/>
      <c r="JVK80" s="246" t="str">
        <f>BS!$D$5</f>
        <v>31 March 2026</v>
      </c>
      <c r="JVL80" s="247" t="str">
        <f>BS!$E$5</f>
        <v>31 March 2025</v>
      </c>
      <c r="JVM80" s="1717"/>
      <c r="JVN80" s="1718"/>
      <c r="JVO80" s="1718"/>
      <c r="JVP80" s="1718"/>
      <c r="JVQ80" s="1718"/>
      <c r="JVR80" s="246"/>
      <c r="JVS80" s="246" t="str">
        <f>BS!$D$5</f>
        <v>31 March 2026</v>
      </c>
      <c r="JVT80" s="247" t="str">
        <f>BS!$E$5</f>
        <v>31 March 2025</v>
      </c>
      <c r="JVU80" s="1717"/>
      <c r="JVV80" s="1718"/>
      <c r="JVW80" s="1718"/>
      <c r="JVX80" s="1718"/>
      <c r="JVY80" s="1718"/>
      <c r="JVZ80" s="246"/>
      <c r="JWA80" s="246" t="str">
        <f>BS!$D$5</f>
        <v>31 March 2026</v>
      </c>
      <c r="JWB80" s="247" t="str">
        <f>BS!$E$5</f>
        <v>31 March 2025</v>
      </c>
      <c r="JWC80" s="1717"/>
      <c r="JWD80" s="1718"/>
      <c r="JWE80" s="1718"/>
      <c r="JWF80" s="1718"/>
      <c r="JWG80" s="1718"/>
      <c r="JWH80" s="246"/>
      <c r="JWI80" s="246" t="str">
        <f>BS!$D$5</f>
        <v>31 March 2026</v>
      </c>
      <c r="JWJ80" s="247" t="str">
        <f>BS!$E$5</f>
        <v>31 March 2025</v>
      </c>
      <c r="JWK80" s="1717"/>
      <c r="JWL80" s="1718"/>
      <c r="JWM80" s="1718"/>
      <c r="JWN80" s="1718"/>
      <c r="JWO80" s="1718"/>
      <c r="JWP80" s="246"/>
      <c r="JWQ80" s="246" t="str">
        <f>BS!$D$5</f>
        <v>31 March 2026</v>
      </c>
      <c r="JWR80" s="247" t="str">
        <f>BS!$E$5</f>
        <v>31 March 2025</v>
      </c>
      <c r="JWS80" s="1717"/>
      <c r="JWT80" s="1718"/>
      <c r="JWU80" s="1718"/>
      <c r="JWV80" s="1718"/>
      <c r="JWW80" s="1718"/>
      <c r="JWX80" s="246"/>
      <c r="JWY80" s="246" t="str">
        <f>BS!$D$5</f>
        <v>31 March 2026</v>
      </c>
      <c r="JWZ80" s="247" t="str">
        <f>BS!$E$5</f>
        <v>31 March 2025</v>
      </c>
      <c r="JXA80" s="1717"/>
      <c r="JXB80" s="1718"/>
      <c r="JXC80" s="1718"/>
      <c r="JXD80" s="1718"/>
      <c r="JXE80" s="1718"/>
      <c r="JXF80" s="246"/>
      <c r="JXG80" s="246" t="str">
        <f>BS!$D$5</f>
        <v>31 March 2026</v>
      </c>
      <c r="JXH80" s="247" t="str">
        <f>BS!$E$5</f>
        <v>31 March 2025</v>
      </c>
      <c r="JXI80" s="1717"/>
      <c r="JXJ80" s="1718"/>
      <c r="JXK80" s="1718"/>
      <c r="JXL80" s="1718"/>
      <c r="JXM80" s="1718"/>
      <c r="JXN80" s="246"/>
      <c r="JXO80" s="246" t="str">
        <f>BS!$D$5</f>
        <v>31 March 2026</v>
      </c>
      <c r="JXP80" s="247" t="str">
        <f>BS!$E$5</f>
        <v>31 March 2025</v>
      </c>
      <c r="JXQ80" s="1717"/>
      <c r="JXR80" s="1718"/>
      <c r="JXS80" s="1718"/>
      <c r="JXT80" s="1718"/>
      <c r="JXU80" s="1718"/>
      <c r="JXV80" s="246"/>
      <c r="JXW80" s="246" t="str">
        <f>BS!$D$5</f>
        <v>31 March 2026</v>
      </c>
      <c r="JXX80" s="247" t="str">
        <f>BS!$E$5</f>
        <v>31 March 2025</v>
      </c>
      <c r="JXY80" s="1717"/>
      <c r="JXZ80" s="1718"/>
      <c r="JYA80" s="1718"/>
      <c r="JYB80" s="1718"/>
      <c r="JYC80" s="1718"/>
      <c r="JYD80" s="246"/>
      <c r="JYE80" s="246" t="str">
        <f>BS!$D$5</f>
        <v>31 March 2026</v>
      </c>
      <c r="JYF80" s="247" t="str">
        <f>BS!$E$5</f>
        <v>31 March 2025</v>
      </c>
      <c r="JYG80" s="1717"/>
      <c r="JYH80" s="1718"/>
      <c r="JYI80" s="1718"/>
      <c r="JYJ80" s="1718"/>
      <c r="JYK80" s="1718"/>
      <c r="JYL80" s="246"/>
      <c r="JYM80" s="246" t="str">
        <f>BS!$D$5</f>
        <v>31 March 2026</v>
      </c>
      <c r="JYN80" s="247" t="str">
        <f>BS!$E$5</f>
        <v>31 March 2025</v>
      </c>
      <c r="JYO80" s="1717"/>
      <c r="JYP80" s="1718"/>
      <c r="JYQ80" s="1718"/>
      <c r="JYR80" s="1718"/>
      <c r="JYS80" s="1718"/>
      <c r="JYT80" s="246"/>
      <c r="JYU80" s="246" t="str">
        <f>BS!$D$5</f>
        <v>31 March 2026</v>
      </c>
      <c r="JYV80" s="247" t="str">
        <f>BS!$E$5</f>
        <v>31 March 2025</v>
      </c>
      <c r="JYW80" s="1717"/>
      <c r="JYX80" s="1718"/>
      <c r="JYY80" s="1718"/>
      <c r="JYZ80" s="1718"/>
      <c r="JZA80" s="1718"/>
      <c r="JZB80" s="246"/>
      <c r="JZC80" s="246" t="str">
        <f>BS!$D$5</f>
        <v>31 March 2026</v>
      </c>
      <c r="JZD80" s="247" t="str">
        <f>BS!$E$5</f>
        <v>31 March 2025</v>
      </c>
      <c r="JZE80" s="1717"/>
      <c r="JZF80" s="1718"/>
      <c r="JZG80" s="1718"/>
      <c r="JZH80" s="1718"/>
      <c r="JZI80" s="1718"/>
      <c r="JZJ80" s="246"/>
      <c r="JZK80" s="246" t="str">
        <f>BS!$D$5</f>
        <v>31 March 2026</v>
      </c>
      <c r="JZL80" s="247" t="str">
        <f>BS!$E$5</f>
        <v>31 March 2025</v>
      </c>
      <c r="JZM80" s="1717"/>
      <c r="JZN80" s="1718"/>
      <c r="JZO80" s="1718"/>
      <c r="JZP80" s="1718"/>
      <c r="JZQ80" s="1718"/>
      <c r="JZR80" s="246"/>
      <c r="JZS80" s="246" t="str">
        <f>BS!$D$5</f>
        <v>31 March 2026</v>
      </c>
      <c r="JZT80" s="247" t="str">
        <f>BS!$E$5</f>
        <v>31 March 2025</v>
      </c>
      <c r="JZU80" s="1717"/>
      <c r="JZV80" s="1718"/>
      <c r="JZW80" s="1718"/>
      <c r="JZX80" s="1718"/>
      <c r="JZY80" s="1718"/>
      <c r="JZZ80" s="246"/>
      <c r="KAA80" s="246" t="str">
        <f>BS!$D$5</f>
        <v>31 March 2026</v>
      </c>
      <c r="KAB80" s="247" t="str">
        <f>BS!$E$5</f>
        <v>31 March 2025</v>
      </c>
      <c r="KAC80" s="1717"/>
      <c r="KAD80" s="1718"/>
      <c r="KAE80" s="1718"/>
      <c r="KAF80" s="1718"/>
      <c r="KAG80" s="1718"/>
      <c r="KAH80" s="246"/>
      <c r="KAI80" s="246" t="str">
        <f>BS!$D$5</f>
        <v>31 March 2026</v>
      </c>
      <c r="KAJ80" s="247" t="str">
        <f>BS!$E$5</f>
        <v>31 March 2025</v>
      </c>
      <c r="KAK80" s="1717"/>
      <c r="KAL80" s="1718"/>
      <c r="KAM80" s="1718"/>
      <c r="KAN80" s="1718"/>
      <c r="KAO80" s="1718"/>
      <c r="KAP80" s="246"/>
      <c r="KAQ80" s="246" t="str">
        <f>BS!$D$5</f>
        <v>31 March 2026</v>
      </c>
      <c r="KAR80" s="247" t="str">
        <f>BS!$E$5</f>
        <v>31 March 2025</v>
      </c>
      <c r="KAS80" s="1717"/>
      <c r="KAT80" s="1718"/>
      <c r="KAU80" s="1718"/>
      <c r="KAV80" s="1718"/>
      <c r="KAW80" s="1718"/>
      <c r="KAX80" s="246"/>
      <c r="KAY80" s="246" t="str">
        <f>BS!$D$5</f>
        <v>31 March 2026</v>
      </c>
      <c r="KAZ80" s="247" t="str">
        <f>BS!$E$5</f>
        <v>31 March 2025</v>
      </c>
      <c r="KBA80" s="1717"/>
      <c r="KBB80" s="1718"/>
      <c r="KBC80" s="1718"/>
      <c r="KBD80" s="1718"/>
      <c r="KBE80" s="1718"/>
      <c r="KBF80" s="246"/>
      <c r="KBG80" s="246" t="str">
        <f>BS!$D$5</f>
        <v>31 March 2026</v>
      </c>
      <c r="KBH80" s="247" t="str">
        <f>BS!$E$5</f>
        <v>31 March 2025</v>
      </c>
      <c r="KBI80" s="1717"/>
      <c r="KBJ80" s="1718"/>
      <c r="KBK80" s="1718"/>
      <c r="KBL80" s="1718"/>
      <c r="KBM80" s="1718"/>
      <c r="KBN80" s="246"/>
      <c r="KBO80" s="246" t="str">
        <f>BS!$D$5</f>
        <v>31 March 2026</v>
      </c>
      <c r="KBP80" s="247" t="str">
        <f>BS!$E$5</f>
        <v>31 March 2025</v>
      </c>
      <c r="KBQ80" s="1717"/>
      <c r="KBR80" s="1718"/>
      <c r="KBS80" s="1718"/>
      <c r="KBT80" s="1718"/>
      <c r="KBU80" s="1718"/>
      <c r="KBV80" s="246"/>
      <c r="KBW80" s="246" t="str">
        <f>BS!$D$5</f>
        <v>31 March 2026</v>
      </c>
      <c r="KBX80" s="247" t="str">
        <f>BS!$E$5</f>
        <v>31 March 2025</v>
      </c>
      <c r="KBY80" s="1717"/>
      <c r="KBZ80" s="1718"/>
      <c r="KCA80" s="1718"/>
      <c r="KCB80" s="1718"/>
      <c r="KCC80" s="1718"/>
      <c r="KCD80" s="246"/>
      <c r="KCE80" s="246" t="str">
        <f>BS!$D$5</f>
        <v>31 March 2026</v>
      </c>
      <c r="KCF80" s="247" t="str">
        <f>BS!$E$5</f>
        <v>31 March 2025</v>
      </c>
      <c r="KCG80" s="1717"/>
      <c r="KCH80" s="1718"/>
      <c r="KCI80" s="1718"/>
      <c r="KCJ80" s="1718"/>
      <c r="KCK80" s="1718"/>
      <c r="KCL80" s="246"/>
      <c r="KCM80" s="246" t="str">
        <f>BS!$D$5</f>
        <v>31 March 2026</v>
      </c>
      <c r="KCN80" s="247" t="str">
        <f>BS!$E$5</f>
        <v>31 March 2025</v>
      </c>
      <c r="KCO80" s="1717"/>
      <c r="KCP80" s="1718"/>
      <c r="KCQ80" s="1718"/>
      <c r="KCR80" s="1718"/>
      <c r="KCS80" s="1718"/>
      <c r="KCT80" s="246"/>
      <c r="KCU80" s="246" t="str">
        <f>BS!$D$5</f>
        <v>31 March 2026</v>
      </c>
      <c r="KCV80" s="247" t="str">
        <f>BS!$E$5</f>
        <v>31 March 2025</v>
      </c>
      <c r="KCW80" s="1717"/>
      <c r="KCX80" s="1718"/>
      <c r="KCY80" s="1718"/>
      <c r="KCZ80" s="1718"/>
      <c r="KDA80" s="1718"/>
      <c r="KDB80" s="246"/>
      <c r="KDC80" s="246" t="str">
        <f>BS!$D$5</f>
        <v>31 March 2026</v>
      </c>
      <c r="KDD80" s="247" t="str">
        <f>BS!$E$5</f>
        <v>31 March 2025</v>
      </c>
      <c r="KDE80" s="1717"/>
      <c r="KDF80" s="1718"/>
      <c r="KDG80" s="1718"/>
      <c r="KDH80" s="1718"/>
      <c r="KDI80" s="1718"/>
      <c r="KDJ80" s="246"/>
      <c r="KDK80" s="246" t="str">
        <f>BS!$D$5</f>
        <v>31 March 2026</v>
      </c>
      <c r="KDL80" s="247" t="str">
        <f>BS!$E$5</f>
        <v>31 March 2025</v>
      </c>
      <c r="KDM80" s="1717"/>
      <c r="KDN80" s="1718"/>
      <c r="KDO80" s="1718"/>
      <c r="KDP80" s="1718"/>
      <c r="KDQ80" s="1718"/>
      <c r="KDR80" s="246"/>
      <c r="KDS80" s="246" t="str">
        <f>BS!$D$5</f>
        <v>31 March 2026</v>
      </c>
      <c r="KDT80" s="247" t="str">
        <f>BS!$E$5</f>
        <v>31 March 2025</v>
      </c>
      <c r="KDU80" s="1717"/>
      <c r="KDV80" s="1718"/>
      <c r="KDW80" s="1718"/>
      <c r="KDX80" s="1718"/>
      <c r="KDY80" s="1718"/>
      <c r="KDZ80" s="246"/>
      <c r="KEA80" s="246" t="str">
        <f>BS!$D$5</f>
        <v>31 March 2026</v>
      </c>
      <c r="KEB80" s="247" t="str">
        <f>BS!$E$5</f>
        <v>31 March 2025</v>
      </c>
      <c r="KEC80" s="1717"/>
      <c r="KED80" s="1718"/>
      <c r="KEE80" s="1718"/>
      <c r="KEF80" s="1718"/>
      <c r="KEG80" s="1718"/>
      <c r="KEH80" s="246"/>
      <c r="KEI80" s="246" t="str">
        <f>BS!$D$5</f>
        <v>31 March 2026</v>
      </c>
      <c r="KEJ80" s="247" t="str">
        <f>BS!$E$5</f>
        <v>31 March 2025</v>
      </c>
      <c r="KEK80" s="1717"/>
      <c r="KEL80" s="1718"/>
      <c r="KEM80" s="1718"/>
      <c r="KEN80" s="1718"/>
      <c r="KEO80" s="1718"/>
      <c r="KEP80" s="246"/>
      <c r="KEQ80" s="246" t="str">
        <f>BS!$D$5</f>
        <v>31 March 2026</v>
      </c>
      <c r="KER80" s="247" t="str">
        <f>BS!$E$5</f>
        <v>31 March 2025</v>
      </c>
      <c r="KES80" s="1717"/>
      <c r="KET80" s="1718"/>
      <c r="KEU80" s="1718"/>
      <c r="KEV80" s="1718"/>
      <c r="KEW80" s="1718"/>
      <c r="KEX80" s="246"/>
      <c r="KEY80" s="246" t="str">
        <f>BS!$D$5</f>
        <v>31 March 2026</v>
      </c>
      <c r="KEZ80" s="247" t="str">
        <f>BS!$E$5</f>
        <v>31 March 2025</v>
      </c>
      <c r="KFA80" s="1717"/>
      <c r="KFB80" s="1718"/>
      <c r="KFC80" s="1718"/>
      <c r="KFD80" s="1718"/>
      <c r="KFE80" s="1718"/>
      <c r="KFF80" s="246"/>
      <c r="KFG80" s="246" t="str">
        <f>BS!$D$5</f>
        <v>31 March 2026</v>
      </c>
      <c r="KFH80" s="247" t="str">
        <f>BS!$E$5</f>
        <v>31 March 2025</v>
      </c>
      <c r="KFI80" s="1717"/>
      <c r="KFJ80" s="1718"/>
      <c r="KFK80" s="1718"/>
      <c r="KFL80" s="1718"/>
      <c r="KFM80" s="1718"/>
      <c r="KFN80" s="246"/>
      <c r="KFO80" s="246" t="str">
        <f>BS!$D$5</f>
        <v>31 March 2026</v>
      </c>
      <c r="KFP80" s="247" t="str">
        <f>BS!$E$5</f>
        <v>31 March 2025</v>
      </c>
      <c r="KFQ80" s="1717"/>
      <c r="KFR80" s="1718"/>
      <c r="KFS80" s="1718"/>
      <c r="KFT80" s="1718"/>
      <c r="KFU80" s="1718"/>
      <c r="KFV80" s="246"/>
      <c r="KFW80" s="246" t="str">
        <f>BS!$D$5</f>
        <v>31 March 2026</v>
      </c>
      <c r="KFX80" s="247" t="str">
        <f>BS!$E$5</f>
        <v>31 March 2025</v>
      </c>
      <c r="KFY80" s="1717"/>
      <c r="KFZ80" s="1718"/>
      <c r="KGA80" s="1718"/>
      <c r="KGB80" s="1718"/>
      <c r="KGC80" s="1718"/>
      <c r="KGD80" s="246"/>
      <c r="KGE80" s="246" t="str">
        <f>BS!$D$5</f>
        <v>31 March 2026</v>
      </c>
      <c r="KGF80" s="247" t="str">
        <f>BS!$E$5</f>
        <v>31 March 2025</v>
      </c>
      <c r="KGG80" s="1717"/>
      <c r="KGH80" s="1718"/>
      <c r="KGI80" s="1718"/>
      <c r="KGJ80" s="1718"/>
      <c r="KGK80" s="1718"/>
      <c r="KGL80" s="246"/>
      <c r="KGM80" s="246" t="str">
        <f>BS!$D$5</f>
        <v>31 March 2026</v>
      </c>
      <c r="KGN80" s="247" t="str">
        <f>BS!$E$5</f>
        <v>31 March 2025</v>
      </c>
      <c r="KGO80" s="1717"/>
      <c r="KGP80" s="1718"/>
      <c r="KGQ80" s="1718"/>
      <c r="KGR80" s="1718"/>
      <c r="KGS80" s="1718"/>
      <c r="KGT80" s="246"/>
      <c r="KGU80" s="246" t="str">
        <f>BS!$D$5</f>
        <v>31 March 2026</v>
      </c>
      <c r="KGV80" s="247" t="str">
        <f>BS!$E$5</f>
        <v>31 March 2025</v>
      </c>
      <c r="KGW80" s="1717"/>
      <c r="KGX80" s="1718"/>
      <c r="KGY80" s="1718"/>
      <c r="KGZ80" s="1718"/>
      <c r="KHA80" s="1718"/>
      <c r="KHB80" s="246"/>
      <c r="KHC80" s="246" t="str">
        <f>BS!$D$5</f>
        <v>31 March 2026</v>
      </c>
      <c r="KHD80" s="247" t="str">
        <f>BS!$E$5</f>
        <v>31 March 2025</v>
      </c>
      <c r="KHE80" s="1717"/>
      <c r="KHF80" s="1718"/>
      <c r="KHG80" s="1718"/>
      <c r="KHH80" s="1718"/>
      <c r="KHI80" s="1718"/>
      <c r="KHJ80" s="246"/>
      <c r="KHK80" s="246" t="str">
        <f>BS!$D$5</f>
        <v>31 March 2026</v>
      </c>
      <c r="KHL80" s="247" t="str">
        <f>BS!$E$5</f>
        <v>31 March 2025</v>
      </c>
      <c r="KHM80" s="1717"/>
      <c r="KHN80" s="1718"/>
      <c r="KHO80" s="1718"/>
      <c r="KHP80" s="1718"/>
      <c r="KHQ80" s="1718"/>
      <c r="KHR80" s="246"/>
      <c r="KHS80" s="246" t="str">
        <f>BS!$D$5</f>
        <v>31 March 2026</v>
      </c>
      <c r="KHT80" s="247" t="str">
        <f>BS!$E$5</f>
        <v>31 March 2025</v>
      </c>
      <c r="KHU80" s="1717"/>
      <c r="KHV80" s="1718"/>
      <c r="KHW80" s="1718"/>
      <c r="KHX80" s="1718"/>
      <c r="KHY80" s="1718"/>
      <c r="KHZ80" s="246"/>
      <c r="KIA80" s="246" t="str">
        <f>BS!$D$5</f>
        <v>31 March 2026</v>
      </c>
      <c r="KIB80" s="247" t="str">
        <f>BS!$E$5</f>
        <v>31 March 2025</v>
      </c>
      <c r="KIC80" s="1717"/>
      <c r="KID80" s="1718"/>
      <c r="KIE80" s="1718"/>
      <c r="KIF80" s="1718"/>
      <c r="KIG80" s="1718"/>
      <c r="KIH80" s="246"/>
      <c r="KII80" s="246" t="str">
        <f>BS!$D$5</f>
        <v>31 March 2026</v>
      </c>
      <c r="KIJ80" s="247" t="str">
        <f>BS!$E$5</f>
        <v>31 March 2025</v>
      </c>
      <c r="KIK80" s="1717"/>
      <c r="KIL80" s="1718"/>
      <c r="KIM80" s="1718"/>
      <c r="KIN80" s="1718"/>
      <c r="KIO80" s="1718"/>
      <c r="KIP80" s="246"/>
      <c r="KIQ80" s="246" t="str">
        <f>BS!$D$5</f>
        <v>31 March 2026</v>
      </c>
      <c r="KIR80" s="247" t="str">
        <f>BS!$E$5</f>
        <v>31 March 2025</v>
      </c>
      <c r="KIS80" s="1717"/>
      <c r="KIT80" s="1718"/>
      <c r="KIU80" s="1718"/>
      <c r="KIV80" s="1718"/>
      <c r="KIW80" s="1718"/>
      <c r="KIX80" s="246"/>
      <c r="KIY80" s="246" t="str">
        <f>BS!$D$5</f>
        <v>31 March 2026</v>
      </c>
      <c r="KIZ80" s="247" t="str">
        <f>BS!$E$5</f>
        <v>31 March 2025</v>
      </c>
      <c r="KJA80" s="1717"/>
      <c r="KJB80" s="1718"/>
      <c r="KJC80" s="1718"/>
      <c r="KJD80" s="1718"/>
      <c r="KJE80" s="1718"/>
      <c r="KJF80" s="246"/>
      <c r="KJG80" s="246" t="str">
        <f>BS!$D$5</f>
        <v>31 March 2026</v>
      </c>
      <c r="KJH80" s="247" t="str">
        <f>BS!$E$5</f>
        <v>31 March 2025</v>
      </c>
      <c r="KJI80" s="1717"/>
      <c r="KJJ80" s="1718"/>
      <c r="KJK80" s="1718"/>
      <c r="KJL80" s="1718"/>
      <c r="KJM80" s="1718"/>
      <c r="KJN80" s="246"/>
      <c r="KJO80" s="246" t="str">
        <f>BS!$D$5</f>
        <v>31 March 2026</v>
      </c>
      <c r="KJP80" s="247" t="str">
        <f>BS!$E$5</f>
        <v>31 March 2025</v>
      </c>
      <c r="KJQ80" s="1717"/>
      <c r="KJR80" s="1718"/>
      <c r="KJS80" s="1718"/>
      <c r="KJT80" s="1718"/>
      <c r="KJU80" s="1718"/>
      <c r="KJV80" s="246"/>
      <c r="KJW80" s="246" t="str">
        <f>BS!$D$5</f>
        <v>31 March 2026</v>
      </c>
      <c r="KJX80" s="247" t="str">
        <f>BS!$E$5</f>
        <v>31 March 2025</v>
      </c>
      <c r="KJY80" s="1717"/>
      <c r="KJZ80" s="1718"/>
      <c r="KKA80" s="1718"/>
      <c r="KKB80" s="1718"/>
      <c r="KKC80" s="1718"/>
      <c r="KKD80" s="246"/>
      <c r="KKE80" s="246" t="str">
        <f>BS!$D$5</f>
        <v>31 March 2026</v>
      </c>
      <c r="KKF80" s="247" t="str">
        <f>BS!$E$5</f>
        <v>31 March 2025</v>
      </c>
      <c r="KKG80" s="1717"/>
      <c r="KKH80" s="1718"/>
      <c r="KKI80" s="1718"/>
      <c r="KKJ80" s="1718"/>
      <c r="KKK80" s="1718"/>
      <c r="KKL80" s="246"/>
      <c r="KKM80" s="246" t="str">
        <f>BS!$D$5</f>
        <v>31 March 2026</v>
      </c>
      <c r="KKN80" s="247" t="str">
        <f>BS!$E$5</f>
        <v>31 March 2025</v>
      </c>
      <c r="KKO80" s="1717"/>
      <c r="KKP80" s="1718"/>
      <c r="KKQ80" s="1718"/>
      <c r="KKR80" s="1718"/>
      <c r="KKS80" s="1718"/>
      <c r="KKT80" s="246"/>
      <c r="KKU80" s="246" t="str">
        <f>BS!$D$5</f>
        <v>31 March 2026</v>
      </c>
      <c r="KKV80" s="247" t="str">
        <f>BS!$E$5</f>
        <v>31 March 2025</v>
      </c>
      <c r="KKW80" s="1717"/>
      <c r="KKX80" s="1718"/>
      <c r="KKY80" s="1718"/>
      <c r="KKZ80" s="1718"/>
      <c r="KLA80" s="1718"/>
      <c r="KLB80" s="246"/>
      <c r="KLC80" s="246" t="str">
        <f>BS!$D$5</f>
        <v>31 March 2026</v>
      </c>
      <c r="KLD80" s="247" t="str">
        <f>BS!$E$5</f>
        <v>31 March 2025</v>
      </c>
      <c r="KLE80" s="1717"/>
      <c r="KLF80" s="1718"/>
      <c r="KLG80" s="1718"/>
      <c r="KLH80" s="1718"/>
      <c r="KLI80" s="1718"/>
      <c r="KLJ80" s="246"/>
      <c r="KLK80" s="246" t="str">
        <f>BS!$D$5</f>
        <v>31 March 2026</v>
      </c>
      <c r="KLL80" s="247" t="str">
        <f>BS!$E$5</f>
        <v>31 March 2025</v>
      </c>
      <c r="KLM80" s="1717"/>
      <c r="KLN80" s="1718"/>
      <c r="KLO80" s="1718"/>
      <c r="KLP80" s="1718"/>
      <c r="KLQ80" s="1718"/>
      <c r="KLR80" s="246"/>
      <c r="KLS80" s="246" t="str">
        <f>BS!$D$5</f>
        <v>31 March 2026</v>
      </c>
      <c r="KLT80" s="247" t="str">
        <f>BS!$E$5</f>
        <v>31 March 2025</v>
      </c>
      <c r="KLU80" s="1717"/>
      <c r="KLV80" s="1718"/>
      <c r="KLW80" s="1718"/>
      <c r="KLX80" s="1718"/>
      <c r="KLY80" s="1718"/>
      <c r="KLZ80" s="246"/>
      <c r="KMA80" s="246" t="str">
        <f>BS!$D$5</f>
        <v>31 March 2026</v>
      </c>
      <c r="KMB80" s="247" t="str">
        <f>BS!$E$5</f>
        <v>31 March 2025</v>
      </c>
      <c r="KMC80" s="1717"/>
      <c r="KMD80" s="1718"/>
      <c r="KME80" s="1718"/>
      <c r="KMF80" s="1718"/>
      <c r="KMG80" s="1718"/>
      <c r="KMH80" s="246"/>
      <c r="KMI80" s="246" t="str">
        <f>BS!$D$5</f>
        <v>31 March 2026</v>
      </c>
      <c r="KMJ80" s="247" t="str">
        <f>BS!$E$5</f>
        <v>31 March 2025</v>
      </c>
      <c r="KMK80" s="1717"/>
      <c r="KML80" s="1718"/>
      <c r="KMM80" s="1718"/>
      <c r="KMN80" s="1718"/>
      <c r="KMO80" s="1718"/>
      <c r="KMP80" s="246"/>
      <c r="KMQ80" s="246" t="str">
        <f>BS!$D$5</f>
        <v>31 March 2026</v>
      </c>
      <c r="KMR80" s="247" t="str">
        <f>BS!$E$5</f>
        <v>31 March 2025</v>
      </c>
      <c r="KMS80" s="1717"/>
      <c r="KMT80" s="1718"/>
      <c r="KMU80" s="1718"/>
      <c r="KMV80" s="1718"/>
      <c r="KMW80" s="1718"/>
      <c r="KMX80" s="246"/>
      <c r="KMY80" s="246" t="str">
        <f>BS!$D$5</f>
        <v>31 March 2026</v>
      </c>
      <c r="KMZ80" s="247" t="str">
        <f>BS!$E$5</f>
        <v>31 March 2025</v>
      </c>
      <c r="KNA80" s="1717"/>
      <c r="KNB80" s="1718"/>
      <c r="KNC80" s="1718"/>
      <c r="KND80" s="1718"/>
      <c r="KNE80" s="1718"/>
      <c r="KNF80" s="246"/>
      <c r="KNG80" s="246" t="str">
        <f>BS!$D$5</f>
        <v>31 March 2026</v>
      </c>
      <c r="KNH80" s="247" t="str">
        <f>BS!$E$5</f>
        <v>31 March 2025</v>
      </c>
      <c r="KNI80" s="1717"/>
      <c r="KNJ80" s="1718"/>
      <c r="KNK80" s="1718"/>
      <c r="KNL80" s="1718"/>
      <c r="KNM80" s="1718"/>
      <c r="KNN80" s="246"/>
      <c r="KNO80" s="246" t="str">
        <f>BS!$D$5</f>
        <v>31 March 2026</v>
      </c>
      <c r="KNP80" s="247" t="str">
        <f>BS!$E$5</f>
        <v>31 March 2025</v>
      </c>
      <c r="KNQ80" s="1717"/>
      <c r="KNR80" s="1718"/>
      <c r="KNS80" s="1718"/>
      <c r="KNT80" s="1718"/>
      <c r="KNU80" s="1718"/>
      <c r="KNV80" s="246"/>
      <c r="KNW80" s="246" t="str">
        <f>BS!$D$5</f>
        <v>31 March 2026</v>
      </c>
      <c r="KNX80" s="247" t="str">
        <f>BS!$E$5</f>
        <v>31 March 2025</v>
      </c>
      <c r="KNY80" s="1717"/>
      <c r="KNZ80" s="1718"/>
      <c r="KOA80" s="1718"/>
      <c r="KOB80" s="1718"/>
      <c r="KOC80" s="1718"/>
      <c r="KOD80" s="246"/>
      <c r="KOE80" s="246" t="str">
        <f>BS!$D$5</f>
        <v>31 March 2026</v>
      </c>
      <c r="KOF80" s="247" t="str">
        <f>BS!$E$5</f>
        <v>31 March 2025</v>
      </c>
      <c r="KOG80" s="1717"/>
      <c r="KOH80" s="1718"/>
      <c r="KOI80" s="1718"/>
      <c r="KOJ80" s="1718"/>
      <c r="KOK80" s="1718"/>
      <c r="KOL80" s="246"/>
      <c r="KOM80" s="246" t="str">
        <f>BS!$D$5</f>
        <v>31 March 2026</v>
      </c>
      <c r="KON80" s="247" t="str">
        <f>BS!$E$5</f>
        <v>31 March 2025</v>
      </c>
      <c r="KOO80" s="1717"/>
      <c r="KOP80" s="1718"/>
      <c r="KOQ80" s="1718"/>
      <c r="KOR80" s="1718"/>
      <c r="KOS80" s="1718"/>
      <c r="KOT80" s="246"/>
      <c r="KOU80" s="246" t="str">
        <f>BS!$D$5</f>
        <v>31 March 2026</v>
      </c>
      <c r="KOV80" s="247" t="str">
        <f>BS!$E$5</f>
        <v>31 March 2025</v>
      </c>
      <c r="KOW80" s="1717"/>
      <c r="KOX80" s="1718"/>
      <c r="KOY80" s="1718"/>
      <c r="KOZ80" s="1718"/>
      <c r="KPA80" s="1718"/>
      <c r="KPB80" s="246"/>
      <c r="KPC80" s="246" t="str">
        <f>BS!$D$5</f>
        <v>31 March 2026</v>
      </c>
      <c r="KPD80" s="247" t="str">
        <f>BS!$E$5</f>
        <v>31 March 2025</v>
      </c>
      <c r="KPE80" s="1717"/>
      <c r="KPF80" s="1718"/>
      <c r="KPG80" s="1718"/>
      <c r="KPH80" s="1718"/>
      <c r="KPI80" s="1718"/>
      <c r="KPJ80" s="246"/>
      <c r="KPK80" s="246" t="str">
        <f>BS!$D$5</f>
        <v>31 March 2026</v>
      </c>
      <c r="KPL80" s="247" t="str">
        <f>BS!$E$5</f>
        <v>31 March 2025</v>
      </c>
      <c r="KPM80" s="1717"/>
      <c r="KPN80" s="1718"/>
      <c r="KPO80" s="1718"/>
      <c r="KPP80" s="1718"/>
      <c r="KPQ80" s="1718"/>
      <c r="KPR80" s="246"/>
      <c r="KPS80" s="246" t="str">
        <f>BS!$D$5</f>
        <v>31 March 2026</v>
      </c>
      <c r="KPT80" s="247" t="str">
        <f>BS!$E$5</f>
        <v>31 March 2025</v>
      </c>
      <c r="KPU80" s="1717"/>
      <c r="KPV80" s="1718"/>
      <c r="KPW80" s="1718"/>
      <c r="KPX80" s="1718"/>
      <c r="KPY80" s="1718"/>
      <c r="KPZ80" s="246"/>
      <c r="KQA80" s="246" t="str">
        <f>BS!$D$5</f>
        <v>31 March 2026</v>
      </c>
      <c r="KQB80" s="247" t="str">
        <f>BS!$E$5</f>
        <v>31 March 2025</v>
      </c>
      <c r="KQC80" s="1717"/>
      <c r="KQD80" s="1718"/>
      <c r="KQE80" s="1718"/>
      <c r="KQF80" s="1718"/>
      <c r="KQG80" s="1718"/>
      <c r="KQH80" s="246"/>
      <c r="KQI80" s="246" t="str">
        <f>BS!$D$5</f>
        <v>31 March 2026</v>
      </c>
      <c r="KQJ80" s="247" t="str">
        <f>BS!$E$5</f>
        <v>31 March 2025</v>
      </c>
      <c r="KQK80" s="1717"/>
      <c r="KQL80" s="1718"/>
      <c r="KQM80" s="1718"/>
      <c r="KQN80" s="1718"/>
      <c r="KQO80" s="1718"/>
      <c r="KQP80" s="246"/>
      <c r="KQQ80" s="246" t="str">
        <f>BS!$D$5</f>
        <v>31 March 2026</v>
      </c>
      <c r="KQR80" s="247" t="str">
        <f>BS!$E$5</f>
        <v>31 March 2025</v>
      </c>
      <c r="KQS80" s="1717"/>
      <c r="KQT80" s="1718"/>
      <c r="KQU80" s="1718"/>
      <c r="KQV80" s="1718"/>
      <c r="KQW80" s="1718"/>
      <c r="KQX80" s="246"/>
      <c r="KQY80" s="246" t="str">
        <f>BS!$D$5</f>
        <v>31 March 2026</v>
      </c>
      <c r="KQZ80" s="247" t="str">
        <f>BS!$E$5</f>
        <v>31 March 2025</v>
      </c>
      <c r="KRA80" s="1717"/>
      <c r="KRB80" s="1718"/>
      <c r="KRC80" s="1718"/>
      <c r="KRD80" s="1718"/>
      <c r="KRE80" s="1718"/>
      <c r="KRF80" s="246"/>
      <c r="KRG80" s="246" t="str">
        <f>BS!$D$5</f>
        <v>31 March 2026</v>
      </c>
      <c r="KRH80" s="247" t="str">
        <f>BS!$E$5</f>
        <v>31 March 2025</v>
      </c>
      <c r="KRI80" s="1717"/>
      <c r="KRJ80" s="1718"/>
      <c r="KRK80" s="1718"/>
      <c r="KRL80" s="1718"/>
      <c r="KRM80" s="1718"/>
      <c r="KRN80" s="246"/>
      <c r="KRO80" s="246" t="str">
        <f>BS!$D$5</f>
        <v>31 March 2026</v>
      </c>
      <c r="KRP80" s="247" t="str">
        <f>BS!$E$5</f>
        <v>31 March 2025</v>
      </c>
      <c r="KRQ80" s="1717"/>
      <c r="KRR80" s="1718"/>
      <c r="KRS80" s="1718"/>
      <c r="KRT80" s="1718"/>
      <c r="KRU80" s="1718"/>
      <c r="KRV80" s="246"/>
      <c r="KRW80" s="246" t="str">
        <f>BS!$D$5</f>
        <v>31 March 2026</v>
      </c>
      <c r="KRX80" s="247" t="str">
        <f>BS!$E$5</f>
        <v>31 March 2025</v>
      </c>
      <c r="KRY80" s="1717"/>
      <c r="KRZ80" s="1718"/>
      <c r="KSA80" s="1718"/>
      <c r="KSB80" s="1718"/>
      <c r="KSC80" s="1718"/>
      <c r="KSD80" s="246"/>
      <c r="KSE80" s="246" t="str">
        <f>BS!$D$5</f>
        <v>31 March 2026</v>
      </c>
      <c r="KSF80" s="247" t="str">
        <f>BS!$E$5</f>
        <v>31 March 2025</v>
      </c>
      <c r="KSG80" s="1717"/>
      <c r="KSH80" s="1718"/>
      <c r="KSI80" s="1718"/>
      <c r="KSJ80" s="1718"/>
      <c r="KSK80" s="1718"/>
      <c r="KSL80" s="246"/>
      <c r="KSM80" s="246" t="str">
        <f>BS!$D$5</f>
        <v>31 March 2026</v>
      </c>
      <c r="KSN80" s="247" t="str">
        <f>BS!$E$5</f>
        <v>31 March 2025</v>
      </c>
      <c r="KSO80" s="1717"/>
      <c r="KSP80" s="1718"/>
      <c r="KSQ80" s="1718"/>
      <c r="KSR80" s="1718"/>
      <c r="KSS80" s="1718"/>
      <c r="KST80" s="246"/>
      <c r="KSU80" s="246" t="str">
        <f>BS!$D$5</f>
        <v>31 March 2026</v>
      </c>
      <c r="KSV80" s="247" t="str">
        <f>BS!$E$5</f>
        <v>31 March 2025</v>
      </c>
      <c r="KSW80" s="1717"/>
      <c r="KSX80" s="1718"/>
      <c r="KSY80" s="1718"/>
      <c r="KSZ80" s="1718"/>
      <c r="KTA80" s="1718"/>
      <c r="KTB80" s="246"/>
      <c r="KTC80" s="246" t="str">
        <f>BS!$D$5</f>
        <v>31 March 2026</v>
      </c>
      <c r="KTD80" s="247" t="str">
        <f>BS!$E$5</f>
        <v>31 March 2025</v>
      </c>
      <c r="KTE80" s="1717"/>
      <c r="KTF80" s="1718"/>
      <c r="KTG80" s="1718"/>
      <c r="KTH80" s="1718"/>
      <c r="KTI80" s="1718"/>
      <c r="KTJ80" s="246"/>
      <c r="KTK80" s="246" t="str">
        <f>BS!$D$5</f>
        <v>31 March 2026</v>
      </c>
      <c r="KTL80" s="247" t="str">
        <f>BS!$E$5</f>
        <v>31 March 2025</v>
      </c>
      <c r="KTM80" s="1717"/>
      <c r="KTN80" s="1718"/>
      <c r="KTO80" s="1718"/>
      <c r="KTP80" s="1718"/>
      <c r="KTQ80" s="1718"/>
      <c r="KTR80" s="246"/>
      <c r="KTS80" s="246" t="str">
        <f>BS!$D$5</f>
        <v>31 March 2026</v>
      </c>
      <c r="KTT80" s="247" t="str">
        <f>BS!$E$5</f>
        <v>31 March 2025</v>
      </c>
      <c r="KTU80" s="1717"/>
      <c r="KTV80" s="1718"/>
      <c r="KTW80" s="1718"/>
      <c r="KTX80" s="1718"/>
      <c r="KTY80" s="1718"/>
      <c r="KTZ80" s="246"/>
      <c r="KUA80" s="246" t="str">
        <f>BS!$D$5</f>
        <v>31 March 2026</v>
      </c>
      <c r="KUB80" s="247" t="str">
        <f>BS!$E$5</f>
        <v>31 March 2025</v>
      </c>
      <c r="KUC80" s="1717"/>
      <c r="KUD80" s="1718"/>
      <c r="KUE80" s="1718"/>
      <c r="KUF80" s="1718"/>
      <c r="KUG80" s="1718"/>
      <c r="KUH80" s="246"/>
      <c r="KUI80" s="246" t="str">
        <f>BS!$D$5</f>
        <v>31 March 2026</v>
      </c>
      <c r="KUJ80" s="247" t="str">
        <f>BS!$E$5</f>
        <v>31 March 2025</v>
      </c>
      <c r="KUK80" s="1717"/>
      <c r="KUL80" s="1718"/>
      <c r="KUM80" s="1718"/>
      <c r="KUN80" s="1718"/>
      <c r="KUO80" s="1718"/>
      <c r="KUP80" s="246"/>
      <c r="KUQ80" s="246" t="str">
        <f>BS!$D$5</f>
        <v>31 March 2026</v>
      </c>
      <c r="KUR80" s="247" t="str">
        <f>BS!$E$5</f>
        <v>31 March 2025</v>
      </c>
      <c r="KUS80" s="1717"/>
      <c r="KUT80" s="1718"/>
      <c r="KUU80" s="1718"/>
      <c r="KUV80" s="1718"/>
      <c r="KUW80" s="1718"/>
      <c r="KUX80" s="246"/>
      <c r="KUY80" s="246" t="str">
        <f>BS!$D$5</f>
        <v>31 March 2026</v>
      </c>
      <c r="KUZ80" s="247" t="str">
        <f>BS!$E$5</f>
        <v>31 March 2025</v>
      </c>
      <c r="KVA80" s="1717"/>
      <c r="KVB80" s="1718"/>
      <c r="KVC80" s="1718"/>
      <c r="KVD80" s="1718"/>
      <c r="KVE80" s="1718"/>
      <c r="KVF80" s="246"/>
      <c r="KVG80" s="246" t="str">
        <f>BS!$D$5</f>
        <v>31 March 2026</v>
      </c>
      <c r="KVH80" s="247" t="str">
        <f>BS!$E$5</f>
        <v>31 March 2025</v>
      </c>
      <c r="KVI80" s="1717"/>
      <c r="KVJ80" s="1718"/>
      <c r="KVK80" s="1718"/>
      <c r="KVL80" s="1718"/>
      <c r="KVM80" s="1718"/>
      <c r="KVN80" s="246"/>
      <c r="KVO80" s="246" t="str">
        <f>BS!$D$5</f>
        <v>31 March 2026</v>
      </c>
      <c r="KVP80" s="247" t="str">
        <f>BS!$E$5</f>
        <v>31 March 2025</v>
      </c>
      <c r="KVQ80" s="1717"/>
      <c r="KVR80" s="1718"/>
      <c r="KVS80" s="1718"/>
      <c r="KVT80" s="1718"/>
      <c r="KVU80" s="1718"/>
      <c r="KVV80" s="246"/>
      <c r="KVW80" s="246" t="str">
        <f>BS!$D$5</f>
        <v>31 March 2026</v>
      </c>
      <c r="KVX80" s="247" t="str">
        <f>BS!$E$5</f>
        <v>31 March 2025</v>
      </c>
      <c r="KVY80" s="1717"/>
      <c r="KVZ80" s="1718"/>
      <c r="KWA80" s="1718"/>
      <c r="KWB80" s="1718"/>
      <c r="KWC80" s="1718"/>
      <c r="KWD80" s="246"/>
      <c r="KWE80" s="246" t="str">
        <f>BS!$D$5</f>
        <v>31 March 2026</v>
      </c>
      <c r="KWF80" s="247" t="str">
        <f>BS!$E$5</f>
        <v>31 March 2025</v>
      </c>
      <c r="KWG80" s="1717"/>
      <c r="KWH80" s="1718"/>
      <c r="KWI80" s="1718"/>
      <c r="KWJ80" s="1718"/>
      <c r="KWK80" s="1718"/>
      <c r="KWL80" s="246"/>
      <c r="KWM80" s="246" t="str">
        <f>BS!$D$5</f>
        <v>31 March 2026</v>
      </c>
      <c r="KWN80" s="247" t="str">
        <f>BS!$E$5</f>
        <v>31 March 2025</v>
      </c>
      <c r="KWO80" s="1717"/>
      <c r="KWP80" s="1718"/>
      <c r="KWQ80" s="1718"/>
      <c r="KWR80" s="1718"/>
      <c r="KWS80" s="1718"/>
      <c r="KWT80" s="246"/>
      <c r="KWU80" s="246" t="str">
        <f>BS!$D$5</f>
        <v>31 March 2026</v>
      </c>
      <c r="KWV80" s="247" t="str">
        <f>BS!$E$5</f>
        <v>31 March 2025</v>
      </c>
      <c r="KWW80" s="1717"/>
      <c r="KWX80" s="1718"/>
      <c r="KWY80" s="1718"/>
      <c r="KWZ80" s="1718"/>
      <c r="KXA80" s="1718"/>
      <c r="KXB80" s="246"/>
      <c r="KXC80" s="246" t="str">
        <f>BS!$D$5</f>
        <v>31 March 2026</v>
      </c>
      <c r="KXD80" s="247" t="str">
        <f>BS!$E$5</f>
        <v>31 March 2025</v>
      </c>
      <c r="KXE80" s="1717"/>
      <c r="KXF80" s="1718"/>
      <c r="KXG80" s="1718"/>
      <c r="KXH80" s="1718"/>
      <c r="KXI80" s="1718"/>
      <c r="KXJ80" s="246"/>
      <c r="KXK80" s="246" t="str">
        <f>BS!$D$5</f>
        <v>31 March 2026</v>
      </c>
      <c r="KXL80" s="247" t="str">
        <f>BS!$E$5</f>
        <v>31 March 2025</v>
      </c>
      <c r="KXM80" s="1717"/>
      <c r="KXN80" s="1718"/>
      <c r="KXO80" s="1718"/>
      <c r="KXP80" s="1718"/>
      <c r="KXQ80" s="1718"/>
      <c r="KXR80" s="246"/>
      <c r="KXS80" s="246" t="str">
        <f>BS!$D$5</f>
        <v>31 March 2026</v>
      </c>
      <c r="KXT80" s="247" t="str">
        <f>BS!$E$5</f>
        <v>31 March 2025</v>
      </c>
      <c r="KXU80" s="1717"/>
      <c r="KXV80" s="1718"/>
      <c r="KXW80" s="1718"/>
      <c r="KXX80" s="1718"/>
      <c r="KXY80" s="1718"/>
      <c r="KXZ80" s="246"/>
      <c r="KYA80" s="246" t="str">
        <f>BS!$D$5</f>
        <v>31 March 2026</v>
      </c>
      <c r="KYB80" s="247" t="str">
        <f>BS!$E$5</f>
        <v>31 March 2025</v>
      </c>
      <c r="KYC80" s="1717"/>
      <c r="KYD80" s="1718"/>
      <c r="KYE80" s="1718"/>
      <c r="KYF80" s="1718"/>
      <c r="KYG80" s="1718"/>
      <c r="KYH80" s="246"/>
      <c r="KYI80" s="246" t="str">
        <f>BS!$D$5</f>
        <v>31 March 2026</v>
      </c>
      <c r="KYJ80" s="247" t="str">
        <f>BS!$E$5</f>
        <v>31 March 2025</v>
      </c>
      <c r="KYK80" s="1717"/>
      <c r="KYL80" s="1718"/>
      <c r="KYM80" s="1718"/>
      <c r="KYN80" s="1718"/>
      <c r="KYO80" s="1718"/>
      <c r="KYP80" s="246"/>
      <c r="KYQ80" s="246" t="str">
        <f>BS!$D$5</f>
        <v>31 March 2026</v>
      </c>
      <c r="KYR80" s="247" t="str">
        <f>BS!$E$5</f>
        <v>31 March 2025</v>
      </c>
      <c r="KYS80" s="1717"/>
      <c r="KYT80" s="1718"/>
      <c r="KYU80" s="1718"/>
      <c r="KYV80" s="1718"/>
      <c r="KYW80" s="1718"/>
      <c r="KYX80" s="246"/>
      <c r="KYY80" s="246" t="str">
        <f>BS!$D$5</f>
        <v>31 March 2026</v>
      </c>
      <c r="KYZ80" s="247" t="str">
        <f>BS!$E$5</f>
        <v>31 March 2025</v>
      </c>
      <c r="KZA80" s="1717"/>
      <c r="KZB80" s="1718"/>
      <c r="KZC80" s="1718"/>
      <c r="KZD80" s="1718"/>
      <c r="KZE80" s="1718"/>
      <c r="KZF80" s="246"/>
      <c r="KZG80" s="246" t="str">
        <f>BS!$D$5</f>
        <v>31 March 2026</v>
      </c>
      <c r="KZH80" s="247" t="str">
        <f>BS!$E$5</f>
        <v>31 March 2025</v>
      </c>
      <c r="KZI80" s="1717"/>
      <c r="KZJ80" s="1718"/>
      <c r="KZK80" s="1718"/>
      <c r="KZL80" s="1718"/>
      <c r="KZM80" s="1718"/>
      <c r="KZN80" s="246"/>
      <c r="KZO80" s="246" t="str">
        <f>BS!$D$5</f>
        <v>31 March 2026</v>
      </c>
      <c r="KZP80" s="247" t="str">
        <f>BS!$E$5</f>
        <v>31 March 2025</v>
      </c>
      <c r="KZQ80" s="1717"/>
      <c r="KZR80" s="1718"/>
      <c r="KZS80" s="1718"/>
      <c r="KZT80" s="1718"/>
      <c r="KZU80" s="1718"/>
      <c r="KZV80" s="246"/>
      <c r="KZW80" s="246" t="str">
        <f>BS!$D$5</f>
        <v>31 March 2026</v>
      </c>
      <c r="KZX80" s="247" t="str">
        <f>BS!$E$5</f>
        <v>31 March 2025</v>
      </c>
      <c r="KZY80" s="1717"/>
      <c r="KZZ80" s="1718"/>
      <c r="LAA80" s="1718"/>
      <c r="LAB80" s="1718"/>
      <c r="LAC80" s="1718"/>
      <c r="LAD80" s="246"/>
      <c r="LAE80" s="246" t="str">
        <f>BS!$D$5</f>
        <v>31 March 2026</v>
      </c>
      <c r="LAF80" s="247" t="str">
        <f>BS!$E$5</f>
        <v>31 March 2025</v>
      </c>
      <c r="LAG80" s="1717"/>
      <c r="LAH80" s="1718"/>
      <c r="LAI80" s="1718"/>
      <c r="LAJ80" s="1718"/>
      <c r="LAK80" s="1718"/>
      <c r="LAL80" s="246"/>
      <c r="LAM80" s="246" t="str">
        <f>BS!$D$5</f>
        <v>31 March 2026</v>
      </c>
      <c r="LAN80" s="247" t="str">
        <f>BS!$E$5</f>
        <v>31 March 2025</v>
      </c>
      <c r="LAO80" s="1717"/>
      <c r="LAP80" s="1718"/>
      <c r="LAQ80" s="1718"/>
      <c r="LAR80" s="1718"/>
      <c r="LAS80" s="1718"/>
      <c r="LAT80" s="246"/>
      <c r="LAU80" s="246" t="str">
        <f>BS!$D$5</f>
        <v>31 March 2026</v>
      </c>
      <c r="LAV80" s="247" t="str">
        <f>BS!$E$5</f>
        <v>31 March 2025</v>
      </c>
      <c r="LAW80" s="1717"/>
      <c r="LAX80" s="1718"/>
      <c r="LAY80" s="1718"/>
      <c r="LAZ80" s="1718"/>
      <c r="LBA80" s="1718"/>
      <c r="LBB80" s="246"/>
      <c r="LBC80" s="246" t="str">
        <f>BS!$D$5</f>
        <v>31 March 2026</v>
      </c>
      <c r="LBD80" s="247" t="str">
        <f>BS!$E$5</f>
        <v>31 March 2025</v>
      </c>
      <c r="LBE80" s="1717"/>
      <c r="LBF80" s="1718"/>
      <c r="LBG80" s="1718"/>
      <c r="LBH80" s="1718"/>
      <c r="LBI80" s="1718"/>
      <c r="LBJ80" s="246"/>
      <c r="LBK80" s="246" t="str">
        <f>BS!$D$5</f>
        <v>31 March 2026</v>
      </c>
      <c r="LBL80" s="247" t="str">
        <f>BS!$E$5</f>
        <v>31 March 2025</v>
      </c>
      <c r="LBM80" s="1717"/>
      <c r="LBN80" s="1718"/>
      <c r="LBO80" s="1718"/>
      <c r="LBP80" s="1718"/>
      <c r="LBQ80" s="1718"/>
      <c r="LBR80" s="246"/>
      <c r="LBS80" s="246" t="str">
        <f>BS!$D$5</f>
        <v>31 March 2026</v>
      </c>
      <c r="LBT80" s="247" t="str">
        <f>BS!$E$5</f>
        <v>31 March 2025</v>
      </c>
      <c r="LBU80" s="1717"/>
      <c r="LBV80" s="1718"/>
      <c r="LBW80" s="1718"/>
      <c r="LBX80" s="1718"/>
      <c r="LBY80" s="1718"/>
      <c r="LBZ80" s="246"/>
      <c r="LCA80" s="246" t="str">
        <f>BS!$D$5</f>
        <v>31 March 2026</v>
      </c>
      <c r="LCB80" s="247" t="str">
        <f>BS!$E$5</f>
        <v>31 March 2025</v>
      </c>
      <c r="LCC80" s="1717"/>
      <c r="LCD80" s="1718"/>
      <c r="LCE80" s="1718"/>
      <c r="LCF80" s="1718"/>
      <c r="LCG80" s="1718"/>
      <c r="LCH80" s="246"/>
      <c r="LCI80" s="246" t="str">
        <f>BS!$D$5</f>
        <v>31 March 2026</v>
      </c>
      <c r="LCJ80" s="247" t="str">
        <f>BS!$E$5</f>
        <v>31 March 2025</v>
      </c>
      <c r="LCK80" s="1717"/>
      <c r="LCL80" s="1718"/>
      <c r="LCM80" s="1718"/>
      <c r="LCN80" s="1718"/>
      <c r="LCO80" s="1718"/>
      <c r="LCP80" s="246"/>
      <c r="LCQ80" s="246" t="str">
        <f>BS!$D$5</f>
        <v>31 March 2026</v>
      </c>
      <c r="LCR80" s="247" t="str">
        <f>BS!$E$5</f>
        <v>31 March 2025</v>
      </c>
      <c r="LCS80" s="1717"/>
      <c r="LCT80" s="1718"/>
      <c r="LCU80" s="1718"/>
      <c r="LCV80" s="1718"/>
      <c r="LCW80" s="1718"/>
      <c r="LCX80" s="246"/>
      <c r="LCY80" s="246" t="str">
        <f>BS!$D$5</f>
        <v>31 March 2026</v>
      </c>
      <c r="LCZ80" s="247" t="str">
        <f>BS!$E$5</f>
        <v>31 March 2025</v>
      </c>
      <c r="LDA80" s="1717"/>
      <c r="LDB80" s="1718"/>
      <c r="LDC80" s="1718"/>
      <c r="LDD80" s="1718"/>
      <c r="LDE80" s="1718"/>
      <c r="LDF80" s="246"/>
      <c r="LDG80" s="246" t="str">
        <f>BS!$D$5</f>
        <v>31 March 2026</v>
      </c>
      <c r="LDH80" s="247" t="str">
        <f>BS!$E$5</f>
        <v>31 March 2025</v>
      </c>
      <c r="LDI80" s="1717"/>
      <c r="LDJ80" s="1718"/>
      <c r="LDK80" s="1718"/>
      <c r="LDL80" s="1718"/>
      <c r="LDM80" s="1718"/>
      <c r="LDN80" s="246"/>
      <c r="LDO80" s="246" t="str">
        <f>BS!$D$5</f>
        <v>31 March 2026</v>
      </c>
      <c r="LDP80" s="247" t="str">
        <f>BS!$E$5</f>
        <v>31 March 2025</v>
      </c>
      <c r="LDQ80" s="1717"/>
      <c r="LDR80" s="1718"/>
      <c r="LDS80" s="1718"/>
      <c r="LDT80" s="1718"/>
      <c r="LDU80" s="1718"/>
      <c r="LDV80" s="246"/>
      <c r="LDW80" s="246" t="str">
        <f>BS!$D$5</f>
        <v>31 March 2026</v>
      </c>
      <c r="LDX80" s="247" t="str">
        <f>BS!$E$5</f>
        <v>31 March 2025</v>
      </c>
      <c r="LDY80" s="1717"/>
      <c r="LDZ80" s="1718"/>
      <c r="LEA80" s="1718"/>
      <c r="LEB80" s="1718"/>
      <c r="LEC80" s="1718"/>
      <c r="LED80" s="246"/>
      <c r="LEE80" s="246" t="str">
        <f>BS!$D$5</f>
        <v>31 March 2026</v>
      </c>
      <c r="LEF80" s="247" t="str">
        <f>BS!$E$5</f>
        <v>31 March 2025</v>
      </c>
      <c r="LEG80" s="1717"/>
      <c r="LEH80" s="1718"/>
      <c r="LEI80" s="1718"/>
      <c r="LEJ80" s="1718"/>
      <c r="LEK80" s="1718"/>
      <c r="LEL80" s="246"/>
      <c r="LEM80" s="246" t="str">
        <f>BS!$D$5</f>
        <v>31 March 2026</v>
      </c>
      <c r="LEN80" s="247" t="str">
        <f>BS!$E$5</f>
        <v>31 March 2025</v>
      </c>
      <c r="LEO80" s="1717"/>
      <c r="LEP80" s="1718"/>
      <c r="LEQ80" s="1718"/>
      <c r="LER80" s="1718"/>
      <c r="LES80" s="1718"/>
      <c r="LET80" s="246"/>
      <c r="LEU80" s="246" t="str">
        <f>BS!$D$5</f>
        <v>31 March 2026</v>
      </c>
      <c r="LEV80" s="247" t="str">
        <f>BS!$E$5</f>
        <v>31 March 2025</v>
      </c>
      <c r="LEW80" s="1717"/>
      <c r="LEX80" s="1718"/>
      <c r="LEY80" s="1718"/>
      <c r="LEZ80" s="1718"/>
      <c r="LFA80" s="1718"/>
      <c r="LFB80" s="246"/>
      <c r="LFC80" s="246" t="str">
        <f>BS!$D$5</f>
        <v>31 March 2026</v>
      </c>
      <c r="LFD80" s="247" t="str">
        <f>BS!$E$5</f>
        <v>31 March 2025</v>
      </c>
      <c r="LFE80" s="1717"/>
      <c r="LFF80" s="1718"/>
      <c r="LFG80" s="1718"/>
      <c r="LFH80" s="1718"/>
      <c r="LFI80" s="1718"/>
      <c r="LFJ80" s="246"/>
      <c r="LFK80" s="246" t="str">
        <f>BS!$D$5</f>
        <v>31 March 2026</v>
      </c>
      <c r="LFL80" s="247" t="str">
        <f>BS!$E$5</f>
        <v>31 March 2025</v>
      </c>
      <c r="LFM80" s="1717"/>
      <c r="LFN80" s="1718"/>
      <c r="LFO80" s="1718"/>
      <c r="LFP80" s="1718"/>
      <c r="LFQ80" s="1718"/>
      <c r="LFR80" s="246"/>
      <c r="LFS80" s="246" t="str">
        <f>BS!$D$5</f>
        <v>31 March 2026</v>
      </c>
      <c r="LFT80" s="247" t="str">
        <f>BS!$E$5</f>
        <v>31 March 2025</v>
      </c>
      <c r="LFU80" s="1717"/>
      <c r="LFV80" s="1718"/>
      <c r="LFW80" s="1718"/>
      <c r="LFX80" s="1718"/>
      <c r="LFY80" s="1718"/>
      <c r="LFZ80" s="246"/>
      <c r="LGA80" s="246" t="str">
        <f>BS!$D$5</f>
        <v>31 March 2026</v>
      </c>
      <c r="LGB80" s="247" t="str">
        <f>BS!$E$5</f>
        <v>31 March 2025</v>
      </c>
      <c r="LGC80" s="1717"/>
      <c r="LGD80" s="1718"/>
      <c r="LGE80" s="1718"/>
      <c r="LGF80" s="1718"/>
      <c r="LGG80" s="1718"/>
      <c r="LGH80" s="246"/>
      <c r="LGI80" s="246" t="str">
        <f>BS!$D$5</f>
        <v>31 March 2026</v>
      </c>
      <c r="LGJ80" s="247" t="str">
        <f>BS!$E$5</f>
        <v>31 March 2025</v>
      </c>
      <c r="LGK80" s="1717"/>
      <c r="LGL80" s="1718"/>
      <c r="LGM80" s="1718"/>
      <c r="LGN80" s="1718"/>
      <c r="LGO80" s="1718"/>
      <c r="LGP80" s="246"/>
      <c r="LGQ80" s="246" t="str">
        <f>BS!$D$5</f>
        <v>31 March 2026</v>
      </c>
      <c r="LGR80" s="247" t="str">
        <f>BS!$E$5</f>
        <v>31 March 2025</v>
      </c>
      <c r="LGS80" s="1717"/>
      <c r="LGT80" s="1718"/>
      <c r="LGU80" s="1718"/>
      <c r="LGV80" s="1718"/>
      <c r="LGW80" s="1718"/>
      <c r="LGX80" s="246"/>
      <c r="LGY80" s="246" t="str">
        <f>BS!$D$5</f>
        <v>31 March 2026</v>
      </c>
      <c r="LGZ80" s="247" t="str">
        <f>BS!$E$5</f>
        <v>31 March 2025</v>
      </c>
      <c r="LHA80" s="1717"/>
      <c r="LHB80" s="1718"/>
      <c r="LHC80" s="1718"/>
      <c r="LHD80" s="1718"/>
      <c r="LHE80" s="1718"/>
      <c r="LHF80" s="246"/>
      <c r="LHG80" s="246" t="str">
        <f>BS!$D$5</f>
        <v>31 March 2026</v>
      </c>
      <c r="LHH80" s="247" t="str">
        <f>BS!$E$5</f>
        <v>31 March 2025</v>
      </c>
      <c r="LHI80" s="1717"/>
      <c r="LHJ80" s="1718"/>
      <c r="LHK80" s="1718"/>
      <c r="LHL80" s="1718"/>
      <c r="LHM80" s="1718"/>
      <c r="LHN80" s="246"/>
      <c r="LHO80" s="246" t="str">
        <f>BS!$D$5</f>
        <v>31 March 2026</v>
      </c>
      <c r="LHP80" s="247" t="str">
        <f>BS!$E$5</f>
        <v>31 March 2025</v>
      </c>
      <c r="LHQ80" s="1717"/>
      <c r="LHR80" s="1718"/>
      <c r="LHS80" s="1718"/>
      <c r="LHT80" s="1718"/>
      <c r="LHU80" s="1718"/>
      <c r="LHV80" s="246"/>
      <c r="LHW80" s="246" t="str">
        <f>BS!$D$5</f>
        <v>31 March 2026</v>
      </c>
      <c r="LHX80" s="247" t="str">
        <f>BS!$E$5</f>
        <v>31 March 2025</v>
      </c>
      <c r="LHY80" s="1717"/>
      <c r="LHZ80" s="1718"/>
      <c r="LIA80" s="1718"/>
      <c r="LIB80" s="1718"/>
      <c r="LIC80" s="1718"/>
      <c r="LID80" s="246"/>
      <c r="LIE80" s="246" t="str">
        <f>BS!$D$5</f>
        <v>31 March 2026</v>
      </c>
      <c r="LIF80" s="247" t="str">
        <f>BS!$E$5</f>
        <v>31 March 2025</v>
      </c>
      <c r="LIG80" s="1717"/>
      <c r="LIH80" s="1718"/>
      <c r="LII80" s="1718"/>
      <c r="LIJ80" s="1718"/>
      <c r="LIK80" s="1718"/>
      <c r="LIL80" s="246"/>
      <c r="LIM80" s="246" t="str">
        <f>BS!$D$5</f>
        <v>31 March 2026</v>
      </c>
      <c r="LIN80" s="247" t="str">
        <f>BS!$E$5</f>
        <v>31 March 2025</v>
      </c>
      <c r="LIO80" s="1717"/>
      <c r="LIP80" s="1718"/>
      <c r="LIQ80" s="1718"/>
      <c r="LIR80" s="1718"/>
      <c r="LIS80" s="1718"/>
      <c r="LIT80" s="246"/>
      <c r="LIU80" s="246" t="str">
        <f>BS!$D$5</f>
        <v>31 March 2026</v>
      </c>
      <c r="LIV80" s="247" t="str">
        <f>BS!$E$5</f>
        <v>31 March 2025</v>
      </c>
      <c r="LIW80" s="1717"/>
      <c r="LIX80" s="1718"/>
      <c r="LIY80" s="1718"/>
      <c r="LIZ80" s="1718"/>
      <c r="LJA80" s="1718"/>
      <c r="LJB80" s="246"/>
      <c r="LJC80" s="246" t="str">
        <f>BS!$D$5</f>
        <v>31 March 2026</v>
      </c>
      <c r="LJD80" s="247" t="str">
        <f>BS!$E$5</f>
        <v>31 March 2025</v>
      </c>
      <c r="LJE80" s="1717"/>
      <c r="LJF80" s="1718"/>
      <c r="LJG80" s="1718"/>
      <c r="LJH80" s="1718"/>
      <c r="LJI80" s="1718"/>
      <c r="LJJ80" s="246"/>
      <c r="LJK80" s="246" t="str">
        <f>BS!$D$5</f>
        <v>31 March 2026</v>
      </c>
      <c r="LJL80" s="247" t="str">
        <f>BS!$E$5</f>
        <v>31 March 2025</v>
      </c>
      <c r="LJM80" s="1717"/>
      <c r="LJN80" s="1718"/>
      <c r="LJO80" s="1718"/>
      <c r="LJP80" s="1718"/>
      <c r="LJQ80" s="1718"/>
      <c r="LJR80" s="246"/>
      <c r="LJS80" s="246" t="str">
        <f>BS!$D$5</f>
        <v>31 March 2026</v>
      </c>
      <c r="LJT80" s="247" t="str">
        <f>BS!$E$5</f>
        <v>31 March 2025</v>
      </c>
      <c r="LJU80" s="1717"/>
      <c r="LJV80" s="1718"/>
      <c r="LJW80" s="1718"/>
      <c r="LJX80" s="1718"/>
      <c r="LJY80" s="1718"/>
      <c r="LJZ80" s="246"/>
      <c r="LKA80" s="246" t="str">
        <f>BS!$D$5</f>
        <v>31 March 2026</v>
      </c>
      <c r="LKB80" s="247" t="str">
        <f>BS!$E$5</f>
        <v>31 March 2025</v>
      </c>
      <c r="LKC80" s="1717"/>
      <c r="LKD80" s="1718"/>
      <c r="LKE80" s="1718"/>
      <c r="LKF80" s="1718"/>
      <c r="LKG80" s="1718"/>
      <c r="LKH80" s="246"/>
      <c r="LKI80" s="246" t="str">
        <f>BS!$D$5</f>
        <v>31 March 2026</v>
      </c>
      <c r="LKJ80" s="247" t="str">
        <f>BS!$E$5</f>
        <v>31 March 2025</v>
      </c>
      <c r="LKK80" s="1717"/>
      <c r="LKL80" s="1718"/>
      <c r="LKM80" s="1718"/>
      <c r="LKN80" s="1718"/>
      <c r="LKO80" s="1718"/>
      <c r="LKP80" s="246"/>
      <c r="LKQ80" s="246" t="str">
        <f>BS!$D$5</f>
        <v>31 March 2026</v>
      </c>
      <c r="LKR80" s="247" t="str">
        <f>BS!$E$5</f>
        <v>31 March 2025</v>
      </c>
      <c r="LKS80" s="1717"/>
      <c r="LKT80" s="1718"/>
      <c r="LKU80" s="1718"/>
      <c r="LKV80" s="1718"/>
      <c r="LKW80" s="1718"/>
      <c r="LKX80" s="246"/>
      <c r="LKY80" s="246" t="str">
        <f>BS!$D$5</f>
        <v>31 March 2026</v>
      </c>
      <c r="LKZ80" s="247" t="str">
        <f>BS!$E$5</f>
        <v>31 March 2025</v>
      </c>
      <c r="LLA80" s="1717"/>
      <c r="LLB80" s="1718"/>
      <c r="LLC80" s="1718"/>
      <c r="LLD80" s="1718"/>
      <c r="LLE80" s="1718"/>
      <c r="LLF80" s="246"/>
      <c r="LLG80" s="246" t="str">
        <f>BS!$D$5</f>
        <v>31 March 2026</v>
      </c>
      <c r="LLH80" s="247" t="str">
        <f>BS!$E$5</f>
        <v>31 March 2025</v>
      </c>
      <c r="LLI80" s="1717"/>
      <c r="LLJ80" s="1718"/>
      <c r="LLK80" s="1718"/>
      <c r="LLL80" s="1718"/>
      <c r="LLM80" s="1718"/>
      <c r="LLN80" s="246"/>
      <c r="LLO80" s="246" t="str">
        <f>BS!$D$5</f>
        <v>31 March 2026</v>
      </c>
      <c r="LLP80" s="247" t="str">
        <f>BS!$E$5</f>
        <v>31 March 2025</v>
      </c>
      <c r="LLQ80" s="1717"/>
      <c r="LLR80" s="1718"/>
      <c r="LLS80" s="1718"/>
      <c r="LLT80" s="1718"/>
      <c r="LLU80" s="1718"/>
      <c r="LLV80" s="246"/>
      <c r="LLW80" s="246" t="str">
        <f>BS!$D$5</f>
        <v>31 March 2026</v>
      </c>
      <c r="LLX80" s="247" t="str">
        <f>BS!$E$5</f>
        <v>31 March 2025</v>
      </c>
      <c r="LLY80" s="1717"/>
      <c r="LLZ80" s="1718"/>
      <c r="LMA80" s="1718"/>
      <c r="LMB80" s="1718"/>
      <c r="LMC80" s="1718"/>
      <c r="LMD80" s="246"/>
      <c r="LME80" s="246" t="str">
        <f>BS!$D$5</f>
        <v>31 March 2026</v>
      </c>
      <c r="LMF80" s="247" t="str">
        <f>BS!$E$5</f>
        <v>31 March 2025</v>
      </c>
      <c r="LMG80" s="1717"/>
      <c r="LMH80" s="1718"/>
      <c r="LMI80" s="1718"/>
      <c r="LMJ80" s="1718"/>
      <c r="LMK80" s="1718"/>
      <c r="LML80" s="246"/>
      <c r="LMM80" s="246" t="str">
        <f>BS!$D$5</f>
        <v>31 March 2026</v>
      </c>
      <c r="LMN80" s="247" t="str">
        <f>BS!$E$5</f>
        <v>31 March 2025</v>
      </c>
      <c r="LMO80" s="1717"/>
      <c r="LMP80" s="1718"/>
      <c r="LMQ80" s="1718"/>
      <c r="LMR80" s="1718"/>
      <c r="LMS80" s="1718"/>
      <c r="LMT80" s="246"/>
      <c r="LMU80" s="246" t="str">
        <f>BS!$D$5</f>
        <v>31 March 2026</v>
      </c>
      <c r="LMV80" s="247" t="str">
        <f>BS!$E$5</f>
        <v>31 March 2025</v>
      </c>
      <c r="LMW80" s="1717"/>
      <c r="LMX80" s="1718"/>
      <c r="LMY80" s="1718"/>
      <c r="LMZ80" s="1718"/>
      <c r="LNA80" s="1718"/>
      <c r="LNB80" s="246"/>
      <c r="LNC80" s="246" t="str">
        <f>BS!$D$5</f>
        <v>31 March 2026</v>
      </c>
      <c r="LND80" s="247" t="str">
        <f>BS!$E$5</f>
        <v>31 March 2025</v>
      </c>
      <c r="LNE80" s="1717"/>
      <c r="LNF80" s="1718"/>
      <c r="LNG80" s="1718"/>
      <c r="LNH80" s="1718"/>
      <c r="LNI80" s="1718"/>
      <c r="LNJ80" s="246"/>
      <c r="LNK80" s="246" t="str">
        <f>BS!$D$5</f>
        <v>31 March 2026</v>
      </c>
      <c r="LNL80" s="247" t="str">
        <f>BS!$E$5</f>
        <v>31 March 2025</v>
      </c>
      <c r="LNM80" s="1717"/>
      <c r="LNN80" s="1718"/>
      <c r="LNO80" s="1718"/>
      <c r="LNP80" s="1718"/>
      <c r="LNQ80" s="1718"/>
      <c r="LNR80" s="246"/>
      <c r="LNS80" s="246" t="str">
        <f>BS!$D$5</f>
        <v>31 March 2026</v>
      </c>
      <c r="LNT80" s="247" t="str">
        <f>BS!$E$5</f>
        <v>31 March 2025</v>
      </c>
      <c r="LNU80" s="1717"/>
      <c r="LNV80" s="1718"/>
      <c r="LNW80" s="1718"/>
      <c r="LNX80" s="1718"/>
      <c r="LNY80" s="1718"/>
      <c r="LNZ80" s="246"/>
      <c r="LOA80" s="246" t="str">
        <f>BS!$D$5</f>
        <v>31 March 2026</v>
      </c>
      <c r="LOB80" s="247" t="str">
        <f>BS!$E$5</f>
        <v>31 March 2025</v>
      </c>
      <c r="LOC80" s="1717"/>
      <c r="LOD80" s="1718"/>
      <c r="LOE80" s="1718"/>
      <c r="LOF80" s="1718"/>
      <c r="LOG80" s="1718"/>
      <c r="LOH80" s="246"/>
      <c r="LOI80" s="246" t="str">
        <f>BS!$D$5</f>
        <v>31 March 2026</v>
      </c>
      <c r="LOJ80" s="247" t="str">
        <f>BS!$E$5</f>
        <v>31 March 2025</v>
      </c>
      <c r="LOK80" s="1717"/>
      <c r="LOL80" s="1718"/>
      <c r="LOM80" s="1718"/>
      <c r="LON80" s="1718"/>
      <c r="LOO80" s="1718"/>
      <c r="LOP80" s="246"/>
      <c r="LOQ80" s="246" t="str">
        <f>BS!$D$5</f>
        <v>31 March 2026</v>
      </c>
      <c r="LOR80" s="247" t="str">
        <f>BS!$E$5</f>
        <v>31 March 2025</v>
      </c>
      <c r="LOS80" s="1717"/>
      <c r="LOT80" s="1718"/>
      <c r="LOU80" s="1718"/>
      <c r="LOV80" s="1718"/>
      <c r="LOW80" s="1718"/>
      <c r="LOX80" s="246"/>
      <c r="LOY80" s="246" t="str">
        <f>BS!$D$5</f>
        <v>31 March 2026</v>
      </c>
      <c r="LOZ80" s="247" t="str">
        <f>BS!$E$5</f>
        <v>31 March 2025</v>
      </c>
      <c r="LPA80" s="1717"/>
      <c r="LPB80" s="1718"/>
      <c r="LPC80" s="1718"/>
      <c r="LPD80" s="1718"/>
      <c r="LPE80" s="1718"/>
      <c r="LPF80" s="246"/>
      <c r="LPG80" s="246" t="str">
        <f>BS!$D$5</f>
        <v>31 March 2026</v>
      </c>
      <c r="LPH80" s="247" t="str">
        <f>BS!$E$5</f>
        <v>31 March 2025</v>
      </c>
      <c r="LPI80" s="1717"/>
      <c r="LPJ80" s="1718"/>
      <c r="LPK80" s="1718"/>
      <c r="LPL80" s="1718"/>
      <c r="LPM80" s="1718"/>
      <c r="LPN80" s="246"/>
      <c r="LPO80" s="246" t="str">
        <f>BS!$D$5</f>
        <v>31 March 2026</v>
      </c>
      <c r="LPP80" s="247" t="str">
        <f>BS!$E$5</f>
        <v>31 March 2025</v>
      </c>
      <c r="LPQ80" s="1717"/>
      <c r="LPR80" s="1718"/>
      <c r="LPS80" s="1718"/>
      <c r="LPT80" s="1718"/>
      <c r="LPU80" s="1718"/>
      <c r="LPV80" s="246"/>
      <c r="LPW80" s="246" t="str">
        <f>BS!$D$5</f>
        <v>31 March 2026</v>
      </c>
      <c r="LPX80" s="247" t="str">
        <f>BS!$E$5</f>
        <v>31 March 2025</v>
      </c>
      <c r="LPY80" s="1717"/>
      <c r="LPZ80" s="1718"/>
      <c r="LQA80" s="1718"/>
      <c r="LQB80" s="1718"/>
      <c r="LQC80" s="1718"/>
      <c r="LQD80" s="246"/>
      <c r="LQE80" s="246" t="str">
        <f>BS!$D$5</f>
        <v>31 March 2026</v>
      </c>
      <c r="LQF80" s="247" t="str">
        <f>BS!$E$5</f>
        <v>31 March 2025</v>
      </c>
      <c r="LQG80" s="1717"/>
      <c r="LQH80" s="1718"/>
      <c r="LQI80" s="1718"/>
      <c r="LQJ80" s="1718"/>
      <c r="LQK80" s="1718"/>
      <c r="LQL80" s="246"/>
      <c r="LQM80" s="246" t="str">
        <f>BS!$D$5</f>
        <v>31 March 2026</v>
      </c>
      <c r="LQN80" s="247" t="str">
        <f>BS!$E$5</f>
        <v>31 March 2025</v>
      </c>
      <c r="LQO80" s="1717"/>
      <c r="LQP80" s="1718"/>
      <c r="LQQ80" s="1718"/>
      <c r="LQR80" s="1718"/>
      <c r="LQS80" s="1718"/>
      <c r="LQT80" s="246"/>
      <c r="LQU80" s="246" t="str">
        <f>BS!$D$5</f>
        <v>31 March 2026</v>
      </c>
      <c r="LQV80" s="247" t="str">
        <f>BS!$E$5</f>
        <v>31 March 2025</v>
      </c>
      <c r="LQW80" s="1717"/>
      <c r="LQX80" s="1718"/>
      <c r="LQY80" s="1718"/>
      <c r="LQZ80" s="1718"/>
      <c r="LRA80" s="1718"/>
      <c r="LRB80" s="246"/>
      <c r="LRC80" s="246" t="str">
        <f>BS!$D$5</f>
        <v>31 March 2026</v>
      </c>
      <c r="LRD80" s="247" t="str">
        <f>BS!$E$5</f>
        <v>31 March 2025</v>
      </c>
      <c r="LRE80" s="1717"/>
      <c r="LRF80" s="1718"/>
      <c r="LRG80" s="1718"/>
      <c r="LRH80" s="1718"/>
      <c r="LRI80" s="1718"/>
      <c r="LRJ80" s="246"/>
      <c r="LRK80" s="246" t="str">
        <f>BS!$D$5</f>
        <v>31 March 2026</v>
      </c>
      <c r="LRL80" s="247" t="str">
        <f>BS!$E$5</f>
        <v>31 March 2025</v>
      </c>
      <c r="LRM80" s="1717"/>
      <c r="LRN80" s="1718"/>
      <c r="LRO80" s="1718"/>
      <c r="LRP80" s="1718"/>
      <c r="LRQ80" s="1718"/>
      <c r="LRR80" s="246"/>
      <c r="LRS80" s="246" t="str">
        <f>BS!$D$5</f>
        <v>31 March 2026</v>
      </c>
      <c r="LRT80" s="247" t="str">
        <f>BS!$E$5</f>
        <v>31 March 2025</v>
      </c>
      <c r="LRU80" s="1717"/>
      <c r="LRV80" s="1718"/>
      <c r="LRW80" s="1718"/>
      <c r="LRX80" s="1718"/>
      <c r="LRY80" s="1718"/>
      <c r="LRZ80" s="246"/>
      <c r="LSA80" s="246" t="str">
        <f>BS!$D$5</f>
        <v>31 March 2026</v>
      </c>
      <c r="LSB80" s="247" t="str">
        <f>BS!$E$5</f>
        <v>31 March 2025</v>
      </c>
      <c r="LSC80" s="1717"/>
      <c r="LSD80" s="1718"/>
      <c r="LSE80" s="1718"/>
      <c r="LSF80" s="1718"/>
      <c r="LSG80" s="1718"/>
      <c r="LSH80" s="246"/>
      <c r="LSI80" s="246" t="str">
        <f>BS!$D$5</f>
        <v>31 March 2026</v>
      </c>
      <c r="LSJ80" s="247" t="str">
        <f>BS!$E$5</f>
        <v>31 March 2025</v>
      </c>
      <c r="LSK80" s="1717"/>
      <c r="LSL80" s="1718"/>
      <c r="LSM80" s="1718"/>
      <c r="LSN80" s="1718"/>
      <c r="LSO80" s="1718"/>
      <c r="LSP80" s="246"/>
      <c r="LSQ80" s="246" t="str">
        <f>BS!$D$5</f>
        <v>31 March 2026</v>
      </c>
      <c r="LSR80" s="247" t="str">
        <f>BS!$E$5</f>
        <v>31 March 2025</v>
      </c>
      <c r="LSS80" s="1717"/>
      <c r="LST80" s="1718"/>
      <c r="LSU80" s="1718"/>
      <c r="LSV80" s="1718"/>
      <c r="LSW80" s="1718"/>
      <c r="LSX80" s="246"/>
      <c r="LSY80" s="246" t="str">
        <f>BS!$D$5</f>
        <v>31 March 2026</v>
      </c>
      <c r="LSZ80" s="247" t="str">
        <f>BS!$E$5</f>
        <v>31 March 2025</v>
      </c>
      <c r="LTA80" s="1717"/>
      <c r="LTB80" s="1718"/>
      <c r="LTC80" s="1718"/>
      <c r="LTD80" s="1718"/>
      <c r="LTE80" s="1718"/>
      <c r="LTF80" s="246"/>
      <c r="LTG80" s="246" t="str">
        <f>BS!$D$5</f>
        <v>31 March 2026</v>
      </c>
      <c r="LTH80" s="247" t="str">
        <f>BS!$E$5</f>
        <v>31 March 2025</v>
      </c>
      <c r="LTI80" s="1717"/>
      <c r="LTJ80" s="1718"/>
      <c r="LTK80" s="1718"/>
      <c r="LTL80" s="1718"/>
      <c r="LTM80" s="1718"/>
      <c r="LTN80" s="246"/>
      <c r="LTO80" s="246" t="str">
        <f>BS!$D$5</f>
        <v>31 March 2026</v>
      </c>
      <c r="LTP80" s="247" t="str">
        <f>BS!$E$5</f>
        <v>31 March 2025</v>
      </c>
      <c r="LTQ80" s="1717"/>
      <c r="LTR80" s="1718"/>
      <c r="LTS80" s="1718"/>
      <c r="LTT80" s="1718"/>
      <c r="LTU80" s="1718"/>
      <c r="LTV80" s="246"/>
      <c r="LTW80" s="246" t="str">
        <f>BS!$D$5</f>
        <v>31 March 2026</v>
      </c>
      <c r="LTX80" s="247" t="str">
        <f>BS!$E$5</f>
        <v>31 March 2025</v>
      </c>
      <c r="LTY80" s="1717"/>
      <c r="LTZ80" s="1718"/>
      <c r="LUA80" s="1718"/>
      <c r="LUB80" s="1718"/>
      <c r="LUC80" s="1718"/>
      <c r="LUD80" s="246"/>
      <c r="LUE80" s="246" t="str">
        <f>BS!$D$5</f>
        <v>31 March 2026</v>
      </c>
      <c r="LUF80" s="247" t="str">
        <f>BS!$E$5</f>
        <v>31 March 2025</v>
      </c>
      <c r="LUG80" s="1717"/>
      <c r="LUH80" s="1718"/>
      <c r="LUI80" s="1718"/>
      <c r="LUJ80" s="1718"/>
      <c r="LUK80" s="1718"/>
      <c r="LUL80" s="246"/>
      <c r="LUM80" s="246" t="str">
        <f>BS!$D$5</f>
        <v>31 March 2026</v>
      </c>
      <c r="LUN80" s="247" t="str">
        <f>BS!$E$5</f>
        <v>31 March 2025</v>
      </c>
      <c r="LUO80" s="1717"/>
      <c r="LUP80" s="1718"/>
      <c r="LUQ80" s="1718"/>
      <c r="LUR80" s="1718"/>
      <c r="LUS80" s="1718"/>
      <c r="LUT80" s="246"/>
      <c r="LUU80" s="246" t="str">
        <f>BS!$D$5</f>
        <v>31 March 2026</v>
      </c>
      <c r="LUV80" s="247" t="str">
        <f>BS!$E$5</f>
        <v>31 March 2025</v>
      </c>
      <c r="LUW80" s="1717"/>
      <c r="LUX80" s="1718"/>
      <c r="LUY80" s="1718"/>
      <c r="LUZ80" s="1718"/>
      <c r="LVA80" s="1718"/>
      <c r="LVB80" s="246"/>
      <c r="LVC80" s="246" t="str">
        <f>BS!$D$5</f>
        <v>31 March 2026</v>
      </c>
      <c r="LVD80" s="247" t="str">
        <f>BS!$E$5</f>
        <v>31 March 2025</v>
      </c>
      <c r="LVE80" s="1717"/>
      <c r="LVF80" s="1718"/>
      <c r="LVG80" s="1718"/>
      <c r="LVH80" s="1718"/>
      <c r="LVI80" s="1718"/>
      <c r="LVJ80" s="246"/>
      <c r="LVK80" s="246" t="str">
        <f>BS!$D$5</f>
        <v>31 March 2026</v>
      </c>
      <c r="LVL80" s="247" t="str">
        <f>BS!$E$5</f>
        <v>31 March 2025</v>
      </c>
      <c r="LVM80" s="1717"/>
      <c r="LVN80" s="1718"/>
      <c r="LVO80" s="1718"/>
      <c r="LVP80" s="1718"/>
      <c r="LVQ80" s="1718"/>
      <c r="LVR80" s="246"/>
      <c r="LVS80" s="246" t="str">
        <f>BS!$D$5</f>
        <v>31 March 2026</v>
      </c>
      <c r="LVT80" s="247" t="str">
        <f>BS!$E$5</f>
        <v>31 March 2025</v>
      </c>
      <c r="LVU80" s="1717"/>
      <c r="LVV80" s="1718"/>
      <c r="LVW80" s="1718"/>
      <c r="LVX80" s="1718"/>
      <c r="LVY80" s="1718"/>
      <c r="LVZ80" s="246"/>
      <c r="LWA80" s="246" t="str">
        <f>BS!$D$5</f>
        <v>31 March 2026</v>
      </c>
      <c r="LWB80" s="247" t="str">
        <f>BS!$E$5</f>
        <v>31 March 2025</v>
      </c>
      <c r="LWC80" s="1717"/>
      <c r="LWD80" s="1718"/>
      <c r="LWE80" s="1718"/>
      <c r="LWF80" s="1718"/>
      <c r="LWG80" s="1718"/>
      <c r="LWH80" s="246"/>
      <c r="LWI80" s="246" t="str">
        <f>BS!$D$5</f>
        <v>31 March 2026</v>
      </c>
      <c r="LWJ80" s="247" t="str">
        <f>BS!$E$5</f>
        <v>31 March 2025</v>
      </c>
      <c r="LWK80" s="1717"/>
      <c r="LWL80" s="1718"/>
      <c r="LWM80" s="1718"/>
      <c r="LWN80" s="1718"/>
      <c r="LWO80" s="1718"/>
      <c r="LWP80" s="246"/>
      <c r="LWQ80" s="246" t="str">
        <f>BS!$D$5</f>
        <v>31 March 2026</v>
      </c>
      <c r="LWR80" s="247" t="str">
        <f>BS!$E$5</f>
        <v>31 March 2025</v>
      </c>
      <c r="LWS80" s="1717"/>
      <c r="LWT80" s="1718"/>
      <c r="LWU80" s="1718"/>
      <c r="LWV80" s="1718"/>
      <c r="LWW80" s="1718"/>
      <c r="LWX80" s="246"/>
      <c r="LWY80" s="246" t="str">
        <f>BS!$D$5</f>
        <v>31 March 2026</v>
      </c>
      <c r="LWZ80" s="247" t="str">
        <f>BS!$E$5</f>
        <v>31 March 2025</v>
      </c>
      <c r="LXA80" s="1717"/>
      <c r="LXB80" s="1718"/>
      <c r="LXC80" s="1718"/>
      <c r="LXD80" s="1718"/>
      <c r="LXE80" s="1718"/>
      <c r="LXF80" s="246"/>
      <c r="LXG80" s="246" t="str">
        <f>BS!$D$5</f>
        <v>31 March 2026</v>
      </c>
      <c r="LXH80" s="247" t="str">
        <f>BS!$E$5</f>
        <v>31 March 2025</v>
      </c>
      <c r="LXI80" s="1717"/>
      <c r="LXJ80" s="1718"/>
      <c r="LXK80" s="1718"/>
      <c r="LXL80" s="1718"/>
      <c r="LXM80" s="1718"/>
      <c r="LXN80" s="246"/>
      <c r="LXO80" s="246" t="str">
        <f>BS!$D$5</f>
        <v>31 March 2026</v>
      </c>
      <c r="LXP80" s="247" t="str">
        <f>BS!$E$5</f>
        <v>31 March 2025</v>
      </c>
      <c r="LXQ80" s="1717"/>
      <c r="LXR80" s="1718"/>
      <c r="LXS80" s="1718"/>
      <c r="LXT80" s="1718"/>
      <c r="LXU80" s="1718"/>
      <c r="LXV80" s="246"/>
      <c r="LXW80" s="246" t="str">
        <f>BS!$D$5</f>
        <v>31 March 2026</v>
      </c>
      <c r="LXX80" s="247" t="str">
        <f>BS!$E$5</f>
        <v>31 March 2025</v>
      </c>
      <c r="LXY80" s="1717"/>
      <c r="LXZ80" s="1718"/>
      <c r="LYA80" s="1718"/>
      <c r="LYB80" s="1718"/>
      <c r="LYC80" s="1718"/>
      <c r="LYD80" s="246"/>
      <c r="LYE80" s="246" t="str">
        <f>BS!$D$5</f>
        <v>31 March 2026</v>
      </c>
      <c r="LYF80" s="247" t="str">
        <f>BS!$E$5</f>
        <v>31 March 2025</v>
      </c>
      <c r="LYG80" s="1717"/>
      <c r="LYH80" s="1718"/>
      <c r="LYI80" s="1718"/>
      <c r="LYJ80" s="1718"/>
      <c r="LYK80" s="1718"/>
      <c r="LYL80" s="246"/>
      <c r="LYM80" s="246" t="str">
        <f>BS!$D$5</f>
        <v>31 March 2026</v>
      </c>
      <c r="LYN80" s="247" t="str">
        <f>BS!$E$5</f>
        <v>31 March 2025</v>
      </c>
      <c r="LYO80" s="1717"/>
      <c r="LYP80" s="1718"/>
      <c r="LYQ80" s="1718"/>
      <c r="LYR80" s="1718"/>
      <c r="LYS80" s="1718"/>
      <c r="LYT80" s="246"/>
      <c r="LYU80" s="246" t="str">
        <f>BS!$D$5</f>
        <v>31 March 2026</v>
      </c>
      <c r="LYV80" s="247" t="str">
        <f>BS!$E$5</f>
        <v>31 March 2025</v>
      </c>
      <c r="LYW80" s="1717"/>
      <c r="LYX80" s="1718"/>
      <c r="LYY80" s="1718"/>
      <c r="LYZ80" s="1718"/>
      <c r="LZA80" s="1718"/>
      <c r="LZB80" s="246"/>
      <c r="LZC80" s="246" t="str">
        <f>BS!$D$5</f>
        <v>31 March 2026</v>
      </c>
      <c r="LZD80" s="247" t="str">
        <f>BS!$E$5</f>
        <v>31 March 2025</v>
      </c>
      <c r="LZE80" s="1717"/>
      <c r="LZF80" s="1718"/>
      <c r="LZG80" s="1718"/>
      <c r="LZH80" s="1718"/>
      <c r="LZI80" s="1718"/>
      <c r="LZJ80" s="246"/>
      <c r="LZK80" s="246" t="str">
        <f>BS!$D$5</f>
        <v>31 March 2026</v>
      </c>
      <c r="LZL80" s="247" t="str">
        <f>BS!$E$5</f>
        <v>31 March 2025</v>
      </c>
      <c r="LZM80" s="1717"/>
      <c r="LZN80" s="1718"/>
      <c r="LZO80" s="1718"/>
      <c r="LZP80" s="1718"/>
      <c r="LZQ80" s="1718"/>
      <c r="LZR80" s="246"/>
      <c r="LZS80" s="246" t="str">
        <f>BS!$D$5</f>
        <v>31 March 2026</v>
      </c>
      <c r="LZT80" s="247" t="str">
        <f>BS!$E$5</f>
        <v>31 March 2025</v>
      </c>
      <c r="LZU80" s="1717"/>
      <c r="LZV80" s="1718"/>
      <c r="LZW80" s="1718"/>
      <c r="LZX80" s="1718"/>
      <c r="LZY80" s="1718"/>
      <c r="LZZ80" s="246"/>
      <c r="MAA80" s="246" t="str">
        <f>BS!$D$5</f>
        <v>31 March 2026</v>
      </c>
      <c r="MAB80" s="247" t="str">
        <f>BS!$E$5</f>
        <v>31 March 2025</v>
      </c>
      <c r="MAC80" s="1717"/>
      <c r="MAD80" s="1718"/>
      <c r="MAE80" s="1718"/>
      <c r="MAF80" s="1718"/>
      <c r="MAG80" s="1718"/>
      <c r="MAH80" s="246"/>
      <c r="MAI80" s="246" t="str">
        <f>BS!$D$5</f>
        <v>31 March 2026</v>
      </c>
      <c r="MAJ80" s="247" t="str">
        <f>BS!$E$5</f>
        <v>31 March 2025</v>
      </c>
      <c r="MAK80" s="1717"/>
      <c r="MAL80" s="1718"/>
      <c r="MAM80" s="1718"/>
      <c r="MAN80" s="1718"/>
      <c r="MAO80" s="1718"/>
      <c r="MAP80" s="246"/>
      <c r="MAQ80" s="246" t="str">
        <f>BS!$D$5</f>
        <v>31 March 2026</v>
      </c>
      <c r="MAR80" s="247" t="str">
        <f>BS!$E$5</f>
        <v>31 March 2025</v>
      </c>
      <c r="MAS80" s="1717"/>
      <c r="MAT80" s="1718"/>
      <c r="MAU80" s="1718"/>
      <c r="MAV80" s="1718"/>
      <c r="MAW80" s="1718"/>
      <c r="MAX80" s="246"/>
      <c r="MAY80" s="246" t="str">
        <f>BS!$D$5</f>
        <v>31 March 2026</v>
      </c>
      <c r="MAZ80" s="247" t="str">
        <f>BS!$E$5</f>
        <v>31 March 2025</v>
      </c>
      <c r="MBA80" s="1717"/>
      <c r="MBB80" s="1718"/>
      <c r="MBC80" s="1718"/>
      <c r="MBD80" s="1718"/>
      <c r="MBE80" s="1718"/>
      <c r="MBF80" s="246"/>
      <c r="MBG80" s="246" t="str">
        <f>BS!$D$5</f>
        <v>31 March 2026</v>
      </c>
      <c r="MBH80" s="247" t="str">
        <f>BS!$E$5</f>
        <v>31 March 2025</v>
      </c>
      <c r="MBI80" s="1717"/>
      <c r="MBJ80" s="1718"/>
      <c r="MBK80" s="1718"/>
      <c r="MBL80" s="1718"/>
      <c r="MBM80" s="1718"/>
      <c r="MBN80" s="246"/>
      <c r="MBO80" s="246" t="str">
        <f>BS!$D$5</f>
        <v>31 March 2026</v>
      </c>
      <c r="MBP80" s="247" t="str">
        <f>BS!$E$5</f>
        <v>31 March 2025</v>
      </c>
      <c r="MBQ80" s="1717"/>
      <c r="MBR80" s="1718"/>
      <c r="MBS80" s="1718"/>
      <c r="MBT80" s="1718"/>
      <c r="MBU80" s="1718"/>
      <c r="MBV80" s="246"/>
      <c r="MBW80" s="246" t="str">
        <f>BS!$D$5</f>
        <v>31 March 2026</v>
      </c>
      <c r="MBX80" s="247" t="str">
        <f>BS!$E$5</f>
        <v>31 March 2025</v>
      </c>
      <c r="MBY80" s="1717"/>
      <c r="MBZ80" s="1718"/>
      <c r="MCA80" s="1718"/>
      <c r="MCB80" s="1718"/>
      <c r="MCC80" s="1718"/>
      <c r="MCD80" s="246"/>
      <c r="MCE80" s="246" t="str">
        <f>BS!$D$5</f>
        <v>31 March 2026</v>
      </c>
      <c r="MCF80" s="247" t="str">
        <f>BS!$E$5</f>
        <v>31 March 2025</v>
      </c>
      <c r="MCG80" s="1717"/>
      <c r="MCH80" s="1718"/>
      <c r="MCI80" s="1718"/>
      <c r="MCJ80" s="1718"/>
      <c r="MCK80" s="1718"/>
      <c r="MCL80" s="246"/>
      <c r="MCM80" s="246" t="str">
        <f>BS!$D$5</f>
        <v>31 March 2026</v>
      </c>
      <c r="MCN80" s="247" t="str">
        <f>BS!$E$5</f>
        <v>31 March 2025</v>
      </c>
      <c r="MCO80" s="1717"/>
      <c r="MCP80" s="1718"/>
      <c r="MCQ80" s="1718"/>
      <c r="MCR80" s="1718"/>
      <c r="MCS80" s="1718"/>
      <c r="MCT80" s="246"/>
      <c r="MCU80" s="246" t="str">
        <f>BS!$D$5</f>
        <v>31 March 2026</v>
      </c>
      <c r="MCV80" s="247" t="str">
        <f>BS!$E$5</f>
        <v>31 March 2025</v>
      </c>
      <c r="MCW80" s="1717"/>
      <c r="MCX80" s="1718"/>
      <c r="MCY80" s="1718"/>
      <c r="MCZ80" s="1718"/>
      <c r="MDA80" s="1718"/>
      <c r="MDB80" s="246"/>
      <c r="MDC80" s="246" t="str">
        <f>BS!$D$5</f>
        <v>31 March 2026</v>
      </c>
      <c r="MDD80" s="247" t="str">
        <f>BS!$E$5</f>
        <v>31 March 2025</v>
      </c>
      <c r="MDE80" s="1717"/>
      <c r="MDF80" s="1718"/>
      <c r="MDG80" s="1718"/>
      <c r="MDH80" s="1718"/>
      <c r="MDI80" s="1718"/>
      <c r="MDJ80" s="246"/>
      <c r="MDK80" s="246" t="str">
        <f>BS!$D$5</f>
        <v>31 March 2026</v>
      </c>
      <c r="MDL80" s="247" t="str">
        <f>BS!$E$5</f>
        <v>31 March 2025</v>
      </c>
      <c r="MDM80" s="1717"/>
      <c r="MDN80" s="1718"/>
      <c r="MDO80" s="1718"/>
      <c r="MDP80" s="1718"/>
      <c r="MDQ80" s="1718"/>
      <c r="MDR80" s="246"/>
      <c r="MDS80" s="246" t="str">
        <f>BS!$D$5</f>
        <v>31 March 2026</v>
      </c>
      <c r="MDT80" s="247" t="str">
        <f>BS!$E$5</f>
        <v>31 March 2025</v>
      </c>
      <c r="MDU80" s="1717"/>
      <c r="MDV80" s="1718"/>
      <c r="MDW80" s="1718"/>
      <c r="MDX80" s="1718"/>
      <c r="MDY80" s="1718"/>
      <c r="MDZ80" s="246"/>
      <c r="MEA80" s="246" t="str">
        <f>BS!$D$5</f>
        <v>31 March 2026</v>
      </c>
      <c r="MEB80" s="247" t="str">
        <f>BS!$E$5</f>
        <v>31 March 2025</v>
      </c>
      <c r="MEC80" s="1717"/>
      <c r="MED80" s="1718"/>
      <c r="MEE80" s="1718"/>
      <c r="MEF80" s="1718"/>
      <c r="MEG80" s="1718"/>
      <c r="MEH80" s="246"/>
      <c r="MEI80" s="246" t="str">
        <f>BS!$D$5</f>
        <v>31 March 2026</v>
      </c>
      <c r="MEJ80" s="247" t="str">
        <f>BS!$E$5</f>
        <v>31 March 2025</v>
      </c>
      <c r="MEK80" s="1717"/>
      <c r="MEL80" s="1718"/>
      <c r="MEM80" s="1718"/>
      <c r="MEN80" s="1718"/>
      <c r="MEO80" s="1718"/>
      <c r="MEP80" s="246"/>
      <c r="MEQ80" s="246" t="str">
        <f>BS!$D$5</f>
        <v>31 March 2026</v>
      </c>
      <c r="MER80" s="247" t="str">
        <f>BS!$E$5</f>
        <v>31 March 2025</v>
      </c>
      <c r="MES80" s="1717"/>
      <c r="MET80" s="1718"/>
      <c r="MEU80" s="1718"/>
      <c r="MEV80" s="1718"/>
      <c r="MEW80" s="1718"/>
      <c r="MEX80" s="246"/>
      <c r="MEY80" s="246" t="str">
        <f>BS!$D$5</f>
        <v>31 March 2026</v>
      </c>
      <c r="MEZ80" s="247" t="str">
        <f>BS!$E$5</f>
        <v>31 March 2025</v>
      </c>
      <c r="MFA80" s="1717"/>
      <c r="MFB80" s="1718"/>
      <c r="MFC80" s="1718"/>
      <c r="MFD80" s="1718"/>
      <c r="MFE80" s="1718"/>
      <c r="MFF80" s="246"/>
      <c r="MFG80" s="246" t="str">
        <f>BS!$D$5</f>
        <v>31 March 2026</v>
      </c>
      <c r="MFH80" s="247" t="str">
        <f>BS!$E$5</f>
        <v>31 March 2025</v>
      </c>
      <c r="MFI80" s="1717"/>
      <c r="MFJ80" s="1718"/>
      <c r="MFK80" s="1718"/>
      <c r="MFL80" s="1718"/>
      <c r="MFM80" s="1718"/>
      <c r="MFN80" s="246"/>
      <c r="MFO80" s="246" t="str">
        <f>BS!$D$5</f>
        <v>31 March 2026</v>
      </c>
      <c r="MFP80" s="247" t="str">
        <f>BS!$E$5</f>
        <v>31 March 2025</v>
      </c>
      <c r="MFQ80" s="1717"/>
      <c r="MFR80" s="1718"/>
      <c r="MFS80" s="1718"/>
      <c r="MFT80" s="1718"/>
      <c r="MFU80" s="1718"/>
      <c r="MFV80" s="246"/>
      <c r="MFW80" s="246" t="str">
        <f>BS!$D$5</f>
        <v>31 March 2026</v>
      </c>
      <c r="MFX80" s="247" t="str">
        <f>BS!$E$5</f>
        <v>31 March 2025</v>
      </c>
      <c r="MFY80" s="1717"/>
      <c r="MFZ80" s="1718"/>
      <c r="MGA80" s="1718"/>
      <c r="MGB80" s="1718"/>
      <c r="MGC80" s="1718"/>
      <c r="MGD80" s="246"/>
      <c r="MGE80" s="246" t="str">
        <f>BS!$D$5</f>
        <v>31 March 2026</v>
      </c>
      <c r="MGF80" s="247" t="str">
        <f>BS!$E$5</f>
        <v>31 March 2025</v>
      </c>
      <c r="MGG80" s="1717"/>
      <c r="MGH80" s="1718"/>
      <c r="MGI80" s="1718"/>
      <c r="MGJ80" s="1718"/>
      <c r="MGK80" s="1718"/>
      <c r="MGL80" s="246"/>
      <c r="MGM80" s="246" t="str">
        <f>BS!$D$5</f>
        <v>31 March 2026</v>
      </c>
      <c r="MGN80" s="247" t="str">
        <f>BS!$E$5</f>
        <v>31 March 2025</v>
      </c>
      <c r="MGO80" s="1717"/>
      <c r="MGP80" s="1718"/>
      <c r="MGQ80" s="1718"/>
      <c r="MGR80" s="1718"/>
      <c r="MGS80" s="1718"/>
      <c r="MGT80" s="246"/>
      <c r="MGU80" s="246" t="str">
        <f>BS!$D$5</f>
        <v>31 March 2026</v>
      </c>
      <c r="MGV80" s="247" t="str">
        <f>BS!$E$5</f>
        <v>31 March 2025</v>
      </c>
      <c r="MGW80" s="1717"/>
      <c r="MGX80" s="1718"/>
      <c r="MGY80" s="1718"/>
      <c r="MGZ80" s="1718"/>
      <c r="MHA80" s="1718"/>
      <c r="MHB80" s="246"/>
      <c r="MHC80" s="246" t="str">
        <f>BS!$D$5</f>
        <v>31 March 2026</v>
      </c>
      <c r="MHD80" s="247" t="str">
        <f>BS!$E$5</f>
        <v>31 March 2025</v>
      </c>
      <c r="MHE80" s="1717"/>
      <c r="MHF80" s="1718"/>
      <c r="MHG80" s="1718"/>
      <c r="MHH80" s="1718"/>
      <c r="MHI80" s="1718"/>
      <c r="MHJ80" s="246"/>
      <c r="MHK80" s="246" t="str">
        <f>BS!$D$5</f>
        <v>31 March 2026</v>
      </c>
      <c r="MHL80" s="247" t="str">
        <f>BS!$E$5</f>
        <v>31 March 2025</v>
      </c>
      <c r="MHM80" s="1717"/>
      <c r="MHN80" s="1718"/>
      <c r="MHO80" s="1718"/>
      <c r="MHP80" s="1718"/>
      <c r="MHQ80" s="1718"/>
      <c r="MHR80" s="246"/>
      <c r="MHS80" s="246" t="str">
        <f>BS!$D$5</f>
        <v>31 March 2026</v>
      </c>
      <c r="MHT80" s="247" t="str">
        <f>BS!$E$5</f>
        <v>31 March 2025</v>
      </c>
      <c r="MHU80" s="1717"/>
      <c r="MHV80" s="1718"/>
      <c r="MHW80" s="1718"/>
      <c r="MHX80" s="1718"/>
      <c r="MHY80" s="1718"/>
      <c r="MHZ80" s="246"/>
      <c r="MIA80" s="246" t="str">
        <f>BS!$D$5</f>
        <v>31 March 2026</v>
      </c>
      <c r="MIB80" s="247" t="str">
        <f>BS!$E$5</f>
        <v>31 March 2025</v>
      </c>
      <c r="MIC80" s="1717"/>
      <c r="MID80" s="1718"/>
      <c r="MIE80" s="1718"/>
      <c r="MIF80" s="1718"/>
      <c r="MIG80" s="1718"/>
      <c r="MIH80" s="246"/>
      <c r="MII80" s="246" t="str">
        <f>BS!$D$5</f>
        <v>31 March 2026</v>
      </c>
      <c r="MIJ80" s="247" t="str">
        <f>BS!$E$5</f>
        <v>31 March 2025</v>
      </c>
      <c r="MIK80" s="1717"/>
      <c r="MIL80" s="1718"/>
      <c r="MIM80" s="1718"/>
      <c r="MIN80" s="1718"/>
      <c r="MIO80" s="1718"/>
      <c r="MIP80" s="246"/>
      <c r="MIQ80" s="246" t="str">
        <f>BS!$D$5</f>
        <v>31 March 2026</v>
      </c>
      <c r="MIR80" s="247" t="str">
        <f>BS!$E$5</f>
        <v>31 March 2025</v>
      </c>
      <c r="MIS80" s="1717"/>
      <c r="MIT80" s="1718"/>
      <c r="MIU80" s="1718"/>
      <c r="MIV80" s="1718"/>
      <c r="MIW80" s="1718"/>
      <c r="MIX80" s="246"/>
      <c r="MIY80" s="246" t="str">
        <f>BS!$D$5</f>
        <v>31 March 2026</v>
      </c>
      <c r="MIZ80" s="247" t="str">
        <f>BS!$E$5</f>
        <v>31 March 2025</v>
      </c>
      <c r="MJA80" s="1717"/>
      <c r="MJB80" s="1718"/>
      <c r="MJC80" s="1718"/>
      <c r="MJD80" s="1718"/>
      <c r="MJE80" s="1718"/>
      <c r="MJF80" s="246"/>
      <c r="MJG80" s="246" t="str">
        <f>BS!$D$5</f>
        <v>31 March 2026</v>
      </c>
      <c r="MJH80" s="247" t="str">
        <f>BS!$E$5</f>
        <v>31 March 2025</v>
      </c>
      <c r="MJI80" s="1717"/>
      <c r="MJJ80" s="1718"/>
      <c r="MJK80" s="1718"/>
      <c r="MJL80" s="1718"/>
      <c r="MJM80" s="1718"/>
      <c r="MJN80" s="246"/>
      <c r="MJO80" s="246" t="str">
        <f>BS!$D$5</f>
        <v>31 March 2026</v>
      </c>
      <c r="MJP80" s="247" t="str">
        <f>BS!$E$5</f>
        <v>31 March 2025</v>
      </c>
      <c r="MJQ80" s="1717"/>
      <c r="MJR80" s="1718"/>
      <c r="MJS80" s="1718"/>
      <c r="MJT80" s="1718"/>
      <c r="MJU80" s="1718"/>
      <c r="MJV80" s="246"/>
      <c r="MJW80" s="246" t="str">
        <f>BS!$D$5</f>
        <v>31 March 2026</v>
      </c>
      <c r="MJX80" s="247" t="str">
        <f>BS!$E$5</f>
        <v>31 March 2025</v>
      </c>
      <c r="MJY80" s="1717"/>
      <c r="MJZ80" s="1718"/>
      <c r="MKA80" s="1718"/>
      <c r="MKB80" s="1718"/>
      <c r="MKC80" s="1718"/>
      <c r="MKD80" s="246"/>
      <c r="MKE80" s="246" t="str">
        <f>BS!$D$5</f>
        <v>31 March 2026</v>
      </c>
      <c r="MKF80" s="247" t="str">
        <f>BS!$E$5</f>
        <v>31 March 2025</v>
      </c>
      <c r="MKG80" s="1717"/>
      <c r="MKH80" s="1718"/>
      <c r="MKI80" s="1718"/>
      <c r="MKJ80" s="1718"/>
      <c r="MKK80" s="1718"/>
      <c r="MKL80" s="246"/>
      <c r="MKM80" s="246" t="str">
        <f>BS!$D$5</f>
        <v>31 March 2026</v>
      </c>
      <c r="MKN80" s="247" t="str">
        <f>BS!$E$5</f>
        <v>31 March 2025</v>
      </c>
      <c r="MKO80" s="1717"/>
      <c r="MKP80" s="1718"/>
      <c r="MKQ80" s="1718"/>
      <c r="MKR80" s="1718"/>
      <c r="MKS80" s="1718"/>
      <c r="MKT80" s="246"/>
      <c r="MKU80" s="246" t="str">
        <f>BS!$D$5</f>
        <v>31 March 2026</v>
      </c>
      <c r="MKV80" s="247" t="str">
        <f>BS!$E$5</f>
        <v>31 March 2025</v>
      </c>
      <c r="MKW80" s="1717"/>
      <c r="MKX80" s="1718"/>
      <c r="MKY80" s="1718"/>
      <c r="MKZ80" s="1718"/>
      <c r="MLA80" s="1718"/>
      <c r="MLB80" s="246"/>
      <c r="MLC80" s="246" t="str">
        <f>BS!$D$5</f>
        <v>31 March 2026</v>
      </c>
      <c r="MLD80" s="247" t="str">
        <f>BS!$E$5</f>
        <v>31 March 2025</v>
      </c>
      <c r="MLE80" s="1717"/>
      <c r="MLF80" s="1718"/>
      <c r="MLG80" s="1718"/>
      <c r="MLH80" s="1718"/>
      <c r="MLI80" s="1718"/>
      <c r="MLJ80" s="246"/>
      <c r="MLK80" s="246" t="str">
        <f>BS!$D$5</f>
        <v>31 March 2026</v>
      </c>
      <c r="MLL80" s="247" t="str">
        <f>BS!$E$5</f>
        <v>31 March 2025</v>
      </c>
      <c r="MLM80" s="1717"/>
      <c r="MLN80" s="1718"/>
      <c r="MLO80" s="1718"/>
      <c r="MLP80" s="1718"/>
      <c r="MLQ80" s="1718"/>
      <c r="MLR80" s="246"/>
      <c r="MLS80" s="246" t="str">
        <f>BS!$D$5</f>
        <v>31 March 2026</v>
      </c>
      <c r="MLT80" s="247" t="str">
        <f>BS!$E$5</f>
        <v>31 March 2025</v>
      </c>
      <c r="MLU80" s="1717"/>
      <c r="MLV80" s="1718"/>
      <c r="MLW80" s="1718"/>
      <c r="MLX80" s="1718"/>
      <c r="MLY80" s="1718"/>
      <c r="MLZ80" s="246"/>
      <c r="MMA80" s="246" t="str">
        <f>BS!$D$5</f>
        <v>31 March 2026</v>
      </c>
      <c r="MMB80" s="247" t="str">
        <f>BS!$E$5</f>
        <v>31 March 2025</v>
      </c>
      <c r="MMC80" s="1717"/>
      <c r="MMD80" s="1718"/>
      <c r="MME80" s="1718"/>
      <c r="MMF80" s="1718"/>
      <c r="MMG80" s="1718"/>
      <c r="MMH80" s="246"/>
      <c r="MMI80" s="246" t="str">
        <f>BS!$D$5</f>
        <v>31 March 2026</v>
      </c>
      <c r="MMJ80" s="247" t="str">
        <f>BS!$E$5</f>
        <v>31 March 2025</v>
      </c>
      <c r="MMK80" s="1717"/>
      <c r="MML80" s="1718"/>
      <c r="MMM80" s="1718"/>
      <c r="MMN80" s="1718"/>
      <c r="MMO80" s="1718"/>
      <c r="MMP80" s="246"/>
      <c r="MMQ80" s="246" t="str">
        <f>BS!$D$5</f>
        <v>31 March 2026</v>
      </c>
      <c r="MMR80" s="247" t="str">
        <f>BS!$E$5</f>
        <v>31 March 2025</v>
      </c>
      <c r="MMS80" s="1717"/>
      <c r="MMT80" s="1718"/>
      <c r="MMU80" s="1718"/>
      <c r="MMV80" s="1718"/>
      <c r="MMW80" s="1718"/>
      <c r="MMX80" s="246"/>
      <c r="MMY80" s="246" t="str">
        <f>BS!$D$5</f>
        <v>31 March 2026</v>
      </c>
      <c r="MMZ80" s="247" t="str">
        <f>BS!$E$5</f>
        <v>31 March 2025</v>
      </c>
      <c r="MNA80" s="1717"/>
      <c r="MNB80" s="1718"/>
      <c r="MNC80" s="1718"/>
      <c r="MND80" s="1718"/>
      <c r="MNE80" s="1718"/>
      <c r="MNF80" s="246"/>
      <c r="MNG80" s="246" t="str">
        <f>BS!$D$5</f>
        <v>31 March 2026</v>
      </c>
      <c r="MNH80" s="247" t="str">
        <f>BS!$E$5</f>
        <v>31 March 2025</v>
      </c>
      <c r="MNI80" s="1717"/>
      <c r="MNJ80" s="1718"/>
      <c r="MNK80" s="1718"/>
      <c r="MNL80" s="1718"/>
      <c r="MNM80" s="1718"/>
      <c r="MNN80" s="246"/>
      <c r="MNO80" s="246" t="str">
        <f>BS!$D$5</f>
        <v>31 March 2026</v>
      </c>
      <c r="MNP80" s="247" t="str">
        <f>BS!$E$5</f>
        <v>31 March 2025</v>
      </c>
      <c r="MNQ80" s="1717"/>
      <c r="MNR80" s="1718"/>
      <c r="MNS80" s="1718"/>
      <c r="MNT80" s="1718"/>
      <c r="MNU80" s="1718"/>
      <c r="MNV80" s="246"/>
      <c r="MNW80" s="246" t="str">
        <f>BS!$D$5</f>
        <v>31 March 2026</v>
      </c>
      <c r="MNX80" s="247" t="str">
        <f>BS!$E$5</f>
        <v>31 March 2025</v>
      </c>
      <c r="MNY80" s="1717"/>
      <c r="MNZ80" s="1718"/>
      <c r="MOA80" s="1718"/>
      <c r="MOB80" s="1718"/>
      <c r="MOC80" s="1718"/>
      <c r="MOD80" s="246"/>
      <c r="MOE80" s="246" t="str">
        <f>BS!$D$5</f>
        <v>31 March 2026</v>
      </c>
      <c r="MOF80" s="247" t="str">
        <f>BS!$E$5</f>
        <v>31 March 2025</v>
      </c>
      <c r="MOG80" s="1717"/>
      <c r="MOH80" s="1718"/>
      <c r="MOI80" s="1718"/>
      <c r="MOJ80" s="1718"/>
      <c r="MOK80" s="1718"/>
      <c r="MOL80" s="246"/>
      <c r="MOM80" s="246" t="str">
        <f>BS!$D$5</f>
        <v>31 March 2026</v>
      </c>
      <c r="MON80" s="247" t="str">
        <f>BS!$E$5</f>
        <v>31 March 2025</v>
      </c>
      <c r="MOO80" s="1717"/>
      <c r="MOP80" s="1718"/>
      <c r="MOQ80" s="1718"/>
      <c r="MOR80" s="1718"/>
      <c r="MOS80" s="1718"/>
      <c r="MOT80" s="246"/>
      <c r="MOU80" s="246" t="str">
        <f>BS!$D$5</f>
        <v>31 March 2026</v>
      </c>
      <c r="MOV80" s="247" t="str">
        <f>BS!$E$5</f>
        <v>31 March 2025</v>
      </c>
      <c r="MOW80" s="1717"/>
      <c r="MOX80" s="1718"/>
      <c r="MOY80" s="1718"/>
      <c r="MOZ80" s="1718"/>
      <c r="MPA80" s="1718"/>
      <c r="MPB80" s="246"/>
      <c r="MPC80" s="246" t="str">
        <f>BS!$D$5</f>
        <v>31 March 2026</v>
      </c>
      <c r="MPD80" s="247" t="str">
        <f>BS!$E$5</f>
        <v>31 March 2025</v>
      </c>
      <c r="MPE80" s="1717"/>
      <c r="MPF80" s="1718"/>
      <c r="MPG80" s="1718"/>
      <c r="MPH80" s="1718"/>
      <c r="MPI80" s="1718"/>
      <c r="MPJ80" s="246"/>
      <c r="MPK80" s="246" t="str">
        <f>BS!$D$5</f>
        <v>31 March 2026</v>
      </c>
      <c r="MPL80" s="247" t="str">
        <f>BS!$E$5</f>
        <v>31 March 2025</v>
      </c>
      <c r="MPM80" s="1717"/>
      <c r="MPN80" s="1718"/>
      <c r="MPO80" s="1718"/>
      <c r="MPP80" s="1718"/>
      <c r="MPQ80" s="1718"/>
      <c r="MPR80" s="246"/>
      <c r="MPS80" s="246" t="str">
        <f>BS!$D$5</f>
        <v>31 March 2026</v>
      </c>
      <c r="MPT80" s="247" t="str">
        <f>BS!$E$5</f>
        <v>31 March 2025</v>
      </c>
      <c r="MPU80" s="1717"/>
      <c r="MPV80" s="1718"/>
      <c r="MPW80" s="1718"/>
      <c r="MPX80" s="1718"/>
      <c r="MPY80" s="1718"/>
      <c r="MPZ80" s="246"/>
      <c r="MQA80" s="246" t="str">
        <f>BS!$D$5</f>
        <v>31 March 2026</v>
      </c>
      <c r="MQB80" s="247" t="str">
        <f>BS!$E$5</f>
        <v>31 March 2025</v>
      </c>
      <c r="MQC80" s="1717"/>
      <c r="MQD80" s="1718"/>
      <c r="MQE80" s="1718"/>
      <c r="MQF80" s="1718"/>
      <c r="MQG80" s="1718"/>
      <c r="MQH80" s="246"/>
      <c r="MQI80" s="246" t="str">
        <f>BS!$D$5</f>
        <v>31 March 2026</v>
      </c>
      <c r="MQJ80" s="247" t="str">
        <f>BS!$E$5</f>
        <v>31 March 2025</v>
      </c>
      <c r="MQK80" s="1717"/>
      <c r="MQL80" s="1718"/>
      <c r="MQM80" s="1718"/>
      <c r="MQN80" s="1718"/>
      <c r="MQO80" s="1718"/>
      <c r="MQP80" s="246"/>
      <c r="MQQ80" s="246" t="str">
        <f>BS!$D$5</f>
        <v>31 March 2026</v>
      </c>
      <c r="MQR80" s="247" t="str">
        <f>BS!$E$5</f>
        <v>31 March 2025</v>
      </c>
      <c r="MQS80" s="1717"/>
      <c r="MQT80" s="1718"/>
      <c r="MQU80" s="1718"/>
      <c r="MQV80" s="1718"/>
      <c r="MQW80" s="1718"/>
      <c r="MQX80" s="246"/>
      <c r="MQY80" s="246" t="str">
        <f>BS!$D$5</f>
        <v>31 March 2026</v>
      </c>
      <c r="MQZ80" s="247" t="str">
        <f>BS!$E$5</f>
        <v>31 March 2025</v>
      </c>
      <c r="MRA80" s="1717"/>
      <c r="MRB80" s="1718"/>
      <c r="MRC80" s="1718"/>
      <c r="MRD80" s="1718"/>
      <c r="MRE80" s="1718"/>
      <c r="MRF80" s="246"/>
      <c r="MRG80" s="246" t="str">
        <f>BS!$D$5</f>
        <v>31 March 2026</v>
      </c>
      <c r="MRH80" s="247" t="str">
        <f>BS!$E$5</f>
        <v>31 March 2025</v>
      </c>
      <c r="MRI80" s="1717"/>
      <c r="MRJ80" s="1718"/>
      <c r="MRK80" s="1718"/>
      <c r="MRL80" s="1718"/>
      <c r="MRM80" s="1718"/>
      <c r="MRN80" s="246"/>
      <c r="MRO80" s="246" t="str">
        <f>BS!$D$5</f>
        <v>31 March 2026</v>
      </c>
      <c r="MRP80" s="247" t="str">
        <f>BS!$E$5</f>
        <v>31 March 2025</v>
      </c>
      <c r="MRQ80" s="1717"/>
      <c r="MRR80" s="1718"/>
      <c r="MRS80" s="1718"/>
      <c r="MRT80" s="1718"/>
      <c r="MRU80" s="1718"/>
      <c r="MRV80" s="246"/>
      <c r="MRW80" s="246" t="str">
        <f>BS!$D$5</f>
        <v>31 March 2026</v>
      </c>
      <c r="MRX80" s="247" t="str">
        <f>BS!$E$5</f>
        <v>31 March 2025</v>
      </c>
      <c r="MRY80" s="1717"/>
      <c r="MRZ80" s="1718"/>
      <c r="MSA80" s="1718"/>
      <c r="MSB80" s="1718"/>
      <c r="MSC80" s="1718"/>
      <c r="MSD80" s="246"/>
      <c r="MSE80" s="246" t="str">
        <f>BS!$D$5</f>
        <v>31 March 2026</v>
      </c>
      <c r="MSF80" s="247" t="str">
        <f>BS!$E$5</f>
        <v>31 March 2025</v>
      </c>
      <c r="MSG80" s="1717"/>
      <c r="MSH80" s="1718"/>
      <c r="MSI80" s="1718"/>
      <c r="MSJ80" s="1718"/>
      <c r="MSK80" s="1718"/>
      <c r="MSL80" s="246"/>
      <c r="MSM80" s="246" t="str">
        <f>BS!$D$5</f>
        <v>31 March 2026</v>
      </c>
      <c r="MSN80" s="247" t="str">
        <f>BS!$E$5</f>
        <v>31 March 2025</v>
      </c>
      <c r="MSO80" s="1717"/>
      <c r="MSP80" s="1718"/>
      <c r="MSQ80" s="1718"/>
      <c r="MSR80" s="1718"/>
      <c r="MSS80" s="1718"/>
      <c r="MST80" s="246"/>
      <c r="MSU80" s="246" t="str">
        <f>BS!$D$5</f>
        <v>31 March 2026</v>
      </c>
      <c r="MSV80" s="247" t="str">
        <f>BS!$E$5</f>
        <v>31 March 2025</v>
      </c>
      <c r="MSW80" s="1717"/>
      <c r="MSX80" s="1718"/>
      <c r="MSY80" s="1718"/>
      <c r="MSZ80" s="1718"/>
      <c r="MTA80" s="1718"/>
      <c r="MTB80" s="246"/>
      <c r="MTC80" s="246" t="str">
        <f>BS!$D$5</f>
        <v>31 March 2026</v>
      </c>
      <c r="MTD80" s="247" t="str">
        <f>BS!$E$5</f>
        <v>31 March 2025</v>
      </c>
      <c r="MTE80" s="1717"/>
      <c r="MTF80" s="1718"/>
      <c r="MTG80" s="1718"/>
      <c r="MTH80" s="1718"/>
      <c r="MTI80" s="1718"/>
      <c r="MTJ80" s="246"/>
      <c r="MTK80" s="246" t="str">
        <f>BS!$D$5</f>
        <v>31 March 2026</v>
      </c>
      <c r="MTL80" s="247" t="str">
        <f>BS!$E$5</f>
        <v>31 March 2025</v>
      </c>
      <c r="MTM80" s="1717"/>
      <c r="MTN80" s="1718"/>
      <c r="MTO80" s="1718"/>
      <c r="MTP80" s="1718"/>
      <c r="MTQ80" s="1718"/>
      <c r="MTR80" s="246"/>
      <c r="MTS80" s="246" t="str">
        <f>BS!$D$5</f>
        <v>31 March 2026</v>
      </c>
      <c r="MTT80" s="247" t="str">
        <f>BS!$E$5</f>
        <v>31 March 2025</v>
      </c>
      <c r="MTU80" s="1717"/>
      <c r="MTV80" s="1718"/>
      <c r="MTW80" s="1718"/>
      <c r="MTX80" s="1718"/>
      <c r="MTY80" s="1718"/>
      <c r="MTZ80" s="246"/>
      <c r="MUA80" s="246" t="str">
        <f>BS!$D$5</f>
        <v>31 March 2026</v>
      </c>
      <c r="MUB80" s="247" t="str">
        <f>BS!$E$5</f>
        <v>31 March 2025</v>
      </c>
      <c r="MUC80" s="1717"/>
      <c r="MUD80" s="1718"/>
      <c r="MUE80" s="1718"/>
      <c r="MUF80" s="1718"/>
      <c r="MUG80" s="1718"/>
      <c r="MUH80" s="246"/>
      <c r="MUI80" s="246" t="str">
        <f>BS!$D$5</f>
        <v>31 March 2026</v>
      </c>
      <c r="MUJ80" s="247" t="str">
        <f>BS!$E$5</f>
        <v>31 March 2025</v>
      </c>
      <c r="MUK80" s="1717"/>
      <c r="MUL80" s="1718"/>
      <c r="MUM80" s="1718"/>
      <c r="MUN80" s="1718"/>
      <c r="MUO80" s="1718"/>
      <c r="MUP80" s="246"/>
      <c r="MUQ80" s="246" t="str">
        <f>BS!$D$5</f>
        <v>31 March 2026</v>
      </c>
      <c r="MUR80" s="247" t="str">
        <f>BS!$E$5</f>
        <v>31 March 2025</v>
      </c>
      <c r="MUS80" s="1717"/>
      <c r="MUT80" s="1718"/>
      <c r="MUU80" s="1718"/>
      <c r="MUV80" s="1718"/>
      <c r="MUW80" s="1718"/>
      <c r="MUX80" s="246"/>
      <c r="MUY80" s="246" t="str">
        <f>BS!$D$5</f>
        <v>31 March 2026</v>
      </c>
      <c r="MUZ80" s="247" t="str">
        <f>BS!$E$5</f>
        <v>31 March 2025</v>
      </c>
      <c r="MVA80" s="1717"/>
      <c r="MVB80" s="1718"/>
      <c r="MVC80" s="1718"/>
      <c r="MVD80" s="1718"/>
      <c r="MVE80" s="1718"/>
      <c r="MVF80" s="246"/>
      <c r="MVG80" s="246" t="str">
        <f>BS!$D$5</f>
        <v>31 March 2026</v>
      </c>
      <c r="MVH80" s="247" t="str">
        <f>BS!$E$5</f>
        <v>31 March 2025</v>
      </c>
      <c r="MVI80" s="1717"/>
      <c r="MVJ80" s="1718"/>
      <c r="MVK80" s="1718"/>
      <c r="MVL80" s="1718"/>
      <c r="MVM80" s="1718"/>
      <c r="MVN80" s="246"/>
      <c r="MVO80" s="246" t="str">
        <f>BS!$D$5</f>
        <v>31 March 2026</v>
      </c>
      <c r="MVP80" s="247" t="str">
        <f>BS!$E$5</f>
        <v>31 March 2025</v>
      </c>
      <c r="MVQ80" s="1717"/>
      <c r="MVR80" s="1718"/>
      <c r="MVS80" s="1718"/>
      <c r="MVT80" s="1718"/>
      <c r="MVU80" s="1718"/>
      <c r="MVV80" s="246"/>
      <c r="MVW80" s="246" t="str">
        <f>BS!$D$5</f>
        <v>31 March 2026</v>
      </c>
      <c r="MVX80" s="247" t="str">
        <f>BS!$E$5</f>
        <v>31 March 2025</v>
      </c>
      <c r="MVY80" s="1717"/>
      <c r="MVZ80" s="1718"/>
      <c r="MWA80" s="1718"/>
      <c r="MWB80" s="1718"/>
      <c r="MWC80" s="1718"/>
      <c r="MWD80" s="246"/>
      <c r="MWE80" s="246" t="str">
        <f>BS!$D$5</f>
        <v>31 March 2026</v>
      </c>
      <c r="MWF80" s="247" t="str">
        <f>BS!$E$5</f>
        <v>31 March 2025</v>
      </c>
      <c r="MWG80" s="1717"/>
      <c r="MWH80" s="1718"/>
      <c r="MWI80" s="1718"/>
      <c r="MWJ80" s="1718"/>
      <c r="MWK80" s="1718"/>
      <c r="MWL80" s="246"/>
      <c r="MWM80" s="246" t="str">
        <f>BS!$D$5</f>
        <v>31 March 2026</v>
      </c>
      <c r="MWN80" s="247" t="str">
        <f>BS!$E$5</f>
        <v>31 March 2025</v>
      </c>
      <c r="MWO80" s="1717"/>
      <c r="MWP80" s="1718"/>
      <c r="MWQ80" s="1718"/>
      <c r="MWR80" s="1718"/>
      <c r="MWS80" s="1718"/>
      <c r="MWT80" s="246"/>
      <c r="MWU80" s="246" t="str">
        <f>BS!$D$5</f>
        <v>31 March 2026</v>
      </c>
      <c r="MWV80" s="247" t="str">
        <f>BS!$E$5</f>
        <v>31 March 2025</v>
      </c>
      <c r="MWW80" s="1717"/>
      <c r="MWX80" s="1718"/>
      <c r="MWY80" s="1718"/>
      <c r="MWZ80" s="1718"/>
      <c r="MXA80" s="1718"/>
      <c r="MXB80" s="246"/>
      <c r="MXC80" s="246" t="str">
        <f>BS!$D$5</f>
        <v>31 March 2026</v>
      </c>
      <c r="MXD80" s="247" t="str">
        <f>BS!$E$5</f>
        <v>31 March 2025</v>
      </c>
      <c r="MXE80" s="1717"/>
      <c r="MXF80" s="1718"/>
      <c r="MXG80" s="1718"/>
      <c r="MXH80" s="1718"/>
      <c r="MXI80" s="1718"/>
      <c r="MXJ80" s="246"/>
      <c r="MXK80" s="246" t="str">
        <f>BS!$D$5</f>
        <v>31 March 2026</v>
      </c>
      <c r="MXL80" s="247" t="str">
        <f>BS!$E$5</f>
        <v>31 March 2025</v>
      </c>
      <c r="MXM80" s="1717"/>
      <c r="MXN80" s="1718"/>
      <c r="MXO80" s="1718"/>
      <c r="MXP80" s="1718"/>
      <c r="MXQ80" s="1718"/>
      <c r="MXR80" s="246"/>
      <c r="MXS80" s="246" t="str">
        <f>BS!$D$5</f>
        <v>31 March 2026</v>
      </c>
      <c r="MXT80" s="247" t="str">
        <f>BS!$E$5</f>
        <v>31 March 2025</v>
      </c>
      <c r="MXU80" s="1717"/>
      <c r="MXV80" s="1718"/>
      <c r="MXW80" s="1718"/>
      <c r="MXX80" s="1718"/>
      <c r="MXY80" s="1718"/>
      <c r="MXZ80" s="246"/>
      <c r="MYA80" s="246" t="str">
        <f>BS!$D$5</f>
        <v>31 March 2026</v>
      </c>
      <c r="MYB80" s="247" t="str">
        <f>BS!$E$5</f>
        <v>31 March 2025</v>
      </c>
      <c r="MYC80" s="1717"/>
      <c r="MYD80" s="1718"/>
      <c r="MYE80" s="1718"/>
      <c r="MYF80" s="1718"/>
      <c r="MYG80" s="1718"/>
      <c r="MYH80" s="246"/>
      <c r="MYI80" s="246" t="str">
        <f>BS!$D$5</f>
        <v>31 March 2026</v>
      </c>
      <c r="MYJ80" s="247" t="str">
        <f>BS!$E$5</f>
        <v>31 March 2025</v>
      </c>
      <c r="MYK80" s="1717"/>
      <c r="MYL80" s="1718"/>
      <c r="MYM80" s="1718"/>
      <c r="MYN80" s="1718"/>
      <c r="MYO80" s="1718"/>
      <c r="MYP80" s="246"/>
      <c r="MYQ80" s="246" t="str">
        <f>BS!$D$5</f>
        <v>31 March 2026</v>
      </c>
      <c r="MYR80" s="247" t="str">
        <f>BS!$E$5</f>
        <v>31 March 2025</v>
      </c>
      <c r="MYS80" s="1717"/>
      <c r="MYT80" s="1718"/>
      <c r="MYU80" s="1718"/>
      <c r="MYV80" s="1718"/>
      <c r="MYW80" s="1718"/>
      <c r="MYX80" s="246"/>
      <c r="MYY80" s="246" t="str">
        <f>BS!$D$5</f>
        <v>31 March 2026</v>
      </c>
      <c r="MYZ80" s="247" t="str">
        <f>BS!$E$5</f>
        <v>31 March 2025</v>
      </c>
      <c r="MZA80" s="1717"/>
      <c r="MZB80" s="1718"/>
      <c r="MZC80" s="1718"/>
      <c r="MZD80" s="1718"/>
      <c r="MZE80" s="1718"/>
      <c r="MZF80" s="246"/>
      <c r="MZG80" s="246" t="str">
        <f>BS!$D$5</f>
        <v>31 March 2026</v>
      </c>
      <c r="MZH80" s="247" t="str">
        <f>BS!$E$5</f>
        <v>31 March 2025</v>
      </c>
      <c r="MZI80" s="1717"/>
      <c r="MZJ80" s="1718"/>
      <c r="MZK80" s="1718"/>
      <c r="MZL80" s="1718"/>
      <c r="MZM80" s="1718"/>
      <c r="MZN80" s="246"/>
      <c r="MZO80" s="246" t="str">
        <f>BS!$D$5</f>
        <v>31 March 2026</v>
      </c>
      <c r="MZP80" s="247" t="str">
        <f>BS!$E$5</f>
        <v>31 March 2025</v>
      </c>
      <c r="MZQ80" s="1717"/>
      <c r="MZR80" s="1718"/>
      <c r="MZS80" s="1718"/>
      <c r="MZT80" s="1718"/>
      <c r="MZU80" s="1718"/>
      <c r="MZV80" s="246"/>
      <c r="MZW80" s="246" t="str">
        <f>BS!$D$5</f>
        <v>31 March 2026</v>
      </c>
      <c r="MZX80" s="247" t="str">
        <f>BS!$E$5</f>
        <v>31 March 2025</v>
      </c>
      <c r="MZY80" s="1717"/>
      <c r="MZZ80" s="1718"/>
      <c r="NAA80" s="1718"/>
      <c r="NAB80" s="1718"/>
      <c r="NAC80" s="1718"/>
      <c r="NAD80" s="246"/>
      <c r="NAE80" s="246" t="str">
        <f>BS!$D$5</f>
        <v>31 March 2026</v>
      </c>
      <c r="NAF80" s="247" t="str">
        <f>BS!$E$5</f>
        <v>31 March 2025</v>
      </c>
      <c r="NAG80" s="1717"/>
      <c r="NAH80" s="1718"/>
      <c r="NAI80" s="1718"/>
      <c r="NAJ80" s="1718"/>
      <c r="NAK80" s="1718"/>
      <c r="NAL80" s="246"/>
      <c r="NAM80" s="246" t="str">
        <f>BS!$D$5</f>
        <v>31 March 2026</v>
      </c>
      <c r="NAN80" s="247" t="str">
        <f>BS!$E$5</f>
        <v>31 March 2025</v>
      </c>
      <c r="NAO80" s="1717"/>
      <c r="NAP80" s="1718"/>
      <c r="NAQ80" s="1718"/>
      <c r="NAR80" s="1718"/>
      <c r="NAS80" s="1718"/>
      <c r="NAT80" s="246"/>
      <c r="NAU80" s="246" t="str">
        <f>BS!$D$5</f>
        <v>31 March 2026</v>
      </c>
      <c r="NAV80" s="247" t="str">
        <f>BS!$E$5</f>
        <v>31 March 2025</v>
      </c>
      <c r="NAW80" s="1717"/>
      <c r="NAX80" s="1718"/>
      <c r="NAY80" s="1718"/>
      <c r="NAZ80" s="1718"/>
      <c r="NBA80" s="1718"/>
      <c r="NBB80" s="246"/>
      <c r="NBC80" s="246" t="str">
        <f>BS!$D$5</f>
        <v>31 March 2026</v>
      </c>
      <c r="NBD80" s="247" t="str">
        <f>BS!$E$5</f>
        <v>31 March 2025</v>
      </c>
      <c r="NBE80" s="1717"/>
      <c r="NBF80" s="1718"/>
      <c r="NBG80" s="1718"/>
      <c r="NBH80" s="1718"/>
      <c r="NBI80" s="1718"/>
      <c r="NBJ80" s="246"/>
      <c r="NBK80" s="246" t="str">
        <f>BS!$D$5</f>
        <v>31 March 2026</v>
      </c>
      <c r="NBL80" s="247" t="str">
        <f>BS!$E$5</f>
        <v>31 March 2025</v>
      </c>
      <c r="NBM80" s="1717"/>
      <c r="NBN80" s="1718"/>
      <c r="NBO80" s="1718"/>
      <c r="NBP80" s="1718"/>
      <c r="NBQ80" s="1718"/>
      <c r="NBR80" s="246"/>
      <c r="NBS80" s="246" t="str">
        <f>BS!$D$5</f>
        <v>31 March 2026</v>
      </c>
      <c r="NBT80" s="247" t="str">
        <f>BS!$E$5</f>
        <v>31 March 2025</v>
      </c>
      <c r="NBU80" s="1717"/>
      <c r="NBV80" s="1718"/>
      <c r="NBW80" s="1718"/>
      <c r="NBX80" s="1718"/>
      <c r="NBY80" s="1718"/>
      <c r="NBZ80" s="246"/>
      <c r="NCA80" s="246" t="str">
        <f>BS!$D$5</f>
        <v>31 March 2026</v>
      </c>
      <c r="NCB80" s="247" t="str">
        <f>BS!$E$5</f>
        <v>31 March 2025</v>
      </c>
      <c r="NCC80" s="1717"/>
      <c r="NCD80" s="1718"/>
      <c r="NCE80" s="1718"/>
      <c r="NCF80" s="1718"/>
      <c r="NCG80" s="1718"/>
      <c r="NCH80" s="246"/>
      <c r="NCI80" s="246" t="str">
        <f>BS!$D$5</f>
        <v>31 March 2026</v>
      </c>
      <c r="NCJ80" s="247" t="str">
        <f>BS!$E$5</f>
        <v>31 March 2025</v>
      </c>
      <c r="NCK80" s="1717"/>
      <c r="NCL80" s="1718"/>
      <c r="NCM80" s="1718"/>
      <c r="NCN80" s="1718"/>
      <c r="NCO80" s="1718"/>
      <c r="NCP80" s="246"/>
      <c r="NCQ80" s="246" t="str">
        <f>BS!$D$5</f>
        <v>31 March 2026</v>
      </c>
      <c r="NCR80" s="247" t="str">
        <f>BS!$E$5</f>
        <v>31 March 2025</v>
      </c>
      <c r="NCS80" s="1717"/>
      <c r="NCT80" s="1718"/>
      <c r="NCU80" s="1718"/>
      <c r="NCV80" s="1718"/>
      <c r="NCW80" s="1718"/>
      <c r="NCX80" s="246"/>
      <c r="NCY80" s="246" t="str">
        <f>BS!$D$5</f>
        <v>31 March 2026</v>
      </c>
      <c r="NCZ80" s="247" t="str">
        <f>BS!$E$5</f>
        <v>31 March 2025</v>
      </c>
      <c r="NDA80" s="1717"/>
      <c r="NDB80" s="1718"/>
      <c r="NDC80" s="1718"/>
      <c r="NDD80" s="1718"/>
      <c r="NDE80" s="1718"/>
      <c r="NDF80" s="246"/>
      <c r="NDG80" s="246" t="str">
        <f>BS!$D$5</f>
        <v>31 March 2026</v>
      </c>
      <c r="NDH80" s="247" t="str">
        <f>BS!$E$5</f>
        <v>31 March 2025</v>
      </c>
      <c r="NDI80" s="1717"/>
      <c r="NDJ80" s="1718"/>
      <c r="NDK80" s="1718"/>
      <c r="NDL80" s="1718"/>
      <c r="NDM80" s="1718"/>
      <c r="NDN80" s="246"/>
      <c r="NDO80" s="246" t="str">
        <f>BS!$D$5</f>
        <v>31 March 2026</v>
      </c>
      <c r="NDP80" s="247" t="str">
        <f>BS!$E$5</f>
        <v>31 March 2025</v>
      </c>
      <c r="NDQ80" s="1717"/>
      <c r="NDR80" s="1718"/>
      <c r="NDS80" s="1718"/>
      <c r="NDT80" s="1718"/>
      <c r="NDU80" s="1718"/>
      <c r="NDV80" s="246"/>
      <c r="NDW80" s="246" t="str">
        <f>BS!$D$5</f>
        <v>31 March 2026</v>
      </c>
      <c r="NDX80" s="247" t="str">
        <f>BS!$E$5</f>
        <v>31 March 2025</v>
      </c>
      <c r="NDY80" s="1717"/>
      <c r="NDZ80" s="1718"/>
      <c r="NEA80" s="1718"/>
      <c r="NEB80" s="1718"/>
      <c r="NEC80" s="1718"/>
      <c r="NED80" s="246"/>
      <c r="NEE80" s="246" t="str">
        <f>BS!$D$5</f>
        <v>31 March 2026</v>
      </c>
      <c r="NEF80" s="247" t="str">
        <f>BS!$E$5</f>
        <v>31 March 2025</v>
      </c>
      <c r="NEG80" s="1717"/>
      <c r="NEH80" s="1718"/>
      <c r="NEI80" s="1718"/>
      <c r="NEJ80" s="1718"/>
      <c r="NEK80" s="1718"/>
      <c r="NEL80" s="246"/>
      <c r="NEM80" s="246" t="str">
        <f>BS!$D$5</f>
        <v>31 March 2026</v>
      </c>
      <c r="NEN80" s="247" t="str">
        <f>BS!$E$5</f>
        <v>31 March 2025</v>
      </c>
      <c r="NEO80" s="1717"/>
      <c r="NEP80" s="1718"/>
      <c r="NEQ80" s="1718"/>
      <c r="NER80" s="1718"/>
      <c r="NES80" s="1718"/>
      <c r="NET80" s="246"/>
      <c r="NEU80" s="246" t="str">
        <f>BS!$D$5</f>
        <v>31 March 2026</v>
      </c>
      <c r="NEV80" s="247" t="str">
        <f>BS!$E$5</f>
        <v>31 March 2025</v>
      </c>
      <c r="NEW80" s="1717"/>
      <c r="NEX80" s="1718"/>
      <c r="NEY80" s="1718"/>
      <c r="NEZ80" s="1718"/>
      <c r="NFA80" s="1718"/>
      <c r="NFB80" s="246"/>
      <c r="NFC80" s="246" t="str">
        <f>BS!$D$5</f>
        <v>31 March 2026</v>
      </c>
      <c r="NFD80" s="247" t="str">
        <f>BS!$E$5</f>
        <v>31 March 2025</v>
      </c>
      <c r="NFE80" s="1717"/>
      <c r="NFF80" s="1718"/>
      <c r="NFG80" s="1718"/>
      <c r="NFH80" s="1718"/>
      <c r="NFI80" s="1718"/>
      <c r="NFJ80" s="246"/>
      <c r="NFK80" s="246" t="str">
        <f>BS!$D$5</f>
        <v>31 March 2026</v>
      </c>
      <c r="NFL80" s="247" t="str">
        <f>BS!$E$5</f>
        <v>31 March 2025</v>
      </c>
      <c r="NFM80" s="1717"/>
      <c r="NFN80" s="1718"/>
      <c r="NFO80" s="1718"/>
      <c r="NFP80" s="1718"/>
      <c r="NFQ80" s="1718"/>
      <c r="NFR80" s="246"/>
      <c r="NFS80" s="246" t="str">
        <f>BS!$D$5</f>
        <v>31 March 2026</v>
      </c>
      <c r="NFT80" s="247" t="str">
        <f>BS!$E$5</f>
        <v>31 March 2025</v>
      </c>
      <c r="NFU80" s="1717"/>
      <c r="NFV80" s="1718"/>
      <c r="NFW80" s="1718"/>
      <c r="NFX80" s="1718"/>
      <c r="NFY80" s="1718"/>
      <c r="NFZ80" s="246"/>
      <c r="NGA80" s="246" t="str">
        <f>BS!$D$5</f>
        <v>31 March 2026</v>
      </c>
      <c r="NGB80" s="247" t="str">
        <f>BS!$E$5</f>
        <v>31 March 2025</v>
      </c>
      <c r="NGC80" s="1717"/>
      <c r="NGD80" s="1718"/>
      <c r="NGE80" s="1718"/>
      <c r="NGF80" s="1718"/>
      <c r="NGG80" s="1718"/>
      <c r="NGH80" s="246"/>
      <c r="NGI80" s="246" t="str">
        <f>BS!$D$5</f>
        <v>31 March 2026</v>
      </c>
      <c r="NGJ80" s="247" t="str">
        <f>BS!$E$5</f>
        <v>31 March 2025</v>
      </c>
      <c r="NGK80" s="1717"/>
      <c r="NGL80" s="1718"/>
      <c r="NGM80" s="1718"/>
      <c r="NGN80" s="1718"/>
      <c r="NGO80" s="1718"/>
      <c r="NGP80" s="246"/>
      <c r="NGQ80" s="246" t="str">
        <f>BS!$D$5</f>
        <v>31 March 2026</v>
      </c>
      <c r="NGR80" s="247" t="str">
        <f>BS!$E$5</f>
        <v>31 March 2025</v>
      </c>
      <c r="NGS80" s="1717"/>
      <c r="NGT80" s="1718"/>
      <c r="NGU80" s="1718"/>
      <c r="NGV80" s="1718"/>
      <c r="NGW80" s="1718"/>
      <c r="NGX80" s="246"/>
      <c r="NGY80" s="246" t="str">
        <f>BS!$D$5</f>
        <v>31 March 2026</v>
      </c>
      <c r="NGZ80" s="247" t="str">
        <f>BS!$E$5</f>
        <v>31 March 2025</v>
      </c>
      <c r="NHA80" s="1717"/>
      <c r="NHB80" s="1718"/>
      <c r="NHC80" s="1718"/>
      <c r="NHD80" s="1718"/>
      <c r="NHE80" s="1718"/>
      <c r="NHF80" s="246"/>
      <c r="NHG80" s="246" t="str">
        <f>BS!$D$5</f>
        <v>31 March 2026</v>
      </c>
      <c r="NHH80" s="247" t="str">
        <f>BS!$E$5</f>
        <v>31 March 2025</v>
      </c>
      <c r="NHI80" s="1717"/>
      <c r="NHJ80" s="1718"/>
      <c r="NHK80" s="1718"/>
      <c r="NHL80" s="1718"/>
      <c r="NHM80" s="1718"/>
      <c r="NHN80" s="246"/>
      <c r="NHO80" s="246" t="str">
        <f>BS!$D$5</f>
        <v>31 March 2026</v>
      </c>
      <c r="NHP80" s="247" t="str">
        <f>BS!$E$5</f>
        <v>31 March 2025</v>
      </c>
      <c r="NHQ80" s="1717"/>
      <c r="NHR80" s="1718"/>
      <c r="NHS80" s="1718"/>
      <c r="NHT80" s="1718"/>
      <c r="NHU80" s="1718"/>
      <c r="NHV80" s="246"/>
      <c r="NHW80" s="246" t="str">
        <f>BS!$D$5</f>
        <v>31 March 2026</v>
      </c>
      <c r="NHX80" s="247" t="str">
        <f>BS!$E$5</f>
        <v>31 March 2025</v>
      </c>
      <c r="NHY80" s="1717"/>
      <c r="NHZ80" s="1718"/>
      <c r="NIA80" s="1718"/>
      <c r="NIB80" s="1718"/>
      <c r="NIC80" s="1718"/>
      <c r="NID80" s="246"/>
      <c r="NIE80" s="246" t="str">
        <f>BS!$D$5</f>
        <v>31 March 2026</v>
      </c>
      <c r="NIF80" s="247" t="str">
        <f>BS!$E$5</f>
        <v>31 March 2025</v>
      </c>
      <c r="NIG80" s="1717"/>
      <c r="NIH80" s="1718"/>
      <c r="NII80" s="1718"/>
      <c r="NIJ80" s="1718"/>
      <c r="NIK80" s="1718"/>
      <c r="NIL80" s="246"/>
      <c r="NIM80" s="246" t="str">
        <f>BS!$D$5</f>
        <v>31 March 2026</v>
      </c>
      <c r="NIN80" s="247" t="str">
        <f>BS!$E$5</f>
        <v>31 March 2025</v>
      </c>
      <c r="NIO80" s="1717"/>
      <c r="NIP80" s="1718"/>
      <c r="NIQ80" s="1718"/>
      <c r="NIR80" s="1718"/>
      <c r="NIS80" s="1718"/>
      <c r="NIT80" s="246"/>
      <c r="NIU80" s="246" t="str">
        <f>BS!$D$5</f>
        <v>31 March 2026</v>
      </c>
      <c r="NIV80" s="247" t="str">
        <f>BS!$E$5</f>
        <v>31 March 2025</v>
      </c>
      <c r="NIW80" s="1717"/>
      <c r="NIX80" s="1718"/>
      <c r="NIY80" s="1718"/>
      <c r="NIZ80" s="1718"/>
      <c r="NJA80" s="1718"/>
      <c r="NJB80" s="246"/>
      <c r="NJC80" s="246" t="str">
        <f>BS!$D$5</f>
        <v>31 March 2026</v>
      </c>
      <c r="NJD80" s="247" t="str">
        <f>BS!$E$5</f>
        <v>31 March 2025</v>
      </c>
      <c r="NJE80" s="1717"/>
      <c r="NJF80" s="1718"/>
      <c r="NJG80" s="1718"/>
      <c r="NJH80" s="1718"/>
      <c r="NJI80" s="1718"/>
      <c r="NJJ80" s="246"/>
      <c r="NJK80" s="246" t="str">
        <f>BS!$D$5</f>
        <v>31 March 2026</v>
      </c>
      <c r="NJL80" s="247" t="str">
        <f>BS!$E$5</f>
        <v>31 March 2025</v>
      </c>
      <c r="NJM80" s="1717"/>
      <c r="NJN80" s="1718"/>
      <c r="NJO80" s="1718"/>
      <c r="NJP80" s="1718"/>
      <c r="NJQ80" s="1718"/>
      <c r="NJR80" s="246"/>
      <c r="NJS80" s="246" t="str">
        <f>BS!$D$5</f>
        <v>31 March 2026</v>
      </c>
      <c r="NJT80" s="247" t="str">
        <f>BS!$E$5</f>
        <v>31 March 2025</v>
      </c>
      <c r="NJU80" s="1717"/>
      <c r="NJV80" s="1718"/>
      <c r="NJW80" s="1718"/>
      <c r="NJX80" s="1718"/>
      <c r="NJY80" s="1718"/>
      <c r="NJZ80" s="246"/>
      <c r="NKA80" s="246" t="str">
        <f>BS!$D$5</f>
        <v>31 March 2026</v>
      </c>
      <c r="NKB80" s="247" t="str">
        <f>BS!$E$5</f>
        <v>31 March 2025</v>
      </c>
      <c r="NKC80" s="1717"/>
      <c r="NKD80" s="1718"/>
      <c r="NKE80" s="1718"/>
      <c r="NKF80" s="1718"/>
      <c r="NKG80" s="1718"/>
      <c r="NKH80" s="246"/>
      <c r="NKI80" s="246" t="str">
        <f>BS!$D$5</f>
        <v>31 March 2026</v>
      </c>
      <c r="NKJ80" s="247" t="str">
        <f>BS!$E$5</f>
        <v>31 March 2025</v>
      </c>
      <c r="NKK80" s="1717"/>
      <c r="NKL80" s="1718"/>
      <c r="NKM80" s="1718"/>
      <c r="NKN80" s="1718"/>
      <c r="NKO80" s="1718"/>
      <c r="NKP80" s="246"/>
      <c r="NKQ80" s="246" t="str">
        <f>BS!$D$5</f>
        <v>31 March 2026</v>
      </c>
      <c r="NKR80" s="247" t="str">
        <f>BS!$E$5</f>
        <v>31 March 2025</v>
      </c>
      <c r="NKS80" s="1717"/>
      <c r="NKT80" s="1718"/>
      <c r="NKU80" s="1718"/>
      <c r="NKV80" s="1718"/>
      <c r="NKW80" s="1718"/>
      <c r="NKX80" s="246"/>
      <c r="NKY80" s="246" t="str">
        <f>BS!$D$5</f>
        <v>31 March 2026</v>
      </c>
      <c r="NKZ80" s="247" t="str">
        <f>BS!$E$5</f>
        <v>31 March 2025</v>
      </c>
      <c r="NLA80" s="1717"/>
      <c r="NLB80" s="1718"/>
      <c r="NLC80" s="1718"/>
      <c r="NLD80" s="1718"/>
      <c r="NLE80" s="1718"/>
      <c r="NLF80" s="246"/>
      <c r="NLG80" s="246" t="str">
        <f>BS!$D$5</f>
        <v>31 March 2026</v>
      </c>
      <c r="NLH80" s="247" t="str">
        <f>BS!$E$5</f>
        <v>31 March 2025</v>
      </c>
      <c r="NLI80" s="1717"/>
      <c r="NLJ80" s="1718"/>
      <c r="NLK80" s="1718"/>
      <c r="NLL80" s="1718"/>
      <c r="NLM80" s="1718"/>
      <c r="NLN80" s="246"/>
      <c r="NLO80" s="246" t="str">
        <f>BS!$D$5</f>
        <v>31 March 2026</v>
      </c>
      <c r="NLP80" s="247" t="str">
        <f>BS!$E$5</f>
        <v>31 March 2025</v>
      </c>
      <c r="NLQ80" s="1717"/>
      <c r="NLR80" s="1718"/>
      <c r="NLS80" s="1718"/>
      <c r="NLT80" s="1718"/>
      <c r="NLU80" s="1718"/>
      <c r="NLV80" s="246"/>
      <c r="NLW80" s="246" t="str">
        <f>BS!$D$5</f>
        <v>31 March 2026</v>
      </c>
      <c r="NLX80" s="247" t="str">
        <f>BS!$E$5</f>
        <v>31 March 2025</v>
      </c>
      <c r="NLY80" s="1717"/>
      <c r="NLZ80" s="1718"/>
      <c r="NMA80" s="1718"/>
      <c r="NMB80" s="1718"/>
      <c r="NMC80" s="1718"/>
      <c r="NMD80" s="246"/>
      <c r="NME80" s="246" t="str">
        <f>BS!$D$5</f>
        <v>31 March 2026</v>
      </c>
      <c r="NMF80" s="247" t="str">
        <f>BS!$E$5</f>
        <v>31 March 2025</v>
      </c>
      <c r="NMG80" s="1717"/>
      <c r="NMH80" s="1718"/>
      <c r="NMI80" s="1718"/>
      <c r="NMJ80" s="1718"/>
      <c r="NMK80" s="1718"/>
      <c r="NML80" s="246"/>
      <c r="NMM80" s="246" t="str">
        <f>BS!$D$5</f>
        <v>31 March 2026</v>
      </c>
      <c r="NMN80" s="247" t="str">
        <f>BS!$E$5</f>
        <v>31 March 2025</v>
      </c>
      <c r="NMO80" s="1717"/>
      <c r="NMP80" s="1718"/>
      <c r="NMQ80" s="1718"/>
      <c r="NMR80" s="1718"/>
      <c r="NMS80" s="1718"/>
      <c r="NMT80" s="246"/>
      <c r="NMU80" s="246" t="str">
        <f>BS!$D$5</f>
        <v>31 March 2026</v>
      </c>
      <c r="NMV80" s="247" t="str">
        <f>BS!$E$5</f>
        <v>31 March 2025</v>
      </c>
      <c r="NMW80" s="1717"/>
      <c r="NMX80" s="1718"/>
      <c r="NMY80" s="1718"/>
      <c r="NMZ80" s="1718"/>
      <c r="NNA80" s="1718"/>
      <c r="NNB80" s="246"/>
      <c r="NNC80" s="246" t="str">
        <f>BS!$D$5</f>
        <v>31 March 2026</v>
      </c>
      <c r="NND80" s="247" t="str">
        <f>BS!$E$5</f>
        <v>31 March 2025</v>
      </c>
      <c r="NNE80" s="1717"/>
      <c r="NNF80" s="1718"/>
      <c r="NNG80" s="1718"/>
      <c r="NNH80" s="1718"/>
      <c r="NNI80" s="1718"/>
      <c r="NNJ80" s="246"/>
      <c r="NNK80" s="246" t="str">
        <f>BS!$D$5</f>
        <v>31 March 2026</v>
      </c>
      <c r="NNL80" s="247" t="str">
        <f>BS!$E$5</f>
        <v>31 March 2025</v>
      </c>
      <c r="NNM80" s="1717"/>
      <c r="NNN80" s="1718"/>
      <c r="NNO80" s="1718"/>
      <c r="NNP80" s="1718"/>
      <c r="NNQ80" s="1718"/>
      <c r="NNR80" s="246"/>
      <c r="NNS80" s="246" t="str">
        <f>BS!$D$5</f>
        <v>31 March 2026</v>
      </c>
      <c r="NNT80" s="247" t="str">
        <f>BS!$E$5</f>
        <v>31 March 2025</v>
      </c>
      <c r="NNU80" s="1717"/>
      <c r="NNV80" s="1718"/>
      <c r="NNW80" s="1718"/>
      <c r="NNX80" s="1718"/>
      <c r="NNY80" s="1718"/>
      <c r="NNZ80" s="246"/>
      <c r="NOA80" s="246" t="str">
        <f>BS!$D$5</f>
        <v>31 March 2026</v>
      </c>
      <c r="NOB80" s="247" t="str">
        <f>BS!$E$5</f>
        <v>31 March 2025</v>
      </c>
      <c r="NOC80" s="1717"/>
      <c r="NOD80" s="1718"/>
      <c r="NOE80" s="1718"/>
      <c r="NOF80" s="1718"/>
      <c r="NOG80" s="1718"/>
      <c r="NOH80" s="246"/>
      <c r="NOI80" s="246" t="str">
        <f>BS!$D$5</f>
        <v>31 March 2026</v>
      </c>
      <c r="NOJ80" s="247" t="str">
        <f>BS!$E$5</f>
        <v>31 March 2025</v>
      </c>
      <c r="NOK80" s="1717"/>
      <c r="NOL80" s="1718"/>
      <c r="NOM80" s="1718"/>
      <c r="NON80" s="1718"/>
      <c r="NOO80" s="1718"/>
      <c r="NOP80" s="246"/>
      <c r="NOQ80" s="246" t="str">
        <f>BS!$D$5</f>
        <v>31 March 2026</v>
      </c>
      <c r="NOR80" s="247" t="str">
        <f>BS!$E$5</f>
        <v>31 March 2025</v>
      </c>
      <c r="NOS80" s="1717"/>
      <c r="NOT80" s="1718"/>
      <c r="NOU80" s="1718"/>
      <c r="NOV80" s="1718"/>
      <c r="NOW80" s="1718"/>
      <c r="NOX80" s="246"/>
      <c r="NOY80" s="246" t="str">
        <f>BS!$D$5</f>
        <v>31 March 2026</v>
      </c>
      <c r="NOZ80" s="247" t="str">
        <f>BS!$E$5</f>
        <v>31 March 2025</v>
      </c>
      <c r="NPA80" s="1717"/>
      <c r="NPB80" s="1718"/>
      <c r="NPC80" s="1718"/>
      <c r="NPD80" s="1718"/>
      <c r="NPE80" s="1718"/>
      <c r="NPF80" s="246"/>
      <c r="NPG80" s="246" t="str">
        <f>BS!$D$5</f>
        <v>31 March 2026</v>
      </c>
      <c r="NPH80" s="247" t="str">
        <f>BS!$E$5</f>
        <v>31 March 2025</v>
      </c>
      <c r="NPI80" s="1717"/>
      <c r="NPJ80" s="1718"/>
      <c r="NPK80" s="1718"/>
      <c r="NPL80" s="1718"/>
      <c r="NPM80" s="1718"/>
      <c r="NPN80" s="246"/>
      <c r="NPO80" s="246" t="str">
        <f>BS!$D$5</f>
        <v>31 March 2026</v>
      </c>
      <c r="NPP80" s="247" t="str">
        <f>BS!$E$5</f>
        <v>31 March 2025</v>
      </c>
      <c r="NPQ80" s="1717"/>
      <c r="NPR80" s="1718"/>
      <c r="NPS80" s="1718"/>
      <c r="NPT80" s="1718"/>
      <c r="NPU80" s="1718"/>
      <c r="NPV80" s="246"/>
      <c r="NPW80" s="246" t="str">
        <f>BS!$D$5</f>
        <v>31 March 2026</v>
      </c>
      <c r="NPX80" s="247" t="str">
        <f>BS!$E$5</f>
        <v>31 March 2025</v>
      </c>
      <c r="NPY80" s="1717"/>
      <c r="NPZ80" s="1718"/>
      <c r="NQA80" s="1718"/>
      <c r="NQB80" s="1718"/>
      <c r="NQC80" s="1718"/>
      <c r="NQD80" s="246"/>
      <c r="NQE80" s="246" t="str">
        <f>BS!$D$5</f>
        <v>31 March 2026</v>
      </c>
      <c r="NQF80" s="247" t="str">
        <f>BS!$E$5</f>
        <v>31 March 2025</v>
      </c>
      <c r="NQG80" s="1717"/>
      <c r="NQH80" s="1718"/>
      <c r="NQI80" s="1718"/>
      <c r="NQJ80" s="1718"/>
      <c r="NQK80" s="1718"/>
      <c r="NQL80" s="246"/>
      <c r="NQM80" s="246" t="str">
        <f>BS!$D$5</f>
        <v>31 March 2026</v>
      </c>
      <c r="NQN80" s="247" t="str">
        <f>BS!$E$5</f>
        <v>31 March 2025</v>
      </c>
      <c r="NQO80" s="1717"/>
      <c r="NQP80" s="1718"/>
      <c r="NQQ80" s="1718"/>
      <c r="NQR80" s="1718"/>
      <c r="NQS80" s="1718"/>
      <c r="NQT80" s="246"/>
      <c r="NQU80" s="246" t="str">
        <f>BS!$D$5</f>
        <v>31 March 2026</v>
      </c>
      <c r="NQV80" s="247" t="str">
        <f>BS!$E$5</f>
        <v>31 March 2025</v>
      </c>
      <c r="NQW80" s="1717"/>
      <c r="NQX80" s="1718"/>
      <c r="NQY80" s="1718"/>
      <c r="NQZ80" s="1718"/>
      <c r="NRA80" s="1718"/>
      <c r="NRB80" s="246"/>
      <c r="NRC80" s="246" t="str">
        <f>BS!$D$5</f>
        <v>31 March 2026</v>
      </c>
      <c r="NRD80" s="247" t="str">
        <f>BS!$E$5</f>
        <v>31 March 2025</v>
      </c>
      <c r="NRE80" s="1717"/>
      <c r="NRF80" s="1718"/>
      <c r="NRG80" s="1718"/>
      <c r="NRH80" s="1718"/>
      <c r="NRI80" s="1718"/>
      <c r="NRJ80" s="246"/>
      <c r="NRK80" s="246" t="str">
        <f>BS!$D$5</f>
        <v>31 March 2026</v>
      </c>
      <c r="NRL80" s="247" t="str">
        <f>BS!$E$5</f>
        <v>31 March 2025</v>
      </c>
      <c r="NRM80" s="1717"/>
      <c r="NRN80" s="1718"/>
      <c r="NRO80" s="1718"/>
      <c r="NRP80" s="1718"/>
      <c r="NRQ80" s="1718"/>
      <c r="NRR80" s="246"/>
      <c r="NRS80" s="246" t="str">
        <f>BS!$D$5</f>
        <v>31 March 2026</v>
      </c>
      <c r="NRT80" s="247" t="str">
        <f>BS!$E$5</f>
        <v>31 March 2025</v>
      </c>
      <c r="NRU80" s="1717"/>
      <c r="NRV80" s="1718"/>
      <c r="NRW80" s="1718"/>
      <c r="NRX80" s="1718"/>
      <c r="NRY80" s="1718"/>
      <c r="NRZ80" s="246"/>
      <c r="NSA80" s="246" t="str">
        <f>BS!$D$5</f>
        <v>31 March 2026</v>
      </c>
      <c r="NSB80" s="247" t="str">
        <f>BS!$E$5</f>
        <v>31 March 2025</v>
      </c>
      <c r="NSC80" s="1717"/>
      <c r="NSD80" s="1718"/>
      <c r="NSE80" s="1718"/>
      <c r="NSF80" s="1718"/>
      <c r="NSG80" s="1718"/>
      <c r="NSH80" s="246"/>
      <c r="NSI80" s="246" t="str">
        <f>BS!$D$5</f>
        <v>31 March 2026</v>
      </c>
      <c r="NSJ80" s="247" t="str">
        <f>BS!$E$5</f>
        <v>31 March 2025</v>
      </c>
      <c r="NSK80" s="1717"/>
      <c r="NSL80" s="1718"/>
      <c r="NSM80" s="1718"/>
      <c r="NSN80" s="1718"/>
      <c r="NSO80" s="1718"/>
      <c r="NSP80" s="246"/>
      <c r="NSQ80" s="246" t="str">
        <f>BS!$D$5</f>
        <v>31 March 2026</v>
      </c>
      <c r="NSR80" s="247" t="str">
        <f>BS!$E$5</f>
        <v>31 March 2025</v>
      </c>
      <c r="NSS80" s="1717"/>
      <c r="NST80" s="1718"/>
      <c r="NSU80" s="1718"/>
      <c r="NSV80" s="1718"/>
      <c r="NSW80" s="1718"/>
      <c r="NSX80" s="246"/>
      <c r="NSY80" s="246" t="str">
        <f>BS!$D$5</f>
        <v>31 March 2026</v>
      </c>
      <c r="NSZ80" s="247" t="str">
        <f>BS!$E$5</f>
        <v>31 March 2025</v>
      </c>
      <c r="NTA80" s="1717"/>
      <c r="NTB80" s="1718"/>
      <c r="NTC80" s="1718"/>
      <c r="NTD80" s="1718"/>
      <c r="NTE80" s="1718"/>
      <c r="NTF80" s="246"/>
      <c r="NTG80" s="246" t="str">
        <f>BS!$D$5</f>
        <v>31 March 2026</v>
      </c>
      <c r="NTH80" s="247" t="str">
        <f>BS!$E$5</f>
        <v>31 March 2025</v>
      </c>
      <c r="NTI80" s="1717"/>
      <c r="NTJ80" s="1718"/>
      <c r="NTK80" s="1718"/>
      <c r="NTL80" s="1718"/>
      <c r="NTM80" s="1718"/>
      <c r="NTN80" s="246"/>
      <c r="NTO80" s="246" t="str">
        <f>BS!$D$5</f>
        <v>31 March 2026</v>
      </c>
      <c r="NTP80" s="247" t="str">
        <f>BS!$E$5</f>
        <v>31 March 2025</v>
      </c>
      <c r="NTQ80" s="1717"/>
      <c r="NTR80" s="1718"/>
      <c r="NTS80" s="1718"/>
      <c r="NTT80" s="1718"/>
      <c r="NTU80" s="1718"/>
      <c r="NTV80" s="246"/>
      <c r="NTW80" s="246" t="str">
        <f>BS!$D$5</f>
        <v>31 March 2026</v>
      </c>
      <c r="NTX80" s="247" t="str">
        <f>BS!$E$5</f>
        <v>31 March 2025</v>
      </c>
      <c r="NTY80" s="1717"/>
      <c r="NTZ80" s="1718"/>
      <c r="NUA80" s="1718"/>
      <c r="NUB80" s="1718"/>
      <c r="NUC80" s="1718"/>
      <c r="NUD80" s="246"/>
      <c r="NUE80" s="246" t="str">
        <f>BS!$D$5</f>
        <v>31 March 2026</v>
      </c>
      <c r="NUF80" s="247" t="str">
        <f>BS!$E$5</f>
        <v>31 March 2025</v>
      </c>
      <c r="NUG80" s="1717"/>
      <c r="NUH80" s="1718"/>
      <c r="NUI80" s="1718"/>
      <c r="NUJ80" s="1718"/>
      <c r="NUK80" s="1718"/>
      <c r="NUL80" s="246"/>
      <c r="NUM80" s="246" t="str">
        <f>BS!$D$5</f>
        <v>31 March 2026</v>
      </c>
      <c r="NUN80" s="247" t="str">
        <f>BS!$E$5</f>
        <v>31 March 2025</v>
      </c>
      <c r="NUO80" s="1717"/>
      <c r="NUP80" s="1718"/>
      <c r="NUQ80" s="1718"/>
      <c r="NUR80" s="1718"/>
      <c r="NUS80" s="1718"/>
      <c r="NUT80" s="246"/>
      <c r="NUU80" s="246" t="str">
        <f>BS!$D$5</f>
        <v>31 March 2026</v>
      </c>
      <c r="NUV80" s="247" t="str">
        <f>BS!$E$5</f>
        <v>31 March 2025</v>
      </c>
      <c r="NUW80" s="1717"/>
      <c r="NUX80" s="1718"/>
      <c r="NUY80" s="1718"/>
      <c r="NUZ80" s="1718"/>
      <c r="NVA80" s="1718"/>
      <c r="NVB80" s="246"/>
      <c r="NVC80" s="246" t="str">
        <f>BS!$D$5</f>
        <v>31 March 2026</v>
      </c>
      <c r="NVD80" s="247" t="str">
        <f>BS!$E$5</f>
        <v>31 March 2025</v>
      </c>
      <c r="NVE80" s="1717"/>
      <c r="NVF80" s="1718"/>
      <c r="NVG80" s="1718"/>
      <c r="NVH80" s="1718"/>
      <c r="NVI80" s="1718"/>
      <c r="NVJ80" s="246"/>
      <c r="NVK80" s="246" t="str">
        <f>BS!$D$5</f>
        <v>31 March 2026</v>
      </c>
      <c r="NVL80" s="247" t="str">
        <f>BS!$E$5</f>
        <v>31 March 2025</v>
      </c>
      <c r="NVM80" s="1717"/>
      <c r="NVN80" s="1718"/>
      <c r="NVO80" s="1718"/>
      <c r="NVP80" s="1718"/>
      <c r="NVQ80" s="1718"/>
      <c r="NVR80" s="246"/>
      <c r="NVS80" s="246" t="str">
        <f>BS!$D$5</f>
        <v>31 March 2026</v>
      </c>
      <c r="NVT80" s="247" t="str">
        <f>BS!$E$5</f>
        <v>31 March 2025</v>
      </c>
      <c r="NVU80" s="1717"/>
      <c r="NVV80" s="1718"/>
      <c r="NVW80" s="1718"/>
      <c r="NVX80" s="1718"/>
      <c r="NVY80" s="1718"/>
      <c r="NVZ80" s="246"/>
      <c r="NWA80" s="246" t="str">
        <f>BS!$D$5</f>
        <v>31 March 2026</v>
      </c>
      <c r="NWB80" s="247" t="str">
        <f>BS!$E$5</f>
        <v>31 March 2025</v>
      </c>
      <c r="NWC80" s="1717"/>
      <c r="NWD80" s="1718"/>
      <c r="NWE80" s="1718"/>
      <c r="NWF80" s="1718"/>
      <c r="NWG80" s="1718"/>
      <c r="NWH80" s="246"/>
      <c r="NWI80" s="246" t="str">
        <f>BS!$D$5</f>
        <v>31 March 2026</v>
      </c>
      <c r="NWJ80" s="247" t="str">
        <f>BS!$E$5</f>
        <v>31 March 2025</v>
      </c>
      <c r="NWK80" s="1717"/>
      <c r="NWL80" s="1718"/>
      <c r="NWM80" s="1718"/>
      <c r="NWN80" s="1718"/>
      <c r="NWO80" s="1718"/>
      <c r="NWP80" s="246"/>
      <c r="NWQ80" s="246" t="str">
        <f>BS!$D$5</f>
        <v>31 March 2026</v>
      </c>
      <c r="NWR80" s="247" t="str">
        <f>BS!$E$5</f>
        <v>31 March 2025</v>
      </c>
      <c r="NWS80" s="1717"/>
      <c r="NWT80" s="1718"/>
      <c r="NWU80" s="1718"/>
      <c r="NWV80" s="1718"/>
      <c r="NWW80" s="1718"/>
      <c r="NWX80" s="246"/>
      <c r="NWY80" s="246" t="str">
        <f>BS!$D$5</f>
        <v>31 March 2026</v>
      </c>
      <c r="NWZ80" s="247" t="str">
        <f>BS!$E$5</f>
        <v>31 March 2025</v>
      </c>
      <c r="NXA80" s="1717"/>
      <c r="NXB80" s="1718"/>
      <c r="NXC80" s="1718"/>
      <c r="NXD80" s="1718"/>
      <c r="NXE80" s="1718"/>
      <c r="NXF80" s="246"/>
      <c r="NXG80" s="246" t="str">
        <f>BS!$D$5</f>
        <v>31 March 2026</v>
      </c>
      <c r="NXH80" s="247" t="str">
        <f>BS!$E$5</f>
        <v>31 March 2025</v>
      </c>
      <c r="NXI80" s="1717"/>
      <c r="NXJ80" s="1718"/>
      <c r="NXK80" s="1718"/>
      <c r="NXL80" s="1718"/>
      <c r="NXM80" s="1718"/>
      <c r="NXN80" s="246"/>
      <c r="NXO80" s="246" t="str">
        <f>BS!$D$5</f>
        <v>31 March 2026</v>
      </c>
      <c r="NXP80" s="247" t="str">
        <f>BS!$E$5</f>
        <v>31 March 2025</v>
      </c>
      <c r="NXQ80" s="1717"/>
      <c r="NXR80" s="1718"/>
      <c r="NXS80" s="1718"/>
      <c r="NXT80" s="1718"/>
      <c r="NXU80" s="1718"/>
      <c r="NXV80" s="246"/>
      <c r="NXW80" s="246" t="str">
        <f>BS!$D$5</f>
        <v>31 March 2026</v>
      </c>
      <c r="NXX80" s="247" t="str">
        <f>BS!$E$5</f>
        <v>31 March 2025</v>
      </c>
      <c r="NXY80" s="1717"/>
      <c r="NXZ80" s="1718"/>
      <c r="NYA80" s="1718"/>
      <c r="NYB80" s="1718"/>
      <c r="NYC80" s="1718"/>
      <c r="NYD80" s="246"/>
      <c r="NYE80" s="246" t="str">
        <f>BS!$D$5</f>
        <v>31 March 2026</v>
      </c>
      <c r="NYF80" s="247" t="str">
        <f>BS!$E$5</f>
        <v>31 March 2025</v>
      </c>
      <c r="NYG80" s="1717"/>
      <c r="NYH80" s="1718"/>
      <c r="NYI80" s="1718"/>
      <c r="NYJ80" s="1718"/>
      <c r="NYK80" s="1718"/>
      <c r="NYL80" s="246"/>
      <c r="NYM80" s="246" t="str">
        <f>BS!$D$5</f>
        <v>31 March 2026</v>
      </c>
      <c r="NYN80" s="247" t="str">
        <f>BS!$E$5</f>
        <v>31 March 2025</v>
      </c>
      <c r="NYO80" s="1717"/>
      <c r="NYP80" s="1718"/>
      <c r="NYQ80" s="1718"/>
      <c r="NYR80" s="1718"/>
      <c r="NYS80" s="1718"/>
      <c r="NYT80" s="246"/>
      <c r="NYU80" s="246" t="str">
        <f>BS!$D$5</f>
        <v>31 March 2026</v>
      </c>
      <c r="NYV80" s="247" t="str">
        <f>BS!$E$5</f>
        <v>31 March 2025</v>
      </c>
      <c r="NYW80" s="1717"/>
      <c r="NYX80" s="1718"/>
      <c r="NYY80" s="1718"/>
      <c r="NYZ80" s="1718"/>
      <c r="NZA80" s="1718"/>
      <c r="NZB80" s="246"/>
      <c r="NZC80" s="246" t="str">
        <f>BS!$D$5</f>
        <v>31 March 2026</v>
      </c>
      <c r="NZD80" s="247" t="str">
        <f>BS!$E$5</f>
        <v>31 March 2025</v>
      </c>
      <c r="NZE80" s="1717"/>
      <c r="NZF80" s="1718"/>
      <c r="NZG80" s="1718"/>
      <c r="NZH80" s="1718"/>
      <c r="NZI80" s="1718"/>
      <c r="NZJ80" s="246"/>
      <c r="NZK80" s="246" t="str">
        <f>BS!$D$5</f>
        <v>31 March 2026</v>
      </c>
      <c r="NZL80" s="247" t="str">
        <f>BS!$E$5</f>
        <v>31 March 2025</v>
      </c>
      <c r="NZM80" s="1717"/>
      <c r="NZN80" s="1718"/>
      <c r="NZO80" s="1718"/>
      <c r="NZP80" s="1718"/>
      <c r="NZQ80" s="1718"/>
      <c r="NZR80" s="246"/>
      <c r="NZS80" s="246" t="str">
        <f>BS!$D$5</f>
        <v>31 March 2026</v>
      </c>
      <c r="NZT80" s="247" t="str">
        <f>BS!$E$5</f>
        <v>31 March 2025</v>
      </c>
      <c r="NZU80" s="1717"/>
      <c r="NZV80" s="1718"/>
      <c r="NZW80" s="1718"/>
      <c r="NZX80" s="1718"/>
      <c r="NZY80" s="1718"/>
      <c r="NZZ80" s="246"/>
      <c r="OAA80" s="246" t="str">
        <f>BS!$D$5</f>
        <v>31 March 2026</v>
      </c>
      <c r="OAB80" s="247" t="str">
        <f>BS!$E$5</f>
        <v>31 March 2025</v>
      </c>
      <c r="OAC80" s="1717"/>
      <c r="OAD80" s="1718"/>
      <c r="OAE80" s="1718"/>
      <c r="OAF80" s="1718"/>
      <c r="OAG80" s="1718"/>
      <c r="OAH80" s="246"/>
      <c r="OAI80" s="246" t="str">
        <f>BS!$D$5</f>
        <v>31 March 2026</v>
      </c>
      <c r="OAJ80" s="247" t="str">
        <f>BS!$E$5</f>
        <v>31 March 2025</v>
      </c>
      <c r="OAK80" s="1717"/>
      <c r="OAL80" s="1718"/>
      <c r="OAM80" s="1718"/>
      <c r="OAN80" s="1718"/>
      <c r="OAO80" s="1718"/>
      <c r="OAP80" s="246"/>
      <c r="OAQ80" s="246" t="str">
        <f>BS!$D$5</f>
        <v>31 March 2026</v>
      </c>
      <c r="OAR80" s="247" t="str">
        <f>BS!$E$5</f>
        <v>31 March 2025</v>
      </c>
      <c r="OAS80" s="1717"/>
      <c r="OAT80" s="1718"/>
      <c r="OAU80" s="1718"/>
      <c r="OAV80" s="1718"/>
      <c r="OAW80" s="1718"/>
      <c r="OAX80" s="246"/>
      <c r="OAY80" s="246" t="str">
        <f>BS!$D$5</f>
        <v>31 March 2026</v>
      </c>
      <c r="OAZ80" s="247" t="str">
        <f>BS!$E$5</f>
        <v>31 March 2025</v>
      </c>
      <c r="OBA80" s="1717"/>
      <c r="OBB80" s="1718"/>
      <c r="OBC80" s="1718"/>
      <c r="OBD80" s="1718"/>
      <c r="OBE80" s="1718"/>
      <c r="OBF80" s="246"/>
      <c r="OBG80" s="246" t="str">
        <f>BS!$D$5</f>
        <v>31 March 2026</v>
      </c>
      <c r="OBH80" s="247" t="str">
        <f>BS!$E$5</f>
        <v>31 March 2025</v>
      </c>
      <c r="OBI80" s="1717"/>
      <c r="OBJ80" s="1718"/>
      <c r="OBK80" s="1718"/>
      <c r="OBL80" s="1718"/>
      <c r="OBM80" s="1718"/>
      <c r="OBN80" s="246"/>
      <c r="OBO80" s="246" t="str">
        <f>BS!$D$5</f>
        <v>31 March 2026</v>
      </c>
      <c r="OBP80" s="247" t="str">
        <f>BS!$E$5</f>
        <v>31 March 2025</v>
      </c>
      <c r="OBQ80" s="1717"/>
      <c r="OBR80" s="1718"/>
      <c r="OBS80" s="1718"/>
      <c r="OBT80" s="1718"/>
      <c r="OBU80" s="1718"/>
      <c r="OBV80" s="246"/>
      <c r="OBW80" s="246" t="str">
        <f>BS!$D$5</f>
        <v>31 March 2026</v>
      </c>
      <c r="OBX80" s="247" t="str">
        <f>BS!$E$5</f>
        <v>31 March 2025</v>
      </c>
      <c r="OBY80" s="1717"/>
      <c r="OBZ80" s="1718"/>
      <c r="OCA80" s="1718"/>
      <c r="OCB80" s="1718"/>
      <c r="OCC80" s="1718"/>
      <c r="OCD80" s="246"/>
      <c r="OCE80" s="246" t="str">
        <f>BS!$D$5</f>
        <v>31 March 2026</v>
      </c>
      <c r="OCF80" s="247" t="str">
        <f>BS!$E$5</f>
        <v>31 March 2025</v>
      </c>
      <c r="OCG80" s="1717"/>
      <c r="OCH80" s="1718"/>
      <c r="OCI80" s="1718"/>
      <c r="OCJ80" s="1718"/>
      <c r="OCK80" s="1718"/>
      <c r="OCL80" s="246"/>
      <c r="OCM80" s="246" t="str">
        <f>BS!$D$5</f>
        <v>31 March 2026</v>
      </c>
      <c r="OCN80" s="247" t="str">
        <f>BS!$E$5</f>
        <v>31 March 2025</v>
      </c>
      <c r="OCO80" s="1717"/>
      <c r="OCP80" s="1718"/>
      <c r="OCQ80" s="1718"/>
      <c r="OCR80" s="1718"/>
      <c r="OCS80" s="1718"/>
      <c r="OCT80" s="246"/>
      <c r="OCU80" s="246" t="str">
        <f>BS!$D$5</f>
        <v>31 March 2026</v>
      </c>
      <c r="OCV80" s="247" t="str">
        <f>BS!$E$5</f>
        <v>31 March 2025</v>
      </c>
      <c r="OCW80" s="1717"/>
      <c r="OCX80" s="1718"/>
      <c r="OCY80" s="1718"/>
      <c r="OCZ80" s="1718"/>
      <c r="ODA80" s="1718"/>
      <c r="ODB80" s="246"/>
      <c r="ODC80" s="246" t="str">
        <f>BS!$D$5</f>
        <v>31 March 2026</v>
      </c>
      <c r="ODD80" s="247" t="str">
        <f>BS!$E$5</f>
        <v>31 March 2025</v>
      </c>
      <c r="ODE80" s="1717"/>
      <c r="ODF80" s="1718"/>
      <c r="ODG80" s="1718"/>
      <c r="ODH80" s="1718"/>
      <c r="ODI80" s="1718"/>
      <c r="ODJ80" s="246"/>
      <c r="ODK80" s="246" t="str">
        <f>BS!$D$5</f>
        <v>31 March 2026</v>
      </c>
      <c r="ODL80" s="247" t="str">
        <f>BS!$E$5</f>
        <v>31 March 2025</v>
      </c>
      <c r="ODM80" s="1717"/>
      <c r="ODN80" s="1718"/>
      <c r="ODO80" s="1718"/>
      <c r="ODP80" s="1718"/>
      <c r="ODQ80" s="1718"/>
      <c r="ODR80" s="246"/>
      <c r="ODS80" s="246" t="str">
        <f>BS!$D$5</f>
        <v>31 March 2026</v>
      </c>
      <c r="ODT80" s="247" t="str">
        <f>BS!$E$5</f>
        <v>31 March 2025</v>
      </c>
      <c r="ODU80" s="1717"/>
      <c r="ODV80" s="1718"/>
      <c r="ODW80" s="1718"/>
      <c r="ODX80" s="1718"/>
      <c r="ODY80" s="1718"/>
      <c r="ODZ80" s="246"/>
      <c r="OEA80" s="246" t="str">
        <f>BS!$D$5</f>
        <v>31 March 2026</v>
      </c>
      <c r="OEB80" s="247" t="str">
        <f>BS!$E$5</f>
        <v>31 March 2025</v>
      </c>
      <c r="OEC80" s="1717"/>
      <c r="OED80" s="1718"/>
      <c r="OEE80" s="1718"/>
      <c r="OEF80" s="1718"/>
      <c r="OEG80" s="1718"/>
      <c r="OEH80" s="246"/>
      <c r="OEI80" s="246" t="str">
        <f>BS!$D$5</f>
        <v>31 March 2026</v>
      </c>
      <c r="OEJ80" s="247" t="str">
        <f>BS!$E$5</f>
        <v>31 March 2025</v>
      </c>
      <c r="OEK80" s="1717"/>
      <c r="OEL80" s="1718"/>
      <c r="OEM80" s="1718"/>
      <c r="OEN80" s="1718"/>
      <c r="OEO80" s="1718"/>
      <c r="OEP80" s="246"/>
      <c r="OEQ80" s="246" t="str">
        <f>BS!$D$5</f>
        <v>31 March 2026</v>
      </c>
      <c r="OER80" s="247" t="str">
        <f>BS!$E$5</f>
        <v>31 March 2025</v>
      </c>
      <c r="OES80" s="1717"/>
      <c r="OET80" s="1718"/>
      <c r="OEU80" s="1718"/>
      <c r="OEV80" s="1718"/>
      <c r="OEW80" s="1718"/>
      <c r="OEX80" s="246"/>
      <c r="OEY80" s="246" t="str">
        <f>BS!$D$5</f>
        <v>31 March 2026</v>
      </c>
      <c r="OEZ80" s="247" t="str">
        <f>BS!$E$5</f>
        <v>31 March 2025</v>
      </c>
      <c r="OFA80" s="1717"/>
      <c r="OFB80" s="1718"/>
      <c r="OFC80" s="1718"/>
      <c r="OFD80" s="1718"/>
      <c r="OFE80" s="1718"/>
      <c r="OFF80" s="246"/>
      <c r="OFG80" s="246" t="str">
        <f>BS!$D$5</f>
        <v>31 March 2026</v>
      </c>
      <c r="OFH80" s="247" t="str">
        <f>BS!$E$5</f>
        <v>31 March 2025</v>
      </c>
      <c r="OFI80" s="1717"/>
      <c r="OFJ80" s="1718"/>
      <c r="OFK80" s="1718"/>
      <c r="OFL80" s="1718"/>
      <c r="OFM80" s="1718"/>
      <c r="OFN80" s="246"/>
      <c r="OFO80" s="246" t="str">
        <f>BS!$D$5</f>
        <v>31 March 2026</v>
      </c>
      <c r="OFP80" s="247" t="str">
        <f>BS!$E$5</f>
        <v>31 March 2025</v>
      </c>
      <c r="OFQ80" s="1717"/>
      <c r="OFR80" s="1718"/>
      <c r="OFS80" s="1718"/>
      <c r="OFT80" s="1718"/>
      <c r="OFU80" s="1718"/>
      <c r="OFV80" s="246"/>
      <c r="OFW80" s="246" t="str">
        <f>BS!$D$5</f>
        <v>31 March 2026</v>
      </c>
      <c r="OFX80" s="247" t="str">
        <f>BS!$E$5</f>
        <v>31 March 2025</v>
      </c>
      <c r="OFY80" s="1717"/>
      <c r="OFZ80" s="1718"/>
      <c r="OGA80" s="1718"/>
      <c r="OGB80" s="1718"/>
      <c r="OGC80" s="1718"/>
      <c r="OGD80" s="246"/>
      <c r="OGE80" s="246" t="str">
        <f>BS!$D$5</f>
        <v>31 March 2026</v>
      </c>
      <c r="OGF80" s="247" t="str">
        <f>BS!$E$5</f>
        <v>31 March 2025</v>
      </c>
      <c r="OGG80" s="1717"/>
      <c r="OGH80" s="1718"/>
      <c r="OGI80" s="1718"/>
      <c r="OGJ80" s="1718"/>
      <c r="OGK80" s="1718"/>
      <c r="OGL80" s="246"/>
      <c r="OGM80" s="246" t="str">
        <f>BS!$D$5</f>
        <v>31 March 2026</v>
      </c>
      <c r="OGN80" s="247" t="str">
        <f>BS!$E$5</f>
        <v>31 March 2025</v>
      </c>
      <c r="OGO80" s="1717"/>
      <c r="OGP80" s="1718"/>
      <c r="OGQ80" s="1718"/>
      <c r="OGR80" s="1718"/>
      <c r="OGS80" s="1718"/>
      <c r="OGT80" s="246"/>
      <c r="OGU80" s="246" t="str">
        <f>BS!$D$5</f>
        <v>31 March 2026</v>
      </c>
      <c r="OGV80" s="247" t="str">
        <f>BS!$E$5</f>
        <v>31 March 2025</v>
      </c>
      <c r="OGW80" s="1717"/>
      <c r="OGX80" s="1718"/>
      <c r="OGY80" s="1718"/>
      <c r="OGZ80" s="1718"/>
      <c r="OHA80" s="1718"/>
      <c r="OHB80" s="246"/>
      <c r="OHC80" s="246" t="str">
        <f>BS!$D$5</f>
        <v>31 March 2026</v>
      </c>
      <c r="OHD80" s="247" t="str">
        <f>BS!$E$5</f>
        <v>31 March 2025</v>
      </c>
      <c r="OHE80" s="1717"/>
      <c r="OHF80" s="1718"/>
      <c r="OHG80" s="1718"/>
      <c r="OHH80" s="1718"/>
      <c r="OHI80" s="1718"/>
      <c r="OHJ80" s="246"/>
      <c r="OHK80" s="246" t="str">
        <f>BS!$D$5</f>
        <v>31 March 2026</v>
      </c>
      <c r="OHL80" s="247" t="str">
        <f>BS!$E$5</f>
        <v>31 March 2025</v>
      </c>
      <c r="OHM80" s="1717"/>
      <c r="OHN80" s="1718"/>
      <c r="OHO80" s="1718"/>
      <c r="OHP80" s="1718"/>
      <c r="OHQ80" s="1718"/>
      <c r="OHR80" s="246"/>
      <c r="OHS80" s="246" t="str">
        <f>BS!$D$5</f>
        <v>31 March 2026</v>
      </c>
      <c r="OHT80" s="247" t="str">
        <f>BS!$E$5</f>
        <v>31 March 2025</v>
      </c>
      <c r="OHU80" s="1717"/>
      <c r="OHV80" s="1718"/>
      <c r="OHW80" s="1718"/>
      <c r="OHX80" s="1718"/>
      <c r="OHY80" s="1718"/>
      <c r="OHZ80" s="246"/>
      <c r="OIA80" s="246" t="str">
        <f>BS!$D$5</f>
        <v>31 March 2026</v>
      </c>
      <c r="OIB80" s="247" t="str">
        <f>BS!$E$5</f>
        <v>31 March 2025</v>
      </c>
      <c r="OIC80" s="1717"/>
      <c r="OID80" s="1718"/>
      <c r="OIE80" s="1718"/>
      <c r="OIF80" s="1718"/>
      <c r="OIG80" s="1718"/>
      <c r="OIH80" s="246"/>
      <c r="OII80" s="246" t="str">
        <f>BS!$D$5</f>
        <v>31 March 2026</v>
      </c>
      <c r="OIJ80" s="247" t="str">
        <f>BS!$E$5</f>
        <v>31 March 2025</v>
      </c>
      <c r="OIK80" s="1717"/>
      <c r="OIL80" s="1718"/>
      <c r="OIM80" s="1718"/>
      <c r="OIN80" s="1718"/>
      <c r="OIO80" s="1718"/>
      <c r="OIP80" s="246"/>
      <c r="OIQ80" s="246" t="str">
        <f>BS!$D$5</f>
        <v>31 March 2026</v>
      </c>
      <c r="OIR80" s="247" t="str">
        <f>BS!$E$5</f>
        <v>31 March 2025</v>
      </c>
      <c r="OIS80" s="1717"/>
      <c r="OIT80" s="1718"/>
      <c r="OIU80" s="1718"/>
      <c r="OIV80" s="1718"/>
      <c r="OIW80" s="1718"/>
      <c r="OIX80" s="246"/>
      <c r="OIY80" s="246" t="str">
        <f>BS!$D$5</f>
        <v>31 March 2026</v>
      </c>
      <c r="OIZ80" s="247" t="str">
        <f>BS!$E$5</f>
        <v>31 March 2025</v>
      </c>
      <c r="OJA80" s="1717"/>
      <c r="OJB80" s="1718"/>
      <c r="OJC80" s="1718"/>
      <c r="OJD80" s="1718"/>
      <c r="OJE80" s="1718"/>
      <c r="OJF80" s="246"/>
      <c r="OJG80" s="246" t="str">
        <f>BS!$D$5</f>
        <v>31 March 2026</v>
      </c>
      <c r="OJH80" s="247" t="str">
        <f>BS!$E$5</f>
        <v>31 March 2025</v>
      </c>
      <c r="OJI80" s="1717"/>
      <c r="OJJ80" s="1718"/>
      <c r="OJK80" s="1718"/>
      <c r="OJL80" s="1718"/>
      <c r="OJM80" s="1718"/>
      <c r="OJN80" s="246"/>
      <c r="OJO80" s="246" t="str">
        <f>BS!$D$5</f>
        <v>31 March 2026</v>
      </c>
      <c r="OJP80" s="247" t="str">
        <f>BS!$E$5</f>
        <v>31 March 2025</v>
      </c>
      <c r="OJQ80" s="1717"/>
      <c r="OJR80" s="1718"/>
      <c r="OJS80" s="1718"/>
      <c r="OJT80" s="1718"/>
      <c r="OJU80" s="1718"/>
      <c r="OJV80" s="246"/>
      <c r="OJW80" s="246" t="str">
        <f>BS!$D$5</f>
        <v>31 March 2026</v>
      </c>
      <c r="OJX80" s="247" t="str">
        <f>BS!$E$5</f>
        <v>31 March 2025</v>
      </c>
      <c r="OJY80" s="1717"/>
      <c r="OJZ80" s="1718"/>
      <c r="OKA80" s="1718"/>
      <c r="OKB80" s="1718"/>
      <c r="OKC80" s="1718"/>
      <c r="OKD80" s="246"/>
      <c r="OKE80" s="246" t="str">
        <f>BS!$D$5</f>
        <v>31 March 2026</v>
      </c>
      <c r="OKF80" s="247" t="str">
        <f>BS!$E$5</f>
        <v>31 March 2025</v>
      </c>
      <c r="OKG80" s="1717"/>
      <c r="OKH80" s="1718"/>
      <c r="OKI80" s="1718"/>
      <c r="OKJ80" s="1718"/>
      <c r="OKK80" s="1718"/>
      <c r="OKL80" s="246"/>
      <c r="OKM80" s="246" t="str">
        <f>BS!$D$5</f>
        <v>31 March 2026</v>
      </c>
      <c r="OKN80" s="247" t="str">
        <f>BS!$E$5</f>
        <v>31 March 2025</v>
      </c>
      <c r="OKO80" s="1717"/>
      <c r="OKP80" s="1718"/>
      <c r="OKQ80" s="1718"/>
      <c r="OKR80" s="1718"/>
      <c r="OKS80" s="1718"/>
      <c r="OKT80" s="246"/>
      <c r="OKU80" s="246" t="str">
        <f>BS!$D$5</f>
        <v>31 March 2026</v>
      </c>
      <c r="OKV80" s="247" t="str">
        <f>BS!$E$5</f>
        <v>31 March 2025</v>
      </c>
      <c r="OKW80" s="1717"/>
      <c r="OKX80" s="1718"/>
      <c r="OKY80" s="1718"/>
      <c r="OKZ80" s="1718"/>
      <c r="OLA80" s="1718"/>
      <c r="OLB80" s="246"/>
      <c r="OLC80" s="246" t="str">
        <f>BS!$D$5</f>
        <v>31 March 2026</v>
      </c>
      <c r="OLD80" s="247" t="str">
        <f>BS!$E$5</f>
        <v>31 March 2025</v>
      </c>
      <c r="OLE80" s="1717"/>
      <c r="OLF80" s="1718"/>
      <c r="OLG80" s="1718"/>
      <c r="OLH80" s="1718"/>
      <c r="OLI80" s="1718"/>
      <c r="OLJ80" s="246"/>
      <c r="OLK80" s="246" t="str">
        <f>BS!$D$5</f>
        <v>31 March 2026</v>
      </c>
      <c r="OLL80" s="247" t="str">
        <f>BS!$E$5</f>
        <v>31 March 2025</v>
      </c>
      <c r="OLM80" s="1717"/>
      <c r="OLN80" s="1718"/>
      <c r="OLO80" s="1718"/>
      <c r="OLP80" s="1718"/>
      <c r="OLQ80" s="1718"/>
      <c r="OLR80" s="246"/>
      <c r="OLS80" s="246" t="str">
        <f>BS!$D$5</f>
        <v>31 March 2026</v>
      </c>
      <c r="OLT80" s="247" t="str">
        <f>BS!$E$5</f>
        <v>31 March 2025</v>
      </c>
      <c r="OLU80" s="1717"/>
      <c r="OLV80" s="1718"/>
      <c r="OLW80" s="1718"/>
      <c r="OLX80" s="1718"/>
      <c r="OLY80" s="1718"/>
      <c r="OLZ80" s="246"/>
      <c r="OMA80" s="246" t="str">
        <f>BS!$D$5</f>
        <v>31 March 2026</v>
      </c>
      <c r="OMB80" s="247" t="str">
        <f>BS!$E$5</f>
        <v>31 March 2025</v>
      </c>
      <c r="OMC80" s="1717"/>
      <c r="OMD80" s="1718"/>
      <c r="OME80" s="1718"/>
      <c r="OMF80" s="1718"/>
      <c r="OMG80" s="1718"/>
      <c r="OMH80" s="246"/>
      <c r="OMI80" s="246" t="str">
        <f>BS!$D$5</f>
        <v>31 March 2026</v>
      </c>
      <c r="OMJ80" s="247" t="str">
        <f>BS!$E$5</f>
        <v>31 March 2025</v>
      </c>
      <c r="OMK80" s="1717"/>
      <c r="OML80" s="1718"/>
      <c r="OMM80" s="1718"/>
      <c r="OMN80" s="1718"/>
      <c r="OMO80" s="1718"/>
      <c r="OMP80" s="246"/>
      <c r="OMQ80" s="246" t="str">
        <f>BS!$D$5</f>
        <v>31 March 2026</v>
      </c>
      <c r="OMR80" s="247" t="str">
        <f>BS!$E$5</f>
        <v>31 March 2025</v>
      </c>
      <c r="OMS80" s="1717"/>
      <c r="OMT80" s="1718"/>
      <c r="OMU80" s="1718"/>
      <c r="OMV80" s="1718"/>
      <c r="OMW80" s="1718"/>
      <c r="OMX80" s="246"/>
      <c r="OMY80" s="246" t="str">
        <f>BS!$D$5</f>
        <v>31 March 2026</v>
      </c>
      <c r="OMZ80" s="247" t="str">
        <f>BS!$E$5</f>
        <v>31 March 2025</v>
      </c>
      <c r="ONA80" s="1717"/>
      <c r="ONB80" s="1718"/>
      <c r="ONC80" s="1718"/>
      <c r="OND80" s="1718"/>
      <c r="ONE80" s="1718"/>
      <c r="ONF80" s="246"/>
      <c r="ONG80" s="246" t="str">
        <f>BS!$D$5</f>
        <v>31 March 2026</v>
      </c>
      <c r="ONH80" s="247" t="str">
        <f>BS!$E$5</f>
        <v>31 March 2025</v>
      </c>
      <c r="ONI80" s="1717"/>
      <c r="ONJ80" s="1718"/>
      <c r="ONK80" s="1718"/>
      <c r="ONL80" s="1718"/>
      <c r="ONM80" s="1718"/>
      <c r="ONN80" s="246"/>
      <c r="ONO80" s="246" t="str">
        <f>BS!$D$5</f>
        <v>31 March 2026</v>
      </c>
      <c r="ONP80" s="247" t="str">
        <f>BS!$E$5</f>
        <v>31 March 2025</v>
      </c>
      <c r="ONQ80" s="1717"/>
      <c r="ONR80" s="1718"/>
      <c r="ONS80" s="1718"/>
      <c r="ONT80" s="1718"/>
      <c r="ONU80" s="1718"/>
      <c r="ONV80" s="246"/>
      <c r="ONW80" s="246" t="str">
        <f>BS!$D$5</f>
        <v>31 March 2026</v>
      </c>
      <c r="ONX80" s="247" t="str">
        <f>BS!$E$5</f>
        <v>31 March 2025</v>
      </c>
      <c r="ONY80" s="1717"/>
      <c r="ONZ80" s="1718"/>
      <c r="OOA80" s="1718"/>
      <c r="OOB80" s="1718"/>
      <c r="OOC80" s="1718"/>
      <c r="OOD80" s="246"/>
      <c r="OOE80" s="246" t="str">
        <f>BS!$D$5</f>
        <v>31 March 2026</v>
      </c>
      <c r="OOF80" s="247" t="str">
        <f>BS!$E$5</f>
        <v>31 March 2025</v>
      </c>
      <c r="OOG80" s="1717"/>
      <c r="OOH80" s="1718"/>
      <c r="OOI80" s="1718"/>
      <c r="OOJ80" s="1718"/>
      <c r="OOK80" s="1718"/>
      <c r="OOL80" s="246"/>
      <c r="OOM80" s="246" t="str">
        <f>BS!$D$5</f>
        <v>31 March 2026</v>
      </c>
      <c r="OON80" s="247" t="str">
        <f>BS!$E$5</f>
        <v>31 March 2025</v>
      </c>
      <c r="OOO80" s="1717"/>
      <c r="OOP80" s="1718"/>
      <c r="OOQ80" s="1718"/>
      <c r="OOR80" s="1718"/>
      <c r="OOS80" s="1718"/>
      <c r="OOT80" s="246"/>
      <c r="OOU80" s="246" t="str">
        <f>BS!$D$5</f>
        <v>31 March 2026</v>
      </c>
      <c r="OOV80" s="247" t="str">
        <f>BS!$E$5</f>
        <v>31 March 2025</v>
      </c>
      <c r="OOW80" s="1717"/>
      <c r="OOX80" s="1718"/>
      <c r="OOY80" s="1718"/>
      <c r="OOZ80" s="1718"/>
      <c r="OPA80" s="1718"/>
      <c r="OPB80" s="246"/>
      <c r="OPC80" s="246" t="str">
        <f>BS!$D$5</f>
        <v>31 March 2026</v>
      </c>
      <c r="OPD80" s="247" t="str">
        <f>BS!$E$5</f>
        <v>31 March 2025</v>
      </c>
      <c r="OPE80" s="1717"/>
      <c r="OPF80" s="1718"/>
      <c r="OPG80" s="1718"/>
      <c r="OPH80" s="1718"/>
      <c r="OPI80" s="1718"/>
      <c r="OPJ80" s="246"/>
      <c r="OPK80" s="246" t="str">
        <f>BS!$D$5</f>
        <v>31 March 2026</v>
      </c>
      <c r="OPL80" s="247" t="str">
        <f>BS!$E$5</f>
        <v>31 March 2025</v>
      </c>
      <c r="OPM80" s="1717"/>
      <c r="OPN80" s="1718"/>
      <c r="OPO80" s="1718"/>
      <c r="OPP80" s="1718"/>
      <c r="OPQ80" s="1718"/>
      <c r="OPR80" s="246"/>
      <c r="OPS80" s="246" t="str">
        <f>BS!$D$5</f>
        <v>31 March 2026</v>
      </c>
      <c r="OPT80" s="247" t="str">
        <f>BS!$E$5</f>
        <v>31 March 2025</v>
      </c>
      <c r="OPU80" s="1717"/>
      <c r="OPV80" s="1718"/>
      <c r="OPW80" s="1718"/>
      <c r="OPX80" s="1718"/>
      <c r="OPY80" s="1718"/>
      <c r="OPZ80" s="246"/>
      <c r="OQA80" s="246" t="str">
        <f>BS!$D$5</f>
        <v>31 March 2026</v>
      </c>
      <c r="OQB80" s="247" t="str">
        <f>BS!$E$5</f>
        <v>31 March 2025</v>
      </c>
      <c r="OQC80" s="1717"/>
      <c r="OQD80" s="1718"/>
      <c r="OQE80" s="1718"/>
      <c r="OQF80" s="1718"/>
      <c r="OQG80" s="1718"/>
      <c r="OQH80" s="246"/>
      <c r="OQI80" s="246" t="str">
        <f>BS!$D$5</f>
        <v>31 March 2026</v>
      </c>
      <c r="OQJ80" s="247" t="str">
        <f>BS!$E$5</f>
        <v>31 March 2025</v>
      </c>
      <c r="OQK80" s="1717"/>
      <c r="OQL80" s="1718"/>
      <c r="OQM80" s="1718"/>
      <c r="OQN80" s="1718"/>
      <c r="OQO80" s="1718"/>
      <c r="OQP80" s="246"/>
      <c r="OQQ80" s="246" t="str">
        <f>BS!$D$5</f>
        <v>31 March 2026</v>
      </c>
      <c r="OQR80" s="247" t="str">
        <f>BS!$E$5</f>
        <v>31 March 2025</v>
      </c>
      <c r="OQS80" s="1717"/>
      <c r="OQT80" s="1718"/>
      <c r="OQU80" s="1718"/>
      <c r="OQV80" s="1718"/>
      <c r="OQW80" s="1718"/>
      <c r="OQX80" s="246"/>
      <c r="OQY80" s="246" t="str">
        <f>BS!$D$5</f>
        <v>31 March 2026</v>
      </c>
      <c r="OQZ80" s="247" t="str">
        <f>BS!$E$5</f>
        <v>31 March 2025</v>
      </c>
      <c r="ORA80" s="1717"/>
      <c r="ORB80" s="1718"/>
      <c r="ORC80" s="1718"/>
      <c r="ORD80" s="1718"/>
      <c r="ORE80" s="1718"/>
      <c r="ORF80" s="246"/>
      <c r="ORG80" s="246" t="str">
        <f>BS!$D$5</f>
        <v>31 March 2026</v>
      </c>
      <c r="ORH80" s="247" t="str">
        <f>BS!$E$5</f>
        <v>31 March 2025</v>
      </c>
      <c r="ORI80" s="1717"/>
      <c r="ORJ80" s="1718"/>
      <c r="ORK80" s="1718"/>
      <c r="ORL80" s="1718"/>
      <c r="ORM80" s="1718"/>
      <c r="ORN80" s="246"/>
      <c r="ORO80" s="246" t="str">
        <f>BS!$D$5</f>
        <v>31 March 2026</v>
      </c>
      <c r="ORP80" s="247" t="str">
        <f>BS!$E$5</f>
        <v>31 March 2025</v>
      </c>
      <c r="ORQ80" s="1717"/>
      <c r="ORR80" s="1718"/>
      <c r="ORS80" s="1718"/>
      <c r="ORT80" s="1718"/>
      <c r="ORU80" s="1718"/>
      <c r="ORV80" s="246"/>
      <c r="ORW80" s="246" t="str">
        <f>BS!$D$5</f>
        <v>31 March 2026</v>
      </c>
      <c r="ORX80" s="247" t="str">
        <f>BS!$E$5</f>
        <v>31 March 2025</v>
      </c>
      <c r="ORY80" s="1717"/>
      <c r="ORZ80" s="1718"/>
      <c r="OSA80" s="1718"/>
      <c r="OSB80" s="1718"/>
      <c r="OSC80" s="1718"/>
      <c r="OSD80" s="246"/>
      <c r="OSE80" s="246" t="str">
        <f>BS!$D$5</f>
        <v>31 March 2026</v>
      </c>
      <c r="OSF80" s="247" t="str">
        <f>BS!$E$5</f>
        <v>31 March 2025</v>
      </c>
      <c r="OSG80" s="1717"/>
      <c r="OSH80" s="1718"/>
      <c r="OSI80" s="1718"/>
      <c r="OSJ80" s="1718"/>
      <c r="OSK80" s="1718"/>
      <c r="OSL80" s="246"/>
      <c r="OSM80" s="246" t="str">
        <f>BS!$D$5</f>
        <v>31 March 2026</v>
      </c>
      <c r="OSN80" s="247" t="str">
        <f>BS!$E$5</f>
        <v>31 March 2025</v>
      </c>
      <c r="OSO80" s="1717"/>
      <c r="OSP80" s="1718"/>
      <c r="OSQ80" s="1718"/>
      <c r="OSR80" s="1718"/>
      <c r="OSS80" s="1718"/>
      <c r="OST80" s="246"/>
      <c r="OSU80" s="246" t="str">
        <f>BS!$D$5</f>
        <v>31 March 2026</v>
      </c>
      <c r="OSV80" s="247" t="str">
        <f>BS!$E$5</f>
        <v>31 March 2025</v>
      </c>
      <c r="OSW80" s="1717"/>
      <c r="OSX80" s="1718"/>
      <c r="OSY80" s="1718"/>
      <c r="OSZ80" s="1718"/>
      <c r="OTA80" s="1718"/>
      <c r="OTB80" s="246"/>
      <c r="OTC80" s="246" t="str">
        <f>BS!$D$5</f>
        <v>31 March 2026</v>
      </c>
      <c r="OTD80" s="247" t="str">
        <f>BS!$E$5</f>
        <v>31 March 2025</v>
      </c>
      <c r="OTE80" s="1717"/>
      <c r="OTF80" s="1718"/>
      <c r="OTG80" s="1718"/>
      <c r="OTH80" s="1718"/>
      <c r="OTI80" s="1718"/>
      <c r="OTJ80" s="246"/>
      <c r="OTK80" s="246" t="str">
        <f>BS!$D$5</f>
        <v>31 March 2026</v>
      </c>
      <c r="OTL80" s="247" t="str">
        <f>BS!$E$5</f>
        <v>31 March 2025</v>
      </c>
      <c r="OTM80" s="1717"/>
      <c r="OTN80" s="1718"/>
      <c r="OTO80" s="1718"/>
      <c r="OTP80" s="1718"/>
      <c r="OTQ80" s="1718"/>
      <c r="OTR80" s="246"/>
      <c r="OTS80" s="246" t="str">
        <f>BS!$D$5</f>
        <v>31 March 2026</v>
      </c>
      <c r="OTT80" s="247" t="str">
        <f>BS!$E$5</f>
        <v>31 March 2025</v>
      </c>
      <c r="OTU80" s="1717"/>
      <c r="OTV80" s="1718"/>
      <c r="OTW80" s="1718"/>
      <c r="OTX80" s="1718"/>
      <c r="OTY80" s="1718"/>
      <c r="OTZ80" s="246"/>
      <c r="OUA80" s="246" t="str">
        <f>BS!$D$5</f>
        <v>31 March 2026</v>
      </c>
      <c r="OUB80" s="247" t="str">
        <f>BS!$E$5</f>
        <v>31 March 2025</v>
      </c>
      <c r="OUC80" s="1717"/>
      <c r="OUD80" s="1718"/>
      <c r="OUE80" s="1718"/>
      <c r="OUF80" s="1718"/>
      <c r="OUG80" s="1718"/>
      <c r="OUH80" s="246"/>
      <c r="OUI80" s="246" t="str">
        <f>BS!$D$5</f>
        <v>31 March 2026</v>
      </c>
      <c r="OUJ80" s="247" t="str">
        <f>BS!$E$5</f>
        <v>31 March 2025</v>
      </c>
      <c r="OUK80" s="1717"/>
      <c r="OUL80" s="1718"/>
      <c r="OUM80" s="1718"/>
      <c r="OUN80" s="1718"/>
      <c r="OUO80" s="1718"/>
      <c r="OUP80" s="246"/>
      <c r="OUQ80" s="246" t="str">
        <f>BS!$D$5</f>
        <v>31 March 2026</v>
      </c>
      <c r="OUR80" s="247" t="str">
        <f>BS!$E$5</f>
        <v>31 March 2025</v>
      </c>
      <c r="OUS80" s="1717"/>
      <c r="OUT80" s="1718"/>
      <c r="OUU80" s="1718"/>
      <c r="OUV80" s="1718"/>
      <c r="OUW80" s="1718"/>
      <c r="OUX80" s="246"/>
      <c r="OUY80" s="246" t="str">
        <f>BS!$D$5</f>
        <v>31 March 2026</v>
      </c>
      <c r="OUZ80" s="247" t="str">
        <f>BS!$E$5</f>
        <v>31 March 2025</v>
      </c>
      <c r="OVA80" s="1717"/>
      <c r="OVB80" s="1718"/>
      <c r="OVC80" s="1718"/>
      <c r="OVD80" s="1718"/>
      <c r="OVE80" s="1718"/>
      <c r="OVF80" s="246"/>
      <c r="OVG80" s="246" t="str">
        <f>BS!$D$5</f>
        <v>31 March 2026</v>
      </c>
      <c r="OVH80" s="247" t="str">
        <f>BS!$E$5</f>
        <v>31 March 2025</v>
      </c>
      <c r="OVI80" s="1717"/>
      <c r="OVJ80" s="1718"/>
      <c r="OVK80" s="1718"/>
      <c r="OVL80" s="1718"/>
      <c r="OVM80" s="1718"/>
      <c r="OVN80" s="246"/>
      <c r="OVO80" s="246" t="str">
        <f>BS!$D$5</f>
        <v>31 March 2026</v>
      </c>
      <c r="OVP80" s="247" t="str">
        <f>BS!$E$5</f>
        <v>31 March 2025</v>
      </c>
      <c r="OVQ80" s="1717"/>
      <c r="OVR80" s="1718"/>
      <c r="OVS80" s="1718"/>
      <c r="OVT80" s="1718"/>
      <c r="OVU80" s="1718"/>
      <c r="OVV80" s="246"/>
      <c r="OVW80" s="246" t="str">
        <f>BS!$D$5</f>
        <v>31 March 2026</v>
      </c>
      <c r="OVX80" s="247" t="str">
        <f>BS!$E$5</f>
        <v>31 March 2025</v>
      </c>
      <c r="OVY80" s="1717"/>
      <c r="OVZ80" s="1718"/>
      <c r="OWA80" s="1718"/>
      <c r="OWB80" s="1718"/>
      <c r="OWC80" s="1718"/>
      <c r="OWD80" s="246"/>
      <c r="OWE80" s="246" t="str">
        <f>BS!$D$5</f>
        <v>31 March 2026</v>
      </c>
      <c r="OWF80" s="247" t="str">
        <f>BS!$E$5</f>
        <v>31 March 2025</v>
      </c>
      <c r="OWG80" s="1717"/>
      <c r="OWH80" s="1718"/>
      <c r="OWI80" s="1718"/>
      <c r="OWJ80" s="1718"/>
      <c r="OWK80" s="1718"/>
      <c r="OWL80" s="246"/>
      <c r="OWM80" s="246" t="str">
        <f>BS!$D$5</f>
        <v>31 March 2026</v>
      </c>
      <c r="OWN80" s="247" t="str">
        <f>BS!$E$5</f>
        <v>31 March 2025</v>
      </c>
      <c r="OWO80" s="1717"/>
      <c r="OWP80" s="1718"/>
      <c r="OWQ80" s="1718"/>
      <c r="OWR80" s="1718"/>
      <c r="OWS80" s="1718"/>
      <c r="OWT80" s="246"/>
      <c r="OWU80" s="246" t="str">
        <f>BS!$D$5</f>
        <v>31 March 2026</v>
      </c>
      <c r="OWV80" s="247" t="str">
        <f>BS!$E$5</f>
        <v>31 March 2025</v>
      </c>
      <c r="OWW80" s="1717"/>
      <c r="OWX80" s="1718"/>
      <c r="OWY80" s="1718"/>
      <c r="OWZ80" s="1718"/>
      <c r="OXA80" s="1718"/>
      <c r="OXB80" s="246"/>
      <c r="OXC80" s="246" t="str">
        <f>BS!$D$5</f>
        <v>31 March 2026</v>
      </c>
      <c r="OXD80" s="247" t="str">
        <f>BS!$E$5</f>
        <v>31 March 2025</v>
      </c>
      <c r="OXE80" s="1717"/>
      <c r="OXF80" s="1718"/>
      <c r="OXG80" s="1718"/>
      <c r="OXH80" s="1718"/>
      <c r="OXI80" s="1718"/>
      <c r="OXJ80" s="246"/>
      <c r="OXK80" s="246" t="str">
        <f>BS!$D$5</f>
        <v>31 March 2026</v>
      </c>
      <c r="OXL80" s="247" t="str">
        <f>BS!$E$5</f>
        <v>31 March 2025</v>
      </c>
      <c r="OXM80" s="1717"/>
      <c r="OXN80" s="1718"/>
      <c r="OXO80" s="1718"/>
      <c r="OXP80" s="1718"/>
      <c r="OXQ80" s="1718"/>
      <c r="OXR80" s="246"/>
      <c r="OXS80" s="246" t="str">
        <f>BS!$D$5</f>
        <v>31 March 2026</v>
      </c>
      <c r="OXT80" s="247" t="str">
        <f>BS!$E$5</f>
        <v>31 March 2025</v>
      </c>
      <c r="OXU80" s="1717"/>
      <c r="OXV80" s="1718"/>
      <c r="OXW80" s="1718"/>
      <c r="OXX80" s="1718"/>
      <c r="OXY80" s="1718"/>
      <c r="OXZ80" s="246"/>
      <c r="OYA80" s="246" t="str">
        <f>BS!$D$5</f>
        <v>31 March 2026</v>
      </c>
      <c r="OYB80" s="247" t="str">
        <f>BS!$E$5</f>
        <v>31 March 2025</v>
      </c>
      <c r="OYC80" s="1717"/>
      <c r="OYD80" s="1718"/>
      <c r="OYE80" s="1718"/>
      <c r="OYF80" s="1718"/>
      <c r="OYG80" s="1718"/>
      <c r="OYH80" s="246"/>
      <c r="OYI80" s="246" t="str">
        <f>BS!$D$5</f>
        <v>31 March 2026</v>
      </c>
      <c r="OYJ80" s="247" t="str">
        <f>BS!$E$5</f>
        <v>31 March 2025</v>
      </c>
      <c r="OYK80" s="1717"/>
      <c r="OYL80" s="1718"/>
      <c r="OYM80" s="1718"/>
      <c r="OYN80" s="1718"/>
      <c r="OYO80" s="1718"/>
      <c r="OYP80" s="246"/>
      <c r="OYQ80" s="246" t="str">
        <f>BS!$D$5</f>
        <v>31 March 2026</v>
      </c>
      <c r="OYR80" s="247" t="str">
        <f>BS!$E$5</f>
        <v>31 March 2025</v>
      </c>
      <c r="OYS80" s="1717"/>
      <c r="OYT80" s="1718"/>
      <c r="OYU80" s="1718"/>
      <c r="OYV80" s="1718"/>
      <c r="OYW80" s="1718"/>
      <c r="OYX80" s="246"/>
      <c r="OYY80" s="246" t="str">
        <f>BS!$D$5</f>
        <v>31 March 2026</v>
      </c>
      <c r="OYZ80" s="247" t="str">
        <f>BS!$E$5</f>
        <v>31 March 2025</v>
      </c>
      <c r="OZA80" s="1717"/>
      <c r="OZB80" s="1718"/>
      <c r="OZC80" s="1718"/>
      <c r="OZD80" s="1718"/>
      <c r="OZE80" s="1718"/>
      <c r="OZF80" s="246"/>
      <c r="OZG80" s="246" t="str">
        <f>BS!$D$5</f>
        <v>31 March 2026</v>
      </c>
      <c r="OZH80" s="247" t="str">
        <f>BS!$E$5</f>
        <v>31 March 2025</v>
      </c>
      <c r="OZI80" s="1717"/>
      <c r="OZJ80" s="1718"/>
      <c r="OZK80" s="1718"/>
      <c r="OZL80" s="1718"/>
      <c r="OZM80" s="1718"/>
      <c r="OZN80" s="246"/>
      <c r="OZO80" s="246" t="str">
        <f>BS!$D$5</f>
        <v>31 March 2026</v>
      </c>
      <c r="OZP80" s="247" t="str">
        <f>BS!$E$5</f>
        <v>31 March 2025</v>
      </c>
      <c r="OZQ80" s="1717"/>
      <c r="OZR80" s="1718"/>
      <c r="OZS80" s="1718"/>
      <c r="OZT80" s="1718"/>
      <c r="OZU80" s="1718"/>
      <c r="OZV80" s="246"/>
      <c r="OZW80" s="246" t="str">
        <f>BS!$D$5</f>
        <v>31 March 2026</v>
      </c>
      <c r="OZX80" s="247" t="str">
        <f>BS!$E$5</f>
        <v>31 March 2025</v>
      </c>
      <c r="OZY80" s="1717"/>
      <c r="OZZ80" s="1718"/>
      <c r="PAA80" s="1718"/>
      <c r="PAB80" s="1718"/>
      <c r="PAC80" s="1718"/>
      <c r="PAD80" s="246"/>
      <c r="PAE80" s="246" t="str">
        <f>BS!$D$5</f>
        <v>31 March 2026</v>
      </c>
      <c r="PAF80" s="247" t="str">
        <f>BS!$E$5</f>
        <v>31 March 2025</v>
      </c>
      <c r="PAG80" s="1717"/>
      <c r="PAH80" s="1718"/>
      <c r="PAI80" s="1718"/>
      <c r="PAJ80" s="1718"/>
      <c r="PAK80" s="1718"/>
      <c r="PAL80" s="246"/>
      <c r="PAM80" s="246" t="str">
        <f>BS!$D$5</f>
        <v>31 March 2026</v>
      </c>
      <c r="PAN80" s="247" t="str">
        <f>BS!$E$5</f>
        <v>31 March 2025</v>
      </c>
      <c r="PAO80" s="1717"/>
      <c r="PAP80" s="1718"/>
      <c r="PAQ80" s="1718"/>
      <c r="PAR80" s="1718"/>
      <c r="PAS80" s="1718"/>
      <c r="PAT80" s="246"/>
      <c r="PAU80" s="246" t="str">
        <f>BS!$D$5</f>
        <v>31 March 2026</v>
      </c>
      <c r="PAV80" s="247" t="str">
        <f>BS!$E$5</f>
        <v>31 March 2025</v>
      </c>
      <c r="PAW80" s="1717"/>
      <c r="PAX80" s="1718"/>
      <c r="PAY80" s="1718"/>
      <c r="PAZ80" s="1718"/>
      <c r="PBA80" s="1718"/>
      <c r="PBB80" s="246"/>
      <c r="PBC80" s="246" t="str">
        <f>BS!$D$5</f>
        <v>31 March 2026</v>
      </c>
      <c r="PBD80" s="247" t="str">
        <f>BS!$E$5</f>
        <v>31 March 2025</v>
      </c>
      <c r="PBE80" s="1717"/>
      <c r="PBF80" s="1718"/>
      <c r="PBG80" s="1718"/>
      <c r="PBH80" s="1718"/>
      <c r="PBI80" s="1718"/>
      <c r="PBJ80" s="246"/>
      <c r="PBK80" s="246" t="str">
        <f>BS!$D$5</f>
        <v>31 March 2026</v>
      </c>
      <c r="PBL80" s="247" t="str">
        <f>BS!$E$5</f>
        <v>31 March 2025</v>
      </c>
      <c r="PBM80" s="1717"/>
      <c r="PBN80" s="1718"/>
      <c r="PBO80" s="1718"/>
      <c r="PBP80" s="1718"/>
      <c r="PBQ80" s="1718"/>
      <c r="PBR80" s="246"/>
      <c r="PBS80" s="246" t="str">
        <f>BS!$D$5</f>
        <v>31 March 2026</v>
      </c>
      <c r="PBT80" s="247" t="str">
        <f>BS!$E$5</f>
        <v>31 March 2025</v>
      </c>
      <c r="PBU80" s="1717"/>
      <c r="PBV80" s="1718"/>
      <c r="PBW80" s="1718"/>
      <c r="PBX80" s="1718"/>
      <c r="PBY80" s="1718"/>
      <c r="PBZ80" s="246"/>
      <c r="PCA80" s="246" t="str">
        <f>BS!$D$5</f>
        <v>31 March 2026</v>
      </c>
      <c r="PCB80" s="247" t="str">
        <f>BS!$E$5</f>
        <v>31 March 2025</v>
      </c>
      <c r="PCC80" s="1717"/>
      <c r="PCD80" s="1718"/>
      <c r="PCE80" s="1718"/>
      <c r="PCF80" s="1718"/>
      <c r="PCG80" s="1718"/>
      <c r="PCH80" s="246"/>
      <c r="PCI80" s="246" t="str">
        <f>BS!$D$5</f>
        <v>31 March 2026</v>
      </c>
      <c r="PCJ80" s="247" t="str">
        <f>BS!$E$5</f>
        <v>31 March 2025</v>
      </c>
      <c r="PCK80" s="1717"/>
      <c r="PCL80" s="1718"/>
      <c r="PCM80" s="1718"/>
      <c r="PCN80" s="1718"/>
      <c r="PCO80" s="1718"/>
      <c r="PCP80" s="246"/>
      <c r="PCQ80" s="246" t="str">
        <f>BS!$D$5</f>
        <v>31 March 2026</v>
      </c>
      <c r="PCR80" s="247" t="str">
        <f>BS!$E$5</f>
        <v>31 March 2025</v>
      </c>
      <c r="PCS80" s="1717"/>
      <c r="PCT80" s="1718"/>
      <c r="PCU80" s="1718"/>
      <c r="PCV80" s="1718"/>
      <c r="PCW80" s="1718"/>
      <c r="PCX80" s="246"/>
      <c r="PCY80" s="246" t="str">
        <f>BS!$D$5</f>
        <v>31 March 2026</v>
      </c>
      <c r="PCZ80" s="247" t="str">
        <f>BS!$E$5</f>
        <v>31 March 2025</v>
      </c>
      <c r="PDA80" s="1717"/>
      <c r="PDB80" s="1718"/>
      <c r="PDC80" s="1718"/>
      <c r="PDD80" s="1718"/>
      <c r="PDE80" s="1718"/>
      <c r="PDF80" s="246"/>
      <c r="PDG80" s="246" t="str">
        <f>BS!$D$5</f>
        <v>31 March 2026</v>
      </c>
      <c r="PDH80" s="247" t="str">
        <f>BS!$E$5</f>
        <v>31 March 2025</v>
      </c>
      <c r="PDI80" s="1717"/>
      <c r="PDJ80" s="1718"/>
      <c r="PDK80" s="1718"/>
      <c r="PDL80" s="1718"/>
      <c r="PDM80" s="1718"/>
      <c r="PDN80" s="246"/>
      <c r="PDO80" s="246" t="str">
        <f>BS!$D$5</f>
        <v>31 March 2026</v>
      </c>
      <c r="PDP80" s="247" t="str">
        <f>BS!$E$5</f>
        <v>31 March 2025</v>
      </c>
      <c r="PDQ80" s="1717"/>
      <c r="PDR80" s="1718"/>
      <c r="PDS80" s="1718"/>
      <c r="PDT80" s="1718"/>
      <c r="PDU80" s="1718"/>
      <c r="PDV80" s="246"/>
      <c r="PDW80" s="246" t="str">
        <f>BS!$D$5</f>
        <v>31 March 2026</v>
      </c>
      <c r="PDX80" s="247" t="str">
        <f>BS!$E$5</f>
        <v>31 March 2025</v>
      </c>
      <c r="PDY80" s="1717"/>
      <c r="PDZ80" s="1718"/>
      <c r="PEA80" s="1718"/>
      <c r="PEB80" s="1718"/>
      <c r="PEC80" s="1718"/>
      <c r="PED80" s="246"/>
      <c r="PEE80" s="246" t="str">
        <f>BS!$D$5</f>
        <v>31 March 2026</v>
      </c>
      <c r="PEF80" s="247" t="str">
        <f>BS!$E$5</f>
        <v>31 March 2025</v>
      </c>
      <c r="PEG80" s="1717"/>
      <c r="PEH80" s="1718"/>
      <c r="PEI80" s="1718"/>
      <c r="PEJ80" s="1718"/>
      <c r="PEK80" s="1718"/>
      <c r="PEL80" s="246"/>
      <c r="PEM80" s="246" t="str">
        <f>BS!$D$5</f>
        <v>31 March 2026</v>
      </c>
      <c r="PEN80" s="247" t="str">
        <f>BS!$E$5</f>
        <v>31 March 2025</v>
      </c>
      <c r="PEO80" s="1717"/>
      <c r="PEP80" s="1718"/>
      <c r="PEQ80" s="1718"/>
      <c r="PER80" s="1718"/>
      <c r="PES80" s="1718"/>
      <c r="PET80" s="246"/>
      <c r="PEU80" s="246" t="str">
        <f>BS!$D$5</f>
        <v>31 March 2026</v>
      </c>
      <c r="PEV80" s="247" t="str">
        <f>BS!$E$5</f>
        <v>31 March 2025</v>
      </c>
      <c r="PEW80" s="1717"/>
      <c r="PEX80" s="1718"/>
      <c r="PEY80" s="1718"/>
      <c r="PEZ80" s="1718"/>
      <c r="PFA80" s="1718"/>
      <c r="PFB80" s="246"/>
      <c r="PFC80" s="246" t="str">
        <f>BS!$D$5</f>
        <v>31 March 2026</v>
      </c>
      <c r="PFD80" s="247" t="str">
        <f>BS!$E$5</f>
        <v>31 March 2025</v>
      </c>
      <c r="PFE80" s="1717"/>
      <c r="PFF80" s="1718"/>
      <c r="PFG80" s="1718"/>
      <c r="PFH80" s="1718"/>
      <c r="PFI80" s="1718"/>
      <c r="PFJ80" s="246"/>
      <c r="PFK80" s="246" t="str">
        <f>BS!$D$5</f>
        <v>31 March 2026</v>
      </c>
      <c r="PFL80" s="247" t="str">
        <f>BS!$E$5</f>
        <v>31 March 2025</v>
      </c>
      <c r="PFM80" s="1717"/>
      <c r="PFN80" s="1718"/>
      <c r="PFO80" s="1718"/>
      <c r="PFP80" s="1718"/>
      <c r="PFQ80" s="1718"/>
      <c r="PFR80" s="246"/>
      <c r="PFS80" s="246" t="str">
        <f>BS!$D$5</f>
        <v>31 March 2026</v>
      </c>
      <c r="PFT80" s="247" t="str">
        <f>BS!$E$5</f>
        <v>31 March 2025</v>
      </c>
      <c r="PFU80" s="1717"/>
      <c r="PFV80" s="1718"/>
      <c r="PFW80" s="1718"/>
      <c r="PFX80" s="1718"/>
      <c r="PFY80" s="1718"/>
      <c r="PFZ80" s="246"/>
      <c r="PGA80" s="246" t="str">
        <f>BS!$D$5</f>
        <v>31 March 2026</v>
      </c>
      <c r="PGB80" s="247" t="str">
        <f>BS!$E$5</f>
        <v>31 March 2025</v>
      </c>
      <c r="PGC80" s="1717"/>
      <c r="PGD80" s="1718"/>
      <c r="PGE80" s="1718"/>
      <c r="PGF80" s="1718"/>
      <c r="PGG80" s="1718"/>
      <c r="PGH80" s="246"/>
      <c r="PGI80" s="246" t="str">
        <f>BS!$D$5</f>
        <v>31 March 2026</v>
      </c>
      <c r="PGJ80" s="247" t="str">
        <f>BS!$E$5</f>
        <v>31 March 2025</v>
      </c>
      <c r="PGK80" s="1717"/>
      <c r="PGL80" s="1718"/>
      <c r="PGM80" s="1718"/>
      <c r="PGN80" s="1718"/>
      <c r="PGO80" s="1718"/>
      <c r="PGP80" s="246"/>
      <c r="PGQ80" s="246" t="str">
        <f>BS!$D$5</f>
        <v>31 March 2026</v>
      </c>
      <c r="PGR80" s="247" t="str">
        <f>BS!$E$5</f>
        <v>31 March 2025</v>
      </c>
      <c r="PGS80" s="1717"/>
      <c r="PGT80" s="1718"/>
      <c r="PGU80" s="1718"/>
      <c r="PGV80" s="1718"/>
      <c r="PGW80" s="1718"/>
      <c r="PGX80" s="246"/>
      <c r="PGY80" s="246" t="str">
        <f>BS!$D$5</f>
        <v>31 March 2026</v>
      </c>
      <c r="PGZ80" s="247" t="str">
        <f>BS!$E$5</f>
        <v>31 March 2025</v>
      </c>
      <c r="PHA80" s="1717"/>
      <c r="PHB80" s="1718"/>
      <c r="PHC80" s="1718"/>
      <c r="PHD80" s="1718"/>
      <c r="PHE80" s="1718"/>
      <c r="PHF80" s="246"/>
      <c r="PHG80" s="246" t="str">
        <f>BS!$D$5</f>
        <v>31 March 2026</v>
      </c>
      <c r="PHH80" s="247" t="str">
        <f>BS!$E$5</f>
        <v>31 March 2025</v>
      </c>
      <c r="PHI80" s="1717"/>
      <c r="PHJ80" s="1718"/>
      <c r="PHK80" s="1718"/>
      <c r="PHL80" s="1718"/>
      <c r="PHM80" s="1718"/>
      <c r="PHN80" s="246"/>
      <c r="PHO80" s="246" t="str">
        <f>BS!$D$5</f>
        <v>31 March 2026</v>
      </c>
      <c r="PHP80" s="247" t="str">
        <f>BS!$E$5</f>
        <v>31 March 2025</v>
      </c>
      <c r="PHQ80" s="1717"/>
      <c r="PHR80" s="1718"/>
      <c r="PHS80" s="1718"/>
      <c r="PHT80" s="1718"/>
      <c r="PHU80" s="1718"/>
      <c r="PHV80" s="246"/>
      <c r="PHW80" s="246" t="str">
        <f>BS!$D$5</f>
        <v>31 March 2026</v>
      </c>
      <c r="PHX80" s="247" t="str">
        <f>BS!$E$5</f>
        <v>31 March 2025</v>
      </c>
      <c r="PHY80" s="1717"/>
      <c r="PHZ80" s="1718"/>
      <c r="PIA80" s="1718"/>
      <c r="PIB80" s="1718"/>
      <c r="PIC80" s="1718"/>
      <c r="PID80" s="246"/>
      <c r="PIE80" s="246" t="str">
        <f>BS!$D$5</f>
        <v>31 March 2026</v>
      </c>
      <c r="PIF80" s="247" t="str">
        <f>BS!$E$5</f>
        <v>31 March 2025</v>
      </c>
      <c r="PIG80" s="1717"/>
      <c r="PIH80" s="1718"/>
      <c r="PII80" s="1718"/>
      <c r="PIJ80" s="1718"/>
      <c r="PIK80" s="1718"/>
      <c r="PIL80" s="246"/>
      <c r="PIM80" s="246" t="str">
        <f>BS!$D$5</f>
        <v>31 March 2026</v>
      </c>
      <c r="PIN80" s="247" t="str">
        <f>BS!$E$5</f>
        <v>31 March 2025</v>
      </c>
      <c r="PIO80" s="1717"/>
      <c r="PIP80" s="1718"/>
      <c r="PIQ80" s="1718"/>
      <c r="PIR80" s="1718"/>
      <c r="PIS80" s="1718"/>
      <c r="PIT80" s="246"/>
      <c r="PIU80" s="246" t="str">
        <f>BS!$D$5</f>
        <v>31 March 2026</v>
      </c>
      <c r="PIV80" s="247" t="str">
        <f>BS!$E$5</f>
        <v>31 March 2025</v>
      </c>
      <c r="PIW80" s="1717"/>
      <c r="PIX80" s="1718"/>
      <c r="PIY80" s="1718"/>
      <c r="PIZ80" s="1718"/>
      <c r="PJA80" s="1718"/>
      <c r="PJB80" s="246"/>
      <c r="PJC80" s="246" t="str">
        <f>BS!$D$5</f>
        <v>31 March 2026</v>
      </c>
      <c r="PJD80" s="247" t="str">
        <f>BS!$E$5</f>
        <v>31 March 2025</v>
      </c>
      <c r="PJE80" s="1717"/>
      <c r="PJF80" s="1718"/>
      <c r="PJG80" s="1718"/>
      <c r="PJH80" s="1718"/>
      <c r="PJI80" s="1718"/>
      <c r="PJJ80" s="246"/>
      <c r="PJK80" s="246" t="str">
        <f>BS!$D$5</f>
        <v>31 March 2026</v>
      </c>
      <c r="PJL80" s="247" t="str">
        <f>BS!$E$5</f>
        <v>31 March 2025</v>
      </c>
      <c r="PJM80" s="1717"/>
      <c r="PJN80" s="1718"/>
      <c r="PJO80" s="1718"/>
      <c r="PJP80" s="1718"/>
      <c r="PJQ80" s="1718"/>
      <c r="PJR80" s="246"/>
      <c r="PJS80" s="246" t="str">
        <f>BS!$D$5</f>
        <v>31 March 2026</v>
      </c>
      <c r="PJT80" s="247" t="str">
        <f>BS!$E$5</f>
        <v>31 March 2025</v>
      </c>
      <c r="PJU80" s="1717"/>
      <c r="PJV80" s="1718"/>
      <c r="PJW80" s="1718"/>
      <c r="PJX80" s="1718"/>
      <c r="PJY80" s="1718"/>
      <c r="PJZ80" s="246"/>
      <c r="PKA80" s="246" t="str">
        <f>BS!$D$5</f>
        <v>31 March 2026</v>
      </c>
      <c r="PKB80" s="247" t="str">
        <f>BS!$E$5</f>
        <v>31 March 2025</v>
      </c>
      <c r="PKC80" s="1717"/>
      <c r="PKD80" s="1718"/>
      <c r="PKE80" s="1718"/>
      <c r="PKF80" s="1718"/>
      <c r="PKG80" s="1718"/>
      <c r="PKH80" s="246"/>
      <c r="PKI80" s="246" t="str">
        <f>BS!$D$5</f>
        <v>31 March 2026</v>
      </c>
      <c r="PKJ80" s="247" t="str">
        <f>BS!$E$5</f>
        <v>31 March 2025</v>
      </c>
      <c r="PKK80" s="1717"/>
      <c r="PKL80" s="1718"/>
      <c r="PKM80" s="1718"/>
      <c r="PKN80" s="1718"/>
      <c r="PKO80" s="1718"/>
      <c r="PKP80" s="246"/>
      <c r="PKQ80" s="246" t="str">
        <f>BS!$D$5</f>
        <v>31 March 2026</v>
      </c>
      <c r="PKR80" s="247" t="str">
        <f>BS!$E$5</f>
        <v>31 March 2025</v>
      </c>
      <c r="PKS80" s="1717"/>
      <c r="PKT80" s="1718"/>
      <c r="PKU80" s="1718"/>
      <c r="PKV80" s="1718"/>
      <c r="PKW80" s="1718"/>
      <c r="PKX80" s="246"/>
      <c r="PKY80" s="246" t="str">
        <f>BS!$D$5</f>
        <v>31 March 2026</v>
      </c>
      <c r="PKZ80" s="247" t="str">
        <f>BS!$E$5</f>
        <v>31 March 2025</v>
      </c>
      <c r="PLA80" s="1717"/>
      <c r="PLB80" s="1718"/>
      <c r="PLC80" s="1718"/>
      <c r="PLD80" s="1718"/>
      <c r="PLE80" s="1718"/>
      <c r="PLF80" s="246"/>
      <c r="PLG80" s="246" t="str">
        <f>BS!$D$5</f>
        <v>31 March 2026</v>
      </c>
      <c r="PLH80" s="247" t="str">
        <f>BS!$E$5</f>
        <v>31 March 2025</v>
      </c>
      <c r="PLI80" s="1717"/>
      <c r="PLJ80" s="1718"/>
      <c r="PLK80" s="1718"/>
      <c r="PLL80" s="1718"/>
      <c r="PLM80" s="1718"/>
      <c r="PLN80" s="246"/>
      <c r="PLO80" s="246" t="str">
        <f>BS!$D$5</f>
        <v>31 March 2026</v>
      </c>
      <c r="PLP80" s="247" t="str">
        <f>BS!$E$5</f>
        <v>31 March 2025</v>
      </c>
      <c r="PLQ80" s="1717"/>
      <c r="PLR80" s="1718"/>
      <c r="PLS80" s="1718"/>
      <c r="PLT80" s="1718"/>
      <c r="PLU80" s="1718"/>
      <c r="PLV80" s="246"/>
      <c r="PLW80" s="246" t="str">
        <f>BS!$D$5</f>
        <v>31 March 2026</v>
      </c>
      <c r="PLX80" s="247" t="str">
        <f>BS!$E$5</f>
        <v>31 March 2025</v>
      </c>
      <c r="PLY80" s="1717"/>
      <c r="PLZ80" s="1718"/>
      <c r="PMA80" s="1718"/>
      <c r="PMB80" s="1718"/>
      <c r="PMC80" s="1718"/>
      <c r="PMD80" s="246"/>
      <c r="PME80" s="246" t="str">
        <f>BS!$D$5</f>
        <v>31 March 2026</v>
      </c>
      <c r="PMF80" s="247" t="str">
        <f>BS!$E$5</f>
        <v>31 March 2025</v>
      </c>
      <c r="PMG80" s="1717"/>
      <c r="PMH80" s="1718"/>
      <c r="PMI80" s="1718"/>
      <c r="PMJ80" s="1718"/>
      <c r="PMK80" s="1718"/>
      <c r="PML80" s="246"/>
      <c r="PMM80" s="246" t="str">
        <f>BS!$D$5</f>
        <v>31 March 2026</v>
      </c>
      <c r="PMN80" s="247" t="str">
        <f>BS!$E$5</f>
        <v>31 March 2025</v>
      </c>
      <c r="PMO80" s="1717"/>
      <c r="PMP80" s="1718"/>
      <c r="PMQ80" s="1718"/>
      <c r="PMR80" s="1718"/>
      <c r="PMS80" s="1718"/>
      <c r="PMT80" s="246"/>
      <c r="PMU80" s="246" t="str">
        <f>BS!$D$5</f>
        <v>31 March 2026</v>
      </c>
      <c r="PMV80" s="247" t="str">
        <f>BS!$E$5</f>
        <v>31 March 2025</v>
      </c>
      <c r="PMW80" s="1717"/>
      <c r="PMX80" s="1718"/>
      <c r="PMY80" s="1718"/>
      <c r="PMZ80" s="1718"/>
      <c r="PNA80" s="1718"/>
      <c r="PNB80" s="246"/>
      <c r="PNC80" s="246" t="str">
        <f>BS!$D$5</f>
        <v>31 March 2026</v>
      </c>
      <c r="PND80" s="247" t="str">
        <f>BS!$E$5</f>
        <v>31 March 2025</v>
      </c>
      <c r="PNE80" s="1717"/>
      <c r="PNF80" s="1718"/>
      <c r="PNG80" s="1718"/>
      <c r="PNH80" s="1718"/>
      <c r="PNI80" s="1718"/>
      <c r="PNJ80" s="246"/>
      <c r="PNK80" s="246" t="str">
        <f>BS!$D$5</f>
        <v>31 March 2026</v>
      </c>
      <c r="PNL80" s="247" t="str">
        <f>BS!$E$5</f>
        <v>31 March 2025</v>
      </c>
      <c r="PNM80" s="1717"/>
      <c r="PNN80" s="1718"/>
      <c r="PNO80" s="1718"/>
      <c r="PNP80" s="1718"/>
      <c r="PNQ80" s="1718"/>
      <c r="PNR80" s="246"/>
      <c r="PNS80" s="246" t="str">
        <f>BS!$D$5</f>
        <v>31 March 2026</v>
      </c>
      <c r="PNT80" s="247" t="str">
        <f>BS!$E$5</f>
        <v>31 March 2025</v>
      </c>
      <c r="PNU80" s="1717"/>
      <c r="PNV80" s="1718"/>
      <c r="PNW80" s="1718"/>
      <c r="PNX80" s="1718"/>
      <c r="PNY80" s="1718"/>
      <c r="PNZ80" s="246"/>
      <c r="POA80" s="246" t="str">
        <f>BS!$D$5</f>
        <v>31 March 2026</v>
      </c>
      <c r="POB80" s="247" t="str">
        <f>BS!$E$5</f>
        <v>31 March 2025</v>
      </c>
      <c r="POC80" s="1717"/>
      <c r="POD80" s="1718"/>
      <c r="POE80" s="1718"/>
      <c r="POF80" s="1718"/>
      <c r="POG80" s="1718"/>
      <c r="POH80" s="246"/>
      <c r="POI80" s="246" t="str">
        <f>BS!$D$5</f>
        <v>31 March 2026</v>
      </c>
      <c r="POJ80" s="247" t="str">
        <f>BS!$E$5</f>
        <v>31 March 2025</v>
      </c>
      <c r="POK80" s="1717"/>
      <c r="POL80" s="1718"/>
      <c r="POM80" s="1718"/>
      <c r="PON80" s="1718"/>
      <c r="POO80" s="1718"/>
      <c r="POP80" s="246"/>
      <c r="POQ80" s="246" t="str">
        <f>BS!$D$5</f>
        <v>31 March 2026</v>
      </c>
      <c r="POR80" s="247" t="str">
        <f>BS!$E$5</f>
        <v>31 March 2025</v>
      </c>
      <c r="POS80" s="1717"/>
      <c r="POT80" s="1718"/>
      <c r="POU80" s="1718"/>
      <c r="POV80" s="1718"/>
      <c r="POW80" s="1718"/>
      <c r="POX80" s="246"/>
      <c r="POY80" s="246" t="str">
        <f>BS!$D$5</f>
        <v>31 March 2026</v>
      </c>
      <c r="POZ80" s="247" t="str">
        <f>BS!$E$5</f>
        <v>31 March 2025</v>
      </c>
      <c r="PPA80" s="1717"/>
      <c r="PPB80" s="1718"/>
      <c r="PPC80" s="1718"/>
      <c r="PPD80" s="1718"/>
      <c r="PPE80" s="1718"/>
      <c r="PPF80" s="246"/>
      <c r="PPG80" s="246" t="str">
        <f>BS!$D$5</f>
        <v>31 March 2026</v>
      </c>
      <c r="PPH80" s="247" t="str">
        <f>BS!$E$5</f>
        <v>31 March 2025</v>
      </c>
      <c r="PPI80" s="1717"/>
      <c r="PPJ80" s="1718"/>
      <c r="PPK80" s="1718"/>
      <c r="PPL80" s="1718"/>
      <c r="PPM80" s="1718"/>
      <c r="PPN80" s="246"/>
      <c r="PPO80" s="246" t="str">
        <f>BS!$D$5</f>
        <v>31 March 2026</v>
      </c>
      <c r="PPP80" s="247" t="str">
        <f>BS!$E$5</f>
        <v>31 March 2025</v>
      </c>
      <c r="PPQ80" s="1717"/>
      <c r="PPR80" s="1718"/>
      <c r="PPS80" s="1718"/>
      <c r="PPT80" s="1718"/>
      <c r="PPU80" s="1718"/>
      <c r="PPV80" s="246"/>
      <c r="PPW80" s="246" t="str">
        <f>BS!$D$5</f>
        <v>31 March 2026</v>
      </c>
      <c r="PPX80" s="247" t="str">
        <f>BS!$E$5</f>
        <v>31 March 2025</v>
      </c>
      <c r="PPY80" s="1717"/>
      <c r="PPZ80" s="1718"/>
      <c r="PQA80" s="1718"/>
      <c r="PQB80" s="1718"/>
      <c r="PQC80" s="1718"/>
      <c r="PQD80" s="246"/>
      <c r="PQE80" s="246" t="str">
        <f>BS!$D$5</f>
        <v>31 March 2026</v>
      </c>
      <c r="PQF80" s="247" t="str">
        <f>BS!$E$5</f>
        <v>31 March 2025</v>
      </c>
      <c r="PQG80" s="1717"/>
      <c r="PQH80" s="1718"/>
      <c r="PQI80" s="1718"/>
      <c r="PQJ80" s="1718"/>
      <c r="PQK80" s="1718"/>
      <c r="PQL80" s="246"/>
      <c r="PQM80" s="246" t="str">
        <f>BS!$D$5</f>
        <v>31 March 2026</v>
      </c>
      <c r="PQN80" s="247" t="str">
        <f>BS!$E$5</f>
        <v>31 March 2025</v>
      </c>
      <c r="PQO80" s="1717"/>
      <c r="PQP80" s="1718"/>
      <c r="PQQ80" s="1718"/>
      <c r="PQR80" s="1718"/>
      <c r="PQS80" s="1718"/>
      <c r="PQT80" s="246"/>
      <c r="PQU80" s="246" t="str">
        <f>BS!$D$5</f>
        <v>31 March 2026</v>
      </c>
      <c r="PQV80" s="247" t="str">
        <f>BS!$E$5</f>
        <v>31 March 2025</v>
      </c>
      <c r="PQW80" s="1717"/>
      <c r="PQX80" s="1718"/>
      <c r="PQY80" s="1718"/>
      <c r="PQZ80" s="1718"/>
      <c r="PRA80" s="1718"/>
      <c r="PRB80" s="246"/>
      <c r="PRC80" s="246" t="str">
        <f>BS!$D$5</f>
        <v>31 March 2026</v>
      </c>
      <c r="PRD80" s="247" t="str">
        <f>BS!$E$5</f>
        <v>31 March 2025</v>
      </c>
      <c r="PRE80" s="1717"/>
      <c r="PRF80" s="1718"/>
      <c r="PRG80" s="1718"/>
      <c r="PRH80" s="1718"/>
      <c r="PRI80" s="1718"/>
      <c r="PRJ80" s="246"/>
      <c r="PRK80" s="246" t="str">
        <f>BS!$D$5</f>
        <v>31 March 2026</v>
      </c>
      <c r="PRL80" s="247" t="str">
        <f>BS!$E$5</f>
        <v>31 March 2025</v>
      </c>
      <c r="PRM80" s="1717"/>
      <c r="PRN80" s="1718"/>
      <c r="PRO80" s="1718"/>
      <c r="PRP80" s="1718"/>
      <c r="PRQ80" s="1718"/>
      <c r="PRR80" s="246"/>
      <c r="PRS80" s="246" t="str">
        <f>BS!$D$5</f>
        <v>31 March 2026</v>
      </c>
      <c r="PRT80" s="247" t="str">
        <f>BS!$E$5</f>
        <v>31 March 2025</v>
      </c>
      <c r="PRU80" s="1717"/>
      <c r="PRV80" s="1718"/>
      <c r="PRW80" s="1718"/>
      <c r="PRX80" s="1718"/>
      <c r="PRY80" s="1718"/>
      <c r="PRZ80" s="246"/>
      <c r="PSA80" s="246" t="str">
        <f>BS!$D$5</f>
        <v>31 March 2026</v>
      </c>
      <c r="PSB80" s="247" t="str">
        <f>BS!$E$5</f>
        <v>31 March 2025</v>
      </c>
      <c r="PSC80" s="1717"/>
      <c r="PSD80" s="1718"/>
      <c r="PSE80" s="1718"/>
      <c r="PSF80" s="1718"/>
      <c r="PSG80" s="1718"/>
      <c r="PSH80" s="246"/>
      <c r="PSI80" s="246" t="str">
        <f>BS!$D$5</f>
        <v>31 March 2026</v>
      </c>
      <c r="PSJ80" s="247" t="str">
        <f>BS!$E$5</f>
        <v>31 March 2025</v>
      </c>
      <c r="PSK80" s="1717"/>
      <c r="PSL80" s="1718"/>
      <c r="PSM80" s="1718"/>
      <c r="PSN80" s="1718"/>
      <c r="PSO80" s="1718"/>
      <c r="PSP80" s="246"/>
      <c r="PSQ80" s="246" t="str">
        <f>BS!$D$5</f>
        <v>31 March 2026</v>
      </c>
      <c r="PSR80" s="247" t="str">
        <f>BS!$E$5</f>
        <v>31 March 2025</v>
      </c>
      <c r="PSS80" s="1717"/>
      <c r="PST80" s="1718"/>
      <c r="PSU80" s="1718"/>
      <c r="PSV80" s="1718"/>
      <c r="PSW80" s="1718"/>
      <c r="PSX80" s="246"/>
      <c r="PSY80" s="246" t="str">
        <f>BS!$D$5</f>
        <v>31 March 2026</v>
      </c>
      <c r="PSZ80" s="247" t="str">
        <f>BS!$E$5</f>
        <v>31 March 2025</v>
      </c>
      <c r="PTA80" s="1717"/>
      <c r="PTB80" s="1718"/>
      <c r="PTC80" s="1718"/>
      <c r="PTD80" s="1718"/>
      <c r="PTE80" s="1718"/>
      <c r="PTF80" s="246"/>
      <c r="PTG80" s="246" t="str">
        <f>BS!$D$5</f>
        <v>31 March 2026</v>
      </c>
      <c r="PTH80" s="247" t="str">
        <f>BS!$E$5</f>
        <v>31 March 2025</v>
      </c>
      <c r="PTI80" s="1717"/>
      <c r="PTJ80" s="1718"/>
      <c r="PTK80" s="1718"/>
      <c r="PTL80" s="1718"/>
      <c r="PTM80" s="1718"/>
      <c r="PTN80" s="246"/>
      <c r="PTO80" s="246" t="str">
        <f>BS!$D$5</f>
        <v>31 March 2026</v>
      </c>
      <c r="PTP80" s="247" t="str">
        <f>BS!$E$5</f>
        <v>31 March 2025</v>
      </c>
      <c r="PTQ80" s="1717"/>
      <c r="PTR80" s="1718"/>
      <c r="PTS80" s="1718"/>
      <c r="PTT80" s="1718"/>
      <c r="PTU80" s="1718"/>
      <c r="PTV80" s="246"/>
      <c r="PTW80" s="246" t="str">
        <f>BS!$D$5</f>
        <v>31 March 2026</v>
      </c>
      <c r="PTX80" s="247" t="str">
        <f>BS!$E$5</f>
        <v>31 March 2025</v>
      </c>
      <c r="PTY80" s="1717"/>
      <c r="PTZ80" s="1718"/>
      <c r="PUA80" s="1718"/>
      <c r="PUB80" s="1718"/>
      <c r="PUC80" s="1718"/>
      <c r="PUD80" s="246"/>
      <c r="PUE80" s="246" t="str">
        <f>BS!$D$5</f>
        <v>31 March 2026</v>
      </c>
      <c r="PUF80" s="247" t="str">
        <f>BS!$E$5</f>
        <v>31 March 2025</v>
      </c>
      <c r="PUG80" s="1717"/>
      <c r="PUH80" s="1718"/>
      <c r="PUI80" s="1718"/>
      <c r="PUJ80" s="1718"/>
      <c r="PUK80" s="1718"/>
      <c r="PUL80" s="246"/>
      <c r="PUM80" s="246" t="str">
        <f>BS!$D$5</f>
        <v>31 March 2026</v>
      </c>
      <c r="PUN80" s="247" t="str">
        <f>BS!$E$5</f>
        <v>31 March 2025</v>
      </c>
      <c r="PUO80" s="1717"/>
      <c r="PUP80" s="1718"/>
      <c r="PUQ80" s="1718"/>
      <c r="PUR80" s="1718"/>
      <c r="PUS80" s="1718"/>
      <c r="PUT80" s="246"/>
      <c r="PUU80" s="246" t="str">
        <f>BS!$D$5</f>
        <v>31 March 2026</v>
      </c>
      <c r="PUV80" s="247" t="str">
        <f>BS!$E$5</f>
        <v>31 March 2025</v>
      </c>
      <c r="PUW80" s="1717"/>
      <c r="PUX80" s="1718"/>
      <c r="PUY80" s="1718"/>
      <c r="PUZ80" s="1718"/>
      <c r="PVA80" s="1718"/>
      <c r="PVB80" s="246"/>
      <c r="PVC80" s="246" t="str">
        <f>BS!$D$5</f>
        <v>31 March 2026</v>
      </c>
      <c r="PVD80" s="247" t="str">
        <f>BS!$E$5</f>
        <v>31 March 2025</v>
      </c>
      <c r="PVE80" s="1717"/>
      <c r="PVF80" s="1718"/>
      <c r="PVG80" s="1718"/>
      <c r="PVH80" s="1718"/>
      <c r="PVI80" s="1718"/>
      <c r="PVJ80" s="246"/>
      <c r="PVK80" s="246" t="str">
        <f>BS!$D$5</f>
        <v>31 March 2026</v>
      </c>
      <c r="PVL80" s="247" t="str">
        <f>BS!$E$5</f>
        <v>31 March 2025</v>
      </c>
      <c r="PVM80" s="1717"/>
      <c r="PVN80" s="1718"/>
      <c r="PVO80" s="1718"/>
      <c r="PVP80" s="1718"/>
      <c r="PVQ80" s="1718"/>
      <c r="PVR80" s="246"/>
      <c r="PVS80" s="246" t="str">
        <f>BS!$D$5</f>
        <v>31 March 2026</v>
      </c>
      <c r="PVT80" s="247" t="str">
        <f>BS!$E$5</f>
        <v>31 March 2025</v>
      </c>
      <c r="PVU80" s="1717"/>
      <c r="PVV80" s="1718"/>
      <c r="PVW80" s="1718"/>
      <c r="PVX80" s="1718"/>
      <c r="PVY80" s="1718"/>
      <c r="PVZ80" s="246"/>
      <c r="PWA80" s="246" t="str">
        <f>BS!$D$5</f>
        <v>31 March 2026</v>
      </c>
      <c r="PWB80" s="247" t="str">
        <f>BS!$E$5</f>
        <v>31 March 2025</v>
      </c>
      <c r="PWC80" s="1717"/>
      <c r="PWD80" s="1718"/>
      <c r="PWE80" s="1718"/>
      <c r="PWF80" s="1718"/>
      <c r="PWG80" s="1718"/>
      <c r="PWH80" s="246"/>
      <c r="PWI80" s="246" t="str">
        <f>BS!$D$5</f>
        <v>31 March 2026</v>
      </c>
      <c r="PWJ80" s="247" t="str">
        <f>BS!$E$5</f>
        <v>31 March 2025</v>
      </c>
      <c r="PWK80" s="1717"/>
      <c r="PWL80" s="1718"/>
      <c r="PWM80" s="1718"/>
      <c r="PWN80" s="1718"/>
      <c r="PWO80" s="1718"/>
      <c r="PWP80" s="246"/>
      <c r="PWQ80" s="246" t="str">
        <f>BS!$D$5</f>
        <v>31 March 2026</v>
      </c>
      <c r="PWR80" s="247" t="str">
        <f>BS!$E$5</f>
        <v>31 March 2025</v>
      </c>
      <c r="PWS80" s="1717"/>
      <c r="PWT80" s="1718"/>
      <c r="PWU80" s="1718"/>
      <c r="PWV80" s="1718"/>
      <c r="PWW80" s="1718"/>
      <c r="PWX80" s="246"/>
      <c r="PWY80" s="246" t="str">
        <f>BS!$D$5</f>
        <v>31 March 2026</v>
      </c>
      <c r="PWZ80" s="247" t="str">
        <f>BS!$E$5</f>
        <v>31 March 2025</v>
      </c>
      <c r="PXA80" s="1717"/>
      <c r="PXB80" s="1718"/>
      <c r="PXC80" s="1718"/>
      <c r="PXD80" s="1718"/>
      <c r="PXE80" s="1718"/>
      <c r="PXF80" s="246"/>
      <c r="PXG80" s="246" t="str">
        <f>BS!$D$5</f>
        <v>31 March 2026</v>
      </c>
      <c r="PXH80" s="247" t="str">
        <f>BS!$E$5</f>
        <v>31 March 2025</v>
      </c>
      <c r="PXI80" s="1717"/>
      <c r="PXJ80" s="1718"/>
      <c r="PXK80" s="1718"/>
      <c r="PXL80" s="1718"/>
      <c r="PXM80" s="1718"/>
      <c r="PXN80" s="246"/>
      <c r="PXO80" s="246" t="str">
        <f>BS!$D$5</f>
        <v>31 March 2026</v>
      </c>
      <c r="PXP80" s="247" t="str">
        <f>BS!$E$5</f>
        <v>31 March 2025</v>
      </c>
      <c r="PXQ80" s="1717"/>
      <c r="PXR80" s="1718"/>
      <c r="PXS80" s="1718"/>
      <c r="PXT80" s="1718"/>
      <c r="PXU80" s="1718"/>
      <c r="PXV80" s="246"/>
      <c r="PXW80" s="246" t="str">
        <f>BS!$D$5</f>
        <v>31 March 2026</v>
      </c>
      <c r="PXX80" s="247" t="str">
        <f>BS!$E$5</f>
        <v>31 March 2025</v>
      </c>
      <c r="PXY80" s="1717"/>
      <c r="PXZ80" s="1718"/>
      <c r="PYA80" s="1718"/>
      <c r="PYB80" s="1718"/>
      <c r="PYC80" s="1718"/>
      <c r="PYD80" s="246"/>
      <c r="PYE80" s="246" t="str">
        <f>BS!$D$5</f>
        <v>31 March 2026</v>
      </c>
      <c r="PYF80" s="247" t="str">
        <f>BS!$E$5</f>
        <v>31 March 2025</v>
      </c>
      <c r="PYG80" s="1717"/>
      <c r="PYH80" s="1718"/>
      <c r="PYI80" s="1718"/>
      <c r="PYJ80" s="1718"/>
      <c r="PYK80" s="1718"/>
      <c r="PYL80" s="246"/>
      <c r="PYM80" s="246" t="str">
        <f>BS!$D$5</f>
        <v>31 March 2026</v>
      </c>
      <c r="PYN80" s="247" t="str">
        <f>BS!$E$5</f>
        <v>31 March 2025</v>
      </c>
      <c r="PYO80" s="1717"/>
      <c r="PYP80" s="1718"/>
      <c r="PYQ80" s="1718"/>
      <c r="PYR80" s="1718"/>
      <c r="PYS80" s="1718"/>
      <c r="PYT80" s="246"/>
      <c r="PYU80" s="246" t="str">
        <f>BS!$D$5</f>
        <v>31 March 2026</v>
      </c>
      <c r="PYV80" s="247" t="str">
        <f>BS!$E$5</f>
        <v>31 March 2025</v>
      </c>
      <c r="PYW80" s="1717"/>
      <c r="PYX80" s="1718"/>
      <c r="PYY80" s="1718"/>
      <c r="PYZ80" s="1718"/>
      <c r="PZA80" s="1718"/>
      <c r="PZB80" s="246"/>
      <c r="PZC80" s="246" t="str">
        <f>BS!$D$5</f>
        <v>31 March 2026</v>
      </c>
      <c r="PZD80" s="247" t="str">
        <f>BS!$E$5</f>
        <v>31 March 2025</v>
      </c>
      <c r="PZE80" s="1717"/>
      <c r="PZF80" s="1718"/>
      <c r="PZG80" s="1718"/>
      <c r="PZH80" s="1718"/>
      <c r="PZI80" s="1718"/>
      <c r="PZJ80" s="246"/>
      <c r="PZK80" s="246" t="str">
        <f>BS!$D$5</f>
        <v>31 March 2026</v>
      </c>
      <c r="PZL80" s="247" t="str">
        <f>BS!$E$5</f>
        <v>31 March 2025</v>
      </c>
      <c r="PZM80" s="1717"/>
      <c r="PZN80" s="1718"/>
      <c r="PZO80" s="1718"/>
      <c r="PZP80" s="1718"/>
      <c r="PZQ80" s="1718"/>
      <c r="PZR80" s="246"/>
      <c r="PZS80" s="246" t="str">
        <f>BS!$D$5</f>
        <v>31 March 2026</v>
      </c>
      <c r="PZT80" s="247" t="str">
        <f>BS!$E$5</f>
        <v>31 March 2025</v>
      </c>
      <c r="PZU80" s="1717"/>
      <c r="PZV80" s="1718"/>
      <c r="PZW80" s="1718"/>
      <c r="PZX80" s="1718"/>
      <c r="PZY80" s="1718"/>
      <c r="PZZ80" s="246"/>
      <c r="QAA80" s="246" t="str">
        <f>BS!$D$5</f>
        <v>31 March 2026</v>
      </c>
      <c r="QAB80" s="247" t="str">
        <f>BS!$E$5</f>
        <v>31 March 2025</v>
      </c>
      <c r="QAC80" s="1717"/>
      <c r="QAD80" s="1718"/>
      <c r="QAE80" s="1718"/>
      <c r="QAF80" s="1718"/>
      <c r="QAG80" s="1718"/>
      <c r="QAH80" s="246"/>
      <c r="QAI80" s="246" t="str">
        <f>BS!$D$5</f>
        <v>31 March 2026</v>
      </c>
      <c r="QAJ80" s="247" t="str">
        <f>BS!$E$5</f>
        <v>31 March 2025</v>
      </c>
      <c r="QAK80" s="1717"/>
      <c r="QAL80" s="1718"/>
      <c r="QAM80" s="1718"/>
      <c r="QAN80" s="1718"/>
      <c r="QAO80" s="1718"/>
      <c r="QAP80" s="246"/>
      <c r="QAQ80" s="246" t="str">
        <f>BS!$D$5</f>
        <v>31 March 2026</v>
      </c>
      <c r="QAR80" s="247" t="str">
        <f>BS!$E$5</f>
        <v>31 March 2025</v>
      </c>
      <c r="QAS80" s="1717"/>
      <c r="QAT80" s="1718"/>
      <c r="QAU80" s="1718"/>
      <c r="QAV80" s="1718"/>
      <c r="QAW80" s="1718"/>
      <c r="QAX80" s="246"/>
      <c r="QAY80" s="246" t="str">
        <f>BS!$D$5</f>
        <v>31 March 2026</v>
      </c>
      <c r="QAZ80" s="247" t="str">
        <f>BS!$E$5</f>
        <v>31 March 2025</v>
      </c>
      <c r="QBA80" s="1717"/>
      <c r="QBB80" s="1718"/>
      <c r="QBC80" s="1718"/>
      <c r="QBD80" s="1718"/>
      <c r="QBE80" s="1718"/>
      <c r="QBF80" s="246"/>
      <c r="QBG80" s="246" t="str">
        <f>BS!$D$5</f>
        <v>31 March 2026</v>
      </c>
      <c r="QBH80" s="247" t="str">
        <f>BS!$E$5</f>
        <v>31 March 2025</v>
      </c>
      <c r="QBI80" s="1717"/>
      <c r="QBJ80" s="1718"/>
      <c r="QBK80" s="1718"/>
      <c r="QBL80" s="1718"/>
      <c r="QBM80" s="1718"/>
      <c r="QBN80" s="246"/>
      <c r="QBO80" s="246" t="str">
        <f>BS!$D$5</f>
        <v>31 March 2026</v>
      </c>
      <c r="QBP80" s="247" t="str">
        <f>BS!$E$5</f>
        <v>31 March 2025</v>
      </c>
      <c r="QBQ80" s="1717"/>
      <c r="QBR80" s="1718"/>
      <c r="QBS80" s="1718"/>
      <c r="QBT80" s="1718"/>
      <c r="QBU80" s="1718"/>
      <c r="QBV80" s="246"/>
      <c r="QBW80" s="246" t="str">
        <f>BS!$D$5</f>
        <v>31 March 2026</v>
      </c>
      <c r="QBX80" s="247" t="str">
        <f>BS!$E$5</f>
        <v>31 March 2025</v>
      </c>
      <c r="QBY80" s="1717"/>
      <c r="QBZ80" s="1718"/>
      <c r="QCA80" s="1718"/>
      <c r="QCB80" s="1718"/>
      <c r="QCC80" s="1718"/>
      <c r="QCD80" s="246"/>
      <c r="QCE80" s="246" t="str">
        <f>BS!$D$5</f>
        <v>31 March 2026</v>
      </c>
      <c r="QCF80" s="247" t="str">
        <f>BS!$E$5</f>
        <v>31 March 2025</v>
      </c>
      <c r="QCG80" s="1717"/>
      <c r="QCH80" s="1718"/>
      <c r="QCI80" s="1718"/>
      <c r="QCJ80" s="1718"/>
      <c r="QCK80" s="1718"/>
      <c r="QCL80" s="246"/>
      <c r="QCM80" s="246" t="str">
        <f>BS!$D$5</f>
        <v>31 March 2026</v>
      </c>
      <c r="QCN80" s="247" t="str">
        <f>BS!$E$5</f>
        <v>31 March 2025</v>
      </c>
      <c r="QCO80" s="1717"/>
      <c r="QCP80" s="1718"/>
      <c r="QCQ80" s="1718"/>
      <c r="QCR80" s="1718"/>
      <c r="QCS80" s="1718"/>
      <c r="QCT80" s="246"/>
      <c r="QCU80" s="246" t="str">
        <f>BS!$D$5</f>
        <v>31 March 2026</v>
      </c>
      <c r="QCV80" s="247" t="str">
        <f>BS!$E$5</f>
        <v>31 March 2025</v>
      </c>
      <c r="QCW80" s="1717"/>
      <c r="QCX80" s="1718"/>
      <c r="QCY80" s="1718"/>
      <c r="QCZ80" s="1718"/>
      <c r="QDA80" s="1718"/>
      <c r="QDB80" s="246"/>
      <c r="QDC80" s="246" t="str">
        <f>BS!$D$5</f>
        <v>31 March 2026</v>
      </c>
      <c r="QDD80" s="247" t="str">
        <f>BS!$E$5</f>
        <v>31 March 2025</v>
      </c>
      <c r="QDE80" s="1717"/>
      <c r="QDF80" s="1718"/>
      <c r="QDG80" s="1718"/>
      <c r="QDH80" s="1718"/>
      <c r="QDI80" s="1718"/>
      <c r="QDJ80" s="246"/>
      <c r="QDK80" s="246" t="str">
        <f>BS!$D$5</f>
        <v>31 March 2026</v>
      </c>
      <c r="QDL80" s="247" t="str">
        <f>BS!$E$5</f>
        <v>31 March 2025</v>
      </c>
      <c r="QDM80" s="1717"/>
      <c r="QDN80" s="1718"/>
      <c r="QDO80" s="1718"/>
      <c r="QDP80" s="1718"/>
      <c r="QDQ80" s="1718"/>
      <c r="QDR80" s="246"/>
      <c r="QDS80" s="246" t="str">
        <f>BS!$D$5</f>
        <v>31 March 2026</v>
      </c>
      <c r="QDT80" s="247" t="str">
        <f>BS!$E$5</f>
        <v>31 March 2025</v>
      </c>
      <c r="QDU80" s="1717"/>
      <c r="QDV80" s="1718"/>
      <c r="QDW80" s="1718"/>
      <c r="QDX80" s="1718"/>
      <c r="QDY80" s="1718"/>
      <c r="QDZ80" s="246"/>
      <c r="QEA80" s="246" t="str">
        <f>BS!$D$5</f>
        <v>31 March 2026</v>
      </c>
      <c r="QEB80" s="247" t="str">
        <f>BS!$E$5</f>
        <v>31 March 2025</v>
      </c>
      <c r="QEC80" s="1717"/>
      <c r="QED80" s="1718"/>
      <c r="QEE80" s="1718"/>
      <c r="QEF80" s="1718"/>
      <c r="QEG80" s="1718"/>
      <c r="QEH80" s="246"/>
      <c r="QEI80" s="246" t="str">
        <f>BS!$D$5</f>
        <v>31 March 2026</v>
      </c>
      <c r="QEJ80" s="247" t="str">
        <f>BS!$E$5</f>
        <v>31 March 2025</v>
      </c>
      <c r="QEK80" s="1717"/>
      <c r="QEL80" s="1718"/>
      <c r="QEM80" s="1718"/>
      <c r="QEN80" s="1718"/>
      <c r="QEO80" s="1718"/>
      <c r="QEP80" s="246"/>
      <c r="QEQ80" s="246" t="str">
        <f>BS!$D$5</f>
        <v>31 March 2026</v>
      </c>
      <c r="QER80" s="247" t="str">
        <f>BS!$E$5</f>
        <v>31 March 2025</v>
      </c>
      <c r="QES80" s="1717"/>
      <c r="QET80" s="1718"/>
      <c r="QEU80" s="1718"/>
      <c r="QEV80" s="1718"/>
      <c r="QEW80" s="1718"/>
      <c r="QEX80" s="246"/>
      <c r="QEY80" s="246" t="str">
        <f>BS!$D$5</f>
        <v>31 March 2026</v>
      </c>
      <c r="QEZ80" s="247" t="str">
        <f>BS!$E$5</f>
        <v>31 March 2025</v>
      </c>
      <c r="QFA80" s="1717"/>
      <c r="QFB80" s="1718"/>
      <c r="QFC80" s="1718"/>
      <c r="QFD80" s="1718"/>
      <c r="QFE80" s="1718"/>
      <c r="QFF80" s="246"/>
      <c r="QFG80" s="246" t="str">
        <f>BS!$D$5</f>
        <v>31 March 2026</v>
      </c>
      <c r="QFH80" s="247" t="str">
        <f>BS!$E$5</f>
        <v>31 March 2025</v>
      </c>
      <c r="QFI80" s="1717"/>
      <c r="QFJ80" s="1718"/>
      <c r="QFK80" s="1718"/>
      <c r="QFL80" s="1718"/>
      <c r="QFM80" s="1718"/>
      <c r="QFN80" s="246"/>
      <c r="QFO80" s="246" t="str">
        <f>BS!$D$5</f>
        <v>31 March 2026</v>
      </c>
      <c r="QFP80" s="247" t="str">
        <f>BS!$E$5</f>
        <v>31 March 2025</v>
      </c>
      <c r="QFQ80" s="1717"/>
      <c r="QFR80" s="1718"/>
      <c r="QFS80" s="1718"/>
      <c r="QFT80" s="1718"/>
      <c r="QFU80" s="1718"/>
      <c r="QFV80" s="246"/>
      <c r="QFW80" s="246" t="str">
        <f>BS!$D$5</f>
        <v>31 March 2026</v>
      </c>
      <c r="QFX80" s="247" t="str">
        <f>BS!$E$5</f>
        <v>31 March 2025</v>
      </c>
      <c r="QFY80" s="1717"/>
      <c r="QFZ80" s="1718"/>
      <c r="QGA80" s="1718"/>
      <c r="QGB80" s="1718"/>
      <c r="QGC80" s="1718"/>
      <c r="QGD80" s="246"/>
      <c r="QGE80" s="246" t="str">
        <f>BS!$D$5</f>
        <v>31 March 2026</v>
      </c>
      <c r="QGF80" s="247" t="str">
        <f>BS!$E$5</f>
        <v>31 March 2025</v>
      </c>
      <c r="QGG80" s="1717"/>
      <c r="QGH80" s="1718"/>
      <c r="QGI80" s="1718"/>
      <c r="QGJ80" s="1718"/>
      <c r="QGK80" s="1718"/>
      <c r="QGL80" s="246"/>
      <c r="QGM80" s="246" t="str">
        <f>BS!$D$5</f>
        <v>31 March 2026</v>
      </c>
      <c r="QGN80" s="247" t="str">
        <f>BS!$E$5</f>
        <v>31 March 2025</v>
      </c>
      <c r="QGO80" s="1717"/>
      <c r="QGP80" s="1718"/>
      <c r="QGQ80" s="1718"/>
      <c r="QGR80" s="1718"/>
      <c r="QGS80" s="1718"/>
      <c r="QGT80" s="246"/>
      <c r="QGU80" s="246" t="str">
        <f>BS!$D$5</f>
        <v>31 March 2026</v>
      </c>
      <c r="QGV80" s="247" t="str">
        <f>BS!$E$5</f>
        <v>31 March 2025</v>
      </c>
      <c r="QGW80" s="1717"/>
      <c r="QGX80" s="1718"/>
      <c r="QGY80" s="1718"/>
      <c r="QGZ80" s="1718"/>
      <c r="QHA80" s="1718"/>
      <c r="QHB80" s="246"/>
      <c r="QHC80" s="246" t="str">
        <f>BS!$D$5</f>
        <v>31 March 2026</v>
      </c>
      <c r="QHD80" s="247" t="str">
        <f>BS!$E$5</f>
        <v>31 March 2025</v>
      </c>
      <c r="QHE80" s="1717"/>
      <c r="QHF80" s="1718"/>
      <c r="QHG80" s="1718"/>
      <c r="QHH80" s="1718"/>
      <c r="QHI80" s="1718"/>
      <c r="QHJ80" s="246"/>
      <c r="QHK80" s="246" t="str">
        <f>BS!$D$5</f>
        <v>31 March 2026</v>
      </c>
      <c r="QHL80" s="247" t="str">
        <f>BS!$E$5</f>
        <v>31 March 2025</v>
      </c>
      <c r="QHM80" s="1717"/>
      <c r="QHN80" s="1718"/>
      <c r="QHO80" s="1718"/>
      <c r="QHP80" s="1718"/>
      <c r="QHQ80" s="1718"/>
      <c r="QHR80" s="246"/>
      <c r="QHS80" s="246" t="str">
        <f>BS!$D$5</f>
        <v>31 March 2026</v>
      </c>
      <c r="QHT80" s="247" t="str">
        <f>BS!$E$5</f>
        <v>31 March 2025</v>
      </c>
      <c r="QHU80" s="1717"/>
      <c r="QHV80" s="1718"/>
      <c r="QHW80" s="1718"/>
      <c r="QHX80" s="1718"/>
      <c r="QHY80" s="1718"/>
      <c r="QHZ80" s="246"/>
      <c r="QIA80" s="246" t="str">
        <f>BS!$D$5</f>
        <v>31 March 2026</v>
      </c>
      <c r="QIB80" s="247" t="str">
        <f>BS!$E$5</f>
        <v>31 March 2025</v>
      </c>
      <c r="QIC80" s="1717"/>
      <c r="QID80" s="1718"/>
      <c r="QIE80" s="1718"/>
      <c r="QIF80" s="1718"/>
      <c r="QIG80" s="1718"/>
      <c r="QIH80" s="246"/>
      <c r="QII80" s="246" t="str">
        <f>BS!$D$5</f>
        <v>31 March 2026</v>
      </c>
      <c r="QIJ80" s="247" t="str">
        <f>BS!$E$5</f>
        <v>31 March 2025</v>
      </c>
      <c r="QIK80" s="1717"/>
      <c r="QIL80" s="1718"/>
      <c r="QIM80" s="1718"/>
      <c r="QIN80" s="1718"/>
      <c r="QIO80" s="1718"/>
      <c r="QIP80" s="246"/>
      <c r="QIQ80" s="246" t="str">
        <f>BS!$D$5</f>
        <v>31 March 2026</v>
      </c>
      <c r="QIR80" s="247" t="str">
        <f>BS!$E$5</f>
        <v>31 March 2025</v>
      </c>
      <c r="QIS80" s="1717"/>
      <c r="QIT80" s="1718"/>
      <c r="QIU80" s="1718"/>
      <c r="QIV80" s="1718"/>
      <c r="QIW80" s="1718"/>
      <c r="QIX80" s="246"/>
      <c r="QIY80" s="246" t="str">
        <f>BS!$D$5</f>
        <v>31 March 2026</v>
      </c>
      <c r="QIZ80" s="247" t="str">
        <f>BS!$E$5</f>
        <v>31 March 2025</v>
      </c>
      <c r="QJA80" s="1717"/>
      <c r="QJB80" s="1718"/>
      <c r="QJC80" s="1718"/>
      <c r="QJD80" s="1718"/>
      <c r="QJE80" s="1718"/>
      <c r="QJF80" s="246"/>
      <c r="QJG80" s="246" t="str">
        <f>BS!$D$5</f>
        <v>31 March 2026</v>
      </c>
      <c r="QJH80" s="247" t="str">
        <f>BS!$E$5</f>
        <v>31 March 2025</v>
      </c>
      <c r="QJI80" s="1717"/>
      <c r="QJJ80" s="1718"/>
      <c r="QJK80" s="1718"/>
      <c r="QJL80" s="1718"/>
      <c r="QJM80" s="1718"/>
      <c r="QJN80" s="246"/>
      <c r="QJO80" s="246" t="str">
        <f>BS!$D$5</f>
        <v>31 March 2026</v>
      </c>
      <c r="QJP80" s="247" t="str">
        <f>BS!$E$5</f>
        <v>31 March 2025</v>
      </c>
      <c r="QJQ80" s="1717"/>
      <c r="QJR80" s="1718"/>
      <c r="QJS80" s="1718"/>
      <c r="QJT80" s="1718"/>
      <c r="QJU80" s="1718"/>
      <c r="QJV80" s="246"/>
      <c r="QJW80" s="246" t="str">
        <f>BS!$D$5</f>
        <v>31 March 2026</v>
      </c>
      <c r="QJX80" s="247" t="str">
        <f>BS!$E$5</f>
        <v>31 March 2025</v>
      </c>
      <c r="QJY80" s="1717"/>
      <c r="QJZ80" s="1718"/>
      <c r="QKA80" s="1718"/>
      <c r="QKB80" s="1718"/>
      <c r="QKC80" s="1718"/>
      <c r="QKD80" s="246"/>
      <c r="QKE80" s="246" t="str">
        <f>BS!$D$5</f>
        <v>31 March 2026</v>
      </c>
      <c r="QKF80" s="247" t="str">
        <f>BS!$E$5</f>
        <v>31 March 2025</v>
      </c>
      <c r="QKG80" s="1717"/>
      <c r="QKH80" s="1718"/>
      <c r="QKI80" s="1718"/>
      <c r="QKJ80" s="1718"/>
      <c r="QKK80" s="1718"/>
      <c r="QKL80" s="246"/>
      <c r="QKM80" s="246" t="str">
        <f>BS!$D$5</f>
        <v>31 March 2026</v>
      </c>
      <c r="QKN80" s="247" t="str">
        <f>BS!$E$5</f>
        <v>31 March 2025</v>
      </c>
      <c r="QKO80" s="1717"/>
      <c r="QKP80" s="1718"/>
      <c r="QKQ80" s="1718"/>
      <c r="QKR80" s="1718"/>
      <c r="QKS80" s="1718"/>
      <c r="QKT80" s="246"/>
      <c r="QKU80" s="246" t="str">
        <f>BS!$D$5</f>
        <v>31 March 2026</v>
      </c>
      <c r="QKV80" s="247" t="str">
        <f>BS!$E$5</f>
        <v>31 March 2025</v>
      </c>
      <c r="QKW80" s="1717"/>
      <c r="QKX80" s="1718"/>
      <c r="QKY80" s="1718"/>
      <c r="QKZ80" s="1718"/>
      <c r="QLA80" s="1718"/>
      <c r="QLB80" s="246"/>
      <c r="QLC80" s="246" t="str">
        <f>BS!$D$5</f>
        <v>31 March 2026</v>
      </c>
      <c r="QLD80" s="247" t="str">
        <f>BS!$E$5</f>
        <v>31 March 2025</v>
      </c>
      <c r="QLE80" s="1717"/>
      <c r="QLF80" s="1718"/>
      <c r="QLG80" s="1718"/>
      <c r="QLH80" s="1718"/>
      <c r="QLI80" s="1718"/>
      <c r="QLJ80" s="246"/>
      <c r="QLK80" s="246" t="str">
        <f>BS!$D$5</f>
        <v>31 March 2026</v>
      </c>
      <c r="QLL80" s="247" t="str">
        <f>BS!$E$5</f>
        <v>31 March 2025</v>
      </c>
      <c r="QLM80" s="1717"/>
      <c r="QLN80" s="1718"/>
      <c r="QLO80" s="1718"/>
      <c r="QLP80" s="1718"/>
      <c r="QLQ80" s="1718"/>
      <c r="QLR80" s="246"/>
      <c r="QLS80" s="246" t="str">
        <f>BS!$D$5</f>
        <v>31 March 2026</v>
      </c>
      <c r="QLT80" s="247" t="str">
        <f>BS!$E$5</f>
        <v>31 March 2025</v>
      </c>
      <c r="QLU80" s="1717"/>
      <c r="QLV80" s="1718"/>
      <c r="QLW80" s="1718"/>
      <c r="QLX80" s="1718"/>
      <c r="QLY80" s="1718"/>
      <c r="QLZ80" s="246"/>
      <c r="QMA80" s="246" t="str">
        <f>BS!$D$5</f>
        <v>31 March 2026</v>
      </c>
      <c r="QMB80" s="247" t="str">
        <f>BS!$E$5</f>
        <v>31 March 2025</v>
      </c>
      <c r="QMC80" s="1717"/>
      <c r="QMD80" s="1718"/>
      <c r="QME80" s="1718"/>
      <c r="QMF80" s="1718"/>
      <c r="QMG80" s="1718"/>
      <c r="QMH80" s="246"/>
      <c r="QMI80" s="246" t="str">
        <f>BS!$D$5</f>
        <v>31 March 2026</v>
      </c>
      <c r="QMJ80" s="247" t="str">
        <f>BS!$E$5</f>
        <v>31 March 2025</v>
      </c>
      <c r="QMK80" s="1717"/>
      <c r="QML80" s="1718"/>
      <c r="QMM80" s="1718"/>
      <c r="QMN80" s="1718"/>
      <c r="QMO80" s="1718"/>
      <c r="QMP80" s="246"/>
      <c r="QMQ80" s="246" t="str">
        <f>BS!$D$5</f>
        <v>31 March 2026</v>
      </c>
      <c r="QMR80" s="247" t="str">
        <f>BS!$E$5</f>
        <v>31 March 2025</v>
      </c>
      <c r="QMS80" s="1717"/>
      <c r="QMT80" s="1718"/>
      <c r="QMU80" s="1718"/>
      <c r="QMV80" s="1718"/>
      <c r="QMW80" s="1718"/>
      <c r="QMX80" s="246"/>
      <c r="QMY80" s="246" t="str">
        <f>BS!$D$5</f>
        <v>31 March 2026</v>
      </c>
      <c r="QMZ80" s="247" t="str">
        <f>BS!$E$5</f>
        <v>31 March 2025</v>
      </c>
      <c r="QNA80" s="1717"/>
      <c r="QNB80" s="1718"/>
      <c r="QNC80" s="1718"/>
      <c r="QND80" s="1718"/>
      <c r="QNE80" s="1718"/>
      <c r="QNF80" s="246"/>
      <c r="QNG80" s="246" t="str">
        <f>BS!$D$5</f>
        <v>31 March 2026</v>
      </c>
      <c r="QNH80" s="247" t="str">
        <f>BS!$E$5</f>
        <v>31 March 2025</v>
      </c>
      <c r="QNI80" s="1717"/>
      <c r="QNJ80" s="1718"/>
      <c r="QNK80" s="1718"/>
      <c r="QNL80" s="1718"/>
      <c r="QNM80" s="1718"/>
      <c r="QNN80" s="246"/>
      <c r="QNO80" s="246" t="str">
        <f>BS!$D$5</f>
        <v>31 March 2026</v>
      </c>
      <c r="QNP80" s="247" t="str">
        <f>BS!$E$5</f>
        <v>31 March 2025</v>
      </c>
      <c r="QNQ80" s="1717"/>
      <c r="QNR80" s="1718"/>
      <c r="QNS80" s="1718"/>
      <c r="QNT80" s="1718"/>
      <c r="QNU80" s="1718"/>
      <c r="QNV80" s="246"/>
      <c r="QNW80" s="246" t="str">
        <f>BS!$D$5</f>
        <v>31 March 2026</v>
      </c>
      <c r="QNX80" s="247" t="str">
        <f>BS!$E$5</f>
        <v>31 March 2025</v>
      </c>
      <c r="QNY80" s="1717"/>
      <c r="QNZ80" s="1718"/>
      <c r="QOA80" s="1718"/>
      <c r="QOB80" s="1718"/>
      <c r="QOC80" s="1718"/>
      <c r="QOD80" s="246"/>
      <c r="QOE80" s="246" t="str">
        <f>BS!$D$5</f>
        <v>31 March 2026</v>
      </c>
      <c r="QOF80" s="247" t="str">
        <f>BS!$E$5</f>
        <v>31 March 2025</v>
      </c>
      <c r="QOG80" s="1717"/>
      <c r="QOH80" s="1718"/>
      <c r="QOI80" s="1718"/>
      <c r="QOJ80" s="1718"/>
      <c r="QOK80" s="1718"/>
      <c r="QOL80" s="246"/>
      <c r="QOM80" s="246" t="str">
        <f>BS!$D$5</f>
        <v>31 March 2026</v>
      </c>
      <c r="QON80" s="247" t="str">
        <f>BS!$E$5</f>
        <v>31 March 2025</v>
      </c>
      <c r="QOO80" s="1717"/>
      <c r="QOP80" s="1718"/>
      <c r="QOQ80" s="1718"/>
      <c r="QOR80" s="1718"/>
      <c r="QOS80" s="1718"/>
      <c r="QOT80" s="246"/>
      <c r="QOU80" s="246" t="str">
        <f>BS!$D$5</f>
        <v>31 March 2026</v>
      </c>
      <c r="QOV80" s="247" t="str">
        <f>BS!$E$5</f>
        <v>31 March 2025</v>
      </c>
      <c r="QOW80" s="1717"/>
      <c r="QOX80" s="1718"/>
      <c r="QOY80" s="1718"/>
      <c r="QOZ80" s="1718"/>
      <c r="QPA80" s="1718"/>
      <c r="QPB80" s="246"/>
      <c r="QPC80" s="246" t="str">
        <f>BS!$D$5</f>
        <v>31 March 2026</v>
      </c>
      <c r="QPD80" s="247" t="str">
        <f>BS!$E$5</f>
        <v>31 March 2025</v>
      </c>
      <c r="QPE80" s="1717"/>
      <c r="QPF80" s="1718"/>
      <c r="QPG80" s="1718"/>
      <c r="QPH80" s="1718"/>
      <c r="QPI80" s="1718"/>
      <c r="QPJ80" s="246"/>
      <c r="QPK80" s="246" t="str">
        <f>BS!$D$5</f>
        <v>31 March 2026</v>
      </c>
      <c r="QPL80" s="247" t="str">
        <f>BS!$E$5</f>
        <v>31 March 2025</v>
      </c>
      <c r="QPM80" s="1717"/>
      <c r="QPN80" s="1718"/>
      <c r="QPO80" s="1718"/>
      <c r="QPP80" s="1718"/>
      <c r="QPQ80" s="1718"/>
      <c r="QPR80" s="246"/>
      <c r="QPS80" s="246" t="str">
        <f>BS!$D$5</f>
        <v>31 March 2026</v>
      </c>
      <c r="QPT80" s="247" t="str">
        <f>BS!$E$5</f>
        <v>31 March 2025</v>
      </c>
      <c r="QPU80" s="1717"/>
      <c r="QPV80" s="1718"/>
      <c r="QPW80" s="1718"/>
      <c r="QPX80" s="1718"/>
      <c r="QPY80" s="1718"/>
      <c r="QPZ80" s="246"/>
      <c r="QQA80" s="246" t="str">
        <f>BS!$D$5</f>
        <v>31 March 2026</v>
      </c>
      <c r="QQB80" s="247" t="str">
        <f>BS!$E$5</f>
        <v>31 March 2025</v>
      </c>
      <c r="QQC80" s="1717"/>
      <c r="QQD80" s="1718"/>
      <c r="QQE80" s="1718"/>
      <c r="QQF80" s="1718"/>
      <c r="QQG80" s="1718"/>
      <c r="QQH80" s="246"/>
      <c r="QQI80" s="246" t="str">
        <f>BS!$D$5</f>
        <v>31 March 2026</v>
      </c>
      <c r="QQJ80" s="247" t="str">
        <f>BS!$E$5</f>
        <v>31 March 2025</v>
      </c>
      <c r="QQK80" s="1717"/>
      <c r="QQL80" s="1718"/>
      <c r="QQM80" s="1718"/>
      <c r="QQN80" s="1718"/>
      <c r="QQO80" s="1718"/>
      <c r="QQP80" s="246"/>
      <c r="QQQ80" s="246" t="str">
        <f>BS!$D$5</f>
        <v>31 March 2026</v>
      </c>
      <c r="QQR80" s="247" t="str">
        <f>BS!$E$5</f>
        <v>31 March 2025</v>
      </c>
      <c r="QQS80" s="1717"/>
      <c r="QQT80" s="1718"/>
      <c r="QQU80" s="1718"/>
      <c r="QQV80" s="1718"/>
      <c r="QQW80" s="1718"/>
      <c r="QQX80" s="246"/>
      <c r="QQY80" s="246" t="str">
        <f>BS!$D$5</f>
        <v>31 March 2026</v>
      </c>
      <c r="QQZ80" s="247" t="str">
        <f>BS!$E$5</f>
        <v>31 March 2025</v>
      </c>
      <c r="QRA80" s="1717"/>
      <c r="QRB80" s="1718"/>
      <c r="QRC80" s="1718"/>
      <c r="QRD80" s="1718"/>
      <c r="QRE80" s="1718"/>
      <c r="QRF80" s="246"/>
      <c r="QRG80" s="246" t="str">
        <f>BS!$D$5</f>
        <v>31 March 2026</v>
      </c>
      <c r="QRH80" s="247" t="str">
        <f>BS!$E$5</f>
        <v>31 March 2025</v>
      </c>
      <c r="QRI80" s="1717"/>
      <c r="QRJ80" s="1718"/>
      <c r="QRK80" s="1718"/>
      <c r="QRL80" s="1718"/>
      <c r="QRM80" s="1718"/>
      <c r="QRN80" s="246"/>
      <c r="QRO80" s="246" t="str">
        <f>BS!$D$5</f>
        <v>31 March 2026</v>
      </c>
      <c r="QRP80" s="247" t="str">
        <f>BS!$E$5</f>
        <v>31 March 2025</v>
      </c>
      <c r="QRQ80" s="1717"/>
      <c r="QRR80" s="1718"/>
      <c r="QRS80" s="1718"/>
      <c r="QRT80" s="1718"/>
      <c r="QRU80" s="1718"/>
      <c r="QRV80" s="246"/>
      <c r="QRW80" s="246" t="str">
        <f>BS!$D$5</f>
        <v>31 March 2026</v>
      </c>
      <c r="QRX80" s="247" t="str">
        <f>BS!$E$5</f>
        <v>31 March 2025</v>
      </c>
      <c r="QRY80" s="1717"/>
      <c r="QRZ80" s="1718"/>
      <c r="QSA80" s="1718"/>
      <c r="QSB80" s="1718"/>
      <c r="QSC80" s="1718"/>
      <c r="QSD80" s="246"/>
      <c r="QSE80" s="246" t="str">
        <f>BS!$D$5</f>
        <v>31 March 2026</v>
      </c>
      <c r="QSF80" s="247" t="str">
        <f>BS!$E$5</f>
        <v>31 March 2025</v>
      </c>
      <c r="QSG80" s="1717"/>
      <c r="QSH80" s="1718"/>
      <c r="QSI80" s="1718"/>
      <c r="QSJ80" s="1718"/>
      <c r="QSK80" s="1718"/>
      <c r="QSL80" s="246"/>
      <c r="QSM80" s="246" t="str">
        <f>BS!$D$5</f>
        <v>31 March 2026</v>
      </c>
      <c r="QSN80" s="247" t="str">
        <f>BS!$E$5</f>
        <v>31 March 2025</v>
      </c>
      <c r="QSO80" s="1717"/>
      <c r="QSP80" s="1718"/>
      <c r="QSQ80" s="1718"/>
      <c r="QSR80" s="1718"/>
      <c r="QSS80" s="1718"/>
      <c r="QST80" s="246"/>
      <c r="QSU80" s="246" t="str">
        <f>BS!$D$5</f>
        <v>31 March 2026</v>
      </c>
      <c r="QSV80" s="247" t="str">
        <f>BS!$E$5</f>
        <v>31 March 2025</v>
      </c>
      <c r="QSW80" s="1717"/>
      <c r="QSX80" s="1718"/>
      <c r="QSY80" s="1718"/>
      <c r="QSZ80" s="1718"/>
      <c r="QTA80" s="1718"/>
      <c r="QTB80" s="246"/>
      <c r="QTC80" s="246" t="str">
        <f>BS!$D$5</f>
        <v>31 March 2026</v>
      </c>
      <c r="QTD80" s="247" t="str">
        <f>BS!$E$5</f>
        <v>31 March 2025</v>
      </c>
      <c r="QTE80" s="1717"/>
      <c r="QTF80" s="1718"/>
      <c r="QTG80" s="1718"/>
      <c r="QTH80" s="1718"/>
      <c r="QTI80" s="1718"/>
      <c r="QTJ80" s="246"/>
      <c r="QTK80" s="246" t="str">
        <f>BS!$D$5</f>
        <v>31 March 2026</v>
      </c>
      <c r="QTL80" s="247" t="str">
        <f>BS!$E$5</f>
        <v>31 March 2025</v>
      </c>
      <c r="QTM80" s="1717"/>
      <c r="QTN80" s="1718"/>
      <c r="QTO80" s="1718"/>
      <c r="QTP80" s="1718"/>
      <c r="QTQ80" s="1718"/>
      <c r="QTR80" s="246"/>
      <c r="QTS80" s="246" t="str">
        <f>BS!$D$5</f>
        <v>31 March 2026</v>
      </c>
      <c r="QTT80" s="247" t="str">
        <f>BS!$E$5</f>
        <v>31 March 2025</v>
      </c>
      <c r="QTU80" s="1717"/>
      <c r="QTV80" s="1718"/>
      <c r="QTW80" s="1718"/>
      <c r="QTX80" s="1718"/>
      <c r="QTY80" s="1718"/>
      <c r="QTZ80" s="246"/>
      <c r="QUA80" s="246" t="str">
        <f>BS!$D$5</f>
        <v>31 March 2026</v>
      </c>
      <c r="QUB80" s="247" t="str">
        <f>BS!$E$5</f>
        <v>31 March 2025</v>
      </c>
      <c r="QUC80" s="1717"/>
      <c r="QUD80" s="1718"/>
      <c r="QUE80" s="1718"/>
      <c r="QUF80" s="1718"/>
      <c r="QUG80" s="1718"/>
      <c r="QUH80" s="246"/>
      <c r="QUI80" s="246" t="str">
        <f>BS!$D$5</f>
        <v>31 March 2026</v>
      </c>
      <c r="QUJ80" s="247" t="str">
        <f>BS!$E$5</f>
        <v>31 March 2025</v>
      </c>
      <c r="QUK80" s="1717"/>
      <c r="QUL80" s="1718"/>
      <c r="QUM80" s="1718"/>
      <c r="QUN80" s="1718"/>
      <c r="QUO80" s="1718"/>
      <c r="QUP80" s="246"/>
      <c r="QUQ80" s="246" t="str">
        <f>BS!$D$5</f>
        <v>31 March 2026</v>
      </c>
      <c r="QUR80" s="247" t="str">
        <f>BS!$E$5</f>
        <v>31 March 2025</v>
      </c>
      <c r="QUS80" s="1717"/>
      <c r="QUT80" s="1718"/>
      <c r="QUU80" s="1718"/>
      <c r="QUV80" s="1718"/>
      <c r="QUW80" s="1718"/>
      <c r="QUX80" s="246"/>
      <c r="QUY80" s="246" t="str">
        <f>BS!$D$5</f>
        <v>31 March 2026</v>
      </c>
      <c r="QUZ80" s="247" t="str">
        <f>BS!$E$5</f>
        <v>31 March 2025</v>
      </c>
      <c r="QVA80" s="1717"/>
      <c r="QVB80" s="1718"/>
      <c r="QVC80" s="1718"/>
      <c r="QVD80" s="1718"/>
      <c r="QVE80" s="1718"/>
      <c r="QVF80" s="246"/>
      <c r="QVG80" s="246" t="str">
        <f>BS!$D$5</f>
        <v>31 March 2026</v>
      </c>
      <c r="QVH80" s="247" t="str">
        <f>BS!$E$5</f>
        <v>31 March 2025</v>
      </c>
      <c r="QVI80" s="1717"/>
      <c r="QVJ80" s="1718"/>
      <c r="QVK80" s="1718"/>
      <c r="QVL80" s="1718"/>
      <c r="QVM80" s="1718"/>
      <c r="QVN80" s="246"/>
      <c r="QVO80" s="246" t="str">
        <f>BS!$D$5</f>
        <v>31 March 2026</v>
      </c>
      <c r="QVP80" s="247" t="str">
        <f>BS!$E$5</f>
        <v>31 March 2025</v>
      </c>
      <c r="QVQ80" s="1717"/>
      <c r="QVR80" s="1718"/>
      <c r="QVS80" s="1718"/>
      <c r="QVT80" s="1718"/>
      <c r="QVU80" s="1718"/>
      <c r="QVV80" s="246"/>
      <c r="QVW80" s="246" t="str">
        <f>BS!$D$5</f>
        <v>31 March 2026</v>
      </c>
      <c r="QVX80" s="247" t="str">
        <f>BS!$E$5</f>
        <v>31 March 2025</v>
      </c>
      <c r="QVY80" s="1717"/>
      <c r="QVZ80" s="1718"/>
      <c r="QWA80" s="1718"/>
      <c r="QWB80" s="1718"/>
      <c r="QWC80" s="1718"/>
      <c r="QWD80" s="246"/>
      <c r="QWE80" s="246" t="str">
        <f>BS!$D$5</f>
        <v>31 March 2026</v>
      </c>
      <c r="QWF80" s="247" t="str">
        <f>BS!$E$5</f>
        <v>31 March 2025</v>
      </c>
      <c r="QWG80" s="1717"/>
      <c r="QWH80" s="1718"/>
      <c r="QWI80" s="1718"/>
      <c r="QWJ80" s="1718"/>
      <c r="QWK80" s="1718"/>
      <c r="QWL80" s="246"/>
      <c r="QWM80" s="246" t="str">
        <f>BS!$D$5</f>
        <v>31 March 2026</v>
      </c>
      <c r="QWN80" s="247" t="str">
        <f>BS!$E$5</f>
        <v>31 March 2025</v>
      </c>
      <c r="QWO80" s="1717"/>
      <c r="QWP80" s="1718"/>
      <c r="QWQ80" s="1718"/>
      <c r="QWR80" s="1718"/>
      <c r="QWS80" s="1718"/>
      <c r="QWT80" s="246"/>
      <c r="QWU80" s="246" t="str">
        <f>BS!$D$5</f>
        <v>31 March 2026</v>
      </c>
      <c r="QWV80" s="247" t="str">
        <f>BS!$E$5</f>
        <v>31 March 2025</v>
      </c>
      <c r="QWW80" s="1717"/>
      <c r="QWX80" s="1718"/>
      <c r="QWY80" s="1718"/>
      <c r="QWZ80" s="1718"/>
      <c r="QXA80" s="1718"/>
      <c r="QXB80" s="246"/>
      <c r="QXC80" s="246" t="str">
        <f>BS!$D$5</f>
        <v>31 March 2026</v>
      </c>
      <c r="QXD80" s="247" t="str">
        <f>BS!$E$5</f>
        <v>31 March 2025</v>
      </c>
      <c r="QXE80" s="1717"/>
      <c r="QXF80" s="1718"/>
      <c r="QXG80" s="1718"/>
      <c r="QXH80" s="1718"/>
      <c r="QXI80" s="1718"/>
      <c r="QXJ80" s="246"/>
      <c r="QXK80" s="246" t="str">
        <f>BS!$D$5</f>
        <v>31 March 2026</v>
      </c>
      <c r="QXL80" s="247" t="str">
        <f>BS!$E$5</f>
        <v>31 March 2025</v>
      </c>
      <c r="QXM80" s="1717"/>
      <c r="QXN80" s="1718"/>
      <c r="QXO80" s="1718"/>
      <c r="QXP80" s="1718"/>
      <c r="QXQ80" s="1718"/>
      <c r="QXR80" s="246"/>
      <c r="QXS80" s="246" t="str">
        <f>BS!$D$5</f>
        <v>31 March 2026</v>
      </c>
      <c r="QXT80" s="247" t="str">
        <f>BS!$E$5</f>
        <v>31 March 2025</v>
      </c>
      <c r="QXU80" s="1717"/>
      <c r="QXV80" s="1718"/>
      <c r="QXW80" s="1718"/>
      <c r="QXX80" s="1718"/>
      <c r="QXY80" s="1718"/>
      <c r="QXZ80" s="246"/>
      <c r="QYA80" s="246" t="str">
        <f>BS!$D$5</f>
        <v>31 March 2026</v>
      </c>
      <c r="QYB80" s="247" t="str">
        <f>BS!$E$5</f>
        <v>31 March 2025</v>
      </c>
      <c r="QYC80" s="1717"/>
      <c r="QYD80" s="1718"/>
      <c r="QYE80" s="1718"/>
      <c r="QYF80" s="1718"/>
      <c r="QYG80" s="1718"/>
      <c r="QYH80" s="246"/>
      <c r="QYI80" s="246" t="str">
        <f>BS!$D$5</f>
        <v>31 March 2026</v>
      </c>
      <c r="QYJ80" s="247" t="str">
        <f>BS!$E$5</f>
        <v>31 March 2025</v>
      </c>
      <c r="QYK80" s="1717"/>
      <c r="QYL80" s="1718"/>
      <c r="QYM80" s="1718"/>
      <c r="QYN80" s="1718"/>
      <c r="QYO80" s="1718"/>
      <c r="QYP80" s="246"/>
      <c r="QYQ80" s="246" t="str">
        <f>BS!$D$5</f>
        <v>31 March 2026</v>
      </c>
      <c r="QYR80" s="247" t="str">
        <f>BS!$E$5</f>
        <v>31 March 2025</v>
      </c>
      <c r="QYS80" s="1717"/>
      <c r="QYT80" s="1718"/>
      <c r="QYU80" s="1718"/>
      <c r="QYV80" s="1718"/>
      <c r="QYW80" s="1718"/>
      <c r="QYX80" s="246"/>
      <c r="QYY80" s="246" t="str">
        <f>BS!$D$5</f>
        <v>31 March 2026</v>
      </c>
      <c r="QYZ80" s="247" t="str">
        <f>BS!$E$5</f>
        <v>31 March 2025</v>
      </c>
      <c r="QZA80" s="1717"/>
      <c r="QZB80" s="1718"/>
      <c r="QZC80" s="1718"/>
      <c r="QZD80" s="1718"/>
      <c r="QZE80" s="1718"/>
      <c r="QZF80" s="246"/>
      <c r="QZG80" s="246" t="str">
        <f>BS!$D$5</f>
        <v>31 March 2026</v>
      </c>
      <c r="QZH80" s="247" t="str">
        <f>BS!$E$5</f>
        <v>31 March 2025</v>
      </c>
      <c r="QZI80" s="1717"/>
      <c r="QZJ80" s="1718"/>
      <c r="QZK80" s="1718"/>
      <c r="QZL80" s="1718"/>
      <c r="QZM80" s="1718"/>
      <c r="QZN80" s="246"/>
      <c r="QZO80" s="246" t="str">
        <f>BS!$D$5</f>
        <v>31 March 2026</v>
      </c>
      <c r="QZP80" s="247" t="str">
        <f>BS!$E$5</f>
        <v>31 March 2025</v>
      </c>
      <c r="QZQ80" s="1717"/>
      <c r="QZR80" s="1718"/>
      <c r="QZS80" s="1718"/>
      <c r="QZT80" s="1718"/>
      <c r="QZU80" s="1718"/>
      <c r="QZV80" s="246"/>
      <c r="QZW80" s="246" t="str">
        <f>BS!$D$5</f>
        <v>31 March 2026</v>
      </c>
      <c r="QZX80" s="247" t="str">
        <f>BS!$E$5</f>
        <v>31 March 2025</v>
      </c>
      <c r="QZY80" s="1717"/>
      <c r="QZZ80" s="1718"/>
      <c r="RAA80" s="1718"/>
      <c r="RAB80" s="1718"/>
      <c r="RAC80" s="1718"/>
      <c r="RAD80" s="246"/>
      <c r="RAE80" s="246" t="str">
        <f>BS!$D$5</f>
        <v>31 March 2026</v>
      </c>
      <c r="RAF80" s="247" t="str">
        <f>BS!$E$5</f>
        <v>31 March 2025</v>
      </c>
      <c r="RAG80" s="1717"/>
      <c r="RAH80" s="1718"/>
      <c r="RAI80" s="1718"/>
      <c r="RAJ80" s="1718"/>
      <c r="RAK80" s="1718"/>
      <c r="RAL80" s="246"/>
      <c r="RAM80" s="246" t="str">
        <f>BS!$D$5</f>
        <v>31 March 2026</v>
      </c>
      <c r="RAN80" s="247" t="str">
        <f>BS!$E$5</f>
        <v>31 March 2025</v>
      </c>
      <c r="RAO80" s="1717"/>
      <c r="RAP80" s="1718"/>
      <c r="RAQ80" s="1718"/>
      <c r="RAR80" s="1718"/>
      <c r="RAS80" s="1718"/>
      <c r="RAT80" s="246"/>
      <c r="RAU80" s="246" t="str">
        <f>BS!$D$5</f>
        <v>31 March 2026</v>
      </c>
      <c r="RAV80" s="247" t="str">
        <f>BS!$E$5</f>
        <v>31 March 2025</v>
      </c>
      <c r="RAW80" s="1717"/>
      <c r="RAX80" s="1718"/>
      <c r="RAY80" s="1718"/>
      <c r="RAZ80" s="1718"/>
      <c r="RBA80" s="1718"/>
      <c r="RBB80" s="246"/>
      <c r="RBC80" s="246" t="str">
        <f>BS!$D$5</f>
        <v>31 March 2026</v>
      </c>
      <c r="RBD80" s="247" t="str">
        <f>BS!$E$5</f>
        <v>31 March 2025</v>
      </c>
      <c r="RBE80" s="1717"/>
      <c r="RBF80" s="1718"/>
      <c r="RBG80" s="1718"/>
      <c r="RBH80" s="1718"/>
      <c r="RBI80" s="1718"/>
      <c r="RBJ80" s="246"/>
      <c r="RBK80" s="246" t="str">
        <f>BS!$D$5</f>
        <v>31 March 2026</v>
      </c>
      <c r="RBL80" s="247" t="str">
        <f>BS!$E$5</f>
        <v>31 March 2025</v>
      </c>
      <c r="RBM80" s="1717"/>
      <c r="RBN80" s="1718"/>
      <c r="RBO80" s="1718"/>
      <c r="RBP80" s="1718"/>
      <c r="RBQ80" s="1718"/>
      <c r="RBR80" s="246"/>
      <c r="RBS80" s="246" t="str">
        <f>BS!$D$5</f>
        <v>31 March 2026</v>
      </c>
      <c r="RBT80" s="247" t="str">
        <f>BS!$E$5</f>
        <v>31 March 2025</v>
      </c>
      <c r="RBU80" s="1717"/>
      <c r="RBV80" s="1718"/>
      <c r="RBW80" s="1718"/>
      <c r="RBX80" s="1718"/>
      <c r="RBY80" s="1718"/>
      <c r="RBZ80" s="246"/>
      <c r="RCA80" s="246" t="str">
        <f>BS!$D$5</f>
        <v>31 March 2026</v>
      </c>
      <c r="RCB80" s="247" t="str">
        <f>BS!$E$5</f>
        <v>31 March 2025</v>
      </c>
      <c r="RCC80" s="1717"/>
      <c r="RCD80" s="1718"/>
      <c r="RCE80" s="1718"/>
      <c r="RCF80" s="1718"/>
      <c r="RCG80" s="1718"/>
      <c r="RCH80" s="246"/>
      <c r="RCI80" s="246" t="str">
        <f>BS!$D$5</f>
        <v>31 March 2026</v>
      </c>
      <c r="RCJ80" s="247" t="str">
        <f>BS!$E$5</f>
        <v>31 March 2025</v>
      </c>
      <c r="RCK80" s="1717"/>
      <c r="RCL80" s="1718"/>
      <c r="RCM80" s="1718"/>
      <c r="RCN80" s="1718"/>
      <c r="RCO80" s="1718"/>
      <c r="RCP80" s="246"/>
      <c r="RCQ80" s="246" t="str">
        <f>BS!$D$5</f>
        <v>31 March 2026</v>
      </c>
      <c r="RCR80" s="247" t="str">
        <f>BS!$E$5</f>
        <v>31 March 2025</v>
      </c>
      <c r="RCS80" s="1717"/>
      <c r="RCT80" s="1718"/>
      <c r="RCU80" s="1718"/>
      <c r="RCV80" s="1718"/>
      <c r="RCW80" s="1718"/>
      <c r="RCX80" s="246"/>
      <c r="RCY80" s="246" t="str">
        <f>BS!$D$5</f>
        <v>31 March 2026</v>
      </c>
      <c r="RCZ80" s="247" t="str">
        <f>BS!$E$5</f>
        <v>31 March 2025</v>
      </c>
      <c r="RDA80" s="1717"/>
      <c r="RDB80" s="1718"/>
      <c r="RDC80" s="1718"/>
      <c r="RDD80" s="1718"/>
      <c r="RDE80" s="1718"/>
      <c r="RDF80" s="246"/>
      <c r="RDG80" s="246" t="str">
        <f>BS!$D$5</f>
        <v>31 March 2026</v>
      </c>
      <c r="RDH80" s="247" t="str">
        <f>BS!$E$5</f>
        <v>31 March 2025</v>
      </c>
      <c r="RDI80" s="1717"/>
      <c r="RDJ80" s="1718"/>
      <c r="RDK80" s="1718"/>
      <c r="RDL80" s="1718"/>
      <c r="RDM80" s="1718"/>
      <c r="RDN80" s="246"/>
      <c r="RDO80" s="246" t="str">
        <f>BS!$D$5</f>
        <v>31 March 2026</v>
      </c>
      <c r="RDP80" s="247" t="str">
        <f>BS!$E$5</f>
        <v>31 March 2025</v>
      </c>
      <c r="RDQ80" s="1717"/>
      <c r="RDR80" s="1718"/>
      <c r="RDS80" s="1718"/>
      <c r="RDT80" s="1718"/>
      <c r="RDU80" s="1718"/>
      <c r="RDV80" s="246"/>
      <c r="RDW80" s="246" t="str">
        <f>BS!$D$5</f>
        <v>31 March 2026</v>
      </c>
      <c r="RDX80" s="247" t="str">
        <f>BS!$E$5</f>
        <v>31 March 2025</v>
      </c>
      <c r="RDY80" s="1717"/>
      <c r="RDZ80" s="1718"/>
      <c r="REA80" s="1718"/>
      <c r="REB80" s="1718"/>
      <c r="REC80" s="1718"/>
      <c r="RED80" s="246"/>
      <c r="REE80" s="246" t="str">
        <f>BS!$D$5</f>
        <v>31 March 2026</v>
      </c>
      <c r="REF80" s="247" t="str">
        <f>BS!$E$5</f>
        <v>31 March 2025</v>
      </c>
      <c r="REG80" s="1717"/>
      <c r="REH80" s="1718"/>
      <c r="REI80" s="1718"/>
      <c r="REJ80" s="1718"/>
      <c r="REK80" s="1718"/>
      <c r="REL80" s="246"/>
      <c r="REM80" s="246" t="str">
        <f>BS!$D$5</f>
        <v>31 March 2026</v>
      </c>
      <c r="REN80" s="247" t="str">
        <f>BS!$E$5</f>
        <v>31 March 2025</v>
      </c>
      <c r="REO80" s="1717"/>
      <c r="REP80" s="1718"/>
      <c r="REQ80" s="1718"/>
      <c r="RER80" s="1718"/>
      <c r="RES80" s="1718"/>
      <c r="RET80" s="246"/>
      <c r="REU80" s="246" t="str">
        <f>BS!$D$5</f>
        <v>31 March 2026</v>
      </c>
      <c r="REV80" s="247" t="str">
        <f>BS!$E$5</f>
        <v>31 March 2025</v>
      </c>
      <c r="REW80" s="1717"/>
      <c r="REX80" s="1718"/>
      <c r="REY80" s="1718"/>
      <c r="REZ80" s="1718"/>
      <c r="RFA80" s="1718"/>
      <c r="RFB80" s="246"/>
      <c r="RFC80" s="246" t="str">
        <f>BS!$D$5</f>
        <v>31 March 2026</v>
      </c>
      <c r="RFD80" s="247" t="str">
        <f>BS!$E$5</f>
        <v>31 March 2025</v>
      </c>
      <c r="RFE80" s="1717"/>
      <c r="RFF80" s="1718"/>
      <c r="RFG80" s="1718"/>
      <c r="RFH80" s="1718"/>
      <c r="RFI80" s="1718"/>
      <c r="RFJ80" s="246"/>
      <c r="RFK80" s="246" t="str">
        <f>BS!$D$5</f>
        <v>31 March 2026</v>
      </c>
      <c r="RFL80" s="247" t="str">
        <f>BS!$E$5</f>
        <v>31 March 2025</v>
      </c>
      <c r="RFM80" s="1717"/>
      <c r="RFN80" s="1718"/>
      <c r="RFO80" s="1718"/>
      <c r="RFP80" s="1718"/>
      <c r="RFQ80" s="1718"/>
      <c r="RFR80" s="246"/>
      <c r="RFS80" s="246" t="str">
        <f>BS!$D$5</f>
        <v>31 March 2026</v>
      </c>
      <c r="RFT80" s="247" t="str">
        <f>BS!$E$5</f>
        <v>31 March 2025</v>
      </c>
      <c r="RFU80" s="1717"/>
      <c r="RFV80" s="1718"/>
      <c r="RFW80" s="1718"/>
      <c r="RFX80" s="1718"/>
      <c r="RFY80" s="1718"/>
      <c r="RFZ80" s="246"/>
      <c r="RGA80" s="246" t="str">
        <f>BS!$D$5</f>
        <v>31 March 2026</v>
      </c>
      <c r="RGB80" s="247" t="str">
        <f>BS!$E$5</f>
        <v>31 March 2025</v>
      </c>
      <c r="RGC80" s="1717"/>
      <c r="RGD80" s="1718"/>
      <c r="RGE80" s="1718"/>
      <c r="RGF80" s="1718"/>
      <c r="RGG80" s="1718"/>
      <c r="RGH80" s="246"/>
      <c r="RGI80" s="246" t="str">
        <f>BS!$D$5</f>
        <v>31 March 2026</v>
      </c>
      <c r="RGJ80" s="247" t="str">
        <f>BS!$E$5</f>
        <v>31 March 2025</v>
      </c>
      <c r="RGK80" s="1717"/>
      <c r="RGL80" s="1718"/>
      <c r="RGM80" s="1718"/>
      <c r="RGN80" s="1718"/>
      <c r="RGO80" s="1718"/>
      <c r="RGP80" s="246"/>
      <c r="RGQ80" s="246" t="str">
        <f>BS!$D$5</f>
        <v>31 March 2026</v>
      </c>
      <c r="RGR80" s="247" t="str">
        <f>BS!$E$5</f>
        <v>31 March 2025</v>
      </c>
      <c r="RGS80" s="1717"/>
      <c r="RGT80" s="1718"/>
      <c r="RGU80" s="1718"/>
      <c r="RGV80" s="1718"/>
      <c r="RGW80" s="1718"/>
      <c r="RGX80" s="246"/>
      <c r="RGY80" s="246" t="str">
        <f>BS!$D$5</f>
        <v>31 March 2026</v>
      </c>
      <c r="RGZ80" s="247" t="str">
        <f>BS!$E$5</f>
        <v>31 March 2025</v>
      </c>
      <c r="RHA80" s="1717"/>
      <c r="RHB80" s="1718"/>
      <c r="RHC80" s="1718"/>
      <c r="RHD80" s="1718"/>
      <c r="RHE80" s="1718"/>
      <c r="RHF80" s="246"/>
      <c r="RHG80" s="246" t="str">
        <f>BS!$D$5</f>
        <v>31 March 2026</v>
      </c>
      <c r="RHH80" s="247" t="str">
        <f>BS!$E$5</f>
        <v>31 March 2025</v>
      </c>
      <c r="RHI80" s="1717"/>
      <c r="RHJ80" s="1718"/>
      <c r="RHK80" s="1718"/>
      <c r="RHL80" s="1718"/>
      <c r="RHM80" s="1718"/>
      <c r="RHN80" s="246"/>
      <c r="RHO80" s="246" t="str">
        <f>BS!$D$5</f>
        <v>31 March 2026</v>
      </c>
      <c r="RHP80" s="247" t="str">
        <f>BS!$E$5</f>
        <v>31 March 2025</v>
      </c>
      <c r="RHQ80" s="1717"/>
      <c r="RHR80" s="1718"/>
      <c r="RHS80" s="1718"/>
      <c r="RHT80" s="1718"/>
      <c r="RHU80" s="1718"/>
      <c r="RHV80" s="246"/>
      <c r="RHW80" s="246" t="str">
        <f>BS!$D$5</f>
        <v>31 March 2026</v>
      </c>
      <c r="RHX80" s="247" t="str">
        <f>BS!$E$5</f>
        <v>31 March 2025</v>
      </c>
      <c r="RHY80" s="1717"/>
      <c r="RHZ80" s="1718"/>
      <c r="RIA80" s="1718"/>
      <c r="RIB80" s="1718"/>
      <c r="RIC80" s="1718"/>
      <c r="RID80" s="246"/>
      <c r="RIE80" s="246" t="str">
        <f>BS!$D$5</f>
        <v>31 March 2026</v>
      </c>
      <c r="RIF80" s="247" t="str">
        <f>BS!$E$5</f>
        <v>31 March 2025</v>
      </c>
      <c r="RIG80" s="1717"/>
      <c r="RIH80" s="1718"/>
      <c r="RII80" s="1718"/>
      <c r="RIJ80" s="1718"/>
      <c r="RIK80" s="1718"/>
      <c r="RIL80" s="246"/>
      <c r="RIM80" s="246" t="str">
        <f>BS!$D$5</f>
        <v>31 March 2026</v>
      </c>
      <c r="RIN80" s="247" t="str">
        <f>BS!$E$5</f>
        <v>31 March 2025</v>
      </c>
      <c r="RIO80" s="1717"/>
      <c r="RIP80" s="1718"/>
      <c r="RIQ80" s="1718"/>
      <c r="RIR80" s="1718"/>
      <c r="RIS80" s="1718"/>
      <c r="RIT80" s="246"/>
      <c r="RIU80" s="246" t="str">
        <f>BS!$D$5</f>
        <v>31 March 2026</v>
      </c>
      <c r="RIV80" s="247" t="str">
        <f>BS!$E$5</f>
        <v>31 March 2025</v>
      </c>
      <c r="RIW80" s="1717"/>
      <c r="RIX80" s="1718"/>
      <c r="RIY80" s="1718"/>
      <c r="RIZ80" s="1718"/>
      <c r="RJA80" s="1718"/>
      <c r="RJB80" s="246"/>
      <c r="RJC80" s="246" t="str">
        <f>BS!$D$5</f>
        <v>31 March 2026</v>
      </c>
      <c r="RJD80" s="247" t="str">
        <f>BS!$E$5</f>
        <v>31 March 2025</v>
      </c>
      <c r="RJE80" s="1717"/>
      <c r="RJF80" s="1718"/>
      <c r="RJG80" s="1718"/>
      <c r="RJH80" s="1718"/>
      <c r="RJI80" s="1718"/>
      <c r="RJJ80" s="246"/>
      <c r="RJK80" s="246" t="str">
        <f>BS!$D$5</f>
        <v>31 March 2026</v>
      </c>
      <c r="RJL80" s="247" t="str">
        <f>BS!$E$5</f>
        <v>31 March 2025</v>
      </c>
      <c r="RJM80" s="1717"/>
      <c r="RJN80" s="1718"/>
      <c r="RJO80" s="1718"/>
      <c r="RJP80" s="1718"/>
      <c r="RJQ80" s="1718"/>
      <c r="RJR80" s="246"/>
      <c r="RJS80" s="246" t="str">
        <f>BS!$D$5</f>
        <v>31 March 2026</v>
      </c>
      <c r="RJT80" s="247" t="str">
        <f>BS!$E$5</f>
        <v>31 March 2025</v>
      </c>
      <c r="RJU80" s="1717"/>
      <c r="RJV80" s="1718"/>
      <c r="RJW80" s="1718"/>
      <c r="RJX80" s="1718"/>
      <c r="RJY80" s="1718"/>
      <c r="RJZ80" s="246"/>
      <c r="RKA80" s="246" t="str">
        <f>BS!$D$5</f>
        <v>31 March 2026</v>
      </c>
      <c r="RKB80" s="247" t="str">
        <f>BS!$E$5</f>
        <v>31 March 2025</v>
      </c>
      <c r="RKC80" s="1717"/>
      <c r="RKD80" s="1718"/>
      <c r="RKE80" s="1718"/>
      <c r="RKF80" s="1718"/>
      <c r="RKG80" s="1718"/>
      <c r="RKH80" s="246"/>
      <c r="RKI80" s="246" t="str">
        <f>BS!$D$5</f>
        <v>31 March 2026</v>
      </c>
      <c r="RKJ80" s="247" t="str">
        <f>BS!$E$5</f>
        <v>31 March 2025</v>
      </c>
      <c r="RKK80" s="1717"/>
      <c r="RKL80" s="1718"/>
      <c r="RKM80" s="1718"/>
      <c r="RKN80" s="1718"/>
      <c r="RKO80" s="1718"/>
      <c r="RKP80" s="246"/>
      <c r="RKQ80" s="246" t="str">
        <f>BS!$D$5</f>
        <v>31 March 2026</v>
      </c>
      <c r="RKR80" s="247" t="str">
        <f>BS!$E$5</f>
        <v>31 March 2025</v>
      </c>
      <c r="RKS80" s="1717"/>
      <c r="RKT80" s="1718"/>
      <c r="RKU80" s="1718"/>
      <c r="RKV80" s="1718"/>
      <c r="RKW80" s="1718"/>
      <c r="RKX80" s="246"/>
      <c r="RKY80" s="246" t="str">
        <f>BS!$D$5</f>
        <v>31 March 2026</v>
      </c>
      <c r="RKZ80" s="247" t="str">
        <f>BS!$E$5</f>
        <v>31 March 2025</v>
      </c>
      <c r="RLA80" s="1717"/>
      <c r="RLB80" s="1718"/>
      <c r="RLC80" s="1718"/>
      <c r="RLD80" s="1718"/>
      <c r="RLE80" s="1718"/>
      <c r="RLF80" s="246"/>
      <c r="RLG80" s="246" t="str">
        <f>BS!$D$5</f>
        <v>31 March 2026</v>
      </c>
      <c r="RLH80" s="247" t="str">
        <f>BS!$E$5</f>
        <v>31 March 2025</v>
      </c>
      <c r="RLI80" s="1717"/>
      <c r="RLJ80" s="1718"/>
      <c r="RLK80" s="1718"/>
      <c r="RLL80" s="1718"/>
      <c r="RLM80" s="1718"/>
      <c r="RLN80" s="246"/>
      <c r="RLO80" s="246" t="str">
        <f>BS!$D$5</f>
        <v>31 March 2026</v>
      </c>
      <c r="RLP80" s="247" t="str">
        <f>BS!$E$5</f>
        <v>31 March 2025</v>
      </c>
      <c r="RLQ80" s="1717"/>
      <c r="RLR80" s="1718"/>
      <c r="RLS80" s="1718"/>
      <c r="RLT80" s="1718"/>
      <c r="RLU80" s="1718"/>
      <c r="RLV80" s="246"/>
      <c r="RLW80" s="246" t="str">
        <f>BS!$D$5</f>
        <v>31 March 2026</v>
      </c>
      <c r="RLX80" s="247" t="str">
        <f>BS!$E$5</f>
        <v>31 March 2025</v>
      </c>
      <c r="RLY80" s="1717"/>
      <c r="RLZ80" s="1718"/>
      <c r="RMA80" s="1718"/>
      <c r="RMB80" s="1718"/>
      <c r="RMC80" s="1718"/>
      <c r="RMD80" s="246"/>
      <c r="RME80" s="246" t="str">
        <f>BS!$D$5</f>
        <v>31 March 2026</v>
      </c>
      <c r="RMF80" s="247" t="str">
        <f>BS!$E$5</f>
        <v>31 March 2025</v>
      </c>
      <c r="RMG80" s="1717"/>
      <c r="RMH80" s="1718"/>
      <c r="RMI80" s="1718"/>
      <c r="RMJ80" s="1718"/>
      <c r="RMK80" s="1718"/>
      <c r="RML80" s="246"/>
      <c r="RMM80" s="246" t="str">
        <f>BS!$D$5</f>
        <v>31 March 2026</v>
      </c>
      <c r="RMN80" s="247" t="str">
        <f>BS!$E$5</f>
        <v>31 March 2025</v>
      </c>
      <c r="RMO80" s="1717"/>
      <c r="RMP80" s="1718"/>
      <c r="RMQ80" s="1718"/>
      <c r="RMR80" s="1718"/>
      <c r="RMS80" s="1718"/>
      <c r="RMT80" s="246"/>
      <c r="RMU80" s="246" t="str">
        <f>BS!$D$5</f>
        <v>31 March 2026</v>
      </c>
      <c r="RMV80" s="247" t="str">
        <f>BS!$E$5</f>
        <v>31 March 2025</v>
      </c>
      <c r="RMW80" s="1717"/>
      <c r="RMX80" s="1718"/>
      <c r="RMY80" s="1718"/>
      <c r="RMZ80" s="1718"/>
      <c r="RNA80" s="1718"/>
      <c r="RNB80" s="246"/>
      <c r="RNC80" s="246" t="str">
        <f>BS!$D$5</f>
        <v>31 March 2026</v>
      </c>
      <c r="RND80" s="247" t="str">
        <f>BS!$E$5</f>
        <v>31 March 2025</v>
      </c>
      <c r="RNE80" s="1717"/>
      <c r="RNF80" s="1718"/>
      <c r="RNG80" s="1718"/>
      <c r="RNH80" s="1718"/>
      <c r="RNI80" s="1718"/>
      <c r="RNJ80" s="246"/>
      <c r="RNK80" s="246" t="str">
        <f>BS!$D$5</f>
        <v>31 March 2026</v>
      </c>
      <c r="RNL80" s="247" t="str">
        <f>BS!$E$5</f>
        <v>31 March 2025</v>
      </c>
      <c r="RNM80" s="1717"/>
      <c r="RNN80" s="1718"/>
      <c r="RNO80" s="1718"/>
      <c r="RNP80" s="1718"/>
      <c r="RNQ80" s="1718"/>
      <c r="RNR80" s="246"/>
      <c r="RNS80" s="246" t="str">
        <f>BS!$D$5</f>
        <v>31 March 2026</v>
      </c>
      <c r="RNT80" s="247" t="str">
        <f>BS!$E$5</f>
        <v>31 March 2025</v>
      </c>
      <c r="RNU80" s="1717"/>
      <c r="RNV80" s="1718"/>
      <c r="RNW80" s="1718"/>
      <c r="RNX80" s="1718"/>
      <c r="RNY80" s="1718"/>
      <c r="RNZ80" s="246"/>
      <c r="ROA80" s="246" t="str">
        <f>BS!$D$5</f>
        <v>31 March 2026</v>
      </c>
      <c r="ROB80" s="247" t="str">
        <f>BS!$E$5</f>
        <v>31 March 2025</v>
      </c>
      <c r="ROC80" s="1717"/>
      <c r="ROD80" s="1718"/>
      <c r="ROE80" s="1718"/>
      <c r="ROF80" s="1718"/>
      <c r="ROG80" s="1718"/>
      <c r="ROH80" s="246"/>
      <c r="ROI80" s="246" t="str">
        <f>BS!$D$5</f>
        <v>31 March 2026</v>
      </c>
      <c r="ROJ80" s="247" t="str">
        <f>BS!$E$5</f>
        <v>31 March 2025</v>
      </c>
      <c r="ROK80" s="1717"/>
      <c r="ROL80" s="1718"/>
      <c r="ROM80" s="1718"/>
      <c r="RON80" s="1718"/>
      <c r="ROO80" s="1718"/>
      <c r="ROP80" s="246"/>
      <c r="ROQ80" s="246" t="str">
        <f>BS!$D$5</f>
        <v>31 March 2026</v>
      </c>
      <c r="ROR80" s="247" t="str">
        <f>BS!$E$5</f>
        <v>31 March 2025</v>
      </c>
      <c r="ROS80" s="1717"/>
      <c r="ROT80" s="1718"/>
      <c r="ROU80" s="1718"/>
      <c r="ROV80" s="1718"/>
      <c r="ROW80" s="1718"/>
      <c r="ROX80" s="246"/>
      <c r="ROY80" s="246" t="str">
        <f>BS!$D$5</f>
        <v>31 March 2026</v>
      </c>
      <c r="ROZ80" s="247" t="str">
        <f>BS!$E$5</f>
        <v>31 March 2025</v>
      </c>
      <c r="RPA80" s="1717"/>
      <c r="RPB80" s="1718"/>
      <c r="RPC80" s="1718"/>
      <c r="RPD80" s="1718"/>
      <c r="RPE80" s="1718"/>
      <c r="RPF80" s="246"/>
      <c r="RPG80" s="246" t="str">
        <f>BS!$D$5</f>
        <v>31 March 2026</v>
      </c>
      <c r="RPH80" s="247" t="str">
        <f>BS!$E$5</f>
        <v>31 March 2025</v>
      </c>
      <c r="RPI80" s="1717"/>
      <c r="RPJ80" s="1718"/>
      <c r="RPK80" s="1718"/>
      <c r="RPL80" s="1718"/>
      <c r="RPM80" s="1718"/>
      <c r="RPN80" s="246"/>
      <c r="RPO80" s="246" t="str">
        <f>BS!$D$5</f>
        <v>31 March 2026</v>
      </c>
      <c r="RPP80" s="247" t="str">
        <f>BS!$E$5</f>
        <v>31 March 2025</v>
      </c>
      <c r="RPQ80" s="1717"/>
      <c r="RPR80" s="1718"/>
      <c r="RPS80" s="1718"/>
      <c r="RPT80" s="1718"/>
      <c r="RPU80" s="1718"/>
      <c r="RPV80" s="246"/>
      <c r="RPW80" s="246" t="str">
        <f>BS!$D$5</f>
        <v>31 March 2026</v>
      </c>
      <c r="RPX80" s="247" t="str">
        <f>BS!$E$5</f>
        <v>31 March 2025</v>
      </c>
      <c r="RPY80" s="1717"/>
      <c r="RPZ80" s="1718"/>
      <c r="RQA80" s="1718"/>
      <c r="RQB80" s="1718"/>
      <c r="RQC80" s="1718"/>
      <c r="RQD80" s="246"/>
      <c r="RQE80" s="246" t="str">
        <f>BS!$D$5</f>
        <v>31 March 2026</v>
      </c>
      <c r="RQF80" s="247" t="str">
        <f>BS!$E$5</f>
        <v>31 March 2025</v>
      </c>
      <c r="RQG80" s="1717"/>
      <c r="RQH80" s="1718"/>
      <c r="RQI80" s="1718"/>
      <c r="RQJ80" s="1718"/>
      <c r="RQK80" s="1718"/>
      <c r="RQL80" s="246"/>
      <c r="RQM80" s="246" t="str">
        <f>BS!$D$5</f>
        <v>31 March 2026</v>
      </c>
      <c r="RQN80" s="247" t="str">
        <f>BS!$E$5</f>
        <v>31 March 2025</v>
      </c>
      <c r="RQO80" s="1717"/>
      <c r="RQP80" s="1718"/>
      <c r="RQQ80" s="1718"/>
      <c r="RQR80" s="1718"/>
      <c r="RQS80" s="1718"/>
      <c r="RQT80" s="246"/>
      <c r="RQU80" s="246" t="str">
        <f>BS!$D$5</f>
        <v>31 March 2026</v>
      </c>
      <c r="RQV80" s="247" t="str">
        <f>BS!$E$5</f>
        <v>31 March 2025</v>
      </c>
      <c r="RQW80" s="1717"/>
      <c r="RQX80" s="1718"/>
      <c r="RQY80" s="1718"/>
      <c r="RQZ80" s="1718"/>
      <c r="RRA80" s="1718"/>
      <c r="RRB80" s="246"/>
      <c r="RRC80" s="246" t="str">
        <f>BS!$D$5</f>
        <v>31 March 2026</v>
      </c>
      <c r="RRD80" s="247" t="str">
        <f>BS!$E$5</f>
        <v>31 March 2025</v>
      </c>
      <c r="RRE80" s="1717"/>
      <c r="RRF80" s="1718"/>
      <c r="RRG80" s="1718"/>
      <c r="RRH80" s="1718"/>
      <c r="RRI80" s="1718"/>
      <c r="RRJ80" s="246"/>
      <c r="RRK80" s="246" t="str">
        <f>BS!$D$5</f>
        <v>31 March 2026</v>
      </c>
      <c r="RRL80" s="247" t="str">
        <f>BS!$E$5</f>
        <v>31 March 2025</v>
      </c>
      <c r="RRM80" s="1717"/>
      <c r="RRN80" s="1718"/>
      <c r="RRO80" s="1718"/>
      <c r="RRP80" s="1718"/>
      <c r="RRQ80" s="1718"/>
      <c r="RRR80" s="246"/>
      <c r="RRS80" s="246" t="str">
        <f>BS!$D$5</f>
        <v>31 March 2026</v>
      </c>
      <c r="RRT80" s="247" t="str">
        <f>BS!$E$5</f>
        <v>31 March 2025</v>
      </c>
      <c r="RRU80" s="1717"/>
      <c r="RRV80" s="1718"/>
      <c r="RRW80" s="1718"/>
      <c r="RRX80" s="1718"/>
      <c r="RRY80" s="1718"/>
      <c r="RRZ80" s="246"/>
      <c r="RSA80" s="246" t="str">
        <f>BS!$D$5</f>
        <v>31 March 2026</v>
      </c>
      <c r="RSB80" s="247" t="str">
        <f>BS!$E$5</f>
        <v>31 March 2025</v>
      </c>
      <c r="RSC80" s="1717"/>
      <c r="RSD80" s="1718"/>
      <c r="RSE80" s="1718"/>
      <c r="RSF80" s="1718"/>
      <c r="RSG80" s="1718"/>
      <c r="RSH80" s="246"/>
      <c r="RSI80" s="246" t="str">
        <f>BS!$D$5</f>
        <v>31 March 2026</v>
      </c>
      <c r="RSJ80" s="247" t="str">
        <f>BS!$E$5</f>
        <v>31 March 2025</v>
      </c>
      <c r="RSK80" s="1717"/>
      <c r="RSL80" s="1718"/>
      <c r="RSM80" s="1718"/>
      <c r="RSN80" s="1718"/>
      <c r="RSO80" s="1718"/>
      <c r="RSP80" s="246"/>
      <c r="RSQ80" s="246" t="str">
        <f>BS!$D$5</f>
        <v>31 March 2026</v>
      </c>
      <c r="RSR80" s="247" t="str">
        <f>BS!$E$5</f>
        <v>31 March 2025</v>
      </c>
      <c r="RSS80" s="1717"/>
      <c r="RST80" s="1718"/>
      <c r="RSU80" s="1718"/>
      <c r="RSV80" s="1718"/>
      <c r="RSW80" s="1718"/>
      <c r="RSX80" s="246"/>
      <c r="RSY80" s="246" t="str">
        <f>BS!$D$5</f>
        <v>31 March 2026</v>
      </c>
      <c r="RSZ80" s="247" t="str">
        <f>BS!$E$5</f>
        <v>31 March 2025</v>
      </c>
      <c r="RTA80" s="1717"/>
      <c r="RTB80" s="1718"/>
      <c r="RTC80" s="1718"/>
      <c r="RTD80" s="1718"/>
      <c r="RTE80" s="1718"/>
      <c r="RTF80" s="246"/>
      <c r="RTG80" s="246" t="str">
        <f>BS!$D$5</f>
        <v>31 March 2026</v>
      </c>
      <c r="RTH80" s="247" t="str">
        <f>BS!$E$5</f>
        <v>31 March 2025</v>
      </c>
      <c r="RTI80" s="1717"/>
      <c r="RTJ80" s="1718"/>
      <c r="RTK80" s="1718"/>
      <c r="RTL80" s="1718"/>
      <c r="RTM80" s="1718"/>
      <c r="RTN80" s="246"/>
      <c r="RTO80" s="246" t="str">
        <f>BS!$D$5</f>
        <v>31 March 2026</v>
      </c>
      <c r="RTP80" s="247" t="str">
        <f>BS!$E$5</f>
        <v>31 March 2025</v>
      </c>
      <c r="RTQ80" s="1717"/>
      <c r="RTR80" s="1718"/>
      <c r="RTS80" s="1718"/>
      <c r="RTT80" s="1718"/>
      <c r="RTU80" s="1718"/>
      <c r="RTV80" s="246"/>
      <c r="RTW80" s="246" t="str">
        <f>BS!$D$5</f>
        <v>31 March 2026</v>
      </c>
      <c r="RTX80" s="247" t="str">
        <f>BS!$E$5</f>
        <v>31 March 2025</v>
      </c>
      <c r="RTY80" s="1717"/>
      <c r="RTZ80" s="1718"/>
      <c r="RUA80" s="1718"/>
      <c r="RUB80" s="1718"/>
      <c r="RUC80" s="1718"/>
      <c r="RUD80" s="246"/>
      <c r="RUE80" s="246" t="str">
        <f>BS!$D$5</f>
        <v>31 March 2026</v>
      </c>
      <c r="RUF80" s="247" t="str">
        <f>BS!$E$5</f>
        <v>31 March 2025</v>
      </c>
      <c r="RUG80" s="1717"/>
      <c r="RUH80" s="1718"/>
      <c r="RUI80" s="1718"/>
      <c r="RUJ80" s="1718"/>
      <c r="RUK80" s="1718"/>
      <c r="RUL80" s="246"/>
      <c r="RUM80" s="246" t="str">
        <f>BS!$D$5</f>
        <v>31 March 2026</v>
      </c>
      <c r="RUN80" s="247" t="str">
        <f>BS!$E$5</f>
        <v>31 March 2025</v>
      </c>
      <c r="RUO80" s="1717"/>
      <c r="RUP80" s="1718"/>
      <c r="RUQ80" s="1718"/>
      <c r="RUR80" s="1718"/>
      <c r="RUS80" s="1718"/>
      <c r="RUT80" s="246"/>
      <c r="RUU80" s="246" t="str">
        <f>BS!$D$5</f>
        <v>31 March 2026</v>
      </c>
      <c r="RUV80" s="247" t="str">
        <f>BS!$E$5</f>
        <v>31 March 2025</v>
      </c>
      <c r="RUW80" s="1717"/>
      <c r="RUX80" s="1718"/>
      <c r="RUY80" s="1718"/>
      <c r="RUZ80" s="1718"/>
      <c r="RVA80" s="1718"/>
      <c r="RVB80" s="246"/>
      <c r="RVC80" s="246" t="str">
        <f>BS!$D$5</f>
        <v>31 March 2026</v>
      </c>
      <c r="RVD80" s="247" t="str">
        <f>BS!$E$5</f>
        <v>31 March 2025</v>
      </c>
      <c r="RVE80" s="1717"/>
      <c r="RVF80" s="1718"/>
      <c r="RVG80" s="1718"/>
      <c r="RVH80" s="1718"/>
      <c r="RVI80" s="1718"/>
      <c r="RVJ80" s="246"/>
      <c r="RVK80" s="246" t="str">
        <f>BS!$D$5</f>
        <v>31 March 2026</v>
      </c>
      <c r="RVL80" s="247" t="str">
        <f>BS!$E$5</f>
        <v>31 March 2025</v>
      </c>
      <c r="RVM80" s="1717"/>
      <c r="RVN80" s="1718"/>
      <c r="RVO80" s="1718"/>
      <c r="RVP80" s="1718"/>
      <c r="RVQ80" s="1718"/>
      <c r="RVR80" s="246"/>
      <c r="RVS80" s="246" t="str">
        <f>BS!$D$5</f>
        <v>31 March 2026</v>
      </c>
      <c r="RVT80" s="247" t="str">
        <f>BS!$E$5</f>
        <v>31 March 2025</v>
      </c>
      <c r="RVU80" s="1717"/>
      <c r="RVV80" s="1718"/>
      <c r="RVW80" s="1718"/>
      <c r="RVX80" s="1718"/>
      <c r="RVY80" s="1718"/>
      <c r="RVZ80" s="246"/>
      <c r="RWA80" s="246" t="str">
        <f>BS!$D$5</f>
        <v>31 March 2026</v>
      </c>
      <c r="RWB80" s="247" t="str">
        <f>BS!$E$5</f>
        <v>31 March 2025</v>
      </c>
      <c r="RWC80" s="1717"/>
      <c r="RWD80" s="1718"/>
      <c r="RWE80" s="1718"/>
      <c r="RWF80" s="1718"/>
      <c r="RWG80" s="1718"/>
      <c r="RWH80" s="246"/>
      <c r="RWI80" s="246" t="str">
        <f>BS!$D$5</f>
        <v>31 March 2026</v>
      </c>
      <c r="RWJ80" s="247" t="str">
        <f>BS!$E$5</f>
        <v>31 March 2025</v>
      </c>
      <c r="RWK80" s="1717"/>
      <c r="RWL80" s="1718"/>
      <c r="RWM80" s="1718"/>
      <c r="RWN80" s="1718"/>
      <c r="RWO80" s="1718"/>
      <c r="RWP80" s="246"/>
      <c r="RWQ80" s="246" t="str">
        <f>BS!$D$5</f>
        <v>31 March 2026</v>
      </c>
      <c r="RWR80" s="247" t="str">
        <f>BS!$E$5</f>
        <v>31 March 2025</v>
      </c>
      <c r="RWS80" s="1717"/>
      <c r="RWT80" s="1718"/>
      <c r="RWU80" s="1718"/>
      <c r="RWV80" s="1718"/>
      <c r="RWW80" s="1718"/>
      <c r="RWX80" s="246"/>
      <c r="RWY80" s="246" t="str">
        <f>BS!$D$5</f>
        <v>31 March 2026</v>
      </c>
      <c r="RWZ80" s="247" t="str">
        <f>BS!$E$5</f>
        <v>31 March 2025</v>
      </c>
      <c r="RXA80" s="1717"/>
      <c r="RXB80" s="1718"/>
      <c r="RXC80" s="1718"/>
      <c r="RXD80" s="1718"/>
      <c r="RXE80" s="1718"/>
      <c r="RXF80" s="246"/>
      <c r="RXG80" s="246" t="str">
        <f>BS!$D$5</f>
        <v>31 March 2026</v>
      </c>
      <c r="RXH80" s="247" t="str">
        <f>BS!$E$5</f>
        <v>31 March 2025</v>
      </c>
      <c r="RXI80" s="1717"/>
      <c r="RXJ80" s="1718"/>
      <c r="RXK80" s="1718"/>
      <c r="RXL80" s="1718"/>
      <c r="RXM80" s="1718"/>
      <c r="RXN80" s="246"/>
      <c r="RXO80" s="246" t="str">
        <f>BS!$D$5</f>
        <v>31 March 2026</v>
      </c>
      <c r="RXP80" s="247" t="str">
        <f>BS!$E$5</f>
        <v>31 March 2025</v>
      </c>
      <c r="RXQ80" s="1717"/>
      <c r="RXR80" s="1718"/>
      <c r="RXS80" s="1718"/>
      <c r="RXT80" s="1718"/>
      <c r="RXU80" s="1718"/>
      <c r="RXV80" s="246"/>
      <c r="RXW80" s="246" t="str">
        <f>BS!$D$5</f>
        <v>31 March 2026</v>
      </c>
      <c r="RXX80" s="247" t="str">
        <f>BS!$E$5</f>
        <v>31 March 2025</v>
      </c>
      <c r="RXY80" s="1717"/>
      <c r="RXZ80" s="1718"/>
      <c r="RYA80" s="1718"/>
      <c r="RYB80" s="1718"/>
      <c r="RYC80" s="1718"/>
      <c r="RYD80" s="246"/>
      <c r="RYE80" s="246" t="str">
        <f>BS!$D$5</f>
        <v>31 March 2026</v>
      </c>
      <c r="RYF80" s="247" t="str">
        <f>BS!$E$5</f>
        <v>31 March 2025</v>
      </c>
      <c r="RYG80" s="1717"/>
      <c r="RYH80" s="1718"/>
      <c r="RYI80" s="1718"/>
      <c r="RYJ80" s="1718"/>
      <c r="RYK80" s="1718"/>
      <c r="RYL80" s="246"/>
      <c r="RYM80" s="246" t="str">
        <f>BS!$D$5</f>
        <v>31 March 2026</v>
      </c>
      <c r="RYN80" s="247" t="str">
        <f>BS!$E$5</f>
        <v>31 March 2025</v>
      </c>
      <c r="RYO80" s="1717"/>
      <c r="RYP80" s="1718"/>
      <c r="RYQ80" s="1718"/>
      <c r="RYR80" s="1718"/>
      <c r="RYS80" s="1718"/>
      <c r="RYT80" s="246"/>
      <c r="RYU80" s="246" t="str">
        <f>BS!$D$5</f>
        <v>31 March 2026</v>
      </c>
      <c r="RYV80" s="247" t="str">
        <f>BS!$E$5</f>
        <v>31 March 2025</v>
      </c>
      <c r="RYW80" s="1717"/>
      <c r="RYX80" s="1718"/>
      <c r="RYY80" s="1718"/>
      <c r="RYZ80" s="1718"/>
      <c r="RZA80" s="1718"/>
      <c r="RZB80" s="246"/>
      <c r="RZC80" s="246" t="str">
        <f>BS!$D$5</f>
        <v>31 March 2026</v>
      </c>
      <c r="RZD80" s="247" t="str">
        <f>BS!$E$5</f>
        <v>31 March 2025</v>
      </c>
      <c r="RZE80" s="1717"/>
      <c r="RZF80" s="1718"/>
      <c r="RZG80" s="1718"/>
      <c r="RZH80" s="1718"/>
      <c r="RZI80" s="1718"/>
      <c r="RZJ80" s="246"/>
      <c r="RZK80" s="246" t="str">
        <f>BS!$D$5</f>
        <v>31 March 2026</v>
      </c>
      <c r="RZL80" s="247" t="str">
        <f>BS!$E$5</f>
        <v>31 March 2025</v>
      </c>
      <c r="RZM80" s="1717"/>
      <c r="RZN80" s="1718"/>
      <c r="RZO80" s="1718"/>
      <c r="RZP80" s="1718"/>
      <c r="RZQ80" s="1718"/>
      <c r="RZR80" s="246"/>
      <c r="RZS80" s="246" t="str">
        <f>BS!$D$5</f>
        <v>31 March 2026</v>
      </c>
      <c r="RZT80" s="247" t="str">
        <f>BS!$E$5</f>
        <v>31 March 2025</v>
      </c>
      <c r="RZU80" s="1717"/>
      <c r="RZV80" s="1718"/>
      <c r="RZW80" s="1718"/>
      <c r="RZX80" s="1718"/>
      <c r="RZY80" s="1718"/>
      <c r="RZZ80" s="246"/>
      <c r="SAA80" s="246" t="str">
        <f>BS!$D$5</f>
        <v>31 March 2026</v>
      </c>
      <c r="SAB80" s="247" t="str">
        <f>BS!$E$5</f>
        <v>31 March 2025</v>
      </c>
      <c r="SAC80" s="1717"/>
      <c r="SAD80" s="1718"/>
      <c r="SAE80" s="1718"/>
      <c r="SAF80" s="1718"/>
      <c r="SAG80" s="1718"/>
      <c r="SAH80" s="246"/>
      <c r="SAI80" s="246" t="str">
        <f>BS!$D$5</f>
        <v>31 March 2026</v>
      </c>
      <c r="SAJ80" s="247" t="str">
        <f>BS!$E$5</f>
        <v>31 March 2025</v>
      </c>
      <c r="SAK80" s="1717"/>
      <c r="SAL80" s="1718"/>
      <c r="SAM80" s="1718"/>
      <c r="SAN80" s="1718"/>
      <c r="SAO80" s="1718"/>
      <c r="SAP80" s="246"/>
      <c r="SAQ80" s="246" t="str">
        <f>BS!$D$5</f>
        <v>31 March 2026</v>
      </c>
      <c r="SAR80" s="247" t="str">
        <f>BS!$E$5</f>
        <v>31 March 2025</v>
      </c>
      <c r="SAS80" s="1717"/>
      <c r="SAT80" s="1718"/>
      <c r="SAU80" s="1718"/>
      <c r="SAV80" s="1718"/>
      <c r="SAW80" s="1718"/>
      <c r="SAX80" s="246"/>
      <c r="SAY80" s="246" t="str">
        <f>BS!$D$5</f>
        <v>31 March 2026</v>
      </c>
      <c r="SAZ80" s="247" t="str">
        <f>BS!$E$5</f>
        <v>31 March 2025</v>
      </c>
      <c r="SBA80" s="1717"/>
      <c r="SBB80" s="1718"/>
      <c r="SBC80" s="1718"/>
      <c r="SBD80" s="1718"/>
      <c r="SBE80" s="1718"/>
      <c r="SBF80" s="246"/>
      <c r="SBG80" s="246" t="str">
        <f>BS!$D$5</f>
        <v>31 March 2026</v>
      </c>
      <c r="SBH80" s="247" t="str">
        <f>BS!$E$5</f>
        <v>31 March 2025</v>
      </c>
      <c r="SBI80" s="1717"/>
      <c r="SBJ80" s="1718"/>
      <c r="SBK80" s="1718"/>
      <c r="SBL80" s="1718"/>
      <c r="SBM80" s="1718"/>
      <c r="SBN80" s="246"/>
      <c r="SBO80" s="246" t="str">
        <f>BS!$D$5</f>
        <v>31 March 2026</v>
      </c>
      <c r="SBP80" s="247" t="str">
        <f>BS!$E$5</f>
        <v>31 March 2025</v>
      </c>
      <c r="SBQ80" s="1717"/>
      <c r="SBR80" s="1718"/>
      <c r="SBS80" s="1718"/>
      <c r="SBT80" s="1718"/>
      <c r="SBU80" s="1718"/>
      <c r="SBV80" s="246"/>
      <c r="SBW80" s="246" t="str">
        <f>BS!$D$5</f>
        <v>31 March 2026</v>
      </c>
      <c r="SBX80" s="247" t="str">
        <f>BS!$E$5</f>
        <v>31 March 2025</v>
      </c>
      <c r="SBY80" s="1717"/>
      <c r="SBZ80" s="1718"/>
      <c r="SCA80" s="1718"/>
      <c r="SCB80" s="1718"/>
      <c r="SCC80" s="1718"/>
      <c r="SCD80" s="246"/>
      <c r="SCE80" s="246" t="str">
        <f>BS!$D$5</f>
        <v>31 March 2026</v>
      </c>
      <c r="SCF80" s="247" t="str">
        <f>BS!$E$5</f>
        <v>31 March 2025</v>
      </c>
      <c r="SCG80" s="1717"/>
      <c r="SCH80" s="1718"/>
      <c r="SCI80" s="1718"/>
      <c r="SCJ80" s="1718"/>
      <c r="SCK80" s="1718"/>
      <c r="SCL80" s="246"/>
      <c r="SCM80" s="246" t="str">
        <f>BS!$D$5</f>
        <v>31 March 2026</v>
      </c>
      <c r="SCN80" s="247" t="str">
        <f>BS!$E$5</f>
        <v>31 March 2025</v>
      </c>
      <c r="SCO80" s="1717"/>
      <c r="SCP80" s="1718"/>
      <c r="SCQ80" s="1718"/>
      <c r="SCR80" s="1718"/>
      <c r="SCS80" s="1718"/>
      <c r="SCT80" s="246"/>
      <c r="SCU80" s="246" t="str">
        <f>BS!$D$5</f>
        <v>31 March 2026</v>
      </c>
      <c r="SCV80" s="247" t="str">
        <f>BS!$E$5</f>
        <v>31 March 2025</v>
      </c>
      <c r="SCW80" s="1717"/>
      <c r="SCX80" s="1718"/>
      <c r="SCY80" s="1718"/>
      <c r="SCZ80" s="1718"/>
      <c r="SDA80" s="1718"/>
      <c r="SDB80" s="246"/>
      <c r="SDC80" s="246" t="str">
        <f>BS!$D$5</f>
        <v>31 March 2026</v>
      </c>
      <c r="SDD80" s="247" t="str">
        <f>BS!$E$5</f>
        <v>31 March 2025</v>
      </c>
      <c r="SDE80" s="1717"/>
      <c r="SDF80" s="1718"/>
      <c r="SDG80" s="1718"/>
      <c r="SDH80" s="1718"/>
      <c r="SDI80" s="1718"/>
      <c r="SDJ80" s="246"/>
      <c r="SDK80" s="246" t="str">
        <f>BS!$D$5</f>
        <v>31 March 2026</v>
      </c>
      <c r="SDL80" s="247" t="str">
        <f>BS!$E$5</f>
        <v>31 March 2025</v>
      </c>
      <c r="SDM80" s="1717"/>
      <c r="SDN80" s="1718"/>
      <c r="SDO80" s="1718"/>
      <c r="SDP80" s="1718"/>
      <c r="SDQ80" s="1718"/>
      <c r="SDR80" s="246"/>
      <c r="SDS80" s="246" t="str">
        <f>BS!$D$5</f>
        <v>31 March 2026</v>
      </c>
      <c r="SDT80" s="247" t="str">
        <f>BS!$E$5</f>
        <v>31 March 2025</v>
      </c>
      <c r="SDU80" s="1717"/>
      <c r="SDV80" s="1718"/>
      <c r="SDW80" s="1718"/>
      <c r="SDX80" s="1718"/>
      <c r="SDY80" s="1718"/>
      <c r="SDZ80" s="246"/>
      <c r="SEA80" s="246" t="str">
        <f>BS!$D$5</f>
        <v>31 March 2026</v>
      </c>
      <c r="SEB80" s="247" t="str">
        <f>BS!$E$5</f>
        <v>31 March 2025</v>
      </c>
      <c r="SEC80" s="1717"/>
      <c r="SED80" s="1718"/>
      <c r="SEE80" s="1718"/>
      <c r="SEF80" s="1718"/>
      <c r="SEG80" s="1718"/>
      <c r="SEH80" s="246"/>
      <c r="SEI80" s="246" t="str">
        <f>BS!$D$5</f>
        <v>31 March 2026</v>
      </c>
      <c r="SEJ80" s="247" t="str">
        <f>BS!$E$5</f>
        <v>31 March 2025</v>
      </c>
      <c r="SEK80" s="1717"/>
      <c r="SEL80" s="1718"/>
      <c r="SEM80" s="1718"/>
      <c r="SEN80" s="1718"/>
      <c r="SEO80" s="1718"/>
      <c r="SEP80" s="246"/>
      <c r="SEQ80" s="246" t="str">
        <f>BS!$D$5</f>
        <v>31 March 2026</v>
      </c>
      <c r="SER80" s="247" t="str">
        <f>BS!$E$5</f>
        <v>31 March 2025</v>
      </c>
      <c r="SES80" s="1717"/>
      <c r="SET80" s="1718"/>
      <c r="SEU80" s="1718"/>
      <c r="SEV80" s="1718"/>
      <c r="SEW80" s="1718"/>
      <c r="SEX80" s="246"/>
      <c r="SEY80" s="246" t="str">
        <f>BS!$D$5</f>
        <v>31 March 2026</v>
      </c>
      <c r="SEZ80" s="247" t="str">
        <f>BS!$E$5</f>
        <v>31 March 2025</v>
      </c>
      <c r="SFA80" s="1717"/>
      <c r="SFB80" s="1718"/>
      <c r="SFC80" s="1718"/>
      <c r="SFD80" s="1718"/>
      <c r="SFE80" s="1718"/>
      <c r="SFF80" s="246"/>
      <c r="SFG80" s="246" t="str">
        <f>BS!$D$5</f>
        <v>31 March 2026</v>
      </c>
      <c r="SFH80" s="247" t="str">
        <f>BS!$E$5</f>
        <v>31 March 2025</v>
      </c>
      <c r="SFI80" s="1717"/>
      <c r="SFJ80" s="1718"/>
      <c r="SFK80" s="1718"/>
      <c r="SFL80" s="1718"/>
      <c r="SFM80" s="1718"/>
      <c r="SFN80" s="246"/>
      <c r="SFO80" s="246" t="str">
        <f>BS!$D$5</f>
        <v>31 March 2026</v>
      </c>
      <c r="SFP80" s="247" t="str">
        <f>BS!$E$5</f>
        <v>31 March 2025</v>
      </c>
      <c r="SFQ80" s="1717"/>
      <c r="SFR80" s="1718"/>
      <c r="SFS80" s="1718"/>
      <c r="SFT80" s="1718"/>
      <c r="SFU80" s="1718"/>
      <c r="SFV80" s="246"/>
      <c r="SFW80" s="246" t="str">
        <f>BS!$D$5</f>
        <v>31 March 2026</v>
      </c>
      <c r="SFX80" s="247" t="str">
        <f>BS!$E$5</f>
        <v>31 March 2025</v>
      </c>
      <c r="SFY80" s="1717"/>
      <c r="SFZ80" s="1718"/>
      <c r="SGA80" s="1718"/>
      <c r="SGB80" s="1718"/>
      <c r="SGC80" s="1718"/>
      <c r="SGD80" s="246"/>
      <c r="SGE80" s="246" t="str">
        <f>BS!$D$5</f>
        <v>31 March 2026</v>
      </c>
      <c r="SGF80" s="247" t="str">
        <f>BS!$E$5</f>
        <v>31 March 2025</v>
      </c>
      <c r="SGG80" s="1717"/>
      <c r="SGH80" s="1718"/>
      <c r="SGI80" s="1718"/>
      <c r="SGJ80" s="1718"/>
      <c r="SGK80" s="1718"/>
      <c r="SGL80" s="246"/>
      <c r="SGM80" s="246" t="str">
        <f>BS!$D$5</f>
        <v>31 March 2026</v>
      </c>
      <c r="SGN80" s="247" t="str">
        <f>BS!$E$5</f>
        <v>31 March 2025</v>
      </c>
      <c r="SGO80" s="1717"/>
      <c r="SGP80" s="1718"/>
      <c r="SGQ80" s="1718"/>
      <c r="SGR80" s="1718"/>
      <c r="SGS80" s="1718"/>
      <c r="SGT80" s="246"/>
      <c r="SGU80" s="246" t="str">
        <f>BS!$D$5</f>
        <v>31 March 2026</v>
      </c>
      <c r="SGV80" s="247" t="str">
        <f>BS!$E$5</f>
        <v>31 March 2025</v>
      </c>
      <c r="SGW80" s="1717"/>
      <c r="SGX80" s="1718"/>
      <c r="SGY80" s="1718"/>
      <c r="SGZ80" s="1718"/>
      <c r="SHA80" s="1718"/>
      <c r="SHB80" s="246"/>
      <c r="SHC80" s="246" t="str">
        <f>BS!$D$5</f>
        <v>31 March 2026</v>
      </c>
      <c r="SHD80" s="247" t="str">
        <f>BS!$E$5</f>
        <v>31 March 2025</v>
      </c>
      <c r="SHE80" s="1717"/>
      <c r="SHF80" s="1718"/>
      <c r="SHG80" s="1718"/>
      <c r="SHH80" s="1718"/>
      <c r="SHI80" s="1718"/>
      <c r="SHJ80" s="246"/>
      <c r="SHK80" s="246" t="str">
        <f>BS!$D$5</f>
        <v>31 March 2026</v>
      </c>
      <c r="SHL80" s="247" t="str">
        <f>BS!$E$5</f>
        <v>31 March 2025</v>
      </c>
      <c r="SHM80" s="1717"/>
      <c r="SHN80" s="1718"/>
      <c r="SHO80" s="1718"/>
      <c r="SHP80" s="1718"/>
      <c r="SHQ80" s="1718"/>
      <c r="SHR80" s="246"/>
      <c r="SHS80" s="246" t="str">
        <f>BS!$D$5</f>
        <v>31 March 2026</v>
      </c>
      <c r="SHT80" s="247" t="str">
        <f>BS!$E$5</f>
        <v>31 March 2025</v>
      </c>
      <c r="SHU80" s="1717"/>
      <c r="SHV80" s="1718"/>
      <c r="SHW80" s="1718"/>
      <c r="SHX80" s="1718"/>
      <c r="SHY80" s="1718"/>
      <c r="SHZ80" s="246"/>
      <c r="SIA80" s="246" t="str">
        <f>BS!$D$5</f>
        <v>31 March 2026</v>
      </c>
      <c r="SIB80" s="247" t="str">
        <f>BS!$E$5</f>
        <v>31 March 2025</v>
      </c>
      <c r="SIC80" s="1717"/>
      <c r="SID80" s="1718"/>
      <c r="SIE80" s="1718"/>
      <c r="SIF80" s="1718"/>
      <c r="SIG80" s="1718"/>
      <c r="SIH80" s="246"/>
      <c r="SII80" s="246" t="str">
        <f>BS!$D$5</f>
        <v>31 March 2026</v>
      </c>
      <c r="SIJ80" s="247" t="str">
        <f>BS!$E$5</f>
        <v>31 March 2025</v>
      </c>
      <c r="SIK80" s="1717"/>
      <c r="SIL80" s="1718"/>
      <c r="SIM80" s="1718"/>
      <c r="SIN80" s="1718"/>
      <c r="SIO80" s="1718"/>
      <c r="SIP80" s="246"/>
      <c r="SIQ80" s="246" t="str">
        <f>BS!$D$5</f>
        <v>31 March 2026</v>
      </c>
      <c r="SIR80" s="247" t="str">
        <f>BS!$E$5</f>
        <v>31 March 2025</v>
      </c>
      <c r="SIS80" s="1717"/>
      <c r="SIT80" s="1718"/>
      <c r="SIU80" s="1718"/>
      <c r="SIV80" s="1718"/>
      <c r="SIW80" s="1718"/>
      <c r="SIX80" s="246"/>
      <c r="SIY80" s="246" t="str">
        <f>BS!$D$5</f>
        <v>31 March 2026</v>
      </c>
      <c r="SIZ80" s="247" t="str">
        <f>BS!$E$5</f>
        <v>31 March 2025</v>
      </c>
      <c r="SJA80" s="1717"/>
      <c r="SJB80" s="1718"/>
      <c r="SJC80" s="1718"/>
      <c r="SJD80" s="1718"/>
      <c r="SJE80" s="1718"/>
      <c r="SJF80" s="246"/>
      <c r="SJG80" s="246" t="str">
        <f>BS!$D$5</f>
        <v>31 March 2026</v>
      </c>
      <c r="SJH80" s="247" t="str">
        <f>BS!$E$5</f>
        <v>31 March 2025</v>
      </c>
      <c r="SJI80" s="1717"/>
      <c r="SJJ80" s="1718"/>
      <c r="SJK80" s="1718"/>
      <c r="SJL80" s="1718"/>
      <c r="SJM80" s="1718"/>
      <c r="SJN80" s="246"/>
      <c r="SJO80" s="246" t="str">
        <f>BS!$D$5</f>
        <v>31 March 2026</v>
      </c>
      <c r="SJP80" s="247" t="str">
        <f>BS!$E$5</f>
        <v>31 March 2025</v>
      </c>
      <c r="SJQ80" s="1717"/>
      <c r="SJR80" s="1718"/>
      <c r="SJS80" s="1718"/>
      <c r="SJT80" s="1718"/>
      <c r="SJU80" s="1718"/>
      <c r="SJV80" s="246"/>
      <c r="SJW80" s="246" t="str">
        <f>BS!$D$5</f>
        <v>31 March 2026</v>
      </c>
      <c r="SJX80" s="247" t="str">
        <f>BS!$E$5</f>
        <v>31 March 2025</v>
      </c>
      <c r="SJY80" s="1717"/>
      <c r="SJZ80" s="1718"/>
      <c r="SKA80" s="1718"/>
      <c r="SKB80" s="1718"/>
      <c r="SKC80" s="1718"/>
      <c r="SKD80" s="246"/>
      <c r="SKE80" s="246" t="str">
        <f>BS!$D$5</f>
        <v>31 March 2026</v>
      </c>
      <c r="SKF80" s="247" t="str">
        <f>BS!$E$5</f>
        <v>31 March 2025</v>
      </c>
      <c r="SKG80" s="1717"/>
      <c r="SKH80" s="1718"/>
      <c r="SKI80" s="1718"/>
      <c r="SKJ80" s="1718"/>
      <c r="SKK80" s="1718"/>
      <c r="SKL80" s="246"/>
      <c r="SKM80" s="246" t="str">
        <f>BS!$D$5</f>
        <v>31 March 2026</v>
      </c>
      <c r="SKN80" s="247" t="str">
        <f>BS!$E$5</f>
        <v>31 March 2025</v>
      </c>
      <c r="SKO80" s="1717"/>
      <c r="SKP80" s="1718"/>
      <c r="SKQ80" s="1718"/>
      <c r="SKR80" s="1718"/>
      <c r="SKS80" s="1718"/>
      <c r="SKT80" s="246"/>
      <c r="SKU80" s="246" t="str">
        <f>BS!$D$5</f>
        <v>31 March 2026</v>
      </c>
      <c r="SKV80" s="247" t="str">
        <f>BS!$E$5</f>
        <v>31 March 2025</v>
      </c>
      <c r="SKW80" s="1717"/>
      <c r="SKX80" s="1718"/>
      <c r="SKY80" s="1718"/>
      <c r="SKZ80" s="1718"/>
      <c r="SLA80" s="1718"/>
      <c r="SLB80" s="246"/>
      <c r="SLC80" s="246" t="str">
        <f>BS!$D$5</f>
        <v>31 March 2026</v>
      </c>
      <c r="SLD80" s="247" t="str">
        <f>BS!$E$5</f>
        <v>31 March 2025</v>
      </c>
      <c r="SLE80" s="1717"/>
      <c r="SLF80" s="1718"/>
      <c r="SLG80" s="1718"/>
      <c r="SLH80" s="1718"/>
      <c r="SLI80" s="1718"/>
      <c r="SLJ80" s="246"/>
      <c r="SLK80" s="246" t="str">
        <f>BS!$D$5</f>
        <v>31 March 2026</v>
      </c>
      <c r="SLL80" s="247" t="str">
        <f>BS!$E$5</f>
        <v>31 March 2025</v>
      </c>
      <c r="SLM80" s="1717"/>
      <c r="SLN80" s="1718"/>
      <c r="SLO80" s="1718"/>
      <c r="SLP80" s="1718"/>
      <c r="SLQ80" s="1718"/>
      <c r="SLR80" s="246"/>
      <c r="SLS80" s="246" t="str">
        <f>BS!$D$5</f>
        <v>31 March 2026</v>
      </c>
      <c r="SLT80" s="247" t="str">
        <f>BS!$E$5</f>
        <v>31 March 2025</v>
      </c>
      <c r="SLU80" s="1717"/>
      <c r="SLV80" s="1718"/>
      <c r="SLW80" s="1718"/>
      <c r="SLX80" s="1718"/>
      <c r="SLY80" s="1718"/>
      <c r="SLZ80" s="246"/>
      <c r="SMA80" s="246" t="str">
        <f>BS!$D$5</f>
        <v>31 March 2026</v>
      </c>
      <c r="SMB80" s="247" t="str">
        <f>BS!$E$5</f>
        <v>31 March 2025</v>
      </c>
      <c r="SMC80" s="1717"/>
      <c r="SMD80" s="1718"/>
      <c r="SME80" s="1718"/>
      <c r="SMF80" s="1718"/>
      <c r="SMG80" s="1718"/>
      <c r="SMH80" s="246"/>
      <c r="SMI80" s="246" t="str">
        <f>BS!$D$5</f>
        <v>31 March 2026</v>
      </c>
      <c r="SMJ80" s="247" t="str">
        <f>BS!$E$5</f>
        <v>31 March 2025</v>
      </c>
      <c r="SMK80" s="1717"/>
      <c r="SML80" s="1718"/>
      <c r="SMM80" s="1718"/>
      <c r="SMN80" s="1718"/>
      <c r="SMO80" s="1718"/>
      <c r="SMP80" s="246"/>
      <c r="SMQ80" s="246" t="str">
        <f>BS!$D$5</f>
        <v>31 March 2026</v>
      </c>
      <c r="SMR80" s="247" t="str">
        <f>BS!$E$5</f>
        <v>31 March 2025</v>
      </c>
      <c r="SMS80" s="1717"/>
      <c r="SMT80" s="1718"/>
      <c r="SMU80" s="1718"/>
      <c r="SMV80" s="1718"/>
      <c r="SMW80" s="1718"/>
      <c r="SMX80" s="246"/>
      <c r="SMY80" s="246" t="str">
        <f>BS!$D$5</f>
        <v>31 March 2026</v>
      </c>
      <c r="SMZ80" s="247" t="str">
        <f>BS!$E$5</f>
        <v>31 March 2025</v>
      </c>
      <c r="SNA80" s="1717"/>
      <c r="SNB80" s="1718"/>
      <c r="SNC80" s="1718"/>
      <c r="SND80" s="1718"/>
      <c r="SNE80" s="1718"/>
      <c r="SNF80" s="246"/>
      <c r="SNG80" s="246" t="str">
        <f>BS!$D$5</f>
        <v>31 March 2026</v>
      </c>
      <c r="SNH80" s="247" t="str">
        <f>BS!$E$5</f>
        <v>31 March 2025</v>
      </c>
      <c r="SNI80" s="1717"/>
      <c r="SNJ80" s="1718"/>
      <c r="SNK80" s="1718"/>
      <c r="SNL80" s="1718"/>
      <c r="SNM80" s="1718"/>
      <c r="SNN80" s="246"/>
      <c r="SNO80" s="246" t="str">
        <f>BS!$D$5</f>
        <v>31 March 2026</v>
      </c>
      <c r="SNP80" s="247" t="str">
        <f>BS!$E$5</f>
        <v>31 March 2025</v>
      </c>
      <c r="SNQ80" s="1717"/>
      <c r="SNR80" s="1718"/>
      <c r="SNS80" s="1718"/>
      <c r="SNT80" s="1718"/>
      <c r="SNU80" s="1718"/>
      <c r="SNV80" s="246"/>
      <c r="SNW80" s="246" t="str">
        <f>BS!$D$5</f>
        <v>31 March 2026</v>
      </c>
      <c r="SNX80" s="247" t="str">
        <f>BS!$E$5</f>
        <v>31 March 2025</v>
      </c>
      <c r="SNY80" s="1717"/>
      <c r="SNZ80" s="1718"/>
      <c r="SOA80" s="1718"/>
      <c r="SOB80" s="1718"/>
      <c r="SOC80" s="1718"/>
      <c r="SOD80" s="246"/>
      <c r="SOE80" s="246" t="str">
        <f>BS!$D$5</f>
        <v>31 March 2026</v>
      </c>
      <c r="SOF80" s="247" t="str">
        <f>BS!$E$5</f>
        <v>31 March 2025</v>
      </c>
      <c r="SOG80" s="1717"/>
      <c r="SOH80" s="1718"/>
      <c r="SOI80" s="1718"/>
      <c r="SOJ80" s="1718"/>
      <c r="SOK80" s="1718"/>
      <c r="SOL80" s="246"/>
      <c r="SOM80" s="246" t="str">
        <f>BS!$D$5</f>
        <v>31 March 2026</v>
      </c>
      <c r="SON80" s="247" t="str">
        <f>BS!$E$5</f>
        <v>31 March 2025</v>
      </c>
      <c r="SOO80" s="1717"/>
      <c r="SOP80" s="1718"/>
      <c r="SOQ80" s="1718"/>
      <c r="SOR80" s="1718"/>
      <c r="SOS80" s="1718"/>
      <c r="SOT80" s="246"/>
      <c r="SOU80" s="246" t="str">
        <f>BS!$D$5</f>
        <v>31 March 2026</v>
      </c>
      <c r="SOV80" s="247" t="str">
        <f>BS!$E$5</f>
        <v>31 March 2025</v>
      </c>
      <c r="SOW80" s="1717"/>
      <c r="SOX80" s="1718"/>
      <c r="SOY80" s="1718"/>
      <c r="SOZ80" s="1718"/>
      <c r="SPA80" s="1718"/>
      <c r="SPB80" s="246"/>
      <c r="SPC80" s="246" t="str">
        <f>BS!$D$5</f>
        <v>31 March 2026</v>
      </c>
      <c r="SPD80" s="247" t="str">
        <f>BS!$E$5</f>
        <v>31 March 2025</v>
      </c>
      <c r="SPE80" s="1717"/>
      <c r="SPF80" s="1718"/>
      <c r="SPG80" s="1718"/>
      <c r="SPH80" s="1718"/>
      <c r="SPI80" s="1718"/>
      <c r="SPJ80" s="246"/>
      <c r="SPK80" s="246" t="str">
        <f>BS!$D$5</f>
        <v>31 March 2026</v>
      </c>
      <c r="SPL80" s="247" t="str">
        <f>BS!$E$5</f>
        <v>31 March 2025</v>
      </c>
      <c r="SPM80" s="1717"/>
      <c r="SPN80" s="1718"/>
      <c r="SPO80" s="1718"/>
      <c r="SPP80" s="1718"/>
      <c r="SPQ80" s="1718"/>
      <c r="SPR80" s="246"/>
      <c r="SPS80" s="246" t="str">
        <f>BS!$D$5</f>
        <v>31 March 2026</v>
      </c>
      <c r="SPT80" s="247" t="str">
        <f>BS!$E$5</f>
        <v>31 March 2025</v>
      </c>
      <c r="SPU80" s="1717"/>
      <c r="SPV80" s="1718"/>
      <c r="SPW80" s="1718"/>
      <c r="SPX80" s="1718"/>
      <c r="SPY80" s="1718"/>
      <c r="SPZ80" s="246"/>
      <c r="SQA80" s="246" t="str">
        <f>BS!$D$5</f>
        <v>31 March 2026</v>
      </c>
      <c r="SQB80" s="247" t="str">
        <f>BS!$E$5</f>
        <v>31 March 2025</v>
      </c>
      <c r="SQC80" s="1717"/>
      <c r="SQD80" s="1718"/>
      <c r="SQE80" s="1718"/>
      <c r="SQF80" s="1718"/>
      <c r="SQG80" s="1718"/>
      <c r="SQH80" s="246"/>
      <c r="SQI80" s="246" t="str">
        <f>BS!$D$5</f>
        <v>31 March 2026</v>
      </c>
      <c r="SQJ80" s="247" t="str">
        <f>BS!$E$5</f>
        <v>31 March 2025</v>
      </c>
      <c r="SQK80" s="1717"/>
      <c r="SQL80" s="1718"/>
      <c r="SQM80" s="1718"/>
      <c r="SQN80" s="1718"/>
      <c r="SQO80" s="1718"/>
      <c r="SQP80" s="246"/>
      <c r="SQQ80" s="246" t="str">
        <f>BS!$D$5</f>
        <v>31 March 2026</v>
      </c>
      <c r="SQR80" s="247" t="str">
        <f>BS!$E$5</f>
        <v>31 March 2025</v>
      </c>
      <c r="SQS80" s="1717"/>
      <c r="SQT80" s="1718"/>
      <c r="SQU80" s="1718"/>
      <c r="SQV80" s="1718"/>
      <c r="SQW80" s="1718"/>
      <c r="SQX80" s="246"/>
      <c r="SQY80" s="246" t="str">
        <f>BS!$D$5</f>
        <v>31 March 2026</v>
      </c>
      <c r="SQZ80" s="247" t="str">
        <f>BS!$E$5</f>
        <v>31 March 2025</v>
      </c>
      <c r="SRA80" s="1717"/>
      <c r="SRB80" s="1718"/>
      <c r="SRC80" s="1718"/>
      <c r="SRD80" s="1718"/>
      <c r="SRE80" s="1718"/>
      <c r="SRF80" s="246"/>
      <c r="SRG80" s="246" t="str">
        <f>BS!$D$5</f>
        <v>31 March 2026</v>
      </c>
      <c r="SRH80" s="247" t="str">
        <f>BS!$E$5</f>
        <v>31 March 2025</v>
      </c>
      <c r="SRI80" s="1717"/>
      <c r="SRJ80" s="1718"/>
      <c r="SRK80" s="1718"/>
      <c r="SRL80" s="1718"/>
      <c r="SRM80" s="1718"/>
      <c r="SRN80" s="246"/>
      <c r="SRO80" s="246" t="str">
        <f>BS!$D$5</f>
        <v>31 March 2026</v>
      </c>
      <c r="SRP80" s="247" t="str">
        <f>BS!$E$5</f>
        <v>31 March 2025</v>
      </c>
      <c r="SRQ80" s="1717"/>
      <c r="SRR80" s="1718"/>
      <c r="SRS80" s="1718"/>
      <c r="SRT80" s="1718"/>
      <c r="SRU80" s="1718"/>
      <c r="SRV80" s="246"/>
      <c r="SRW80" s="246" t="str">
        <f>BS!$D$5</f>
        <v>31 March 2026</v>
      </c>
      <c r="SRX80" s="247" t="str">
        <f>BS!$E$5</f>
        <v>31 March 2025</v>
      </c>
      <c r="SRY80" s="1717"/>
      <c r="SRZ80" s="1718"/>
      <c r="SSA80" s="1718"/>
      <c r="SSB80" s="1718"/>
      <c r="SSC80" s="1718"/>
      <c r="SSD80" s="246"/>
      <c r="SSE80" s="246" t="str">
        <f>BS!$D$5</f>
        <v>31 March 2026</v>
      </c>
      <c r="SSF80" s="247" t="str">
        <f>BS!$E$5</f>
        <v>31 March 2025</v>
      </c>
      <c r="SSG80" s="1717"/>
      <c r="SSH80" s="1718"/>
      <c r="SSI80" s="1718"/>
      <c r="SSJ80" s="1718"/>
      <c r="SSK80" s="1718"/>
      <c r="SSL80" s="246"/>
      <c r="SSM80" s="246" t="str">
        <f>BS!$D$5</f>
        <v>31 March 2026</v>
      </c>
      <c r="SSN80" s="247" t="str">
        <f>BS!$E$5</f>
        <v>31 March 2025</v>
      </c>
      <c r="SSO80" s="1717"/>
      <c r="SSP80" s="1718"/>
      <c r="SSQ80" s="1718"/>
      <c r="SSR80" s="1718"/>
      <c r="SSS80" s="1718"/>
      <c r="SST80" s="246"/>
      <c r="SSU80" s="246" t="str">
        <f>BS!$D$5</f>
        <v>31 March 2026</v>
      </c>
      <c r="SSV80" s="247" t="str">
        <f>BS!$E$5</f>
        <v>31 March 2025</v>
      </c>
      <c r="SSW80" s="1717"/>
      <c r="SSX80" s="1718"/>
      <c r="SSY80" s="1718"/>
      <c r="SSZ80" s="1718"/>
      <c r="STA80" s="1718"/>
      <c r="STB80" s="246"/>
      <c r="STC80" s="246" t="str">
        <f>BS!$D$5</f>
        <v>31 March 2026</v>
      </c>
      <c r="STD80" s="247" t="str">
        <f>BS!$E$5</f>
        <v>31 March 2025</v>
      </c>
      <c r="STE80" s="1717"/>
      <c r="STF80" s="1718"/>
      <c r="STG80" s="1718"/>
      <c r="STH80" s="1718"/>
      <c r="STI80" s="1718"/>
      <c r="STJ80" s="246"/>
      <c r="STK80" s="246" t="str">
        <f>BS!$D$5</f>
        <v>31 March 2026</v>
      </c>
      <c r="STL80" s="247" t="str">
        <f>BS!$E$5</f>
        <v>31 March 2025</v>
      </c>
      <c r="STM80" s="1717"/>
      <c r="STN80" s="1718"/>
      <c r="STO80" s="1718"/>
      <c r="STP80" s="1718"/>
      <c r="STQ80" s="1718"/>
      <c r="STR80" s="246"/>
      <c r="STS80" s="246" t="str">
        <f>BS!$D$5</f>
        <v>31 March 2026</v>
      </c>
      <c r="STT80" s="247" t="str">
        <f>BS!$E$5</f>
        <v>31 March 2025</v>
      </c>
      <c r="STU80" s="1717"/>
      <c r="STV80" s="1718"/>
      <c r="STW80" s="1718"/>
      <c r="STX80" s="1718"/>
      <c r="STY80" s="1718"/>
      <c r="STZ80" s="246"/>
      <c r="SUA80" s="246" t="str">
        <f>BS!$D$5</f>
        <v>31 March 2026</v>
      </c>
      <c r="SUB80" s="247" t="str">
        <f>BS!$E$5</f>
        <v>31 March 2025</v>
      </c>
      <c r="SUC80" s="1717"/>
      <c r="SUD80" s="1718"/>
      <c r="SUE80" s="1718"/>
      <c r="SUF80" s="1718"/>
      <c r="SUG80" s="1718"/>
      <c r="SUH80" s="246"/>
      <c r="SUI80" s="246" t="str">
        <f>BS!$D$5</f>
        <v>31 March 2026</v>
      </c>
      <c r="SUJ80" s="247" t="str">
        <f>BS!$E$5</f>
        <v>31 March 2025</v>
      </c>
      <c r="SUK80" s="1717"/>
      <c r="SUL80" s="1718"/>
      <c r="SUM80" s="1718"/>
      <c r="SUN80" s="1718"/>
      <c r="SUO80" s="1718"/>
      <c r="SUP80" s="246"/>
      <c r="SUQ80" s="246" t="str">
        <f>BS!$D$5</f>
        <v>31 March 2026</v>
      </c>
      <c r="SUR80" s="247" t="str">
        <f>BS!$E$5</f>
        <v>31 March 2025</v>
      </c>
      <c r="SUS80" s="1717"/>
      <c r="SUT80" s="1718"/>
      <c r="SUU80" s="1718"/>
      <c r="SUV80" s="1718"/>
      <c r="SUW80" s="1718"/>
      <c r="SUX80" s="246"/>
      <c r="SUY80" s="246" t="str">
        <f>BS!$D$5</f>
        <v>31 March 2026</v>
      </c>
      <c r="SUZ80" s="247" t="str">
        <f>BS!$E$5</f>
        <v>31 March 2025</v>
      </c>
      <c r="SVA80" s="1717"/>
      <c r="SVB80" s="1718"/>
      <c r="SVC80" s="1718"/>
      <c r="SVD80" s="1718"/>
      <c r="SVE80" s="1718"/>
      <c r="SVF80" s="246"/>
      <c r="SVG80" s="246" t="str">
        <f>BS!$D$5</f>
        <v>31 March 2026</v>
      </c>
      <c r="SVH80" s="247" t="str">
        <f>BS!$E$5</f>
        <v>31 March 2025</v>
      </c>
      <c r="SVI80" s="1717"/>
      <c r="SVJ80" s="1718"/>
      <c r="SVK80" s="1718"/>
      <c r="SVL80" s="1718"/>
      <c r="SVM80" s="1718"/>
      <c r="SVN80" s="246"/>
      <c r="SVO80" s="246" t="str">
        <f>BS!$D$5</f>
        <v>31 March 2026</v>
      </c>
      <c r="SVP80" s="247" t="str">
        <f>BS!$E$5</f>
        <v>31 March 2025</v>
      </c>
      <c r="SVQ80" s="1717"/>
      <c r="SVR80" s="1718"/>
      <c r="SVS80" s="1718"/>
      <c r="SVT80" s="1718"/>
      <c r="SVU80" s="1718"/>
      <c r="SVV80" s="246"/>
      <c r="SVW80" s="246" t="str">
        <f>BS!$D$5</f>
        <v>31 March 2026</v>
      </c>
      <c r="SVX80" s="247" t="str">
        <f>BS!$E$5</f>
        <v>31 March 2025</v>
      </c>
      <c r="SVY80" s="1717"/>
      <c r="SVZ80" s="1718"/>
      <c r="SWA80" s="1718"/>
      <c r="SWB80" s="1718"/>
      <c r="SWC80" s="1718"/>
      <c r="SWD80" s="246"/>
      <c r="SWE80" s="246" t="str">
        <f>BS!$D$5</f>
        <v>31 March 2026</v>
      </c>
      <c r="SWF80" s="247" t="str">
        <f>BS!$E$5</f>
        <v>31 March 2025</v>
      </c>
      <c r="SWG80" s="1717"/>
      <c r="SWH80" s="1718"/>
      <c r="SWI80" s="1718"/>
      <c r="SWJ80" s="1718"/>
      <c r="SWK80" s="1718"/>
      <c r="SWL80" s="246"/>
      <c r="SWM80" s="246" t="str">
        <f>BS!$D$5</f>
        <v>31 March 2026</v>
      </c>
      <c r="SWN80" s="247" t="str">
        <f>BS!$E$5</f>
        <v>31 March 2025</v>
      </c>
      <c r="SWO80" s="1717"/>
      <c r="SWP80" s="1718"/>
      <c r="SWQ80" s="1718"/>
      <c r="SWR80" s="1718"/>
      <c r="SWS80" s="1718"/>
      <c r="SWT80" s="246"/>
      <c r="SWU80" s="246" t="str">
        <f>BS!$D$5</f>
        <v>31 March 2026</v>
      </c>
      <c r="SWV80" s="247" t="str">
        <f>BS!$E$5</f>
        <v>31 March 2025</v>
      </c>
      <c r="SWW80" s="1717"/>
      <c r="SWX80" s="1718"/>
      <c r="SWY80" s="1718"/>
      <c r="SWZ80" s="1718"/>
      <c r="SXA80" s="1718"/>
      <c r="SXB80" s="246"/>
      <c r="SXC80" s="246" t="str">
        <f>BS!$D$5</f>
        <v>31 March 2026</v>
      </c>
      <c r="SXD80" s="247" t="str">
        <f>BS!$E$5</f>
        <v>31 March 2025</v>
      </c>
      <c r="SXE80" s="1717"/>
      <c r="SXF80" s="1718"/>
      <c r="SXG80" s="1718"/>
      <c r="SXH80" s="1718"/>
      <c r="SXI80" s="1718"/>
      <c r="SXJ80" s="246"/>
      <c r="SXK80" s="246" t="str">
        <f>BS!$D$5</f>
        <v>31 March 2026</v>
      </c>
      <c r="SXL80" s="247" t="str">
        <f>BS!$E$5</f>
        <v>31 March 2025</v>
      </c>
      <c r="SXM80" s="1717"/>
      <c r="SXN80" s="1718"/>
      <c r="SXO80" s="1718"/>
      <c r="SXP80" s="1718"/>
      <c r="SXQ80" s="1718"/>
      <c r="SXR80" s="246"/>
      <c r="SXS80" s="246" t="str">
        <f>BS!$D$5</f>
        <v>31 March 2026</v>
      </c>
      <c r="SXT80" s="247" t="str">
        <f>BS!$E$5</f>
        <v>31 March 2025</v>
      </c>
      <c r="SXU80" s="1717"/>
      <c r="SXV80" s="1718"/>
      <c r="SXW80" s="1718"/>
      <c r="SXX80" s="1718"/>
      <c r="SXY80" s="1718"/>
      <c r="SXZ80" s="246"/>
      <c r="SYA80" s="246" t="str">
        <f>BS!$D$5</f>
        <v>31 March 2026</v>
      </c>
      <c r="SYB80" s="247" t="str">
        <f>BS!$E$5</f>
        <v>31 March 2025</v>
      </c>
      <c r="SYC80" s="1717"/>
      <c r="SYD80" s="1718"/>
      <c r="SYE80" s="1718"/>
      <c r="SYF80" s="1718"/>
      <c r="SYG80" s="1718"/>
      <c r="SYH80" s="246"/>
      <c r="SYI80" s="246" t="str">
        <f>BS!$D$5</f>
        <v>31 March 2026</v>
      </c>
      <c r="SYJ80" s="247" t="str">
        <f>BS!$E$5</f>
        <v>31 March 2025</v>
      </c>
      <c r="SYK80" s="1717"/>
      <c r="SYL80" s="1718"/>
      <c r="SYM80" s="1718"/>
      <c r="SYN80" s="1718"/>
      <c r="SYO80" s="1718"/>
      <c r="SYP80" s="246"/>
      <c r="SYQ80" s="246" t="str">
        <f>BS!$D$5</f>
        <v>31 March 2026</v>
      </c>
      <c r="SYR80" s="247" t="str">
        <f>BS!$E$5</f>
        <v>31 March 2025</v>
      </c>
      <c r="SYS80" s="1717"/>
      <c r="SYT80" s="1718"/>
      <c r="SYU80" s="1718"/>
      <c r="SYV80" s="1718"/>
      <c r="SYW80" s="1718"/>
      <c r="SYX80" s="246"/>
      <c r="SYY80" s="246" t="str">
        <f>BS!$D$5</f>
        <v>31 March 2026</v>
      </c>
      <c r="SYZ80" s="247" t="str">
        <f>BS!$E$5</f>
        <v>31 March 2025</v>
      </c>
      <c r="SZA80" s="1717"/>
      <c r="SZB80" s="1718"/>
      <c r="SZC80" s="1718"/>
      <c r="SZD80" s="1718"/>
      <c r="SZE80" s="1718"/>
      <c r="SZF80" s="246"/>
      <c r="SZG80" s="246" t="str">
        <f>BS!$D$5</f>
        <v>31 March 2026</v>
      </c>
      <c r="SZH80" s="247" t="str">
        <f>BS!$E$5</f>
        <v>31 March 2025</v>
      </c>
      <c r="SZI80" s="1717"/>
      <c r="SZJ80" s="1718"/>
      <c r="SZK80" s="1718"/>
      <c r="SZL80" s="1718"/>
      <c r="SZM80" s="1718"/>
      <c r="SZN80" s="246"/>
      <c r="SZO80" s="246" t="str">
        <f>BS!$D$5</f>
        <v>31 March 2026</v>
      </c>
      <c r="SZP80" s="247" t="str">
        <f>BS!$E$5</f>
        <v>31 March 2025</v>
      </c>
      <c r="SZQ80" s="1717"/>
      <c r="SZR80" s="1718"/>
      <c r="SZS80" s="1718"/>
      <c r="SZT80" s="1718"/>
      <c r="SZU80" s="1718"/>
      <c r="SZV80" s="246"/>
      <c r="SZW80" s="246" t="str">
        <f>BS!$D$5</f>
        <v>31 March 2026</v>
      </c>
      <c r="SZX80" s="247" t="str">
        <f>BS!$E$5</f>
        <v>31 March 2025</v>
      </c>
      <c r="SZY80" s="1717"/>
      <c r="SZZ80" s="1718"/>
      <c r="TAA80" s="1718"/>
      <c r="TAB80" s="1718"/>
      <c r="TAC80" s="1718"/>
      <c r="TAD80" s="246"/>
      <c r="TAE80" s="246" t="str">
        <f>BS!$D$5</f>
        <v>31 March 2026</v>
      </c>
      <c r="TAF80" s="247" t="str">
        <f>BS!$E$5</f>
        <v>31 March 2025</v>
      </c>
      <c r="TAG80" s="1717"/>
      <c r="TAH80" s="1718"/>
      <c r="TAI80" s="1718"/>
      <c r="TAJ80" s="1718"/>
      <c r="TAK80" s="1718"/>
      <c r="TAL80" s="246"/>
      <c r="TAM80" s="246" t="str">
        <f>BS!$D$5</f>
        <v>31 March 2026</v>
      </c>
      <c r="TAN80" s="247" t="str">
        <f>BS!$E$5</f>
        <v>31 March 2025</v>
      </c>
      <c r="TAO80" s="1717"/>
      <c r="TAP80" s="1718"/>
      <c r="TAQ80" s="1718"/>
      <c r="TAR80" s="1718"/>
      <c r="TAS80" s="1718"/>
      <c r="TAT80" s="246"/>
      <c r="TAU80" s="246" t="str">
        <f>BS!$D$5</f>
        <v>31 March 2026</v>
      </c>
      <c r="TAV80" s="247" t="str">
        <f>BS!$E$5</f>
        <v>31 March 2025</v>
      </c>
      <c r="TAW80" s="1717"/>
      <c r="TAX80" s="1718"/>
      <c r="TAY80" s="1718"/>
      <c r="TAZ80" s="1718"/>
      <c r="TBA80" s="1718"/>
      <c r="TBB80" s="246"/>
      <c r="TBC80" s="246" t="str">
        <f>BS!$D$5</f>
        <v>31 March 2026</v>
      </c>
      <c r="TBD80" s="247" t="str">
        <f>BS!$E$5</f>
        <v>31 March 2025</v>
      </c>
      <c r="TBE80" s="1717"/>
      <c r="TBF80" s="1718"/>
      <c r="TBG80" s="1718"/>
      <c r="TBH80" s="1718"/>
      <c r="TBI80" s="1718"/>
      <c r="TBJ80" s="246"/>
      <c r="TBK80" s="246" t="str">
        <f>BS!$D$5</f>
        <v>31 March 2026</v>
      </c>
      <c r="TBL80" s="247" t="str">
        <f>BS!$E$5</f>
        <v>31 March 2025</v>
      </c>
      <c r="TBM80" s="1717"/>
      <c r="TBN80" s="1718"/>
      <c r="TBO80" s="1718"/>
      <c r="TBP80" s="1718"/>
      <c r="TBQ80" s="1718"/>
      <c r="TBR80" s="246"/>
      <c r="TBS80" s="246" t="str">
        <f>BS!$D$5</f>
        <v>31 March 2026</v>
      </c>
      <c r="TBT80" s="247" t="str">
        <f>BS!$E$5</f>
        <v>31 March 2025</v>
      </c>
      <c r="TBU80" s="1717"/>
      <c r="TBV80" s="1718"/>
      <c r="TBW80" s="1718"/>
      <c r="TBX80" s="1718"/>
      <c r="TBY80" s="1718"/>
      <c r="TBZ80" s="246"/>
      <c r="TCA80" s="246" t="str">
        <f>BS!$D$5</f>
        <v>31 March 2026</v>
      </c>
      <c r="TCB80" s="247" t="str">
        <f>BS!$E$5</f>
        <v>31 March 2025</v>
      </c>
      <c r="TCC80" s="1717"/>
      <c r="TCD80" s="1718"/>
      <c r="TCE80" s="1718"/>
      <c r="TCF80" s="1718"/>
      <c r="TCG80" s="1718"/>
      <c r="TCH80" s="246"/>
      <c r="TCI80" s="246" t="str">
        <f>BS!$D$5</f>
        <v>31 March 2026</v>
      </c>
      <c r="TCJ80" s="247" t="str">
        <f>BS!$E$5</f>
        <v>31 March 2025</v>
      </c>
      <c r="TCK80" s="1717"/>
      <c r="TCL80" s="1718"/>
      <c r="TCM80" s="1718"/>
      <c r="TCN80" s="1718"/>
      <c r="TCO80" s="1718"/>
      <c r="TCP80" s="246"/>
      <c r="TCQ80" s="246" t="str">
        <f>BS!$D$5</f>
        <v>31 March 2026</v>
      </c>
      <c r="TCR80" s="247" t="str">
        <f>BS!$E$5</f>
        <v>31 March 2025</v>
      </c>
      <c r="TCS80" s="1717"/>
      <c r="TCT80" s="1718"/>
      <c r="TCU80" s="1718"/>
      <c r="TCV80" s="1718"/>
      <c r="TCW80" s="1718"/>
      <c r="TCX80" s="246"/>
      <c r="TCY80" s="246" t="str">
        <f>BS!$D$5</f>
        <v>31 March 2026</v>
      </c>
      <c r="TCZ80" s="247" t="str">
        <f>BS!$E$5</f>
        <v>31 March 2025</v>
      </c>
      <c r="TDA80" s="1717"/>
      <c r="TDB80" s="1718"/>
      <c r="TDC80" s="1718"/>
      <c r="TDD80" s="1718"/>
      <c r="TDE80" s="1718"/>
      <c r="TDF80" s="246"/>
      <c r="TDG80" s="246" t="str">
        <f>BS!$D$5</f>
        <v>31 March 2026</v>
      </c>
      <c r="TDH80" s="247" t="str">
        <f>BS!$E$5</f>
        <v>31 March 2025</v>
      </c>
      <c r="TDI80" s="1717"/>
      <c r="TDJ80" s="1718"/>
      <c r="TDK80" s="1718"/>
      <c r="TDL80" s="1718"/>
      <c r="TDM80" s="1718"/>
      <c r="TDN80" s="246"/>
      <c r="TDO80" s="246" t="str">
        <f>BS!$D$5</f>
        <v>31 March 2026</v>
      </c>
      <c r="TDP80" s="247" t="str">
        <f>BS!$E$5</f>
        <v>31 March 2025</v>
      </c>
      <c r="TDQ80" s="1717"/>
      <c r="TDR80" s="1718"/>
      <c r="TDS80" s="1718"/>
      <c r="TDT80" s="1718"/>
      <c r="TDU80" s="1718"/>
      <c r="TDV80" s="246"/>
      <c r="TDW80" s="246" t="str">
        <f>BS!$D$5</f>
        <v>31 March 2026</v>
      </c>
      <c r="TDX80" s="247" t="str">
        <f>BS!$E$5</f>
        <v>31 March 2025</v>
      </c>
      <c r="TDY80" s="1717"/>
      <c r="TDZ80" s="1718"/>
      <c r="TEA80" s="1718"/>
      <c r="TEB80" s="1718"/>
      <c r="TEC80" s="1718"/>
      <c r="TED80" s="246"/>
      <c r="TEE80" s="246" t="str">
        <f>BS!$D$5</f>
        <v>31 March 2026</v>
      </c>
      <c r="TEF80" s="247" t="str">
        <f>BS!$E$5</f>
        <v>31 March 2025</v>
      </c>
      <c r="TEG80" s="1717"/>
      <c r="TEH80" s="1718"/>
      <c r="TEI80" s="1718"/>
      <c r="TEJ80" s="1718"/>
      <c r="TEK80" s="1718"/>
      <c r="TEL80" s="246"/>
      <c r="TEM80" s="246" t="str">
        <f>BS!$D$5</f>
        <v>31 March 2026</v>
      </c>
      <c r="TEN80" s="247" t="str">
        <f>BS!$E$5</f>
        <v>31 March 2025</v>
      </c>
      <c r="TEO80" s="1717"/>
      <c r="TEP80" s="1718"/>
      <c r="TEQ80" s="1718"/>
      <c r="TER80" s="1718"/>
      <c r="TES80" s="1718"/>
      <c r="TET80" s="246"/>
      <c r="TEU80" s="246" t="str">
        <f>BS!$D$5</f>
        <v>31 March 2026</v>
      </c>
      <c r="TEV80" s="247" t="str">
        <f>BS!$E$5</f>
        <v>31 March 2025</v>
      </c>
      <c r="TEW80" s="1717"/>
      <c r="TEX80" s="1718"/>
      <c r="TEY80" s="1718"/>
      <c r="TEZ80" s="1718"/>
      <c r="TFA80" s="1718"/>
      <c r="TFB80" s="246"/>
      <c r="TFC80" s="246" t="str">
        <f>BS!$D$5</f>
        <v>31 March 2026</v>
      </c>
      <c r="TFD80" s="247" t="str">
        <f>BS!$E$5</f>
        <v>31 March 2025</v>
      </c>
      <c r="TFE80" s="1717"/>
      <c r="TFF80" s="1718"/>
      <c r="TFG80" s="1718"/>
      <c r="TFH80" s="1718"/>
      <c r="TFI80" s="1718"/>
      <c r="TFJ80" s="246"/>
      <c r="TFK80" s="246" t="str">
        <f>BS!$D$5</f>
        <v>31 March 2026</v>
      </c>
      <c r="TFL80" s="247" t="str">
        <f>BS!$E$5</f>
        <v>31 March 2025</v>
      </c>
      <c r="TFM80" s="1717"/>
      <c r="TFN80" s="1718"/>
      <c r="TFO80" s="1718"/>
      <c r="TFP80" s="1718"/>
      <c r="TFQ80" s="1718"/>
      <c r="TFR80" s="246"/>
      <c r="TFS80" s="246" t="str">
        <f>BS!$D$5</f>
        <v>31 March 2026</v>
      </c>
      <c r="TFT80" s="247" t="str">
        <f>BS!$E$5</f>
        <v>31 March 2025</v>
      </c>
      <c r="TFU80" s="1717"/>
      <c r="TFV80" s="1718"/>
      <c r="TFW80" s="1718"/>
      <c r="TFX80" s="1718"/>
      <c r="TFY80" s="1718"/>
      <c r="TFZ80" s="246"/>
      <c r="TGA80" s="246" t="str">
        <f>BS!$D$5</f>
        <v>31 March 2026</v>
      </c>
      <c r="TGB80" s="247" t="str">
        <f>BS!$E$5</f>
        <v>31 March 2025</v>
      </c>
      <c r="TGC80" s="1717"/>
      <c r="TGD80" s="1718"/>
      <c r="TGE80" s="1718"/>
      <c r="TGF80" s="1718"/>
      <c r="TGG80" s="1718"/>
      <c r="TGH80" s="246"/>
      <c r="TGI80" s="246" t="str">
        <f>BS!$D$5</f>
        <v>31 March 2026</v>
      </c>
      <c r="TGJ80" s="247" t="str">
        <f>BS!$E$5</f>
        <v>31 March 2025</v>
      </c>
      <c r="TGK80" s="1717"/>
      <c r="TGL80" s="1718"/>
      <c r="TGM80" s="1718"/>
      <c r="TGN80" s="1718"/>
      <c r="TGO80" s="1718"/>
      <c r="TGP80" s="246"/>
      <c r="TGQ80" s="246" t="str">
        <f>BS!$D$5</f>
        <v>31 March 2026</v>
      </c>
      <c r="TGR80" s="247" t="str">
        <f>BS!$E$5</f>
        <v>31 March 2025</v>
      </c>
      <c r="TGS80" s="1717"/>
      <c r="TGT80" s="1718"/>
      <c r="TGU80" s="1718"/>
      <c r="TGV80" s="1718"/>
      <c r="TGW80" s="1718"/>
      <c r="TGX80" s="246"/>
      <c r="TGY80" s="246" t="str">
        <f>BS!$D$5</f>
        <v>31 March 2026</v>
      </c>
      <c r="TGZ80" s="247" t="str">
        <f>BS!$E$5</f>
        <v>31 March 2025</v>
      </c>
      <c r="THA80" s="1717"/>
      <c r="THB80" s="1718"/>
      <c r="THC80" s="1718"/>
      <c r="THD80" s="1718"/>
      <c r="THE80" s="1718"/>
      <c r="THF80" s="246"/>
      <c r="THG80" s="246" t="str">
        <f>BS!$D$5</f>
        <v>31 March 2026</v>
      </c>
      <c r="THH80" s="247" t="str">
        <f>BS!$E$5</f>
        <v>31 March 2025</v>
      </c>
      <c r="THI80" s="1717"/>
      <c r="THJ80" s="1718"/>
      <c r="THK80" s="1718"/>
      <c r="THL80" s="1718"/>
      <c r="THM80" s="1718"/>
      <c r="THN80" s="246"/>
      <c r="THO80" s="246" t="str">
        <f>BS!$D$5</f>
        <v>31 March 2026</v>
      </c>
      <c r="THP80" s="247" t="str">
        <f>BS!$E$5</f>
        <v>31 March 2025</v>
      </c>
      <c r="THQ80" s="1717"/>
      <c r="THR80" s="1718"/>
      <c r="THS80" s="1718"/>
      <c r="THT80" s="1718"/>
      <c r="THU80" s="1718"/>
      <c r="THV80" s="246"/>
      <c r="THW80" s="246" t="str">
        <f>BS!$D$5</f>
        <v>31 March 2026</v>
      </c>
      <c r="THX80" s="247" t="str">
        <f>BS!$E$5</f>
        <v>31 March 2025</v>
      </c>
      <c r="THY80" s="1717"/>
      <c r="THZ80" s="1718"/>
      <c r="TIA80" s="1718"/>
      <c r="TIB80" s="1718"/>
      <c r="TIC80" s="1718"/>
      <c r="TID80" s="246"/>
      <c r="TIE80" s="246" t="str">
        <f>BS!$D$5</f>
        <v>31 March 2026</v>
      </c>
      <c r="TIF80" s="247" t="str">
        <f>BS!$E$5</f>
        <v>31 March 2025</v>
      </c>
      <c r="TIG80" s="1717"/>
      <c r="TIH80" s="1718"/>
      <c r="TII80" s="1718"/>
      <c r="TIJ80" s="1718"/>
      <c r="TIK80" s="1718"/>
      <c r="TIL80" s="246"/>
      <c r="TIM80" s="246" t="str">
        <f>BS!$D$5</f>
        <v>31 March 2026</v>
      </c>
      <c r="TIN80" s="247" t="str">
        <f>BS!$E$5</f>
        <v>31 March 2025</v>
      </c>
      <c r="TIO80" s="1717"/>
      <c r="TIP80" s="1718"/>
      <c r="TIQ80" s="1718"/>
      <c r="TIR80" s="1718"/>
      <c r="TIS80" s="1718"/>
      <c r="TIT80" s="246"/>
      <c r="TIU80" s="246" t="str">
        <f>BS!$D$5</f>
        <v>31 March 2026</v>
      </c>
      <c r="TIV80" s="247" t="str">
        <f>BS!$E$5</f>
        <v>31 March 2025</v>
      </c>
      <c r="TIW80" s="1717"/>
      <c r="TIX80" s="1718"/>
      <c r="TIY80" s="1718"/>
      <c r="TIZ80" s="1718"/>
      <c r="TJA80" s="1718"/>
      <c r="TJB80" s="246"/>
      <c r="TJC80" s="246" t="str">
        <f>BS!$D$5</f>
        <v>31 March 2026</v>
      </c>
      <c r="TJD80" s="247" t="str">
        <f>BS!$E$5</f>
        <v>31 March 2025</v>
      </c>
      <c r="TJE80" s="1717"/>
      <c r="TJF80" s="1718"/>
      <c r="TJG80" s="1718"/>
      <c r="TJH80" s="1718"/>
      <c r="TJI80" s="1718"/>
      <c r="TJJ80" s="246"/>
      <c r="TJK80" s="246" t="str">
        <f>BS!$D$5</f>
        <v>31 March 2026</v>
      </c>
      <c r="TJL80" s="247" t="str">
        <f>BS!$E$5</f>
        <v>31 March 2025</v>
      </c>
      <c r="TJM80" s="1717"/>
      <c r="TJN80" s="1718"/>
      <c r="TJO80" s="1718"/>
      <c r="TJP80" s="1718"/>
      <c r="TJQ80" s="1718"/>
      <c r="TJR80" s="246"/>
      <c r="TJS80" s="246" t="str">
        <f>BS!$D$5</f>
        <v>31 March 2026</v>
      </c>
      <c r="TJT80" s="247" t="str">
        <f>BS!$E$5</f>
        <v>31 March 2025</v>
      </c>
      <c r="TJU80" s="1717"/>
      <c r="TJV80" s="1718"/>
      <c r="TJW80" s="1718"/>
      <c r="TJX80" s="1718"/>
      <c r="TJY80" s="1718"/>
      <c r="TJZ80" s="246"/>
      <c r="TKA80" s="246" t="str">
        <f>BS!$D$5</f>
        <v>31 March 2026</v>
      </c>
      <c r="TKB80" s="247" t="str">
        <f>BS!$E$5</f>
        <v>31 March 2025</v>
      </c>
      <c r="TKC80" s="1717"/>
      <c r="TKD80" s="1718"/>
      <c r="TKE80" s="1718"/>
      <c r="TKF80" s="1718"/>
      <c r="TKG80" s="1718"/>
      <c r="TKH80" s="246"/>
      <c r="TKI80" s="246" t="str">
        <f>BS!$D$5</f>
        <v>31 March 2026</v>
      </c>
      <c r="TKJ80" s="247" t="str">
        <f>BS!$E$5</f>
        <v>31 March 2025</v>
      </c>
      <c r="TKK80" s="1717"/>
      <c r="TKL80" s="1718"/>
      <c r="TKM80" s="1718"/>
      <c r="TKN80" s="1718"/>
      <c r="TKO80" s="1718"/>
      <c r="TKP80" s="246"/>
      <c r="TKQ80" s="246" t="str">
        <f>BS!$D$5</f>
        <v>31 March 2026</v>
      </c>
      <c r="TKR80" s="247" t="str">
        <f>BS!$E$5</f>
        <v>31 March 2025</v>
      </c>
      <c r="TKS80" s="1717"/>
      <c r="TKT80" s="1718"/>
      <c r="TKU80" s="1718"/>
      <c r="TKV80" s="1718"/>
      <c r="TKW80" s="1718"/>
      <c r="TKX80" s="246"/>
      <c r="TKY80" s="246" t="str">
        <f>BS!$D$5</f>
        <v>31 March 2026</v>
      </c>
      <c r="TKZ80" s="247" t="str">
        <f>BS!$E$5</f>
        <v>31 March 2025</v>
      </c>
      <c r="TLA80" s="1717"/>
      <c r="TLB80" s="1718"/>
      <c r="TLC80" s="1718"/>
      <c r="TLD80" s="1718"/>
      <c r="TLE80" s="1718"/>
      <c r="TLF80" s="246"/>
      <c r="TLG80" s="246" t="str">
        <f>BS!$D$5</f>
        <v>31 March 2026</v>
      </c>
      <c r="TLH80" s="247" t="str">
        <f>BS!$E$5</f>
        <v>31 March 2025</v>
      </c>
      <c r="TLI80" s="1717"/>
      <c r="TLJ80" s="1718"/>
      <c r="TLK80" s="1718"/>
      <c r="TLL80" s="1718"/>
      <c r="TLM80" s="1718"/>
      <c r="TLN80" s="246"/>
      <c r="TLO80" s="246" t="str">
        <f>BS!$D$5</f>
        <v>31 March 2026</v>
      </c>
      <c r="TLP80" s="247" t="str">
        <f>BS!$E$5</f>
        <v>31 March 2025</v>
      </c>
      <c r="TLQ80" s="1717"/>
      <c r="TLR80" s="1718"/>
      <c r="TLS80" s="1718"/>
      <c r="TLT80" s="1718"/>
      <c r="TLU80" s="1718"/>
      <c r="TLV80" s="246"/>
      <c r="TLW80" s="246" t="str">
        <f>BS!$D$5</f>
        <v>31 March 2026</v>
      </c>
      <c r="TLX80" s="247" t="str">
        <f>BS!$E$5</f>
        <v>31 March 2025</v>
      </c>
      <c r="TLY80" s="1717"/>
      <c r="TLZ80" s="1718"/>
      <c r="TMA80" s="1718"/>
      <c r="TMB80" s="1718"/>
      <c r="TMC80" s="1718"/>
      <c r="TMD80" s="246"/>
      <c r="TME80" s="246" t="str">
        <f>BS!$D$5</f>
        <v>31 March 2026</v>
      </c>
      <c r="TMF80" s="247" t="str">
        <f>BS!$E$5</f>
        <v>31 March 2025</v>
      </c>
      <c r="TMG80" s="1717"/>
      <c r="TMH80" s="1718"/>
      <c r="TMI80" s="1718"/>
      <c r="TMJ80" s="1718"/>
      <c r="TMK80" s="1718"/>
      <c r="TML80" s="246"/>
      <c r="TMM80" s="246" t="str">
        <f>BS!$D$5</f>
        <v>31 March 2026</v>
      </c>
      <c r="TMN80" s="247" t="str">
        <f>BS!$E$5</f>
        <v>31 March 2025</v>
      </c>
      <c r="TMO80" s="1717"/>
      <c r="TMP80" s="1718"/>
      <c r="TMQ80" s="1718"/>
      <c r="TMR80" s="1718"/>
      <c r="TMS80" s="1718"/>
      <c r="TMT80" s="246"/>
      <c r="TMU80" s="246" t="str">
        <f>BS!$D$5</f>
        <v>31 March 2026</v>
      </c>
      <c r="TMV80" s="247" t="str">
        <f>BS!$E$5</f>
        <v>31 March 2025</v>
      </c>
      <c r="TMW80" s="1717"/>
      <c r="TMX80" s="1718"/>
      <c r="TMY80" s="1718"/>
      <c r="TMZ80" s="1718"/>
      <c r="TNA80" s="1718"/>
      <c r="TNB80" s="246"/>
      <c r="TNC80" s="246" t="str">
        <f>BS!$D$5</f>
        <v>31 March 2026</v>
      </c>
      <c r="TND80" s="247" t="str">
        <f>BS!$E$5</f>
        <v>31 March 2025</v>
      </c>
      <c r="TNE80" s="1717"/>
      <c r="TNF80" s="1718"/>
      <c r="TNG80" s="1718"/>
      <c r="TNH80" s="1718"/>
      <c r="TNI80" s="1718"/>
      <c r="TNJ80" s="246"/>
      <c r="TNK80" s="246" t="str">
        <f>BS!$D$5</f>
        <v>31 March 2026</v>
      </c>
      <c r="TNL80" s="247" t="str">
        <f>BS!$E$5</f>
        <v>31 March 2025</v>
      </c>
      <c r="TNM80" s="1717"/>
      <c r="TNN80" s="1718"/>
      <c r="TNO80" s="1718"/>
      <c r="TNP80" s="1718"/>
      <c r="TNQ80" s="1718"/>
      <c r="TNR80" s="246"/>
      <c r="TNS80" s="246" t="str">
        <f>BS!$D$5</f>
        <v>31 March 2026</v>
      </c>
      <c r="TNT80" s="247" t="str">
        <f>BS!$E$5</f>
        <v>31 March 2025</v>
      </c>
      <c r="TNU80" s="1717"/>
      <c r="TNV80" s="1718"/>
      <c r="TNW80" s="1718"/>
      <c r="TNX80" s="1718"/>
      <c r="TNY80" s="1718"/>
      <c r="TNZ80" s="246"/>
      <c r="TOA80" s="246" t="str">
        <f>BS!$D$5</f>
        <v>31 March 2026</v>
      </c>
      <c r="TOB80" s="247" t="str">
        <f>BS!$E$5</f>
        <v>31 March 2025</v>
      </c>
      <c r="TOC80" s="1717"/>
      <c r="TOD80" s="1718"/>
      <c r="TOE80" s="1718"/>
      <c r="TOF80" s="1718"/>
      <c r="TOG80" s="1718"/>
      <c r="TOH80" s="246"/>
      <c r="TOI80" s="246" t="str">
        <f>BS!$D$5</f>
        <v>31 March 2026</v>
      </c>
      <c r="TOJ80" s="247" t="str">
        <f>BS!$E$5</f>
        <v>31 March 2025</v>
      </c>
      <c r="TOK80" s="1717"/>
      <c r="TOL80" s="1718"/>
      <c r="TOM80" s="1718"/>
      <c r="TON80" s="1718"/>
      <c r="TOO80" s="1718"/>
      <c r="TOP80" s="246"/>
      <c r="TOQ80" s="246" t="str">
        <f>BS!$D$5</f>
        <v>31 March 2026</v>
      </c>
      <c r="TOR80" s="247" t="str">
        <f>BS!$E$5</f>
        <v>31 March 2025</v>
      </c>
      <c r="TOS80" s="1717"/>
      <c r="TOT80" s="1718"/>
      <c r="TOU80" s="1718"/>
      <c r="TOV80" s="1718"/>
      <c r="TOW80" s="1718"/>
      <c r="TOX80" s="246"/>
      <c r="TOY80" s="246" t="str">
        <f>BS!$D$5</f>
        <v>31 March 2026</v>
      </c>
      <c r="TOZ80" s="247" t="str">
        <f>BS!$E$5</f>
        <v>31 March 2025</v>
      </c>
      <c r="TPA80" s="1717"/>
      <c r="TPB80" s="1718"/>
      <c r="TPC80" s="1718"/>
      <c r="TPD80" s="1718"/>
      <c r="TPE80" s="1718"/>
      <c r="TPF80" s="246"/>
      <c r="TPG80" s="246" t="str">
        <f>BS!$D$5</f>
        <v>31 March 2026</v>
      </c>
      <c r="TPH80" s="247" t="str">
        <f>BS!$E$5</f>
        <v>31 March 2025</v>
      </c>
      <c r="TPI80" s="1717"/>
      <c r="TPJ80" s="1718"/>
      <c r="TPK80" s="1718"/>
      <c r="TPL80" s="1718"/>
      <c r="TPM80" s="1718"/>
      <c r="TPN80" s="246"/>
      <c r="TPO80" s="246" t="str">
        <f>BS!$D$5</f>
        <v>31 March 2026</v>
      </c>
      <c r="TPP80" s="247" t="str">
        <f>BS!$E$5</f>
        <v>31 March 2025</v>
      </c>
      <c r="TPQ80" s="1717"/>
      <c r="TPR80" s="1718"/>
      <c r="TPS80" s="1718"/>
      <c r="TPT80" s="1718"/>
      <c r="TPU80" s="1718"/>
      <c r="TPV80" s="246"/>
      <c r="TPW80" s="246" t="str">
        <f>BS!$D$5</f>
        <v>31 March 2026</v>
      </c>
      <c r="TPX80" s="247" t="str">
        <f>BS!$E$5</f>
        <v>31 March 2025</v>
      </c>
      <c r="TPY80" s="1717"/>
      <c r="TPZ80" s="1718"/>
      <c r="TQA80" s="1718"/>
      <c r="TQB80" s="1718"/>
      <c r="TQC80" s="1718"/>
      <c r="TQD80" s="246"/>
      <c r="TQE80" s="246" t="str">
        <f>BS!$D$5</f>
        <v>31 March 2026</v>
      </c>
      <c r="TQF80" s="247" t="str">
        <f>BS!$E$5</f>
        <v>31 March 2025</v>
      </c>
      <c r="TQG80" s="1717"/>
      <c r="TQH80" s="1718"/>
      <c r="TQI80" s="1718"/>
      <c r="TQJ80" s="1718"/>
      <c r="TQK80" s="1718"/>
      <c r="TQL80" s="246"/>
      <c r="TQM80" s="246" t="str">
        <f>BS!$D$5</f>
        <v>31 March 2026</v>
      </c>
      <c r="TQN80" s="247" t="str">
        <f>BS!$E$5</f>
        <v>31 March 2025</v>
      </c>
      <c r="TQO80" s="1717"/>
      <c r="TQP80" s="1718"/>
      <c r="TQQ80" s="1718"/>
      <c r="TQR80" s="1718"/>
      <c r="TQS80" s="1718"/>
      <c r="TQT80" s="246"/>
      <c r="TQU80" s="246" t="str">
        <f>BS!$D$5</f>
        <v>31 March 2026</v>
      </c>
      <c r="TQV80" s="247" t="str">
        <f>BS!$E$5</f>
        <v>31 March 2025</v>
      </c>
      <c r="TQW80" s="1717"/>
      <c r="TQX80" s="1718"/>
      <c r="TQY80" s="1718"/>
      <c r="TQZ80" s="1718"/>
      <c r="TRA80" s="1718"/>
      <c r="TRB80" s="246"/>
      <c r="TRC80" s="246" t="str">
        <f>BS!$D$5</f>
        <v>31 March 2026</v>
      </c>
      <c r="TRD80" s="247" t="str">
        <f>BS!$E$5</f>
        <v>31 March 2025</v>
      </c>
      <c r="TRE80" s="1717"/>
      <c r="TRF80" s="1718"/>
      <c r="TRG80" s="1718"/>
      <c r="TRH80" s="1718"/>
      <c r="TRI80" s="1718"/>
      <c r="TRJ80" s="246"/>
      <c r="TRK80" s="246" t="str">
        <f>BS!$D$5</f>
        <v>31 March 2026</v>
      </c>
      <c r="TRL80" s="247" t="str">
        <f>BS!$E$5</f>
        <v>31 March 2025</v>
      </c>
      <c r="TRM80" s="1717"/>
      <c r="TRN80" s="1718"/>
      <c r="TRO80" s="1718"/>
      <c r="TRP80" s="1718"/>
      <c r="TRQ80" s="1718"/>
      <c r="TRR80" s="246"/>
      <c r="TRS80" s="246" t="str">
        <f>BS!$D$5</f>
        <v>31 March 2026</v>
      </c>
      <c r="TRT80" s="247" t="str">
        <f>BS!$E$5</f>
        <v>31 March 2025</v>
      </c>
      <c r="TRU80" s="1717"/>
      <c r="TRV80" s="1718"/>
      <c r="TRW80" s="1718"/>
      <c r="TRX80" s="1718"/>
      <c r="TRY80" s="1718"/>
      <c r="TRZ80" s="246"/>
      <c r="TSA80" s="246" t="str">
        <f>BS!$D$5</f>
        <v>31 March 2026</v>
      </c>
      <c r="TSB80" s="247" t="str">
        <f>BS!$E$5</f>
        <v>31 March 2025</v>
      </c>
      <c r="TSC80" s="1717"/>
      <c r="TSD80" s="1718"/>
      <c r="TSE80" s="1718"/>
      <c r="TSF80" s="1718"/>
      <c r="TSG80" s="1718"/>
      <c r="TSH80" s="246"/>
      <c r="TSI80" s="246" t="str">
        <f>BS!$D$5</f>
        <v>31 March 2026</v>
      </c>
      <c r="TSJ80" s="247" t="str">
        <f>BS!$E$5</f>
        <v>31 March 2025</v>
      </c>
      <c r="TSK80" s="1717"/>
      <c r="TSL80" s="1718"/>
      <c r="TSM80" s="1718"/>
      <c r="TSN80" s="1718"/>
      <c r="TSO80" s="1718"/>
      <c r="TSP80" s="246"/>
      <c r="TSQ80" s="246" t="str">
        <f>BS!$D$5</f>
        <v>31 March 2026</v>
      </c>
      <c r="TSR80" s="247" t="str">
        <f>BS!$E$5</f>
        <v>31 March 2025</v>
      </c>
      <c r="TSS80" s="1717"/>
      <c r="TST80" s="1718"/>
      <c r="TSU80" s="1718"/>
      <c r="TSV80" s="1718"/>
      <c r="TSW80" s="1718"/>
      <c r="TSX80" s="246"/>
      <c r="TSY80" s="246" t="str">
        <f>BS!$D$5</f>
        <v>31 March 2026</v>
      </c>
      <c r="TSZ80" s="247" t="str">
        <f>BS!$E$5</f>
        <v>31 March 2025</v>
      </c>
      <c r="TTA80" s="1717"/>
      <c r="TTB80" s="1718"/>
      <c r="TTC80" s="1718"/>
      <c r="TTD80" s="1718"/>
      <c r="TTE80" s="1718"/>
      <c r="TTF80" s="246"/>
      <c r="TTG80" s="246" t="str">
        <f>BS!$D$5</f>
        <v>31 March 2026</v>
      </c>
      <c r="TTH80" s="247" t="str">
        <f>BS!$E$5</f>
        <v>31 March 2025</v>
      </c>
      <c r="TTI80" s="1717"/>
      <c r="TTJ80" s="1718"/>
      <c r="TTK80" s="1718"/>
      <c r="TTL80" s="1718"/>
      <c r="TTM80" s="1718"/>
      <c r="TTN80" s="246"/>
      <c r="TTO80" s="246" t="str">
        <f>BS!$D$5</f>
        <v>31 March 2026</v>
      </c>
      <c r="TTP80" s="247" t="str">
        <f>BS!$E$5</f>
        <v>31 March 2025</v>
      </c>
      <c r="TTQ80" s="1717"/>
      <c r="TTR80" s="1718"/>
      <c r="TTS80" s="1718"/>
      <c r="TTT80" s="1718"/>
      <c r="TTU80" s="1718"/>
      <c r="TTV80" s="246"/>
      <c r="TTW80" s="246" t="str">
        <f>BS!$D$5</f>
        <v>31 March 2026</v>
      </c>
      <c r="TTX80" s="247" t="str">
        <f>BS!$E$5</f>
        <v>31 March 2025</v>
      </c>
      <c r="TTY80" s="1717"/>
      <c r="TTZ80" s="1718"/>
      <c r="TUA80" s="1718"/>
      <c r="TUB80" s="1718"/>
      <c r="TUC80" s="1718"/>
      <c r="TUD80" s="246"/>
      <c r="TUE80" s="246" t="str">
        <f>BS!$D$5</f>
        <v>31 March 2026</v>
      </c>
      <c r="TUF80" s="247" t="str">
        <f>BS!$E$5</f>
        <v>31 March 2025</v>
      </c>
      <c r="TUG80" s="1717"/>
      <c r="TUH80" s="1718"/>
      <c r="TUI80" s="1718"/>
      <c r="TUJ80" s="1718"/>
      <c r="TUK80" s="1718"/>
      <c r="TUL80" s="246"/>
      <c r="TUM80" s="246" t="str">
        <f>BS!$D$5</f>
        <v>31 March 2026</v>
      </c>
      <c r="TUN80" s="247" t="str">
        <f>BS!$E$5</f>
        <v>31 March 2025</v>
      </c>
      <c r="TUO80" s="1717"/>
      <c r="TUP80" s="1718"/>
      <c r="TUQ80" s="1718"/>
      <c r="TUR80" s="1718"/>
      <c r="TUS80" s="1718"/>
      <c r="TUT80" s="246"/>
      <c r="TUU80" s="246" t="str">
        <f>BS!$D$5</f>
        <v>31 March 2026</v>
      </c>
      <c r="TUV80" s="247" t="str">
        <f>BS!$E$5</f>
        <v>31 March 2025</v>
      </c>
      <c r="TUW80" s="1717"/>
      <c r="TUX80" s="1718"/>
      <c r="TUY80" s="1718"/>
      <c r="TUZ80" s="1718"/>
      <c r="TVA80" s="1718"/>
      <c r="TVB80" s="246"/>
      <c r="TVC80" s="246" t="str">
        <f>BS!$D$5</f>
        <v>31 March 2026</v>
      </c>
      <c r="TVD80" s="247" t="str">
        <f>BS!$E$5</f>
        <v>31 March 2025</v>
      </c>
      <c r="TVE80" s="1717"/>
      <c r="TVF80" s="1718"/>
      <c r="TVG80" s="1718"/>
      <c r="TVH80" s="1718"/>
      <c r="TVI80" s="1718"/>
      <c r="TVJ80" s="246"/>
      <c r="TVK80" s="246" t="str">
        <f>BS!$D$5</f>
        <v>31 March 2026</v>
      </c>
      <c r="TVL80" s="247" t="str">
        <f>BS!$E$5</f>
        <v>31 March 2025</v>
      </c>
      <c r="TVM80" s="1717"/>
      <c r="TVN80" s="1718"/>
      <c r="TVO80" s="1718"/>
      <c r="TVP80" s="1718"/>
      <c r="TVQ80" s="1718"/>
      <c r="TVR80" s="246"/>
      <c r="TVS80" s="246" t="str">
        <f>BS!$D$5</f>
        <v>31 March 2026</v>
      </c>
      <c r="TVT80" s="247" t="str">
        <f>BS!$E$5</f>
        <v>31 March 2025</v>
      </c>
      <c r="TVU80" s="1717"/>
      <c r="TVV80" s="1718"/>
      <c r="TVW80" s="1718"/>
      <c r="TVX80" s="1718"/>
      <c r="TVY80" s="1718"/>
      <c r="TVZ80" s="246"/>
      <c r="TWA80" s="246" t="str">
        <f>BS!$D$5</f>
        <v>31 March 2026</v>
      </c>
      <c r="TWB80" s="247" t="str">
        <f>BS!$E$5</f>
        <v>31 March 2025</v>
      </c>
      <c r="TWC80" s="1717"/>
      <c r="TWD80" s="1718"/>
      <c r="TWE80" s="1718"/>
      <c r="TWF80" s="1718"/>
      <c r="TWG80" s="1718"/>
      <c r="TWH80" s="246"/>
      <c r="TWI80" s="246" t="str">
        <f>BS!$D$5</f>
        <v>31 March 2026</v>
      </c>
      <c r="TWJ80" s="247" t="str">
        <f>BS!$E$5</f>
        <v>31 March 2025</v>
      </c>
      <c r="TWK80" s="1717"/>
      <c r="TWL80" s="1718"/>
      <c r="TWM80" s="1718"/>
      <c r="TWN80" s="1718"/>
      <c r="TWO80" s="1718"/>
      <c r="TWP80" s="246"/>
      <c r="TWQ80" s="246" t="str">
        <f>BS!$D$5</f>
        <v>31 March 2026</v>
      </c>
      <c r="TWR80" s="247" t="str">
        <f>BS!$E$5</f>
        <v>31 March 2025</v>
      </c>
      <c r="TWS80" s="1717"/>
      <c r="TWT80" s="1718"/>
      <c r="TWU80" s="1718"/>
      <c r="TWV80" s="1718"/>
      <c r="TWW80" s="1718"/>
      <c r="TWX80" s="246"/>
      <c r="TWY80" s="246" t="str">
        <f>BS!$D$5</f>
        <v>31 March 2026</v>
      </c>
      <c r="TWZ80" s="247" t="str">
        <f>BS!$E$5</f>
        <v>31 March 2025</v>
      </c>
      <c r="TXA80" s="1717"/>
      <c r="TXB80" s="1718"/>
      <c r="TXC80" s="1718"/>
      <c r="TXD80" s="1718"/>
      <c r="TXE80" s="1718"/>
      <c r="TXF80" s="246"/>
      <c r="TXG80" s="246" t="str">
        <f>BS!$D$5</f>
        <v>31 March 2026</v>
      </c>
      <c r="TXH80" s="247" t="str">
        <f>BS!$E$5</f>
        <v>31 March 2025</v>
      </c>
      <c r="TXI80" s="1717"/>
      <c r="TXJ80" s="1718"/>
      <c r="TXK80" s="1718"/>
      <c r="TXL80" s="1718"/>
      <c r="TXM80" s="1718"/>
      <c r="TXN80" s="246"/>
      <c r="TXO80" s="246" t="str">
        <f>BS!$D$5</f>
        <v>31 March 2026</v>
      </c>
      <c r="TXP80" s="247" t="str">
        <f>BS!$E$5</f>
        <v>31 March 2025</v>
      </c>
      <c r="TXQ80" s="1717"/>
      <c r="TXR80" s="1718"/>
      <c r="TXS80" s="1718"/>
      <c r="TXT80" s="1718"/>
      <c r="TXU80" s="1718"/>
      <c r="TXV80" s="246"/>
      <c r="TXW80" s="246" t="str">
        <f>BS!$D$5</f>
        <v>31 March 2026</v>
      </c>
      <c r="TXX80" s="247" t="str">
        <f>BS!$E$5</f>
        <v>31 March 2025</v>
      </c>
      <c r="TXY80" s="1717"/>
      <c r="TXZ80" s="1718"/>
      <c r="TYA80" s="1718"/>
      <c r="TYB80" s="1718"/>
      <c r="TYC80" s="1718"/>
      <c r="TYD80" s="246"/>
      <c r="TYE80" s="246" t="str">
        <f>BS!$D$5</f>
        <v>31 March 2026</v>
      </c>
      <c r="TYF80" s="247" t="str">
        <f>BS!$E$5</f>
        <v>31 March 2025</v>
      </c>
      <c r="TYG80" s="1717"/>
      <c r="TYH80" s="1718"/>
      <c r="TYI80" s="1718"/>
      <c r="TYJ80" s="1718"/>
      <c r="TYK80" s="1718"/>
      <c r="TYL80" s="246"/>
      <c r="TYM80" s="246" t="str">
        <f>BS!$D$5</f>
        <v>31 March 2026</v>
      </c>
      <c r="TYN80" s="247" t="str">
        <f>BS!$E$5</f>
        <v>31 March 2025</v>
      </c>
      <c r="TYO80" s="1717"/>
      <c r="TYP80" s="1718"/>
      <c r="TYQ80" s="1718"/>
      <c r="TYR80" s="1718"/>
      <c r="TYS80" s="1718"/>
      <c r="TYT80" s="246"/>
      <c r="TYU80" s="246" t="str">
        <f>BS!$D$5</f>
        <v>31 March 2026</v>
      </c>
      <c r="TYV80" s="247" t="str">
        <f>BS!$E$5</f>
        <v>31 March 2025</v>
      </c>
      <c r="TYW80" s="1717"/>
      <c r="TYX80" s="1718"/>
      <c r="TYY80" s="1718"/>
      <c r="TYZ80" s="1718"/>
      <c r="TZA80" s="1718"/>
      <c r="TZB80" s="246"/>
      <c r="TZC80" s="246" t="str">
        <f>BS!$D$5</f>
        <v>31 March 2026</v>
      </c>
      <c r="TZD80" s="247" t="str">
        <f>BS!$E$5</f>
        <v>31 March 2025</v>
      </c>
      <c r="TZE80" s="1717"/>
      <c r="TZF80" s="1718"/>
      <c r="TZG80" s="1718"/>
      <c r="TZH80" s="1718"/>
      <c r="TZI80" s="1718"/>
      <c r="TZJ80" s="246"/>
      <c r="TZK80" s="246" t="str">
        <f>BS!$D$5</f>
        <v>31 March 2026</v>
      </c>
      <c r="TZL80" s="247" t="str">
        <f>BS!$E$5</f>
        <v>31 March 2025</v>
      </c>
      <c r="TZM80" s="1717"/>
      <c r="TZN80" s="1718"/>
      <c r="TZO80" s="1718"/>
      <c r="TZP80" s="1718"/>
      <c r="TZQ80" s="1718"/>
      <c r="TZR80" s="246"/>
      <c r="TZS80" s="246" t="str">
        <f>BS!$D$5</f>
        <v>31 March 2026</v>
      </c>
      <c r="TZT80" s="247" t="str">
        <f>BS!$E$5</f>
        <v>31 March 2025</v>
      </c>
      <c r="TZU80" s="1717"/>
      <c r="TZV80" s="1718"/>
      <c r="TZW80" s="1718"/>
      <c r="TZX80" s="1718"/>
      <c r="TZY80" s="1718"/>
      <c r="TZZ80" s="246"/>
      <c r="UAA80" s="246" t="str">
        <f>BS!$D$5</f>
        <v>31 March 2026</v>
      </c>
      <c r="UAB80" s="247" t="str">
        <f>BS!$E$5</f>
        <v>31 March 2025</v>
      </c>
      <c r="UAC80" s="1717"/>
      <c r="UAD80" s="1718"/>
      <c r="UAE80" s="1718"/>
      <c r="UAF80" s="1718"/>
      <c r="UAG80" s="1718"/>
      <c r="UAH80" s="246"/>
      <c r="UAI80" s="246" t="str">
        <f>BS!$D$5</f>
        <v>31 March 2026</v>
      </c>
      <c r="UAJ80" s="247" t="str">
        <f>BS!$E$5</f>
        <v>31 March 2025</v>
      </c>
      <c r="UAK80" s="1717"/>
      <c r="UAL80" s="1718"/>
      <c r="UAM80" s="1718"/>
      <c r="UAN80" s="1718"/>
      <c r="UAO80" s="1718"/>
      <c r="UAP80" s="246"/>
      <c r="UAQ80" s="246" t="str">
        <f>BS!$D$5</f>
        <v>31 March 2026</v>
      </c>
      <c r="UAR80" s="247" t="str">
        <f>BS!$E$5</f>
        <v>31 March 2025</v>
      </c>
      <c r="UAS80" s="1717"/>
      <c r="UAT80" s="1718"/>
      <c r="UAU80" s="1718"/>
      <c r="UAV80" s="1718"/>
      <c r="UAW80" s="1718"/>
      <c r="UAX80" s="246"/>
      <c r="UAY80" s="246" t="str">
        <f>BS!$D$5</f>
        <v>31 March 2026</v>
      </c>
      <c r="UAZ80" s="247" t="str">
        <f>BS!$E$5</f>
        <v>31 March 2025</v>
      </c>
      <c r="UBA80" s="1717"/>
      <c r="UBB80" s="1718"/>
      <c r="UBC80" s="1718"/>
      <c r="UBD80" s="1718"/>
      <c r="UBE80" s="1718"/>
      <c r="UBF80" s="246"/>
      <c r="UBG80" s="246" t="str">
        <f>BS!$D$5</f>
        <v>31 March 2026</v>
      </c>
      <c r="UBH80" s="247" t="str">
        <f>BS!$E$5</f>
        <v>31 March 2025</v>
      </c>
      <c r="UBI80" s="1717"/>
      <c r="UBJ80" s="1718"/>
      <c r="UBK80" s="1718"/>
      <c r="UBL80" s="1718"/>
      <c r="UBM80" s="1718"/>
      <c r="UBN80" s="246"/>
      <c r="UBO80" s="246" t="str">
        <f>BS!$D$5</f>
        <v>31 March 2026</v>
      </c>
      <c r="UBP80" s="247" t="str">
        <f>BS!$E$5</f>
        <v>31 March 2025</v>
      </c>
      <c r="UBQ80" s="1717"/>
      <c r="UBR80" s="1718"/>
      <c r="UBS80" s="1718"/>
      <c r="UBT80" s="1718"/>
      <c r="UBU80" s="1718"/>
      <c r="UBV80" s="246"/>
      <c r="UBW80" s="246" t="str">
        <f>BS!$D$5</f>
        <v>31 March 2026</v>
      </c>
      <c r="UBX80" s="247" t="str">
        <f>BS!$E$5</f>
        <v>31 March 2025</v>
      </c>
      <c r="UBY80" s="1717"/>
      <c r="UBZ80" s="1718"/>
      <c r="UCA80" s="1718"/>
      <c r="UCB80" s="1718"/>
      <c r="UCC80" s="1718"/>
      <c r="UCD80" s="246"/>
      <c r="UCE80" s="246" t="str">
        <f>BS!$D$5</f>
        <v>31 March 2026</v>
      </c>
      <c r="UCF80" s="247" t="str">
        <f>BS!$E$5</f>
        <v>31 March 2025</v>
      </c>
      <c r="UCG80" s="1717"/>
      <c r="UCH80" s="1718"/>
      <c r="UCI80" s="1718"/>
      <c r="UCJ80" s="1718"/>
      <c r="UCK80" s="1718"/>
      <c r="UCL80" s="246"/>
      <c r="UCM80" s="246" t="str">
        <f>BS!$D$5</f>
        <v>31 March 2026</v>
      </c>
      <c r="UCN80" s="247" t="str">
        <f>BS!$E$5</f>
        <v>31 March 2025</v>
      </c>
      <c r="UCO80" s="1717"/>
      <c r="UCP80" s="1718"/>
      <c r="UCQ80" s="1718"/>
      <c r="UCR80" s="1718"/>
      <c r="UCS80" s="1718"/>
      <c r="UCT80" s="246"/>
      <c r="UCU80" s="246" t="str">
        <f>BS!$D$5</f>
        <v>31 March 2026</v>
      </c>
      <c r="UCV80" s="247" t="str">
        <f>BS!$E$5</f>
        <v>31 March 2025</v>
      </c>
      <c r="UCW80" s="1717"/>
      <c r="UCX80" s="1718"/>
      <c r="UCY80" s="1718"/>
      <c r="UCZ80" s="1718"/>
      <c r="UDA80" s="1718"/>
      <c r="UDB80" s="246"/>
      <c r="UDC80" s="246" t="str">
        <f>BS!$D$5</f>
        <v>31 March 2026</v>
      </c>
      <c r="UDD80" s="247" t="str">
        <f>BS!$E$5</f>
        <v>31 March 2025</v>
      </c>
      <c r="UDE80" s="1717"/>
      <c r="UDF80" s="1718"/>
      <c r="UDG80" s="1718"/>
      <c r="UDH80" s="1718"/>
      <c r="UDI80" s="1718"/>
      <c r="UDJ80" s="246"/>
      <c r="UDK80" s="246" t="str">
        <f>BS!$D$5</f>
        <v>31 March 2026</v>
      </c>
      <c r="UDL80" s="247" t="str">
        <f>BS!$E$5</f>
        <v>31 March 2025</v>
      </c>
      <c r="UDM80" s="1717"/>
      <c r="UDN80" s="1718"/>
      <c r="UDO80" s="1718"/>
      <c r="UDP80" s="1718"/>
      <c r="UDQ80" s="1718"/>
      <c r="UDR80" s="246"/>
      <c r="UDS80" s="246" t="str">
        <f>BS!$D$5</f>
        <v>31 March 2026</v>
      </c>
      <c r="UDT80" s="247" t="str">
        <f>BS!$E$5</f>
        <v>31 March 2025</v>
      </c>
      <c r="UDU80" s="1717"/>
      <c r="UDV80" s="1718"/>
      <c r="UDW80" s="1718"/>
      <c r="UDX80" s="1718"/>
      <c r="UDY80" s="1718"/>
      <c r="UDZ80" s="246"/>
      <c r="UEA80" s="246" t="str">
        <f>BS!$D$5</f>
        <v>31 March 2026</v>
      </c>
      <c r="UEB80" s="247" t="str">
        <f>BS!$E$5</f>
        <v>31 March 2025</v>
      </c>
      <c r="UEC80" s="1717"/>
      <c r="UED80" s="1718"/>
      <c r="UEE80" s="1718"/>
      <c r="UEF80" s="1718"/>
      <c r="UEG80" s="1718"/>
      <c r="UEH80" s="246"/>
      <c r="UEI80" s="246" t="str">
        <f>BS!$D$5</f>
        <v>31 March 2026</v>
      </c>
      <c r="UEJ80" s="247" t="str">
        <f>BS!$E$5</f>
        <v>31 March 2025</v>
      </c>
      <c r="UEK80" s="1717"/>
      <c r="UEL80" s="1718"/>
      <c r="UEM80" s="1718"/>
      <c r="UEN80" s="1718"/>
      <c r="UEO80" s="1718"/>
      <c r="UEP80" s="246"/>
      <c r="UEQ80" s="246" t="str">
        <f>BS!$D$5</f>
        <v>31 March 2026</v>
      </c>
      <c r="UER80" s="247" t="str">
        <f>BS!$E$5</f>
        <v>31 March 2025</v>
      </c>
      <c r="UES80" s="1717"/>
      <c r="UET80" s="1718"/>
      <c r="UEU80" s="1718"/>
      <c r="UEV80" s="1718"/>
      <c r="UEW80" s="1718"/>
      <c r="UEX80" s="246"/>
      <c r="UEY80" s="246" t="str">
        <f>BS!$D$5</f>
        <v>31 March 2026</v>
      </c>
      <c r="UEZ80" s="247" t="str">
        <f>BS!$E$5</f>
        <v>31 March 2025</v>
      </c>
      <c r="UFA80" s="1717"/>
      <c r="UFB80" s="1718"/>
      <c r="UFC80" s="1718"/>
      <c r="UFD80" s="1718"/>
      <c r="UFE80" s="1718"/>
      <c r="UFF80" s="246"/>
      <c r="UFG80" s="246" t="str">
        <f>BS!$D$5</f>
        <v>31 March 2026</v>
      </c>
      <c r="UFH80" s="247" t="str">
        <f>BS!$E$5</f>
        <v>31 March 2025</v>
      </c>
      <c r="UFI80" s="1717"/>
      <c r="UFJ80" s="1718"/>
      <c r="UFK80" s="1718"/>
      <c r="UFL80" s="1718"/>
      <c r="UFM80" s="1718"/>
      <c r="UFN80" s="246"/>
      <c r="UFO80" s="246" t="str">
        <f>BS!$D$5</f>
        <v>31 March 2026</v>
      </c>
      <c r="UFP80" s="247" t="str">
        <f>BS!$E$5</f>
        <v>31 March 2025</v>
      </c>
      <c r="UFQ80" s="1717"/>
      <c r="UFR80" s="1718"/>
      <c r="UFS80" s="1718"/>
      <c r="UFT80" s="1718"/>
      <c r="UFU80" s="1718"/>
      <c r="UFV80" s="246"/>
      <c r="UFW80" s="246" t="str">
        <f>BS!$D$5</f>
        <v>31 March 2026</v>
      </c>
      <c r="UFX80" s="247" t="str">
        <f>BS!$E$5</f>
        <v>31 March 2025</v>
      </c>
      <c r="UFY80" s="1717"/>
      <c r="UFZ80" s="1718"/>
      <c r="UGA80" s="1718"/>
      <c r="UGB80" s="1718"/>
      <c r="UGC80" s="1718"/>
      <c r="UGD80" s="246"/>
      <c r="UGE80" s="246" t="str">
        <f>BS!$D$5</f>
        <v>31 March 2026</v>
      </c>
      <c r="UGF80" s="247" t="str">
        <f>BS!$E$5</f>
        <v>31 March 2025</v>
      </c>
      <c r="UGG80" s="1717"/>
      <c r="UGH80" s="1718"/>
      <c r="UGI80" s="1718"/>
      <c r="UGJ80" s="1718"/>
      <c r="UGK80" s="1718"/>
      <c r="UGL80" s="246"/>
      <c r="UGM80" s="246" t="str">
        <f>BS!$D$5</f>
        <v>31 March 2026</v>
      </c>
      <c r="UGN80" s="247" t="str">
        <f>BS!$E$5</f>
        <v>31 March 2025</v>
      </c>
      <c r="UGO80" s="1717"/>
      <c r="UGP80" s="1718"/>
      <c r="UGQ80" s="1718"/>
      <c r="UGR80" s="1718"/>
      <c r="UGS80" s="1718"/>
      <c r="UGT80" s="246"/>
      <c r="UGU80" s="246" t="str">
        <f>BS!$D$5</f>
        <v>31 March 2026</v>
      </c>
      <c r="UGV80" s="247" t="str">
        <f>BS!$E$5</f>
        <v>31 March 2025</v>
      </c>
      <c r="UGW80" s="1717"/>
      <c r="UGX80" s="1718"/>
      <c r="UGY80" s="1718"/>
      <c r="UGZ80" s="1718"/>
      <c r="UHA80" s="1718"/>
      <c r="UHB80" s="246"/>
      <c r="UHC80" s="246" t="str">
        <f>BS!$D$5</f>
        <v>31 March 2026</v>
      </c>
      <c r="UHD80" s="247" t="str">
        <f>BS!$E$5</f>
        <v>31 March 2025</v>
      </c>
      <c r="UHE80" s="1717"/>
      <c r="UHF80" s="1718"/>
      <c r="UHG80" s="1718"/>
      <c r="UHH80" s="1718"/>
      <c r="UHI80" s="1718"/>
      <c r="UHJ80" s="246"/>
      <c r="UHK80" s="246" t="str">
        <f>BS!$D$5</f>
        <v>31 March 2026</v>
      </c>
      <c r="UHL80" s="247" t="str">
        <f>BS!$E$5</f>
        <v>31 March 2025</v>
      </c>
      <c r="UHM80" s="1717"/>
      <c r="UHN80" s="1718"/>
      <c r="UHO80" s="1718"/>
      <c r="UHP80" s="1718"/>
      <c r="UHQ80" s="1718"/>
      <c r="UHR80" s="246"/>
      <c r="UHS80" s="246" t="str">
        <f>BS!$D$5</f>
        <v>31 March 2026</v>
      </c>
      <c r="UHT80" s="247" t="str">
        <f>BS!$E$5</f>
        <v>31 March 2025</v>
      </c>
      <c r="UHU80" s="1717"/>
      <c r="UHV80" s="1718"/>
      <c r="UHW80" s="1718"/>
      <c r="UHX80" s="1718"/>
      <c r="UHY80" s="1718"/>
      <c r="UHZ80" s="246"/>
      <c r="UIA80" s="246" t="str">
        <f>BS!$D$5</f>
        <v>31 March 2026</v>
      </c>
      <c r="UIB80" s="247" t="str">
        <f>BS!$E$5</f>
        <v>31 March 2025</v>
      </c>
      <c r="UIC80" s="1717"/>
      <c r="UID80" s="1718"/>
      <c r="UIE80" s="1718"/>
      <c r="UIF80" s="1718"/>
      <c r="UIG80" s="1718"/>
      <c r="UIH80" s="246"/>
      <c r="UII80" s="246" t="str">
        <f>BS!$D$5</f>
        <v>31 March 2026</v>
      </c>
      <c r="UIJ80" s="247" t="str">
        <f>BS!$E$5</f>
        <v>31 March 2025</v>
      </c>
      <c r="UIK80" s="1717"/>
      <c r="UIL80" s="1718"/>
      <c r="UIM80" s="1718"/>
      <c r="UIN80" s="1718"/>
      <c r="UIO80" s="1718"/>
      <c r="UIP80" s="246"/>
      <c r="UIQ80" s="246" t="str">
        <f>BS!$D$5</f>
        <v>31 March 2026</v>
      </c>
      <c r="UIR80" s="247" t="str">
        <f>BS!$E$5</f>
        <v>31 March 2025</v>
      </c>
      <c r="UIS80" s="1717"/>
      <c r="UIT80" s="1718"/>
      <c r="UIU80" s="1718"/>
      <c r="UIV80" s="1718"/>
      <c r="UIW80" s="1718"/>
      <c r="UIX80" s="246"/>
      <c r="UIY80" s="246" t="str">
        <f>BS!$D$5</f>
        <v>31 March 2026</v>
      </c>
      <c r="UIZ80" s="247" t="str">
        <f>BS!$E$5</f>
        <v>31 March 2025</v>
      </c>
      <c r="UJA80" s="1717"/>
      <c r="UJB80" s="1718"/>
      <c r="UJC80" s="1718"/>
      <c r="UJD80" s="1718"/>
      <c r="UJE80" s="1718"/>
      <c r="UJF80" s="246"/>
      <c r="UJG80" s="246" t="str">
        <f>BS!$D$5</f>
        <v>31 March 2026</v>
      </c>
      <c r="UJH80" s="247" t="str">
        <f>BS!$E$5</f>
        <v>31 March 2025</v>
      </c>
      <c r="UJI80" s="1717"/>
      <c r="UJJ80" s="1718"/>
      <c r="UJK80" s="1718"/>
      <c r="UJL80" s="1718"/>
      <c r="UJM80" s="1718"/>
      <c r="UJN80" s="246"/>
      <c r="UJO80" s="246" t="str">
        <f>BS!$D$5</f>
        <v>31 March 2026</v>
      </c>
      <c r="UJP80" s="247" t="str">
        <f>BS!$E$5</f>
        <v>31 March 2025</v>
      </c>
      <c r="UJQ80" s="1717"/>
      <c r="UJR80" s="1718"/>
      <c r="UJS80" s="1718"/>
      <c r="UJT80" s="1718"/>
      <c r="UJU80" s="1718"/>
      <c r="UJV80" s="246"/>
      <c r="UJW80" s="246" t="str">
        <f>BS!$D$5</f>
        <v>31 March 2026</v>
      </c>
      <c r="UJX80" s="247" t="str">
        <f>BS!$E$5</f>
        <v>31 March 2025</v>
      </c>
      <c r="UJY80" s="1717"/>
      <c r="UJZ80" s="1718"/>
      <c r="UKA80" s="1718"/>
      <c r="UKB80" s="1718"/>
      <c r="UKC80" s="1718"/>
      <c r="UKD80" s="246"/>
      <c r="UKE80" s="246" t="str">
        <f>BS!$D$5</f>
        <v>31 March 2026</v>
      </c>
      <c r="UKF80" s="247" t="str">
        <f>BS!$E$5</f>
        <v>31 March 2025</v>
      </c>
      <c r="UKG80" s="1717"/>
      <c r="UKH80" s="1718"/>
      <c r="UKI80" s="1718"/>
      <c r="UKJ80" s="1718"/>
      <c r="UKK80" s="1718"/>
      <c r="UKL80" s="246"/>
      <c r="UKM80" s="246" t="str">
        <f>BS!$D$5</f>
        <v>31 March 2026</v>
      </c>
      <c r="UKN80" s="247" t="str">
        <f>BS!$E$5</f>
        <v>31 March 2025</v>
      </c>
      <c r="UKO80" s="1717"/>
      <c r="UKP80" s="1718"/>
      <c r="UKQ80" s="1718"/>
      <c r="UKR80" s="1718"/>
      <c r="UKS80" s="1718"/>
      <c r="UKT80" s="246"/>
      <c r="UKU80" s="246" t="str">
        <f>BS!$D$5</f>
        <v>31 March 2026</v>
      </c>
      <c r="UKV80" s="247" t="str">
        <f>BS!$E$5</f>
        <v>31 March 2025</v>
      </c>
      <c r="UKW80" s="1717"/>
      <c r="UKX80" s="1718"/>
      <c r="UKY80" s="1718"/>
      <c r="UKZ80" s="1718"/>
      <c r="ULA80" s="1718"/>
      <c r="ULB80" s="246"/>
      <c r="ULC80" s="246" t="str">
        <f>BS!$D$5</f>
        <v>31 March 2026</v>
      </c>
      <c r="ULD80" s="247" t="str">
        <f>BS!$E$5</f>
        <v>31 March 2025</v>
      </c>
      <c r="ULE80" s="1717"/>
      <c r="ULF80" s="1718"/>
      <c r="ULG80" s="1718"/>
      <c r="ULH80" s="1718"/>
      <c r="ULI80" s="1718"/>
      <c r="ULJ80" s="246"/>
      <c r="ULK80" s="246" t="str">
        <f>BS!$D$5</f>
        <v>31 March 2026</v>
      </c>
      <c r="ULL80" s="247" t="str">
        <f>BS!$E$5</f>
        <v>31 March 2025</v>
      </c>
      <c r="ULM80" s="1717"/>
      <c r="ULN80" s="1718"/>
      <c r="ULO80" s="1718"/>
      <c r="ULP80" s="1718"/>
      <c r="ULQ80" s="1718"/>
      <c r="ULR80" s="246"/>
      <c r="ULS80" s="246" t="str">
        <f>BS!$D$5</f>
        <v>31 March 2026</v>
      </c>
      <c r="ULT80" s="247" t="str">
        <f>BS!$E$5</f>
        <v>31 March 2025</v>
      </c>
      <c r="ULU80" s="1717"/>
      <c r="ULV80" s="1718"/>
      <c r="ULW80" s="1718"/>
      <c r="ULX80" s="1718"/>
      <c r="ULY80" s="1718"/>
      <c r="ULZ80" s="246"/>
      <c r="UMA80" s="246" t="str">
        <f>BS!$D$5</f>
        <v>31 March 2026</v>
      </c>
      <c r="UMB80" s="247" t="str">
        <f>BS!$E$5</f>
        <v>31 March 2025</v>
      </c>
      <c r="UMC80" s="1717"/>
      <c r="UMD80" s="1718"/>
      <c r="UME80" s="1718"/>
      <c r="UMF80" s="1718"/>
      <c r="UMG80" s="1718"/>
      <c r="UMH80" s="246"/>
      <c r="UMI80" s="246" t="str">
        <f>BS!$D$5</f>
        <v>31 March 2026</v>
      </c>
      <c r="UMJ80" s="247" t="str">
        <f>BS!$E$5</f>
        <v>31 March 2025</v>
      </c>
      <c r="UMK80" s="1717"/>
      <c r="UML80" s="1718"/>
      <c r="UMM80" s="1718"/>
      <c r="UMN80" s="1718"/>
      <c r="UMO80" s="1718"/>
      <c r="UMP80" s="246"/>
      <c r="UMQ80" s="246" t="str">
        <f>BS!$D$5</f>
        <v>31 March 2026</v>
      </c>
      <c r="UMR80" s="247" t="str">
        <f>BS!$E$5</f>
        <v>31 March 2025</v>
      </c>
      <c r="UMS80" s="1717"/>
      <c r="UMT80" s="1718"/>
      <c r="UMU80" s="1718"/>
      <c r="UMV80" s="1718"/>
      <c r="UMW80" s="1718"/>
      <c r="UMX80" s="246"/>
      <c r="UMY80" s="246" t="str">
        <f>BS!$D$5</f>
        <v>31 March 2026</v>
      </c>
      <c r="UMZ80" s="247" t="str">
        <f>BS!$E$5</f>
        <v>31 March 2025</v>
      </c>
      <c r="UNA80" s="1717"/>
      <c r="UNB80" s="1718"/>
      <c r="UNC80" s="1718"/>
      <c r="UND80" s="1718"/>
      <c r="UNE80" s="1718"/>
      <c r="UNF80" s="246"/>
      <c r="UNG80" s="246" t="str">
        <f>BS!$D$5</f>
        <v>31 March 2026</v>
      </c>
      <c r="UNH80" s="247" t="str">
        <f>BS!$E$5</f>
        <v>31 March 2025</v>
      </c>
      <c r="UNI80" s="1717"/>
      <c r="UNJ80" s="1718"/>
      <c r="UNK80" s="1718"/>
      <c r="UNL80" s="1718"/>
      <c r="UNM80" s="1718"/>
      <c r="UNN80" s="246"/>
      <c r="UNO80" s="246" t="str">
        <f>BS!$D$5</f>
        <v>31 March 2026</v>
      </c>
      <c r="UNP80" s="247" t="str">
        <f>BS!$E$5</f>
        <v>31 March 2025</v>
      </c>
      <c r="UNQ80" s="1717"/>
      <c r="UNR80" s="1718"/>
      <c r="UNS80" s="1718"/>
      <c r="UNT80" s="1718"/>
      <c r="UNU80" s="1718"/>
      <c r="UNV80" s="246"/>
      <c r="UNW80" s="246" t="str">
        <f>BS!$D$5</f>
        <v>31 March 2026</v>
      </c>
      <c r="UNX80" s="247" t="str">
        <f>BS!$E$5</f>
        <v>31 March 2025</v>
      </c>
      <c r="UNY80" s="1717"/>
      <c r="UNZ80" s="1718"/>
      <c r="UOA80" s="1718"/>
      <c r="UOB80" s="1718"/>
      <c r="UOC80" s="1718"/>
      <c r="UOD80" s="246"/>
      <c r="UOE80" s="246" t="str">
        <f>BS!$D$5</f>
        <v>31 March 2026</v>
      </c>
      <c r="UOF80" s="247" t="str">
        <f>BS!$E$5</f>
        <v>31 March 2025</v>
      </c>
      <c r="UOG80" s="1717"/>
      <c r="UOH80" s="1718"/>
      <c r="UOI80" s="1718"/>
      <c r="UOJ80" s="1718"/>
      <c r="UOK80" s="1718"/>
      <c r="UOL80" s="246"/>
      <c r="UOM80" s="246" t="str">
        <f>BS!$D$5</f>
        <v>31 March 2026</v>
      </c>
      <c r="UON80" s="247" t="str">
        <f>BS!$E$5</f>
        <v>31 March 2025</v>
      </c>
      <c r="UOO80" s="1717"/>
      <c r="UOP80" s="1718"/>
      <c r="UOQ80" s="1718"/>
      <c r="UOR80" s="1718"/>
      <c r="UOS80" s="1718"/>
      <c r="UOT80" s="246"/>
      <c r="UOU80" s="246" t="str">
        <f>BS!$D$5</f>
        <v>31 March 2026</v>
      </c>
      <c r="UOV80" s="247" t="str">
        <f>BS!$E$5</f>
        <v>31 March 2025</v>
      </c>
      <c r="UOW80" s="1717"/>
      <c r="UOX80" s="1718"/>
      <c r="UOY80" s="1718"/>
      <c r="UOZ80" s="1718"/>
      <c r="UPA80" s="1718"/>
      <c r="UPB80" s="246"/>
      <c r="UPC80" s="246" t="str">
        <f>BS!$D$5</f>
        <v>31 March 2026</v>
      </c>
      <c r="UPD80" s="247" t="str">
        <f>BS!$E$5</f>
        <v>31 March 2025</v>
      </c>
      <c r="UPE80" s="1717"/>
      <c r="UPF80" s="1718"/>
      <c r="UPG80" s="1718"/>
      <c r="UPH80" s="1718"/>
      <c r="UPI80" s="1718"/>
      <c r="UPJ80" s="246"/>
      <c r="UPK80" s="246" t="str">
        <f>BS!$D$5</f>
        <v>31 March 2026</v>
      </c>
      <c r="UPL80" s="247" t="str">
        <f>BS!$E$5</f>
        <v>31 March 2025</v>
      </c>
      <c r="UPM80" s="1717"/>
      <c r="UPN80" s="1718"/>
      <c r="UPO80" s="1718"/>
      <c r="UPP80" s="1718"/>
      <c r="UPQ80" s="1718"/>
      <c r="UPR80" s="246"/>
      <c r="UPS80" s="246" t="str">
        <f>BS!$D$5</f>
        <v>31 March 2026</v>
      </c>
      <c r="UPT80" s="247" t="str">
        <f>BS!$E$5</f>
        <v>31 March 2025</v>
      </c>
      <c r="UPU80" s="1717"/>
      <c r="UPV80" s="1718"/>
      <c r="UPW80" s="1718"/>
      <c r="UPX80" s="1718"/>
      <c r="UPY80" s="1718"/>
      <c r="UPZ80" s="246"/>
      <c r="UQA80" s="246" t="str">
        <f>BS!$D$5</f>
        <v>31 March 2026</v>
      </c>
      <c r="UQB80" s="247" t="str">
        <f>BS!$E$5</f>
        <v>31 March 2025</v>
      </c>
      <c r="UQC80" s="1717"/>
      <c r="UQD80" s="1718"/>
      <c r="UQE80" s="1718"/>
      <c r="UQF80" s="1718"/>
      <c r="UQG80" s="1718"/>
      <c r="UQH80" s="246"/>
      <c r="UQI80" s="246" t="str">
        <f>BS!$D$5</f>
        <v>31 March 2026</v>
      </c>
      <c r="UQJ80" s="247" t="str">
        <f>BS!$E$5</f>
        <v>31 March 2025</v>
      </c>
      <c r="UQK80" s="1717"/>
      <c r="UQL80" s="1718"/>
      <c r="UQM80" s="1718"/>
      <c r="UQN80" s="1718"/>
      <c r="UQO80" s="1718"/>
      <c r="UQP80" s="246"/>
      <c r="UQQ80" s="246" t="str">
        <f>BS!$D$5</f>
        <v>31 March 2026</v>
      </c>
      <c r="UQR80" s="247" t="str">
        <f>BS!$E$5</f>
        <v>31 March 2025</v>
      </c>
      <c r="UQS80" s="1717"/>
      <c r="UQT80" s="1718"/>
      <c r="UQU80" s="1718"/>
      <c r="UQV80" s="1718"/>
      <c r="UQW80" s="1718"/>
      <c r="UQX80" s="246"/>
      <c r="UQY80" s="246" t="str">
        <f>BS!$D$5</f>
        <v>31 March 2026</v>
      </c>
      <c r="UQZ80" s="247" t="str">
        <f>BS!$E$5</f>
        <v>31 March 2025</v>
      </c>
      <c r="URA80" s="1717"/>
      <c r="URB80" s="1718"/>
      <c r="URC80" s="1718"/>
      <c r="URD80" s="1718"/>
      <c r="URE80" s="1718"/>
      <c r="URF80" s="246"/>
      <c r="URG80" s="246" t="str">
        <f>BS!$D$5</f>
        <v>31 March 2026</v>
      </c>
      <c r="URH80" s="247" t="str">
        <f>BS!$E$5</f>
        <v>31 March 2025</v>
      </c>
      <c r="URI80" s="1717"/>
      <c r="URJ80" s="1718"/>
      <c r="URK80" s="1718"/>
      <c r="URL80" s="1718"/>
      <c r="URM80" s="1718"/>
      <c r="URN80" s="246"/>
      <c r="URO80" s="246" t="str">
        <f>BS!$D$5</f>
        <v>31 March 2026</v>
      </c>
      <c r="URP80" s="247" t="str">
        <f>BS!$E$5</f>
        <v>31 March 2025</v>
      </c>
      <c r="URQ80" s="1717"/>
      <c r="URR80" s="1718"/>
      <c r="URS80" s="1718"/>
      <c r="URT80" s="1718"/>
      <c r="URU80" s="1718"/>
      <c r="URV80" s="246"/>
      <c r="URW80" s="246" t="str">
        <f>BS!$D$5</f>
        <v>31 March 2026</v>
      </c>
      <c r="URX80" s="247" t="str">
        <f>BS!$E$5</f>
        <v>31 March 2025</v>
      </c>
      <c r="URY80" s="1717"/>
      <c r="URZ80" s="1718"/>
      <c r="USA80" s="1718"/>
      <c r="USB80" s="1718"/>
      <c r="USC80" s="1718"/>
      <c r="USD80" s="246"/>
      <c r="USE80" s="246" t="str">
        <f>BS!$D$5</f>
        <v>31 March 2026</v>
      </c>
      <c r="USF80" s="247" t="str">
        <f>BS!$E$5</f>
        <v>31 March 2025</v>
      </c>
      <c r="USG80" s="1717"/>
      <c r="USH80" s="1718"/>
      <c r="USI80" s="1718"/>
      <c r="USJ80" s="1718"/>
      <c r="USK80" s="1718"/>
      <c r="USL80" s="246"/>
      <c r="USM80" s="246" t="str">
        <f>BS!$D$5</f>
        <v>31 March 2026</v>
      </c>
      <c r="USN80" s="247" t="str">
        <f>BS!$E$5</f>
        <v>31 March 2025</v>
      </c>
      <c r="USO80" s="1717"/>
      <c r="USP80" s="1718"/>
      <c r="USQ80" s="1718"/>
      <c r="USR80" s="1718"/>
      <c r="USS80" s="1718"/>
      <c r="UST80" s="246"/>
      <c r="USU80" s="246" t="str">
        <f>BS!$D$5</f>
        <v>31 March 2026</v>
      </c>
      <c r="USV80" s="247" t="str">
        <f>BS!$E$5</f>
        <v>31 March 2025</v>
      </c>
      <c r="USW80" s="1717"/>
      <c r="USX80" s="1718"/>
      <c r="USY80" s="1718"/>
      <c r="USZ80" s="1718"/>
      <c r="UTA80" s="1718"/>
      <c r="UTB80" s="246"/>
      <c r="UTC80" s="246" t="str">
        <f>BS!$D$5</f>
        <v>31 March 2026</v>
      </c>
      <c r="UTD80" s="247" t="str">
        <f>BS!$E$5</f>
        <v>31 March 2025</v>
      </c>
      <c r="UTE80" s="1717"/>
      <c r="UTF80" s="1718"/>
      <c r="UTG80" s="1718"/>
      <c r="UTH80" s="1718"/>
      <c r="UTI80" s="1718"/>
      <c r="UTJ80" s="246"/>
      <c r="UTK80" s="246" t="str">
        <f>BS!$D$5</f>
        <v>31 March 2026</v>
      </c>
      <c r="UTL80" s="247" t="str">
        <f>BS!$E$5</f>
        <v>31 March 2025</v>
      </c>
      <c r="UTM80" s="1717"/>
      <c r="UTN80" s="1718"/>
      <c r="UTO80" s="1718"/>
      <c r="UTP80" s="1718"/>
      <c r="UTQ80" s="1718"/>
      <c r="UTR80" s="246"/>
      <c r="UTS80" s="246" t="str">
        <f>BS!$D$5</f>
        <v>31 March 2026</v>
      </c>
      <c r="UTT80" s="247" t="str">
        <f>BS!$E$5</f>
        <v>31 March 2025</v>
      </c>
      <c r="UTU80" s="1717"/>
      <c r="UTV80" s="1718"/>
      <c r="UTW80" s="1718"/>
      <c r="UTX80" s="1718"/>
      <c r="UTY80" s="1718"/>
      <c r="UTZ80" s="246"/>
      <c r="UUA80" s="246" t="str">
        <f>BS!$D$5</f>
        <v>31 March 2026</v>
      </c>
      <c r="UUB80" s="247" t="str">
        <f>BS!$E$5</f>
        <v>31 March 2025</v>
      </c>
      <c r="UUC80" s="1717"/>
      <c r="UUD80" s="1718"/>
      <c r="UUE80" s="1718"/>
      <c r="UUF80" s="1718"/>
      <c r="UUG80" s="1718"/>
      <c r="UUH80" s="246"/>
      <c r="UUI80" s="246" t="str">
        <f>BS!$D$5</f>
        <v>31 March 2026</v>
      </c>
      <c r="UUJ80" s="247" t="str">
        <f>BS!$E$5</f>
        <v>31 March 2025</v>
      </c>
      <c r="UUK80" s="1717"/>
      <c r="UUL80" s="1718"/>
      <c r="UUM80" s="1718"/>
      <c r="UUN80" s="1718"/>
      <c r="UUO80" s="1718"/>
      <c r="UUP80" s="246"/>
      <c r="UUQ80" s="246" t="str">
        <f>BS!$D$5</f>
        <v>31 March 2026</v>
      </c>
      <c r="UUR80" s="247" t="str">
        <f>BS!$E$5</f>
        <v>31 March 2025</v>
      </c>
      <c r="UUS80" s="1717"/>
      <c r="UUT80" s="1718"/>
      <c r="UUU80" s="1718"/>
      <c r="UUV80" s="1718"/>
      <c r="UUW80" s="1718"/>
      <c r="UUX80" s="246"/>
      <c r="UUY80" s="246" t="str">
        <f>BS!$D$5</f>
        <v>31 March 2026</v>
      </c>
      <c r="UUZ80" s="247" t="str">
        <f>BS!$E$5</f>
        <v>31 March 2025</v>
      </c>
      <c r="UVA80" s="1717"/>
      <c r="UVB80" s="1718"/>
      <c r="UVC80" s="1718"/>
      <c r="UVD80" s="1718"/>
      <c r="UVE80" s="1718"/>
      <c r="UVF80" s="246"/>
      <c r="UVG80" s="246" t="str">
        <f>BS!$D$5</f>
        <v>31 March 2026</v>
      </c>
      <c r="UVH80" s="247" t="str">
        <f>BS!$E$5</f>
        <v>31 March 2025</v>
      </c>
      <c r="UVI80" s="1717"/>
      <c r="UVJ80" s="1718"/>
      <c r="UVK80" s="1718"/>
      <c r="UVL80" s="1718"/>
      <c r="UVM80" s="1718"/>
      <c r="UVN80" s="246"/>
      <c r="UVO80" s="246" t="str">
        <f>BS!$D$5</f>
        <v>31 March 2026</v>
      </c>
      <c r="UVP80" s="247" t="str">
        <f>BS!$E$5</f>
        <v>31 March 2025</v>
      </c>
      <c r="UVQ80" s="1717"/>
      <c r="UVR80" s="1718"/>
      <c r="UVS80" s="1718"/>
      <c r="UVT80" s="1718"/>
      <c r="UVU80" s="1718"/>
      <c r="UVV80" s="246"/>
      <c r="UVW80" s="246" t="str">
        <f>BS!$D$5</f>
        <v>31 March 2026</v>
      </c>
      <c r="UVX80" s="247" t="str">
        <f>BS!$E$5</f>
        <v>31 March 2025</v>
      </c>
      <c r="UVY80" s="1717"/>
      <c r="UVZ80" s="1718"/>
      <c r="UWA80" s="1718"/>
      <c r="UWB80" s="1718"/>
      <c r="UWC80" s="1718"/>
      <c r="UWD80" s="246"/>
      <c r="UWE80" s="246" t="str">
        <f>BS!$D$5</f>
        <v>31 March 2026</v>
      </c>
      <c r="UWF80" s="247" t="str">
        <f>BS!$E$5</f>
        <v>31 March 2025</v>
      </c>
      <c r="UWG80" s="1717"/>
      <c r="UWH80" s="1718"/>
      <c r="UWI80" s="1718"/>
      <c r="UWJ80" s="1718"/>
      <c r="UWK80" s="1718"/>
      <c r="UWL80" s="246"/>
      <c r="UWM80" s="246" t="str">
        <f>BS!$D$5</f>
        <v>31 March 2026</v>
      </c>
      <c r="UWN80" s="247" t="str">
        <f>BS!$E$5</f>
        <v>31 March 2025</v>
      </c>
      <c r="UWO80" s="1717"/>
      <c r="UWP80" s="1718"/>
      <c r="UWQ80" s="1718"/>
      <c r="UWR80" s="1718"/>
      <c r="UWS80" s="1718"/>
      <c r="UWT80" s="246"/>
      <c r="UWU80" s="246" t="str">
        <f>BS!$D$5</f>
        <v>31 March 2026</v>
      </c>
      <c r="UWV80" s="247" t="str">
        <f>BS!$E$5</f>
        <v>31 March 2025</v>
      </c>
      <c r="UWW80" s="1717"/>
      <c r="UWX80" s="1718"/>
      <c r="UWY80" s="1718"/>
      <c r="UWZ80" s="1718"/>
      <c r="UXA80" s="1718"/>
      <c r="UXB80" s="246"/>
      <c r="UXC80" s="246" t="str">
        <f>BS!$D$5</f>
        <v>31 March 2026</v>
      </c>
      <c r="UXD80" s="247" t="str">
        <f>BS!$E$5</f>
        <v>31 March 2025</v>
      </c>
      <c r="UXE80" s="1717"/>
      <c r="UXF80" s="1718"/>
      <c r="UXG80" s="1718"/>
      <c r="UXH80" s="1718"/>
      <c r="UXI80" s="1718"/>
      <c r="UXJ80" s="246"/>
      <c r="UXK80" s="246" t="str">
        <f>BS!$D$5</f>
        <v>31 March 2026</v>
      </c>
      <c r="UXL80" s="247" t="str">
        <f>BS!$E$5</f>
        <v>31 March 2025</v>
      </c>
      <c r="UXM80" s="1717"/>
      <c r="UXN80" s="1718"/>
      <c r="UXO80" s="1718"/>
      <c r="UXP80" s="1718"/>
      <c r="UXQ80" s="1718"/>
      <c r="UXR80" s="246"/>
      <c r="UXS80" s="246" t="str">
        <f>BS!$D$5</f>
        <v>31 March 2026</v>
      </c>
      <c r="UXT80" s="247" t="str">
        <f>BS!$E$5</f>
        <v>31 March 2025</v>
      </c>
      <c r="UXU80" s="1717"/>
      <c r="UXV80" s="1718"/>
      <c r="UXW80" s="1718"/>
      <c r="UXX80" s="1718"/>
      <c r="UXY80" s="1718"/>
      <c r="UXZ80" s="246"/>
      <c r="UYA80" s="246" t="str">
        <f>BS!$D$5</f>
        <v>31 March 2026</v>
      </c>
      <c r="UYB80" s="247" t="str">
        <f>BS!$E$5</f>
        <v>31 March 2025</v>
      </c>
      <c r="UYC80" s="1717"/>
      <c r="UYD80" s="1718"/>
      <c r="UYE80" s="1718"/>
      <c r="UYF80" s="1718"/>
      <c r="UYG80" s="1718"/>
      <c r="UYH80" s="246"/>
      <c r="UYI80" s="246" t="str">
        <f>BS!$D$5</f>
        <v>31 March 2026</v>
      </c>
      <c r="UYJ80" s="247" t="str">
        <f>BS!$E$5</f>
        <v>31 March 2025</v>
      </c>
      <c r="UYK80" s="1717"/>
      <c r="UYL80" s="1718"/>
      <c r="UYM80" s="1718"/>
      <c r="UYN80" s="1718"/>
      <c r="UYO80" s="1718"/>
      <c r="UYP80" s="246"/>
      <c r="UYQ80" s="246" t="str">
        <f>BS!$D$5</f>
        <v>31 March 2026</v>
      </c>
      <c r="UYR80" s="247" t="str">
        <f>BS!$E$5</f>
        <v>31 March 2025</v>
      </c>
      <c r="UYS80" s="1717"/>
      <c r="UYT80" s="1718"/>
      <c r="UYU80" s="1718"/>
      <c r="UYV80" s="1718"/>
      <c r="UYW80" s="1718"/>
      <c r="UYX80" s="246"/>
      <c r="UYY80" s="246" t="str">
        <f>BS!$D$5</f>
        <v>31 March 2026</v>
      </c>
      <c r="UYZ80" s="247" t="str">
        <f>BS!$E$5</f>
        <v>31 March 2025</v>
      </c>
      <c r="UZA80" s="1717"/>
      <c r="UZB80" s="1718"/>
      <c r="UZC80" s="1718"/>
      <c r="UZD80" s="1718"/>
      <c r="UZE80" s="1718"/>
      <c r="UZF80" s="246"/>
      <c r="UZG80" s="246" t="str">
        <f>BS!$D$5</f>
        <v>31 March 2026</v>
      </c>
      <c r="UZH80" s="247" t="str">
        <f>BS!$E$5</f>
        <v>31 March 2025</v>
      </c>
      <c r="UZI80" s="1717"/>
      <c r="UZJ80" s="1718"/>
      <c r="UZK80" s="1718"/>
      <c r="UZL80" s="1718"/>
      <c r="UZM80" s="1718"/>
      <c r="UZN80" s="246"/>
      <c r="UZO80" s="246" t="str">
        <f>BS!$D$5</f>
        <v>31 March 2026</v>
      </c>
      <c r="UZP80" s="247" t="str">
        <f>BS!$E$5</f>
        <v>31 March 2025</v>
      </c>
      <c r="UZQ80" s="1717"/>
      <c r="UZR80" s="1718"/>
      <c r="UZS80" s="1718"/>
      <c r="UZT80" s="1718"/>
      <c r="UZU80" s="1718"/>
      <c r="UZV80" s="246"/>
      <c r="UZW80" s="246" t="str">
        <f>BS!$D$5</f>
        <v>31 March 2026</v>
      </c>
      <c r="UZX80" s="247" t="str">
        <f>BS!$E$5</f>
        <v>31 March 2025</v>
      </c>
      <c r="UZY80" s="1717"/>
      <c r="UZZ80" s="1718"/>
      <c r="VAA80" s="1718"/>
      <c r="VAB80" s="1718"/>
      <c r="VAC80" s="1718"/>
      <c r="VAD80" s="246"/>
      <c r="VAE80" s="246" t="str">
        <f>BS!$D$5</f>
        <v>31 March 2026</v>
      </c>
      <c r="VAF80" s="247" t="str">
        <f>BS!$E$5</f>
        <v>31 March 2025</v>
      </c>
      <c r="VAG80" s="1717"/>
      <c r="VAH80" s="1718"/>
      <c r="VAI80" s="1718"/>
      <c r="VAJ80" s="1718"/>
      <c r="VAK80" s="1718"/>
      <c r="VAL80" s="246"/>
      <c r="VAM80" s="246" t="str">
        <f>BS!$D$5</f>
        <v>31 March 2026</v>
      </c>
      <c r="VAN80" s="247" t="str">
        <f>BS!$E$5</f>
        <v>31 March 2025</v>
      </c>
      <c r="VAO80" s="1717"/>
      <c r="VAP80" s="1718"/>
      <c r="VAQ80" s="1718"/>
      <c r="VAR80" s="1718"/>
      <c r="VAS80" s="1718"/>
      <c r="VAT80" s="246"/>
      <c r="VAU80" s="246" t="str">
        <f>BS!$D$5</f>
        <v>31 March 2026</v>
      </c>
      <c r="VAV80" s="247" t="str">
        <f>BS!$E$5</f>
        <v>31 March 2025</v>
      </c>
      <c r="VAW80" s="1717"/>
      <c r="VAX80" s="1718"/>
      <c r="VAY80" s="1718"/>
      <c r="VAZ80" s="1718"/>
      <c r="VBA80" s="1718"/>
      <c r="VBB80" s="246"/>
      <c r="VBC80" s="246" t="str">
        <f>BS!$D$5</f>
        <v>31 March 2026</v>
      </c>
      <c r="VBD80" s="247" t="str">
        <f>BS!$E$5</f>
        <v>31 March 2025</v>
      </c>
      <c r="VBE80" s="1717"/>
      <c r="VBF80" s="1718"/>
      <c r="VBG80" s="1718"/>
      <c r="VBH80" s="1718"/>
      <c r="VBI80" s="1718"/>
      <c r="VBJ80" s="246"/>
      <c r="VBK80" s="246" t="str">
        <f>BS!$D$5</f>
        <v>31 March 2026</v>
      </c>
      <c r="VBL80" s="247" t="str">
        <f>BS!$E$5</f>
        <v>31 March 2025</v>
      </c>
      <c r="VBM80" s="1717"/>
      <c r="VBN80" s="1718"/>
      <c r="VBO80" s="1718"/>
      <c r="VBP80" s="1718"/>
      <c r="VBQ80" s="1718"/>
      <c r="VBR80" s="246"/>
      <c r="VBS80" s="246" t="str">
        <f>BS!$D$5</f>
        <v>31 March 2026</v>
      </c>
      <c r="VBT80" s="247" t="str">
        <f>BS!$E$5</f>
        <v>31 March 2025</v>
      </c>
      <c r="VBU80" s="1717"/>
      <c r="VBV80" s="1718"/>
      <c r="VBW80" s="1718"/>
      <c r="VBX80" s="1718"/>
      <c r="VBY80" s="1718"/>
      <c r="VBZ80" s="246"/>
      <c r="VCA80" s="246" t="str">
        <f>BS!$D$5</f>
        <v>31 March 2026</v>
      </c>
      <c r="VCB80" s="247" t="str">
        <f>BS!$E$5</f>
        <v>31 March 2025</v>
      </c>
      <c r="VCC80" s="1717"/>
      <c r="VCD80" s="1718"/>
      <c r="VCE80" s="1718"/>
      <c r="VCF80" s="1718"/>
      <c r="VCG80" s="1718"/>
      <c r="VCH80" s="246"/>
      <c r="VCI80" s="246" t="str">
        <f>BS!$D$5</f>
        <v>31 March 2026</v>
      </c>
      <c r="VCJ80" s="247" t="str">
        <f>BS!$E$5</f>
        <v>31 March 2025</v>
      </c>
      <c r="VCK80" s="1717"/>
      <c r="VCL80" s="1718"/>
      <c r="VCM80" s="1718"/>
      <c r="VCN80" s="1718"/>
      <c r="VCO80" s="1718"/>
      <c r="VCP80" s="246"/>
      <c r="VCQ80" s="246" t="str">
        <f>BS!$D$5</f>
        <v>31 March 2026</v>
      </c>
      <c r="VCR80" s="247" t="str">
        <f>BS!$E$5</f>
        <v>31 March 2025</v>
      </c>
      <c r="VCS80" s="1717"/>
      <c r="VCT80" s="1718"/>
      <c r="VCU80" s="1718"/>
      <c r="VCV80" s="1718"/>
      <c r="VCW80" s="1718"/>
      <c r="VCX80" s="246"/>
      <c r="VCY80" s="246" t="str">
        <f>BS!$D$5</f>
        <v>31 March 2026</v>
      </c>
      <c r="VCZ80" s="247" t="str">
        <f>BS!$E$5</f>
        <v>31 March 2025</v>
      </c>
      <c r="VDA80" s="1717"/>
      <c r="VDB80" s="1718"/>
      <c r="VDC80" s="1718"/>
      <c r="VDD80" s="1718"/>
      <c r="VDE80" s="1718"/>
      <c r="VDF80" s="246"/>
      <c r="VDG80" s="246" t="str">
        <f>BS!$D$5</f>
        <v>31 March 2026</v>
      </c>
      <c r="VDH80" s="247" t="str">
        <f>BS!$E$5</f>
        <v>31 March 2025</v>
      </c>
      <c r="VDI80" s="1717"/>
      <c r="VDJ80" s="1718"/>
      <c r="VDK80" s="1718"/>
      <c r="VDL80" s="1718"/>
      <c r="VDM80" s="1718"/>
      <c r="VDN80" s="246"/>
      <c r="VDO80" s="246" t="str">
        <f>BS!$D$5</f>
        <v>31 March 2026</v>
      </c>
      <c r="VDP80" s="247" t="str">
        <f>BS!$E$5</f>
        <v>31 March 2025</v>
      </c>
      <c r="VDQ80" s="1717"/>
      <c r="VDR80" s="1718"/>
      <c r="VDS80" s="1718"/>
      <c r="VDT80" s="1718"/>
      <c r="VDU80" s="1718"/>
      <c r="VDV80" s="246"/>
      <c r="VDW80" s="246" t="str">
        <f>BS!$D$5</f>
        <v>31 March 2026</v>
      </c>
      <c r="VDX80" s="247" t="str">
        <f>BS!$E$5</f>
        <v>31 March 2025</v>
      </c>
      <c r="VDY80" s="1717"/>
      <c r="VDZ80" s="1718"/>
      <c r="VEA80" s="1718"/>
      <c r="VEB80" s="1718"/>
      <c r="VEC80" s="1718"/>
      <c r="VED80" s="246"/>
      <c r="VEE80" s="246" t="str">
        <f>BS!$D$5</f>
        <v>31 March 2026</v>
      </c>
      <c r="VEF80" s="247" t="str">
        <f>BS!$E$5</f>
        <v>31 March 2025</v>
      </c>
      <c r="VEG80" s="1717"/>
      <c r="VEH80" s="1718"/>
      <c r="VEI80" s="1718"/>
      <c r="VEJ80" s="1718"/>
      <c r="VEK80" s="1718"/>
      <c r="VEL80" s="246"/>
      <c r="VEM80" s="246" t="str">
        <f>BS!$D$5</f>
        <v>31 March 2026</v>
      </c>
      <c r="VEN80" s="247" t="str">
        <f>BS!$E$5</f>
        <v>31 March 2025</v>
      </c>
      <c r="VEO80" s="1717"/>
      <c r="VEP80" s="1718"/>
      <c r="VEQ80" s="1718"/>
      <c r="VER80" s="1718"/>
      <c r="VES80" s="1718"/>
      <c r="VET80" s="246"/>
      <c r="VEU80" s="246" t="str">
        <f>BS!$D$5</f>
        <v>31 March 2026</v>
      </c>
      <c r="VEV80" s="247" t="str">
        <f>BS!$E$5</f>
        <v>31 March 2025</v>
      </c>
      <c r="VEW80" s="1717"/>
      <c r="VEX80" s="1718"/>
      <c r="VEY80" s="1718"/>
      <c r="VEZ80" s="1718"/>
      <c r="VFA80" s="1718"/>
      <c r="VFB80" s="246"/>
      <c r="VFC80" s="246" t="str">
        <f>BS!$D$5</f>
        <v>31 March 2026</v>
      </c>
      <c r="VFD80" s="247" t="str">
        <f>BS!$E$5</f>
        <v>31 March 2025</v>
      </c>
      <c r="VFE80" s="1717"/>
      <c r="VFF80" s="1718"/>
      <c r="VFG80" s="1718"/>
      <c r="VFH80" s="1718"/>
      <c r="VFI80" s="1718"/>
      <c r="VFJ80" s="246"/>
      <c r="VFK80" s="246" t="str">
        <f>BS!$D$5</f>
        <v>31 March 2026</v>
      </c>
      <c r="VFL80" s="247" t="str">
        <f>BS!$E$5</f>
        <v>31 March 2025</v>
      </c>
      <c r="VFM80" s="1717"/>
      <c r="VFN80" s="1718"/>
      <c r="VFO80" s="1718"/>
      <c r="VFP80" s="1718"/>
      <c r="VFQ80" s="1718"/>
      <c r="VFR80" s="246"/>
      <c r="VFS80" s="246" t="str">
        <f>BS!$D$5</f>
        <v>31 March 2026</v>
      </c>
      <c r="VFT80" s="247" t="str">
        <f>BS!$E$5</f>
        <v>31 March 2025</v>
      </c>
      <c r="VFU80" s="1717"/>
      <c r="VFV80" s="1718"/>
      <c r="VFW80" s="1718"/>
      <c r="VFX80" s="1718"/>
      <c r="VFY80" s="1718"/>
      <c r="VFZ80" s="246"/>
      <c r="VGA80" s="246" t="str">
        <f>BS!$D$5</f>
        <v>31 March 2026</v>
      </c>
      <c r="VGB80" s="247" t="str">
        <f>BS!$E$5</f>
        <v>31 March 2025</v>
      </c>
      <c r="VGC80" s="1717"/>
      <c r="VGD80" s="1718"/>
      <c r="VGE80" s="1718"/>
      <c r="VGF80" s="1718"/>
      <c r="VGG80" s="1718"/>
      <c r="VGH80" s="246"/>
      <c r="VGI80" s="246" t="str">
        <f>BS!$D$5</f>
        <v>31 March 2026</v>
      </c>
      <c r="VGJ80" s="247" t="str">
        <f>BS!$E$5</f>
        <v>31 March 2025</v>
      </c>
      <c r="VGK80" s="1717"/>
      <c r="VGL80" s="1718"/>
      <c r="VGM80" s="1718"/>
      <c r="VGN80" s="1718"/>
      <c r="VGO80" s="1718"/>
      <c r="VGP80" s="246"/>
      <c r="VGQ80" s="246" t="str">
        <f>BS!$D$5</f>
        <v>31 March 2026</v>
      </c>
      <c r="VGR80" s="247" t="str">
        <f>BS!$E$5</f>
        <v>31 March 2025</v>
      </c>
      <c r="VGS80" s="1717"/>
      <c r="VGT80" s="1718"/>
      <c r="VGU80" s="1718"/>
      <c r="VGV80" s="1718"/>
      <c r="VGW80" s="1718"/>
      <c r="VGX80" s="246"/>
      <c r="VGY80" s="246" t="str">
        <f>BS!$D$5</f>
        <v>31 March 2026</v>
      </c>
      <c r="VGZ80" s="247" t="str">
        <f>BS!$E$5</f>
        <v>31 March 2025</v>
      </c>
      <c r="VHA80" s="1717"/>
      <c r="VHB80" s="1718"/>
      <c r="VHC80" s="1718"/>
      <c r="VHD80" s="1718"/>
      <c r="VHE80" s="1718"/>
      <c r="VHF80" s="246"/>
      <c r="VHG80" s="246" t="str">
        <f>BS!$D$5</f>
        <v>31 March 2026</v>
      </c>
      <c r="VHH80" s="247" t="str">
        <f>BS!$E$5</f>
        <v>31 March 2025</v>
      </c>
      <c r="VHI80" s="1717"/>
      <c r="VHJ80" s="1718"/>
      <c r="VHK80" s="1718"/>
      <c r="VHL80" s="1718"/>
      <c r="VHM80" s="1718"/>
      <c r="VHN80" s="246"/>
      <c r="VHO80" s="246" t="str">
        <f>BS!$D$5</f>
        <v>31 March 2026</v>
      </c>
      <c r="VHP80" s="247" t="str">
        <f>BS!$E$5</f>
        <v>31 March 2025</v>
      </c>
      <c r="VHQ80" s="1717"/>
      <c r="VHR80" s="1718"/>
      <c r="VHS80" s="1718"/>
      <c r="VHT80" s="1718"/>
      <c r="VHU80" s="1718"/>
      <c r="VHV80" s="246"/>
      <c r="VHW80" s="246" t="str">
        <f>BS!$D$5</f>
        <v>31 March 2026</v>
      </c>
      <c r="VHX80" s="247" t="str">
        <f>BS!$E$5</f>
        <v>31 March 2025</v>
      </c>
      <c r="VHY80" s="1717"/>
      <c r="VHZ80" s="1718"/>
      <c r="VIA80" s="1718"/>
      <c r="VIB80" s="1718"/>
      <c r="VIC80" s="1718"/>
      <c r="VID80" s="246"/>
      <c r="VIE80" s="246" t="str">
        <f>BS!$D$5</f>
        <v>31 March 2026</v>
      </c>
      <c r="VIF80" s="247" t="str">
        <f>BS!$E$5</f>
        <v>31 March 2025</v>
      </c>
      <c r="VIG80" s="1717"/>
      <c r="VIH80" s="1718"/>
      <c r="VII80" s="1718"/>
      <c r="VIJ80" s="1718"/>
      <c r="VIK80" s="1718"/>
      <c r="VIL80" s="246"/>
      <c r="VIM80" s="246" t="str">
        <f>BS!$D$5</f>
        <v>31 March 2026</v>
      </c>
      <c r="VIN80" s="247" t="str">
        <f>BS!$E$5</f>
        <v>31 March 2025</v>
      </c>
      <c r="VIO80" s="1717"/>
      <c r="VIP80" s="1718"/>
      <c r="VIQ80" s="1718"/>
      <c r="VIR80" s="1718"/>
      <c r="VIS80" s="1718"/>
      <c r="VIT80" s="246"/>
      <c r="VIU80" s="246" t="str">
        <f>BS!$D$5</f>
        <v>31 March 2026</v>
      </c>
      <c r="VIV80" s="247" t="str">
        <f>BS!$E$5</f>
        <v>31 March 2025</v>
      </c>
      <c r="VIW80" s="1717"/>
      <c r="VIX80" s="1718"/>
      <c r="VIY80" s="1718"/>
      <c r="VIZ80" s="1718"/>
      <c r="VJA80" s="1718"/>
      <c r="VJB80" s="246"/>
      <c r="VJC80" s="246" t="str">
        <f>BS!$D$5</f>
        <v>31 March 2026</v>
      </c>
      <c r="VJD80" s="247" t="str">
        <f>BS!$E$5</f>
        <v>31 March 2025</v>
      </c>
      <c r="VJE80" s="1717"/>
      <c r="VJF80" s="1718"/>
      <c r="VJG80" s="1718"/>
      <c r="VJH80" s="1718"/>
      <c r="VJI80" s="1718"/>
      <c r="VJJ80" s="246"/>
      <c r="VJK80" s="246" t="str">
        <f>BS!$D$5</f>
        <v>31 March 2026</v>
      </c>
      <c r="VJL80" s="247" t="str">
        <f>BS!$E$5</f>
        <v>31 March 2025</v>
      </c>
      <c r="VJM80" s="1717"/>
      <c r="VJN80" s="1718"/>
      <c r="VJO80" s="1718"/>
      <c r="VJP80" s="1718"/>
      <c r="VJQ80" s="1718"/>
      <c r="VJR80" s="246"/>
      <c r="VJS80" s="246" t="str">
        <f>BS!$D$5</f>
        <v>31 March 2026</v>
      </c>
      <c r="VJT80" s="247" t="str">
        <f>BS!$E$5</f>
        <v>31 March 2025</v>
      </c>
      <c r="VJU80" s="1717"/>
      <c r="VJV80" s="1718"/>
      <c r="VJW80" s="1718"/>
      <c r="VJX80" s="1718"/>
      <c r="VJY80" s="1718"/>
      <c r="VJZ80" s="246"/>
      <c r="VKA80" s="246" t="str">
        <f>BS!$D$5</f>
        <v>31 March 2026</v>
      </c>
      <c r="VKB80" s="247" t="str">
        <f>BS!$E$5</f>
        <v>31 March 2025</v>
      </c>
      <c r="VKC80" s="1717"/>
      <c r="VKD80" s="1718"/>
      <c r="VKE80" s="1718"/>
      <c r="VKF80" s="1718"/>
      <c r="VKG80" s="1718"/>
      <c r="VKH80" s="246"/>
      <c r="VKI80" s="246" t="str">
        <f>BS!$D$5</f>
        <v>31 March 2026</v>
      </c>
      <c r="VKJ80" s="247" t="str">
        <f>BS!$E$5</f>
        <v>31 March 2025</v>
      </c>
      <c r="VKK80" s="1717"/>
      <c r="VKL80" s="1718"/>
      <c r="VKM80" s="1718"/>
      <c r="VKN80" s="1718"/>
      <c r="VKO80" s="1718"/>
      <c r="VKP80" s="246"/>
      <c r="VKQ80" s="246" t="str">
        <f>BS!$D$5</f>
        <v>31 March 2026</v>
      </c>
      <c r="VKR80" s="247" t="str">
        <f>BS!$E$5</f>
        <v>31 March 2025</v>
      </c>
      <c r="VKS80" s="1717"/>
      <c r="VKT80" s="1718"/>
      <c r="VKU80" s="1718"/>
      <c r="VKV80" s="1718"/>
      <c r="VKW80" s="1718"/>
      <c r="VKX80" s="246"/>
      <c r="VKY80" s="246" t="str">
        <f>BS!$D$5</f>
        <v>31 March 2026</v>
      </c>
      <c r="VKZ80" s="247" t="str">
        <f>BS!$E$5</f>
        <v>31 March 2025</v>
      </c>
      <c r="VLA80" s="1717"/>
      <c r="VLB80" s="1718"/>
      <c r="VLC80" s="1718"/>
      <c r="VLD80" s="1718"/>
      <c r="VLE80" s="1718"/>
      <c r="VLF80" s="246"/>
      <c r="VLG80" s="246" t="str">
        <f>BS!$D$5</f>
        <v>31 March 2026</v>
      </c>
      <c r="VLH80" s="247" t="str">
        <f>BS!$E$5</f>
        <v>31 March 2025</v>
      </c>
      <c r="VLI80" s="1717"/>
      <c r="VLJ80" s="1718"/>
      <c r="VLK80" s="1718"/>
      <c r="VLL80" s="1718"/>
      <c r="VLM80" s="1718"/>
      <c r="VLN80" s="246"/>
      <c r="VLO80" s="246" t="str">
        <f>BS!$D$5</f>
        <v>31 March 2026</v>
      </c>
      <c r="VLP80" s="247" t="str">
        <f>BS!$E$5</f>
        <v>31 March 2025</v>
      </c>
      <c r="VLQ80" s="1717"/>
      <c r="VLR80" s="1718"/>
      <c r="VLS80" s="1718"/>
      <c r="VLT80" s="1718"/>
      <c r="VLU80" s="1718"/>
      <c r="VLV80" s="246"/>
      <c r="VLW80" s="246" t="str">
        <f>BS!$D$5</f>
        <v>31 March 2026</v>
      </c>
      <c r="VLX80" s="247" t="str">
        <f>BS!$E$5</f>
        <v>31 March 2025</v>
      </c>
      <c r="VLY80" s="1717"/>
      <c r="VLZ80" s="1718"/>
      <c r="VMA80" s="1718"/>
      <c r="VMB80" s="1718"/>
      <c r="VMC80" s="1718"/>
      <c r="VMD80" s="246"/>
      <c r="VME80" s="246" t="str">
        <f>BS!$D$5</f>
        <v>31 March 2026</v>
      </c>
      <c r="VMF80" s="247" t="str">
        <f>BS!$E$5</f>
        <v>31 March 2025</v>
      </c>
      <c r="VMG80" s="1717"/>
      <c r="VMH80" s="1718"/>
      <c r="VMI80" s="1718"/>
      <c r="VMJ80" s="1718"/>
      <c r="VMK80" s="1718"/>
      <c r="VML80" s="246"/>
      <c r="VMM80" s="246" t="str">
        <f>BS!$D$5</f>
        <v>31 March 2026</v>
      </c>
      <c r="VMN80" s="247" t="str">
        <f>BS!$E$5</f>
        <v>31 March 2025</v>
      </c>
      <c r="VMO80" s="1717"/>
      <c r="VMP80" s="1718"/>
      <c r="VMQ80" s="1718"/>
      <c r="VMR80" s="1718"/>
      <c r="VMS80" s="1718"/>
      <c r="VMT80" s="246"/>
      <c r="VMU80" s="246" t="str">
        <f>BS!$D$5</f>
        <v>31 March 2026</v>
      </c>
      <c r="VMV80" s="247" t="str">
        <f>BS!$E$5</f>
        <v>31 March 2025</v>
      </c>
      <c r="VMW80" s="1717"/>
      <c r="VMX80" s="1718"/>
      <c r="VMY80" s="1718"/>
      <c r="VMZ80" s="1718"/>
      <c r="VNA80" s="1718"/>
      <c r="VNB80" s="246"/>
      <c r="VNC80" s="246" t="str">
        <f>BS!$D$5</f>
        <v>31 March 2026</v>
      </c>
      <c r="VND80" s="247" t="str">
        <f>BS!$E$5</f>
        <v>31 March 2025</v>
      </c>
      <c r="VNE80" s="1717"/>
      <c r="VNF80" s="1718"/>
      <c r="VNG80" s="1718"/>
      <c r="VNH80" s="1718"/>
      <c r="VNI80" s="1718"/>
      <c r="VNJ80" s="246"/>
      <c r="VNK80" s="246" t="str">
        <f>BS!$D$5</f>
        <v>31 March 2026</v>
      </c>
      <c r="VNL80" s="247" t="str">
        <f>BS!$E$5</f>
        <v>31 March 2025</v>
      </c>
      <c r="VNM80" s="1717"/>
      <c r="VNN80" s="1718"/>
      <c r="VNO80" s="1718"/>
      <c r="VNP80" s="1718"/>
      <c r="VNQ80" s="1718"/>
      <c r="VNR80" s="246"/>
      <c r="VNS80" s="246" t="str">
        <f>BS!$D$5</f>
        <v>31 March 2026</v>
      </c>
      <c r="VNT80" s="247" t="str">
        <f>BS!$E$5</f>
        <v>31 March 2025</v>
      </c>
      <c r="VNU80" s="1717"/>
      <c r="VNV80" s="1718"/>
      <c r="VNW80" s="1718"/>
      <c r="VNX80" s="1718"/>
      <c r="VNY80" s="1718"/>
      <c r="VNZ80" s="246"/>
      <c r="VOA80" s="246" t="str">
        <f>BS!$D$5</f>
        <v>31 March 2026</v>
      </c>
      <c r="VOB80" s="247" t="str">
        <f>BS!$E$5</f>
        <v>31 March 2025</v>
      </c>
      <c r="VOC80" s="1717"/>
      <c r="VOD80" s="1718"/>
      <c r="VOE80" s="1718"/>
      <c r="VOF80" s="1718"/>
      <c r="VOG80" s="1718"/>
      <c r="VOH80" s="246"/>
      <c r="VOI80" s="246" t="str">
        <f>BS!$D$5</f>
        <v>31 March 2026</v>
      </c>
      <c r="VOJ80" s="247" t="str">
        <f>BS!$E$5</f>
        <v>31 March 2025</v>
      </c>
      <c r="VOK80" s="1717"/>
      <c r="VOL80" s="1718"/>
      <c r="VOM80" s="1718"/>
      <c r="VON80" s="1718"/>
      <c r="VOO80" s="1718"/>
      <c r="VOP80" s="246"/>
      <c r="VOQ80" s="246" t="str">
        <f>BS!$D$5</f>
        <v>31 March 2026</v>
      </c>
      <c r="VOR80" s="247" t="str">
        <f>BS!$E$5</f>
        <v>31 March 2025</v>
      </c>
      <c r="VOS80" s="1717"/>
      <c r="VOT80" s="1718"/>
      <c r="VOU80" s="1718"/>
      <c r="VOV80" s="1718"/>
      <c r="VOW80" s="1718"/>
      <c r="VOX80" s="246"/>
      <c r="VOY80" s="246" t="str">
        <f>BS!$D$5</f>
        <v>31 March 2026</v>
      </c>
      <c r="VOZ80" s="247" t="str">
        <f>BS!$E$5</f>
        <v>31 March 2025</v>
      </c>
      <c r="VPA80" s="1717"/>
      <c r="VPB80" s="1718"/>
      <c r="VPC80" s="1718"/>
      <c r="VPD80" s="1718"/>
      <c r="VPE80" s="1718"/>
      <c r="VPF80" s="246"/>
      <c r="VPG80" s="246" t="str">
        <f>BS!$D$5</f>
        <v>31 March 2026</v>
      </c>
      <c r="VPH80" s="247" t="str">
        <f>BS!$E$5</f>
        <v>31 March 2025</v>
      </c>
      <c r="VPI80" s="1717"/>
      <c r="VPJ80" s="1718"/>
      <c r="VPK80" s="1718"/>
      <c r="VPL80" s="1718"/>
      <c r="VPM80" s="1718"/>
      <c r="VPN80" s="246"/>
      <c r="VPO80" s="246" t="str">
        <f>BS!$D$5</f>
        <v>31 March 2026</v>
      </c>
      <c r="VPP80" s="247" t="str">
        <f>BS!$E$5</f>
        <v>31 March 2025</v>
      </c>
      <c r="VPQ80" s="1717"/>
      <c r="VPR80" s="1718"/>
      <c r="VPS80" s="1718"/>
      <c r="VPT80" s="1718"/>
      <c r="VPU80" s="1718"/>
      <c r="VPV80" s="246"/>
      <c r="VPW80" s="246" t="str">
        <f>BS!$D$5</f>
        <v>31 March 2026</v>
      </c>
      <c r="VPX80" s="247" t="str">
        <f>BS!$E$5</f>
        <v>31 March 2025</v>
      </c>
      <c r="VPY80" s="1717"/>
      <c r="VPZ80" s="1718"/>
      <c r="VQA80" s="1718"/>
      <c r="VQB80" s="1718"/>
      <c r="VQC80" s="1718"/>
      <c r="VQD80" s="246"/>
      <c r="VQE80" s="246" t="str">
        <f>BS!$D$5</f>
        <v>31 March 2026</v>
      </c>
      <c r="VQF80" s="247" t="str">
        <f>BS!$E$5</f>
        <v>31 March 2025</v>
      </c>
      <c r="VQG80" s="1717"/>
      <c r="VQH80" s="1718"/>
      <c r="VQI80" s="1718"/>
      <c r="VQJ80" s="1718"/>
      <c r="VQK80" s="1718"/>
      <c r="VQL80" s="246"/>
      <c r="VQM80" s="246" t="str">
        <f>BS!$D$5</f>
        <v>31 March 2026</v>
      </c>
      <c r="VQN80" s="247" t="str">
        <f>BS!$E$5</f>
        <v>31 March 2025</v>
      </c>
      <c r="VQO80" s="1717"/>
      <c r="VQP80" s="1718"/>
      <c r="VQQ80" s="1718"/>
      <c r="VQR80" s="1718"/>
      <c r="VQS80" s="1718"/>
      <c r="VQT80" s="246"/>
      <c r="VQU80" s="246" t="str">
        <f>BS!$D$5</f>
        <v>31 March 2026</v>
      </c>
      <c r="VQV80" s="247" t="str">
        <f>BS!$E$5</f>
        <v>31 March 2025</v>
      </c>
      <c r="VQW80" s="1717"/>
      <c r="VQX80" s="1718"/>
      <c r="VQY80" s="1718"/>
      <c r="VQZ80" s="1718"/>
      <c r="VRA80" s="1718"/>
      <c r="VRB80" s="246"/>
      <c r="VRC80" s="246" t="str">
        <f>BS!$D$5</f>
        <v>31 March 2026</v>
      </c>
      <c r="VRD80" s="247" t="str">
        <f>BS!$E$5</f>
        <v>31 March 2025</v>
      </c>
      <c r="VRE80" s="1717"/>
      <c r="VRF80" s="1718"/>
      <c r="VRG80" s="1718"/>
      <c r="VRH80" s="1718"/>
      <c r="VRI80" s="1718"/>
      <c r="VRJ80" s="246"/>
      <c r="VRK80" s="246" t="str">
        <f>BS!$D$5</f>
        <v>31 March 2026</v>
      </c>
      <c r="VRL80" s="247" t="str">
        <f>BS!$E$5</f>
        <v>31 March 2025</v>
      </c>
      <c r="VRM80" s="1717"/>
      <c r="VRN80" s="1718"/>
      <c r="VRO80" s="1718"/>
      <c r="VRP80" s="1718"/>
      <c r="VRQ80" s="1718"/>
      <c r="VRR80" s="246"/>
      <c r="VRS80" s="246" t="str">
        <f>BS!$D$5</f>
        <v>31 March 2026</v>
      </c>
      <c r="VRT80" s="247" t="str">
        <f>BS!$E$5</f>
        <v>31 March 2025</v>
      </c>
      <c r="VRU80" s="1717"/>
      <c r="VRV80" s="1718"/>
      <c r="VRW80" s="1718"/>
      <c r="VRX80" s="1718"/>
      <c r="VRY80" s="1718"/>
      <c r="VRZ80" s="246"/>
      <c r="VSA80" s="246" t="str">
        <f>BS!$D$5</f>
        <v>31 March 2026</v>
      </c>
      <c r="VSB80" s="247" t="str">
        <f>BS!$E$5</f>
        <v>31 March 2025</v>
      </c>
      <c r="VSC80" s="1717"/>
      <c r="VSD80" s="1718"/>
      <c r="VSE80" s="1718"/>
      <c r="VSF80" s="1718"/>
      <c r="VSG80" s="1718"/>
      <c r="VSH80" s="246"/>
      <c r="VSI80" s="246" t="str">
        <f>BS!$D$5</f>
        <v>31 March 2026</v>
      </c>
      <c r="VSJ80" s="247" t="str">
        <f>BS!$E$5</f>
        <v>31 March 2025</v>
      </c>
      <c r="VSK80" s="1717"/>
      <c r="VSL80" s="1718"/>
      <c r="VSM80" s="1718"/>
      <c r="VSN80" s="1718"/>
      <c r="VSO80" s="1718"/>
      <c r="VSP80" s="246"/>
      <c r="VSQ80" s="246" t="str">
        <f>BS!$D$5</f>
        <v>31 March 2026</v>
      </c>
      <c r="VSR80" s="247" t="str">
        <f>BS!$E$5</f>
        <v>31 March 2025</v>
      </c>
      <c r="VSS80" s="1717"/>
      <c r="VST80" s="1718"/>
      <c r="VSU80" s="1718"/>
      <c r="VSV80" s="1718"/>
      <c r="VSW80" s="1718"/>
      <c r="VSX80" s="246"/>
      <c r="VSY80" s="246" t="str">
        <f>BS!$D$5</f>
        <v>31 March 2026</v>
      </c>
      <c r="VSZ80" s="247" t="str">
        <f>BS!$E$5</f>
        <v>31 March 2025</v>
      </c>
      <c r="VTA80" s="1717"/>
      <c r="VTB80" s="1718"/>
      <c r="VTC80" s="1718"/>
      <c r="VTD80" s="1718"/>
      <c r="VTE80" s="1718"/>
      <c r="VTF80" s="246"/>
      <c r="VTG80" s="246" t="str">
        <f>BS!$D$5</f>
        <v>31 March 2026</v>
      </c>
      <c r="VTH80" s="247" t="str">
        <f>BS!$E$5</f>
        <v>31 March 2025</v>
      </c>
      <c r="VTI80" s="1717"/>
      <c r="VTJ80" s="1718"/>
      <c r="VTK80" s="1718"/>
      <c r="VTL80" s="1718"/>
      <c r="VTM80" s="1718"/>
      <c r="VTN80" s="246"/>
      <c r="VTO80" s="246" t="str">
        <f>BS!$D$5</f>
        <v>31 March 2026</v>
      </c>
      <c r="VTP80" s="247" t="str">
        <f>BS!$E$5</f>
        <v>31 March 2025</v>
      </c>
      <c r="VTQ80" s="1717"/>
      <c r="VTR80" s="1718"/>
      <c r="VTS80" s="1718"/>
      <c r="VTT80" s="1718"/>
      <c r="VTU80" s="1718"/>
      <c r="VTV80" s="246"/>
      <c r="VTW80" s="246" t="str">
        <f>BS!$D$5</f>
        <v>31 March 2026</v>
      </c>
      <c r="VTX80" s="247" t="str">
        <f>BS!$E$5</f>
        <v>31 March 2025</v>
      </c>
      <c r="VTY80" s="1717"/>
      <c r="VTZ80" s="1718"/>
      <c r="VUA80" s="1718"/>
      <c r="VUB80" s="1718"/>
      <c r="VUC80" s="1718"/>
      <c r="VUD80" s="246"/>
      <c r="VUE80" s="246" t="str">
        <f>BS!$D$5</f>
        <v>31 March 2026</v>
      </c>
      <c r="VUF80" s="247" t="str">
        <f>BS!$E$5</f>
        <v>31 March 2025</v>
      </c>
      <c r="VUG80" s="1717"/>
      <c r="VUH80" s="1718"/>
      <c r="VUI80" s="1718"/>
      <c r="VUJ80" s="1718"/>
      <c r="VUK80" s="1718"/>
      <c r="VUL80" s="246"/>
      <c r="VUM80" s="246" t="str">
        <f>BS!$D$5</f>
        <v>31 March 2026</v>
      </c>
      <c r="VUN80" s="247" t="str">
        <f>BS!$E$5</f>
        <v>31 March 2025</v>
      </c>
      <c r="VUO80" s="1717"/>
      <c r="VUP80" s="1718"/>
      <c r="VUQ80" s="1718"/>
      <c r="VUR80" s="1718"/>
      <c r="VUS80" s="1718"/>
      <c r="VUT80" s="246"/>
      <c r="VUU80" s="246" t="str">
        <f>BS!$D$5</f>
        <v>31 March 2026</v>
      </c>
      <c r="VUV80" s="247" t="str">
        <f>BS!$E$5</f>
        <v>31 March 2025</v>
      </c>
      <c r="VUW80" s="1717"/>
      <c r="VUX80" s="1718"/>
      <c r="VUY80" s="1718"/>
      <c r="VUZ80" s="1718"/>
      <c r="VVA80" s="1718"/>
      <c r="VVB80" s="246"/>
      <c r="VVC80" s="246" t="str">
        <f>BS!$D$5</f>
        <v>31 March 2026</v>
      </c>
      <c r="VVD80" s="247" t="str">
        <f>BS!$E$5</f>
        <v>31 March 2025</v>
      </c>
      <c r="VVE80" s="1717"/>
      <c r="VVF80" s="1718"/>
      <c r="VVG80" s="1718"/>
      <c r="VVH80" s="1718"/>
      <c r="VVI80" s="1718"/>
      <c r="VVJ80" s="246"/>
      <c r="VVK80" s="246" t="str">
        <f>BS!$D$5</f>
        <v>31 March 2026</v>
      </c>
      <c r="VVL80" s="247" t="str">
        <f>BS!$E$5</f>
        <v>31 March 2025</v>
      </c>
      <c r="VVM80" s="1717"/>
      <c r="VVN80" s="1718"/>
      <c r="VVO80" s="1718"/>
      <c r="VVP80" s="1718"/>
      <c r="VVQ80" s="1718"/>
      <c r="VVR80" s="246"/>
      <c r="VVS80" s="246" t="str">
        <f>BS!$D$5</f>
        <v>31 March 2026</v>
      </c>
      <c r="VVT80" s="247" t="str">
        <f>BS!$E$5</f>
        <v>31 March 2025</v>
      </c>
      <c r="VVU80" s="1717"/>
      <c r="VVV80" s="1718"/>
      <c r="VVW80" s="1718"/>
      <c r="VVX80" s="1718"/>
      <c r="VVY80" s="1718"/>
      <c r="VVZ80" s="246"/>
      <c r="VWA80" s="246" t="str">
        <f>BS!$D$5</f>
        <v>31 March 2026</v>
      </c>
      <c r="VWB80" s="247" t="str">
        <f>BS!$E$5</f>
        <v>31 March 2025</v>
      </c>
      <c r="VWC80" s="1717"/>
      <c r="VWD80" s="1718"/>
      <c r="VWE80" s="1718"/>
      <c r="VWF80" s="1718"/>
      <c r="VWG80" s="1718"/>
      <c r="VWH80" s="246"/>
      <c r="VWI80" s="246" t="str">
        <f>BS!$D$5</f>
        <v>31 March 2026</v>
      </c>
      <c r="VWJ80" s="247" t="str">
        <f>BS!$E$5</f>
        <v>31 March 2025</v>
      </c>
      <c r="VWK80" s="1717"/>
      <c r="VWL80" s="1718"/>
      <c r="VWM80" s="1718"/>
      <c r="VWN80" s="1718"/>
      <c r="VWO80" s="1718"/>
      <c r="VWP80" s="246"/>
      <c r="VWQ80" s="246" t="str">
        <f>BS!$D$5</f>
        <v>31 March 2026</v>
      </c>
      <c r="VWR80" s="247" t="str">
        <f>BS!$E$5</f>
        <v>31 March 2025</v>
      </c>
      <c r="VWS80" s="1717"/>
      <c r="VWT80" s="1718"/>
      <c r="VWU80" s="1718"/>
      <c r="VWV80" s="1718"/>
      <c r="VWW80" s="1718"/>
      <c r="VWX80" s="246"/>
      <c r="VWY80" s="246" t="str">
        <f>BS!$D$5</f>
        <v>31 March 2026</v>
      </c>
      <c r="VWZ80" s="247" t="str">
        <f>BS!$E$5</f>
        <v>31 March 2025</v>
      </c>
      <c r="VXA80" s="1717"/>
      <c r="VXB80" s="1718"/>
      <c r="VXC80" s="1718"/>
      <c r="VXD80" s="1718"/>
      <c r="VXE80" s="1718"/>
      <c r="VXF80" s="246"/>
      <c r="VXG80" s="246" t="str">
        <f>BS!$D$5</f>
        <v>31 March 2026</v>
      </c>
      <c r="VXH80" s="247" t="str">
        <f>BS!$E$5</f>
        <v>31 March 2025</v>
      </c>
      <c r="VXI80" s="1717"/>
      <c r="VXJ80" s="1718"/>
      <c r="VXK80" s="1718"/>
      <c r="VXL80" s="1718"/>
      <c r="VXM80" s="1718"/>
      <c r="VXN80" s="246"/>
      <c r="VXO80" s="246" t="str">
        <f>BS!$D$5</f>
        <v>31 March 2026</v>
      </c>
      <c r="VXP80" s="247" t="str">
        <f>BS!$E$5</f>
        <v>31 March 2025</v>
      </c>
      <c r="VXQ80" s="1717"/>
      <c r="VXR80" s="1718"/>
      <c r="VXS80" s="1718"/>
      <c r="VXT80" s="1718"/>
      <c r="VXU80" s="1718"/>
      <c r="VXV80" s="246"/>
      <c r="VXW80" s="246" t="str">
        <f>BS!$D$5</f>
        <v>31 March 2026</v>
      </c>
      <c r="VXX80" s="247" t="str">
        <f>BS!$E$5</f>
        <v>31 March 2025</v>
      </c>
      <c r="VXY80" s="1717"/>
      <c r="VXZ80" s="1718"/>
      <c r="VYA80" s="1718"/>
      <c r="VYB80" s="1718"/>
      <c r="VYC80" s="1718"/>
      <c r="VYD80" s="246"/>
      <c r="VYE80" s="246" t="str">
        <f>BS!$D$5</f>
        <v>31 March 2026</v>
      </c>
      <c r="VYF80" s="247" t="str">
        <f>BS!$E$5</f>
        <v>31 March 2025</v>
      </c>
      <c r="VYG80" s="1717"/>
      <c r="VYH80" s="1718"/>
      <c r="VYI80" s="1718"/>
      <c r="VYJ80" s="1718"/>
      <c r="VYK80" s="1718"/>
      <c r="VYL80" s="246"/>
      <c r="VYM80" s="246" t="str">
        <f>BS!$D$5</f>
        <v>31 March 2026</v>
      </c>
      <c r="VYN80" s="247" t="str">
        <f>BS!$E$5</f>
        <v>31 March 2025</v>
      </c>
      <c r="VYO80" s="1717"/>
      <c r="VYP80" s="1718"/>
      <c r="VYQ80" s="1718"/>
      <c r="VYR80" s="1718"/>
      <c r="VYS80" s="1718"/>
      <c r="VYT80" s="246"/>
      <c r="VYU80" s="246" t="str">
        <f>BS!$D$5</f>
        <v>31 March 2026</v>
      </c>
      <c r="VYV80" s="247" t="str">
        <f>BS!$E$5</f>
        <v>31 March 2025</v>
      </c>
      <c r="VYW80" s="1717"/>
      <c r="VYX80" s="1718"/>
      <c r="VYY80" s="1718"/>
      <c r="VYZ80" s="1718"/>
      <c r="VZA80" s="1718"/>
      <c r="VZB80" s="246"/>
      <c r="VZC80" s="246" t="str">
        <f>BS!$D$5</f>
        <v>31 March 2026</v>
      </c>
      <c r="VZD80" s="247" t="str">
        <f>BS!$E$5</f>
        <v>31 March 2025</v>
      </c>
      <c r="VZE80" s="1717"/>
      <c r="VZF80" s="1718"/>
      <c r="VZG80" s="1718"/>
      <c r="VZH80" s="1718"/>
      <c r="VZI80" s="1718"/>
      <c r="VZJ80" s="246"/>
      <c r="VZK80" s="246" t="str">
        <f>BS!$D$5</f>
        <v>31 March 2026</v>
      </c>
      <c r="VZL80" s="247" t="str">
        <f>BS!$E$5</f>
        <v>31 March 2025</v>
      </c>
      <c r="VZM80" s="1717"/>
      <c r="VZN80" s="1718"/>
      <c r="VZO80" s="1718"/>
      <c r="VZP80" s="1718"/>
      <c r="VZQ80" s="1718"/>
      <c r="VZR80" s="246"/>
      <c r="VZS80" s="246" t="str">
        <f>BS!$D$5</f>
        <v>31 March 2026</v>
      </c>
      <c r="VZT80" s="247" t="str">
        <f>BS!$E$5</f>
        <v>31 March 2025</v>
      </c>
      <c r="VZU80" s="1717"/>
      <c r="VZV80" s="1718"/>
      <c r="VZW80" s="1718"/>
      <c r="VZX80" s="1718"/>
      <c r="VZY80" s="1718"/>
      <c r="VZZ80" s="246"/>
      <c r="WAA80" s="246" t="str">
        <f>BS!$D$5</f>
        <v>31 March 2026</v>
      </c>
      <c r="WAB80" s="247" t="str">
        <f>BS!$E$5</f>
        <v>31 March 2025</v>
      </c>
      <c r="WAC80" s="1717"/>
      <c r="WAD80" s="1718"/>
      <c r="WAE80" s="1718"/>
      <c r="WAF80" s="1718"/>
      <c r="WAG80" s="1718"/>
      <c r="WAH80" s="246"/>
      <c r="WAI80" s="246" t="str">
        <f>BS!$D$5</f>
        <v>31 March 2026</v>
      </c>
      <c r="WAJ80" s="247" t="str">
        <f>BS!$E$5</f>
        <v>31 March 2025</v>
      </c>
      <c r="WAK80" s="1717"/>
      <c r="WAL80" s="1718"/>
      <c r="WAM80" s="1718"/>
      <c r="WAN80" s="1718"/>
      <c r="WAO80" s="1718"/>
      <c r="WAP80" s="246"/>
      <c r="WAQ80" s="246" t="str">
        <f>BS!$D$5</f>
        <v>31 March 2026</v>
      </c>
      <c r="WAR80" s="247" t="str">
        <f>BS!$E$5</f>
        <v>31 March 2025</v>
      </c>
      <c r="WAS80" s="1717"/>
      <c r="WAT80" s="1718"/>
      <c r="WAU80" s="1718"/>
      <c r="WAV80" s="1718"/>
      <c r="WAW80" s="1718"/>
      <c r="WAX80" s="246"/>
      <c r="WAY80" s="246" t="str">
        <f>BS!$D$5</f>
        <v>31 March 2026</v>
      </c>
      <c r="WAZ80" s="247" t="str">
        <f>BS!$E$5</f>
        <v>31 March 2025</v>
      </c>
      <c r="WBA80" s="1717"/>
      <c r="WBB80" s="1718"/>
      <c r="WBC80" s="1718"/>
      <c r="WBD80" s="1718"/>
      <c r="WBE80" s="1718"/>
      <c r="WBF80" s="246"/>
      <c r="WBG80" s="246" t="str">
        <f>BS!$D$5</f>
        <v>31 March 2026</v>
      </c>
      <c r="WBH80" s="247" t="str">
        <f>BS!$E$5</f>
        <v>31 March 2025</v>
      </c>
      <c r="WBI80" s="1717"/>
      <c r="WBJ80" s="1718"/>
      <c r="WBK80" s="1718"/>
      <c r="WBL80" s="1718"/>
      <c r="WBM80" s="1718"/>
      <c r="WBN80" s="246"/>
      <c r="WBO80" s="246" t="str">
        <f>BS!$D$5</f>
        <v>31 March 2026</v>
      </c>
      <c r="WBP80" s="247" t="str">
        <f>BS!$E$5</f>
        <v>31 March 2025</v>
      </c>
      <c r="WBQ80" s="1717"/>
      <c r="WBR80" s="1718"/>
      <c r="WBS80" s="1718"/>
      <c r="WBT80" s="1718"/>
      <c r="WBU80" s="1718"/>
      <c r="WBV80" s="246"/>
      <c r="WBW80" s="246" t="str">
        <f>BS!$D$5</f>
        <v>31 March 2026</v>
      </c>
      <c r="WBX80" s="247" t="str">
        <f>BS!$E$5</f>
        <v>31 March 2025</v>
      </c>
      <c r="WBY80" s="1717"/>
      <c r="WBZ80" s="1718"/>
      <c r="WCA80" s="1718"/>
      <c r="WCB80" s="1718"/>
      <c r="WCC80" s="1718"/>
      <c r="WCD80" s="246"/>
      <c r="WCE80" s="246" t="str">
        <f>BS!$D$5</f>
        <v>31 March 2026</v>
      </c>
      <c r="WCF80" s="247" t="str">
        <f>BS!$E$5</f>
        <v>31 March 2025</v>
      </c>
      <c r="WCG80" s="1717"/>
      <c r="WCH80" s="1718"/>
      <c r="WCI80" s="1718"/>
      <c r="WCJ80" s="1718"/>
      <c r="WCK80" s="1718"/>
      <c r="WCL80" s="246"/>
      <c r="WCM80" s="246" t="str">
        <f>BS!$D$5</f>
        <v>31 March 2026</v>
      </c>
      <c r="WCN80" s="247" t="str">
        <f>BS!$E$5</f>
        <v>31 March 2025</v>
      </c>
      <c r="WCO80" s="1717"/>
      <c r="WCP80" s="1718"/>
      <c r="WCQ80" s="1718"/>
      <c r="WCR80" s="1718"/>
      <c r="WCS80" s="1718"/>
      <c r="WCT80" s="246"/>
      <c r="WCU80" s="246" t="str">
        <f>BS!$D$5</f>
        <v>31 March 2026</v>
      </c>
      <c r="WCV80" s="247" t="str">
        <f>BS!$E$5</f>
        <v>31 March 2025</v>
      </c>
      <c r="WCW80" s="1717"/>
      <c r="WCX80" s="1718"/>
      <c r="WCY80" s="1718"/>
      <c r="WCZ80" s="1718"/>
      <c r="WDA80" s="1718"/>
      <c r="WDB80" s="246"/>
      <c r="WDC80" s="246" t="str">
        <f>BS!$D$5</f>
        <v>31 March 2026</v>
      </c>
      <c r="WDD80" s="247" t="str">
        <f>BS!$E$5</f>
        <v>31 March 2025</v>
      </c>
      <c r="WDE80" s="1717"/>
      <c r="WDF80" s="1718"/>
      <c r="WDG80" s="1718"/>
      <c r="WDH80" s="1718"/>
      <c r="WDI80" s="1718"/>
      <c r="WDJ80" s="246"/>
      <c r="WDK80" s="246" t="str">
        <f>BS!$D$5</f>
        <v>31 March 2026</v>
      </c>
      <c r="WDL80" s="247" t="str">
        <f>BS!$E$5</f>
        <v>31 March 2025</v>
      </c>
      <c r="WDM80" s="1717"/>
      <c r="WDN80" s="1718"/>
      <c r="WDO80" s="1718"/>
      <c r="WDP80" s="1718"/>
      <c r="WDQ80" s="1718"/>
      <c r="WDR80" s="246"/>
      <c r="WDS80" s="246" t="str">
        <f>BS!$D$5</f>
        <v>31 March 2026</v>
      </c>
      <c r="WDT80" s="247" t="str">
        <f>BS!$E$5</f>
        <v>31 March 2025</v>
      </c>
      <c r="WDU80" s="1717"/>
      <c r="WDV80" s="1718"/>
      <c r="WDW80" s="1718"/>
      <c r="WDX80" s="1718"/>
      <c r="WDY80" s="1718"/>
      <c r="WDZ80" s="246"/>
      <c r="WEA80" s="246" t="str">
        <f>BS!$D$5</f>
        <v>31 March 2026</v>
      </c>
      <c r="WEB80" s="247" t="str">
        <f>BS!$E$5</f>
        <v>31 March 2025</v>
      </c>
      <c r="WEC80" s="1717"/>
      <c r="WED80" s="1718"/>
      <c r="WEE80" s="1718"/>
      <c r="WEF80" s="1718"/>
      <c r="WEG80" s="1718"/>
      <c r="WEH80" s="246"/>
      <c r="WEI80" s="246" t="str">
        <f>BS!$D$5</f>
        <v>31 March 2026</v>
      </c>
      <c r="WEJ80" s="247" t="str">
        <f>BS!$E$5</f>
        <v>31 March 2025</v>
      </c>
      <c r="WEK80" s="1717"/>
      <c r="WEL80" s="1718"/>
      <c r="WEM80" s="1718"/>
      <c r="WEN80" s="1718"/>
      <c r="WEO80" s="1718"/>
      <c r="WEP80" s="246"/>
      <c r="WEQ80" s="246" t="str">
        <f>BS!$D$5</f>
        <v>31 March 2026</v>
      </c>
      <c r="WER80" s="247" t="str">
        <f>BS!$E$5</f>
        <v>31 March 2025</v>
      </c>
      <c r="WES80" s="1717"/>
      <c r="WET80" s="1718"/>
      <c r="WEU80" s="1718"/>
      <c r="WEV80" s="1718"/>
      <c r="WEW80" s="1718"/>
      <c r="WEX80" s="246"/>
      <c r="WEY80" s="246" t="str">
        <f>BS!$D$5</f>
        <v>31 March 2026</v>
      </c>
      <c r="WEZ80" s="247" t="str">
        <f>BS!$E$5</f>
        <v>31 March 2025</v>
      </c>
      <c r="WFA80" s="1717"/>
      <c r="WFB80" s="1718"/>
      <c r="WFC80" s="1718"/>
      <c r="WFD80" s="1718"/>
      <c r="WFE80" s="1718"/>
      <c r="WFF80" s="246"/>
      <c r="WFG80" s="246" t="str">
        <f>BS!$D$5</f>
        <v>31 March 2026</v>
      </c>
      <c r="WFH80" s="247" t="str">
        <f>BS!$E$5</f>
        <v>31 March 2025</v>
      </c>
      <c r="WFI80" s="1717"/>
      <c r="WFJ80" s="1718"/>
      <c r="WFK80" s="1718"/>
      <c r="WFL80" s="1718"/>
      <c r="WFM80" s="1718"/>
      <c r="WFN80" s="246"/>
      <c r="WFO80" s="246" t="str">
        <f>BS!$D$5</f>
        <v>31 March 2026</v>
      </c>
      <c r="WFP80" s="247" t="str">
        <f>BS!$E$5</f>
        <v>31 March 2025</v>
      </c>
      <c r="WFQ80" s="1717"/>
      <c r="WFR80" s="1718"/>
      <c r="WFS80" s="1718"/>
      <c r="WFT80" s="1718"/>
      <c r="WFU80" s="1718"/>
      <c r="WFV80" s="246"/>
      <c r="WFW80" s="246" t="str">
        <f>BS!$D$5</f>
        <v>31 March 2026</v>
      </c>
      <c r="WFX80" s="247" t="str">
        <f>BS!$E$5</f>
        <v>31 March 2025</v>
      </c>
      <c r="WFY80" s="1717"/>
      <c r="WFZ80" s="1718"/>
      <c r="WGA80" s="1718"/>
      <c r="WGB80" s="1718"/>
      <c r="WGC80" s="1718"/>
      <c r="WGD80" s="246"/>
      <c r="WGE80" s="246" t="str">
        <f>BS!$D$5</f>
        <v>31 March 2026</v>
      </c>
      <c r="WGF80" s="247" t="str">
        <f>BS!$E$5</f>
        <v>31 March 2025</v>
      </c>
      <c r="WGG80" s="1717"/>
      <c r="WGH80" s="1718"/>
      <c r="WGI80" s="1718"/>
      <c r="WGJ80" s="1718"/>
      <c r="WGK80" s="1718"/>
      <c r="WGL80" s="246"/>
      <c r="WGM80" s="246" t="str">
        <f>BS!$D$5</f>
        <v>31 March 2026</v>
      </c>
      <c r="WGN80" s="247" t="str">
        <f>BS!$E$5</f>
        <v>31 March 2025</v>
      </c>
      <c r="WGO80" s="1717"/>
      <c r="WGP80" s="1718"/>
      <c r="WGQ80" s="1718"/>
      <c r="WGR80" s="1718"/>
      <c r="WGS80" s="1718"/>
      <c r="WGT80" s="246"/>
      <c r="WGU80" s="246" t="str">
        <f>BS!$D$5</f>
        <v>31 March 2026</v>
      </c>
      <c r="WGV80" s="247" t="str">
        <f>BS!$E$5</f>
        <v>31 March 2025</v>
      </c>
      <c r="WGW80" s="1717"/>
      <c r="WGX80" s="1718"/>
      <c r="WGY80" s="1718"/>
      <c r="WGZ80" s="1718"/>
      <c r="WHA80" s="1718"/>
      <c r="WHB80" s="246"/>
      <c r="WHC80" s="246" t="str">
        <f>BS!$D$5</f>
        <v>31 March 2026</v>
      </c>
      <c r="WHD80" s="247" t="str">
        <f>BS!$E$5</f>
        <v>31 March 2025</v>
      </c>
      <c r="WHE80" s="1717"/>
      <c r="WHF80" s="1718"/>
      <c r="WHG80" s="1718"/>
      <c r="WHH80" s="1718"/>
      <c r="WHI80" s="1718"/>
      <c r="WHJ80" s="246"/>
      <c r="WHK80" s="246" t="str">
        <f>BS!$D$5</f>
        <v>31 March 2026</v>
      </c>
      <c r="WHL80" s="247" t="str">
        <f>BS!$E$5</f>
        <v>31 March 2025</v>
      </c>
      <c r="WHM80" s="1717"/>
      <c r="WHN80" s="1718"/>
      <c r="WHO80" s="1718"/>
      <c r="WHP80" s="1718"/>
      <c r="WHQ80" s="1718"/>
      <c r="WHR80" s="246"/>
      <c r="WHS80" s="246" t="str">
        <f>BS!$D$5</f>
        <v>31 March 2026</v>
      </c>
      <c r="WHT80" s="247" t="str">
        <f>BS!$E$5</f>
        <v>31 March 2025</v>
      </c>
      <c r="WHU80" s="1717"/>
      <c r="WHV80" s="1718"/>
      <c r="WHW80" s="1718"/>
      <c r="WHX80" s="1718"/>
      <c r="WHY80" s="1718"/>
      <c r="WHZ80" s="246"/>
      <c r="WIA80" s="246" t="str">
        <f>BS!$D$5</f>
        <v>31 March 2026</v>
      </c>
      <c r="WIB80" s="247" t="str">
        <f>BS!$E$5</f>
        <v>31 March 2025</v>
      </c>
      <c r="WIC80" s="1717"/>
      <c r="WID80" s="1718"/>
      <c r="WIE80" s="1718"/>
      <c r="WIF80" s="1718"/>
      <c r="WIG80" s="1718"/>
      <c r="WIH80" s="246"/>
      <c r="WII80" s="246" t="str">
        <f>BS!$D$5</f>
        <v>31 March 2026</v>
      </c>
      <c r="WIJ80" s="247" t="str">
        <f>BS!$E$5</f>
        <v>31 March 2025</v>
      </c>
      <c r="WIK80" s="1717"/>
      <c r="WIL80" s="1718"/>
      <c r="WIM80" s="1718"/>
      <c r="WIN80" s="1718"/>
      <c r="WIO80" s="1718"/>
      <c r="WIP80" s="246"/>
      <c r="WIQ80" s="246" t="str">
        <f>BS!$D$5</f>
        <v>31 March 2026</v>
      </c>
      <c r="WIR80" s="247" t="str">
        <f>BS!$E$5</f>
        <v>31 March 2025</v>
      </c>
      <c r="WIS80" s="1717"/>
      <c r="WIT80" s="1718"/>
      <c r="WIU80" s="1718"/>
      <c r="WIV80" s="1718"/>
      <c r="WIW80" s="1718"/>
      <c r="WIX80" s="246"/>
      <c r="WIY80" s="246" t="str">
        <f>BS!$D$5</f>
        <v>31 March 2026</v>
      </c>
      <c r="WIZ80" s="247" t="str">
        <f>BS!$E$5</f>
        <v>31 March 2025</v>
      </c>
      <c r="WJA80" s="1717"/>
      <c r="WJB80" s="1718"/>
      <c r="WJC80" s="1718"/>
      <c r="WJD80" s="1718"/>
      <c r="WJE80" s="1718"/>
      <c r="WJF80" s="246"/>
      <c r="WJG80" s="246" t="str">
        <f>BS!$D$5</f>
        <v>31 March 2026</v>
      </c>
      <c r="WJH80" s="247" t="str">
        <f>BS!$E$5</f>
        <v>31 March 2025</v>
      </c>
      <c r="WJI80" s="1717"/>
      <c r="WJJ80" s="1718"/>
      <c r="WJK80" s="1718"/>
      <c r="WJL80" s="1718"/>
      <c r="WJM80" s="1718"/>
      <c r="WJN80" s="246"/>
      <c r="WJO80" s="246" t="str">
        <f>BS!$D$5</f>
        <v>31 March 2026</v>
      </c>
      <c r="WJP80" s="247" t="str">
        <f>BS!$E$5</f>
        <v>31 March 2025</v>
      </c>
      <c r="WJQ80" s="1717"/>
      <c r="WJR80" s="1718"/>
      <c r="WJS80" s="1718"/>
      <c r="WJT80" s="1718"/>
      <c r="WJU80" s="1718"/>
      <c r="WJV80" s="246"/>
      <c r="WJW80" s="246" t="str">
        <f>BS!$D$5</f>
        <v>31 March 2026</v>
      </c>
      <c r="WJX80" s="247" t="str">
        <f>BS!$E$5</f>
        <v>31 March 2025</v>
      </c>
      <c r="WJY80" s="1717"/>
      <c r="WJZ80" s="1718"/>
      <c r="WKA80" s="1718"/>
      <c r="WKB80" s="1718"/>
      <c r="WKC80" s="1718"/>
      <c r="WKD80" s="246"/>
      <c r="WKE80" s="246" t="str">
        <f>BS!$D$5</f>
        <v>31 March 2026</v>
      </c>
      <c r="WKF80" s="247" t="str">
        <f>BS!$E$5</f>
        <v>31 March 2025</v>
      </c>
      <c r="WKG80" s="1717"/>
      <c r="WKH80" s="1718"/>
      <c r="WKI80" s="1718"/>
      <c r="WKJ80" s="1718"/>
      <c r="WKK80" s="1718"/>
      <c r="WKL80" s="246"/>
      <c r="WKM80" s="246" t="str">
        <f>BS!$D$5</f>
        <v>31 March 2026</v>
      </c>
      <c r="WKN80" s="247" t="str">
        <f>BS!$E$5</f>
        <v>31 March 2025</v>
      </c>
      <c r="WKO80" s="1717"/>
      <c r="WKP80" s="1718"/>
      <c r="WKQ80" s="1718"/>
      <c r="WKR80" s="1718"/>
      <c r="WKS80" s="1718"/>
      <c r="WKT80" s="246"/>
      <c r="WKU80" s="246" t="str">
        <f>BS!$D$5</f>
        <v>31 March 2026</v>
      </c>
      <c r="WKV80" s="247" t="str">
        <f>BS!$E$5</f>
        <v>31 March 2025</v>
      </c>
      <c r="WKW80" s="1717"/>
      <c r="WKX80" s="1718"/>
      <c r="WKY80" s="1718"/>
      <c r="WKZ80" s="1718"/>
      <c r="WLA80" s="1718"/>
      <c r="WLB80" s="246"/>
      <c r="WLC80" s="246" t="str">
        <f>BS!$D$5</f>
        <v>31 March 2026</v>
      </c>
      <c r="WLD80" s="247" t="str">
        <f>BS!$E$5</f>
        <v>31 March 2025</v>
      </c>
      <c r="WLE80" s="1717"/>
      <c r="WLF80" s="1718"/>
      <c r="WLG80" s="1718"/>
      <c r="WLH80" s="1718"/>
      <c r="WLI80" s="1718"/>
      <c r="WLJ80" s="246"/>
      <c r="WLK80" s="246" t="str">
        <f>BS!$D$5</f>
        <v>31 March 2026</v>
      </c>
      <c r="WLL80" s="247" t="str">
        <f>BS!$E$5</f>
        <v>31 March 2025</v>
      </c>
      <c r="WLM80" s="1717"/>
      <c r="WLN80" s="1718"/>
      <c r="WLO80" s="1718"/>
      <c r="WLP80" s="1718"/>
      <c r="WLQ80" s="1718"/>
      <c r="WLR80" s="246"/>
      <c r="WLS80" s="246" t="str">
        <f>BS!$D$5</f>
        <v>31 March 2026</v>
      </c>
      <c r="WLT80" s="247" t="str">
        <f>BS!$E$5</f>
        <v>31 March 2025</v>
      </c>
      <c r="WLU80" s="1717"/>
      <c r="WLV80" s="1718"/>
      <c r="WLW80" s="1718"/>
      <c r="WLX80" s="1718"/>
      <c r="WLY80" s="1718"/>
      <c r="WLZ80" s="246"/>
      <c r="WMA80" s="246" t="str">
        <f>BS!$D$5</f>
        <v>31 March 2026</v>
      </c>
      <c r="WMB80" s="247" t="str">
        <f>BS!$E$5</f>
        <v>31 March 2025</v>
      </c>
      <c r="WMC80" s="1717"/>
      <c r="WMD80" s="1718"/>
      <c r="WME80" s="1718"/>
      <c r="WMF80" s="1718"/>
      <c r="WMG80" s="1718"/>
      <c r="WMH80" s="246"/>
      <c r="WMI80" s="246" t="str">
        <f>BS!$D$5</f>
        <v>31 March 2026</v>
      </c>
      <c r="WMJ80" s="247" t="str">
        <f>BS!$E$5</f>
        <v>31 March 2025</v>
      </c>
      <c r="WMK80" s="1717"/>
      <c r="WML80" s="1718"/>
      <c r="WMM80" s="1718"/>
      <c r="WMN80" s="1718"/>
      <c r="WMO80" s="1718"/>
      <c r="WMP80" s="246"/>
      <c r="WMQ80" s="246" t="str">
        <f>BS!$D$5</f>
        <v>31 March 2026</v>
      </c>
      <c r="WMR80" s="247" t="str">
        <f>BS!$E$5</f>
        <v>31 March 2025</v>
      </c>
      <c r="WMS80" s="1717"/>
      <c r="WMT80" s="1718"/>
      <c r="WMU80" s="1718"/>
      <c r="WMV80" s="1718"/>
      <c r="WMW80" s="1718"/>
      <c r="WMX80" s="246"/>
      <c r="WMY80" s="246" t="str">
        <f>BS!$D$5</f>
        <v>31 March 2026</v>
      </c>
      <c r="WMZ80" s="247" t="str">
        <f>BS!$E$5</f>
        <v>31 March 2025</v>
      </c>
      <c r="WNA80" s="1717"/>
      <c r="WNB80" s="1718"/>
      <c r="WNC80" s="1718"/>
      <c r="WND80" s="1718"/>
      <c r="WNE80" s="1718"/>
      <c r="WNF80" s="246"/>
      <c r="WNG80" s="246" t="str">
        <f>BS!$D$5</f>
        <v>31 March 2026</v>
      </c>
      <c r="WNH80" s="247" t="str">
        <f>BS!$E$5</f>
        <v>31 March 2025</v>
      </c>
      <c r="WNI80" s="1717"/>
      <c r="WNJ80" s="1718"/>
      <c r="WNK80" s="1718"/>
      <c r="WNL80" s="1718"/>
      <c r="WNM80" s="1718"/>
      <c r="WNN80" s="246"/>
      <c r="WNO80" s="246" t="str">
        <f>BS!$D$5</f>
        <v>31 March 2026</v>
      </c>
      <c r="WNP80" s="247" t="str">
        <f>BS!$E$5</f>
        <v>31 March 2025</v>
      </c>
      <c r="WNQ80" s="1717"/>
      <c r="WNR80" s="1718"/>
      <c r="WNS80" s="1718"/>
      <c r="WNT80" s="1718"/>
      <c r="WNU80" s="1718"/>
      <c r="WNV80" s="246"/>
      <c r="WNW80" s="246" t="str">
        <f>BS!$D$5</f>
        <v>31 March 2026</v>
      </c>
      <c r="WNX80" s="247" t="str">
        <f>BS!$E$5</f>
        <v>31 March 2025</v>
      </c>
      <c r="WNY80" s="1717"/>
      <c r="WNZ80" s="1718"/>
      <c r="WOA80" s="1718"/>
      <c r="WOB80" s="1718"/>
      <c r="WOC80" s="1718"/>
      <c r="WOD80" s="246"/>
      <c r="WOE80" s="246" t="str">
        <f>BS!$D$5</f>
        <v>31 March 2026</v>
      </c>
      <c r="WOF80" s="247" t="str">
        <f>BS!$E$5</f>
        <v>31 March 2025</v>
      </c>
      <c r="WOG80" s="1717"/>
      <c r="WOH80" s="1718"/>
      <c r="WOI80" s="1718"/>
      <c r="WOJ80" s="1718"/>
      <c r="WOK80" s="1718"/>
      <c r="WOL80" s="246"/>
      <c r="WOM80" s="246" t="str">
        <f>BS!$D$5</f>
        <v>31 March 2026</v>
      </c>
      <c r="WON80" s="247" t="str">
        <f>BS!$E$5</f>
        <v>31 March 2025</v>
      </c>
      <c r="WOO80" s="1717"/>
      <c r="WOP80" s="1718"/>
      <c r="WOQ80" s="1718"/>
      <c r="WOR80" s="1718"/>
      <c r="WOS80" s="1718"/>
      <c r="WOT80" s="246"/>
      <c r="WOU80" s="246" t="str">
        <f>BS!$D$5</f>
        <v>31 March 2026</v>
      </c>
      <c r="WOV80" s="247" t="str">
        <f>BS!$E$5</f>
        <v>31 March 2025</v>
      </c>
      <c r="WOW80" s="1717"/>
      <c r="WOX80" s="1718"/>
      <c r="WOY80" s="1718"/>
      <c r="WOZ80" s="1718"/>
      <c r="WPA80" s="1718"/>
      <c r="WPB80" s="246"/>
      <c r="WPC80" s="246" t="str">
        <f>BS!$D$5</f>
        <v>31 March 2026</v>
      </c>
      <c r="WPD80" s="247" t="str">
        <f>BS!$E$5</f>
        <v>31 March 2025</v>
      </c>
      <c r="WPE80" s="1717"/>
      <c r="WPF80" s="1718"/>
      <c r="WPG80" s="1718"/>
      <c r="WPH80" s="1718"/>
      <c r="WPI80" s="1718"/>
      <c r="WPJ80" s="246"/>
      <c r="WPK80" s="246" t="str">
        <f>BS!$D$5</f>
        <v>31 March 2026</v>
      </c>
      <c r="WPL80" s="247" t="str">
        <f>BS!$E$5</f>
        <v>31 March 2025</v>
      </c>
      <c r="WPM80" s="1717"/>
      <c r="WPN80" s="1718"/>
      <c r="WPO80" s="1718"/>
      <c r="WPP80" s="1718"/>
      <c r="WPQ80" s="1718"/>
      <c r="WPR80" s="246"/>
      <c r="WPS80" s="246" t="str">
        <f>BS!$D$5</f>
        <v>31 March 2026</v>
      </c>
      <c r="WPT80" s="247" t="str">
        <f>BS!$E$5</f>
        <v>31 March 2025</v>
      </c>
      <c r="WPU80" s="1717"/>
      <c r="WPV80" s="1718"/>
      <c r="WPW80" s="1718"/>
      <c r="WPX80" s="1718"/>
      <c r="WPY80" s="1718"/>
      <c r="WPZ80" s="246"/>
      <c r="WQA80" s="246" t="str">
        <f>BS!$D$5</f>
        <v>31 March 2026</v>
      </c>
      <c r="WQB80" s="247" t="str">
        <f>BS!$E$5</f>
        <v>31 March 2025</v>
      </c>
      <c r="WQC80" s="1717"/>
      <c r="WQD80" s="1718"/>
      <c r="WQE80" s="1718"/>
      <c r="WQF80" s="1718"/>
      <c r="WQG80" s="1718"/>
      <c r="WQH80" s="246"/>
      <c r="WQI80" s="246" t="str">
        <f>BS!$D$5</f>
        <v>31 March 2026</v>
      </c>
      <c r="WQJ80" s="247" t="str">
        <f>BS!$E$5</f>
        <v>31 March 2025</v>
      </c>
      <c r="WQK80" s="1717"/>
      <c r="WQL80" s="1718"/>
      <c r="WQM80" s="1718"/>
      <c r="WQN80" s="1718"/>
      <c r="WQO80" s="1718"/>
      <c r="WQP80" s="246"/>
      <c r="WQQ80" s="246" t="str">
        <f>BS!$D$5</f>
        <v>31 March 2026</v>
      </c>
      <c r="WQR80" s="247" t="str">
        <f>BS!$E$5</f>
        <v>31 March 2025</v>
      </c>
      <c r="WQS80" s="1717"/>
      <c r="WQT80" s="1718"/>
      <c r="WQU80" s="1718"/>
      <c r="WQV80" s="1718"/>
      <c r="WQW80" s="1718"/>
      <c r="WQX80" s="246"/>
      <c r="WQY80" s="246" t="str">
        <f>BS!$D$5</f>
        <v>31 March 2026</v>
      </c>
      <c r="WQZ80" s="247" t="str">
        <f>BS!$E$5</f>
        <v>31 March 2025</v>
      </c>
      <c r="WRA80" s="1717"/>
      <c r="WRB80" s="1718"/>
      <c r="WRC80" s="1718"/>
      <c r="WRD80" s="1718"/>
      <c r="WRE80" s="1718"/>
      <c r="WRF80" s="246"/>
      <c r="WRG80" s="246" t="str">
        <f>BS!$D$5</f>
        <v>31 March 2026</v>
      </c>
      <c r="WRH80" s="247" t="str">
        <f>BS!$E$5</f>
        <v>31 March 2025</v>
      </c>
      <c r="WRI80" s="1717"/>
      <c r="WRJ80" s="1718"/>
      <c r="WRK80" s="1718"/>
      <c r="WRL80" s="1718"/>
      <c r="WRM80" s="1718"/>
      <c r="WRN80" s="246"/>
      <c r="WRO80" s="246" t="str">
        <f>BS!$D$5</f>
        <v>31 March 2026</v>
      </c>
      <c r="WRP80" s="247" t="str">
        <f>BS!$E$5</f>
        <v>31 March 2025</v>
      </c>
      <c r="WRQ80" s="1717"/>
      <c r="WRR80" s="1718"/>
      <c r="WRS80" s="1718"/>
      <c r="WRT80" s="1718"/>
      <c r="WRU80" s="1718"/>
      <c r="WRV80" s="246"/>
      <c r="WRW80" s="246" t="str">
        <f>BS!$D$5</f>
        <v>31 March 2026</v>
      </c>
      <c r="WRX80" s="247" t="str">
        <f>BS!$E$5</f>
        <v>31 March 2025</v>
      </c>
      <c r="WRY80" s="1717"/>
      <c r="WRZ80" s="1718"/>
      <c r="WSA80" s="1718"/>
      <c r="WSB80" s="1718"/>
      <c r="WSC80" s="1718"/>
      <c r="WSD80" s="246"/>
      <c r="WSE80" s="246" t="str">
        <f>BS!$D$5</f>
        <v>31 March 2026</v>
      </c>
      <c r="WSF80" s="247" t="str">
        <f>BS!$E$5</f>
        <v>31 March 2025</v>
      </c>
      <c r="WSG80" s="1717"/>
      <c r="WSH80" s="1718"/>
      <c r="WSI80" s="1718"/>
      <c r="WSJ80" s="1718"/>
      <c r="WSK80" s="1718"/>
      <c r="WSL80" s="246"/>
      <c r="WSM80" s="246" t="str">
        <f>BS!$D$5</f>
        <v>31 March 2026</v>
      </c>
      <c r="WSN80" s="247" t="str">
        <f>BS!$E$5</f>
        <v>31 March 2025</v>
      </c>
      <c r="WSO80" s="1717"/>
      <c r="WSP80" s="1718"/>
      <c r="WSQ80" s="1718"/>
      <c r="WSR80" s="1718"/>
      <c r="WSS80" s="1718"/>
      <c r="WST80" s="246"/>
      <c r="WSU80" s="246" t="str">
        <f>BS!$D$5</f>
        <v>31 March 2026</v>
      </c>
      <c r="WSV80" s="247" t="str">
        <f>BS!$E$5</f>
        <v>31 March 2025</v>
      </c>
      <c r="WSW80" s="1717"/>
      <c r="WSX80" s="1718"/>
      <c r="WSY80" s="1718"/>
      <c r="WSZ80" s="1718"/>
      <c r="WTA80" s="1718"/>
      <c r="WTB80" s="246"/>
      <c r="WTC80" s="246" t="str">
        <f>BS!$D$5</f>
        <v>31 March 2026</v>
      </c>
      <c r="WTD80" s="247" t="str">
        <f>BS!$E$5</f>
        <v>31 March 2025</v>
      </c>
      <c r="WTE80" s="1717"/>
      <c r="WTF80" s="1718"/>
      <c r="WTG80" s="1718"/>
      <c r="WTH80" s="1718"/>
      <c r="WTI80" s="1718"/>
      <c r="WTJ80" s="246"/>
      <c r="WTK80" s="246" t="str">
        <f>BS!$D$5</f>
        <v>31 March 2026</v>
      </c>
      <c r="WTL80" s="247" t="str">
        <f>BS!$E$5</f>
        <v>31 March 2025</v>
      </c>
      <c r="WTM80" s="1717"/>
      <c r="WTN80" s="1718"/>
      <c r="WTO80" s="1718"/>
      <c r="WTP80" s="1718"/>
      <c r="WTQ80" s="1718"/>
      <c r="WTR80" s="246"/>
      <c r="WTS80" s="246" t="str">
        <f>BS!$D$5</f>
        <v>31 March 2026</v>
      </c>
      <c r="WTT80" s="247" t="str">
        <f>BS!$E$5</f>
        <v>31 March 2025</v>
      </c>
      <c r="WTU80" s="1717"/>
      <c r="WTV80" s="1718"/>
      <c r="WTW80" s="1718"/>
      <c r="WTX80" s="1718"/>
      <c r="WTY80" s="1718"/>
      <c r="WTZ80" s="246"/>
      <c r="WUA80" s="246" t="str">
        <f>BS!$D$5</f>
        <v>31 March 2026</v>
      </c>
      <c r="WUB80" s="247" t="str">
        <f>BS!$E$5</f>
        <v>31 March 2025</v>
      </c>
      <c r="WUC80" s="1717"/>
      <c r="WUD80" s="1718"/>
      <c r="WUE80" s="1718"/>
      <c r="WUF80" s="1718"/>
      <c r="WUG80" s="1718"/>
      <c r="WUH80" s="246"/>
      <c r="WUI80" s="246" t="str">
        <f>BS!$D$5</f>
        <v>31 March 2026</v>
      </c>
      <c r="WUJ80" s="247" t="str">
        <f>BS!$E$5</f>
        <v>31 March 2025</v>
      </c>
      <c r="WUK80" s="1717"/>
      <c r="WUL80" s="1718"/>
      <c r="WUM80" s="1718"/>
      <c r="WUN80" s="1718"/>
      <c r="WUO80" s="1718"/>
      <c r="WUP80" s="246"/>
      <c r="WUQ80" s="246" t="str">
        <f>BS!$D$5</f>
        <v>31 March 2026</v>
      </c>
      <c r="WUR80" s="247" t="str">
        <f>BS!$E$5</f>
        <v>31 March 2025</v>
      </c>
      <c r="WUS80" s="1717"/>
      <c r="WUT80" s="1718"/>
      <c r="WUU80" s="1718"/>
      <c r="WUV80" s="1718"/>
      <c r="WUW80" s="1718"/>
      <c r="WUX80" s="246"/>
      <c r="WUY80" s="246" t="str">
        <f>BS!$D$5</f>
        <v>31 March 2026</v>
      </c>
      <c r="WUZ80" s="247" t="str">
        <f>BS!$E$5</f>
        <v>31 March 2025</v>
      </c>
      <c r="WVA80" s="1717"/>
      <c r="WVB80" s="1718"/>
      <c r="WVC80" s="1718"/>
      <c r="WVD80" s="1718"/>
      <c r="WVE80" s="1718"/>
      <c r="WVF80" s="246"/>
      <c r="WVG80" s="246" t="str">
        <f>BS!$D$5</f>
        <v>31 March 2026</v>
      </c>
      <c r="WVH80" s="247" t="str">
        <f>BS!$E$5</f>
        <v>31 March 2025</v>
      </c>
      <c r="WVI80" s="1717"/>
      <c r="WVJ80" s="1718"/>
      <c r="WVK80" s="1718"/>
      <c r="WVL80" s="1718"/>
      <c r="WVM80" s="1718"/>
      <c r="WVN80" s="246"/>
      <c r="WVO80" s="246" t="str">
        <f>BS!$D$5</f>
        <v>31 March 2026</v>
      </c>
      <c r="WVP80" s="247" t="str">
        <f>BS!$E$5</f>
        <v>31 March 2025</v>
      </c>
      <c r="WVQ80" s="1717"/>
      <c r="WVR80" s="1718"/>
      <c r="WVS80" s="1718"/>
      <c r="WVT80" s="1718"/>
      <c r="WVU80" s="1718"/>
      <c r="WVV80" s="246"/>
      <c r="WVW80" s="246" t="str">
        <f>BS!$D$5</f>
        <v>31 March 2026</v>
      </c>
      <c r="WVX80" s="247" t="str">
        <f>BS!$E$5</f>
        <v>31 March 2025</v>
      </c>
      <c r="WVY80" s="1717"/>
      <c r="WVZ80" s="1718"/>
      <c r="WWA80" s="1718"/>
      <c r="WWB80" s="1718"/>
      <c r="WWC80" s="1718"/>
      <c r="WWD80" s="246"/>
      <c r="WWE80" s="246" t="str">
        <f>BS!$D$5</f>
        <v>31 March 2026</v>
      </c>
      <c r="WWF80" s="247" t="str">
        <f>BS!$E$5</f>
        <v>31 March 2025</v>
      </c>
      <c r="WWG80" s="1717"/>
      <c r="WWH80" s="1718"/>
      <c r="WWI80" s="1718"/>
      <c r="WWJ80" s="1718"/>
      <c r="WWK80" s="1718"/>
      <c r="WWL80" s="246"/>
      <c r="WWM80" s="246" t="str">
        <f>BS!$D$5</f>
        <v>31 March 2026</v>
      </c>
      <c r="WWN80" s="247" t="str">
        <f>BS!$E$5</f>
        <v>31 March 2025</v>
      </c>
      <c r="WWO80" s="1717"/>
      <c r="WWP80" s="1718"/>
      <c r="WWQ80" s="1718"/>
      <c r="WWR80" s="1718"/>
      <c r="WWS80" s="1718"/>
      <c r="WWT80" s="246"/>
      <c r="WWU80" s="246" t="str">
        <f>BS!$D$5</f>
        <v>31 March 2026</v>
      </c>
      <c r="WWV80" s="247" t="str">
        <f>BS!$E$5</f>
        <v>31 March 2025</v>
      </c>
      <c r="WWW80" s="1717"/>
      <c r="WWX80" s="1718"/>
      <c r="WWY80" s="1718"/>
      <c r="WWZ80" s="1718"/>
      <c r="WXA80" s="1718"/>
      <c r="WXB80" s="246"/>
      <c r="WXC80" s="246" t="str">
        <f>BS!$D$5</f>
        <v>31 March 2026</v>
      </c>
      <c r="WXD80" s="247" t="str">
        <f>BS!$E$5</f>
        <v>31 March 2025</v>
      </c>
      <c r="WXE80" s="1717"/>
      <c r="WXF80" s="1718"/>
      <c r="WXG80" s="1718"/>
      <c r="WXH80" s="1718"/>
      <c r="WXI80" s="1718"/>
      <c r="WXJ80" s="246"/>
      <c r="WXK80" s="246" t="str">
        <f>BS!$D$5</f>
        <v>31 March 2026</v>
      </c>
      <c r="WXL80" s="247" t="str">
        <f>BS!$E$5</f>
        <v>31 March 2025</v>
      </c>
      <c r="WXM80" s="1717"/>
      <c r="WXN80" s="1718"/>
      <c r="WXO80" s="1718"/>
      <c r="WXP80" s="1718"/>
      <c r="WXQ80" s="1718"/>
      <c r="WXR80" s="246"/>
      <c r="WXS80" s="246" t="str">
        <f>BS!$D$5</f>
        <v>31 March 2026</v>
      </c>
      <c r="WXT80" s="247" t="str">
        <f>BS!$E$5</f>
        <v>31 March 2025</v>
      </c>
      <c r="WXU80" s="1717"/>
      <c r="WXV80" s="1718"/>
      <c r="WXW80" s="1718"/>
      <c r="WXX80" s="1718"/>
      <c r="WXY80" s="1718"/>
      <c r="WXZ80" s="246"/>
      <c r="WYA80" s="246" t="str">
        <f>BS!$D$5</f>
        <v>31 March 2026</v>
      </c>
      <c r="WYB80" s="247" t="str">
        <f>BS!$E$5</f>
        <v>31 March 2025</v>
      </c>
      <c r="WYC80" s="1717"/>
      <c r="WYD80" s="1718"/>
      <c r="WYE80" s="1718"/>
      <c r="WYF80" s="1718"/>
      <c r="WYG80" s="1718"/>
      <c r="WYH80" s="246"/>
      <c r="WYI80" s="246" t="str">
        <f>BS!$D$5</f>
        <v>31 March 2026</v>
      </c>
      <c r="WYJ80" s="247" t="str">
        <f>BS!$E$5</f>
        <v>31 March 2025</v>
      </c>
      <c r="WYK80" s="1717"/>
      <c r="WYL80" s="1718"/>
      <c r="WYM80" s="1718"/>
      <c r="WYN80" s="1718"/>
      <c r="WYO80" s="1718"/>
      <c r="WYP80" s="246"/>
      <c r="WYQ80" s="246" t="str">
        <f>BS!$D$5</f>
        <v>31 March 2026</v>
      </c>
      <c r="WYR80" s="247" t="str">
        <f>BS!$E$5</f>
        <v>31 March 2025</v>
      </c>
      <c r="WYS80" s="1717"/>
      <c r="WYT80" s="1718"/>
      <c r="WYU80" s="1718"/>
      <c r="WYV80" s="1718"/>
      <c r="WYW80" s="1718"/>
      <c r="WYX80" s="246"/>
      <c r="WYY80" s="246" t="str">
        <f>BS!$D$5</f>
        <v>31 March 2026</v>
      </c>
      <c r="WYZ80" s="247" t="str">
        <f>BS!$E$5</f>
        <v>31 March 2025</v>
      </c>
      <c r="WZA80" s="1717"/>
      <c r="WZB80" s="1718"/>
      <c r="WZC80" s="1718"/>
      <c r="WZD80" s="1718"/>
      <c r="WZE80" s="1718"/>
      <c r="WZF80" s="246"/>
      <c r="WZG80" s="246" t="str">
        <f>BS!$D$5</f>
        <v>31 March 2026</v>
      </c>
      <c r="WZH80" s="247" t="str">
        <f>BS!$E$5</f>
        <v>31 March 2025</v>
      </c>
      <c r="WZI80" s="1717"/>
      <c r="WZJ80" s="1718"/>
      <c r="WZK80" s="1718"/>
      <c r="WZL80" s="1718"/>
      <c r="WZM80" s="1718"/>
      <c r="WZN80" s="246"/>
      <c r="WZO80" s="246" t="str">
        <f>BS!$D$5</f>
        <v>31 March 2026</v>
      </c>
      <c r="WZP80" s="247" t="str">
        <f>BS!$E$5</f>
        <v>31 March 2025</v>
      </c>
      <c r="WZQ80" s="1717"/>
      <c r="WZR80" s="1718"/>
      <c r="WZS80" s="1718"/>
      <c r="WZT80" s="1718"/>
      <c r="WZU80" s="1718"/>
      <c r="WZV80" s="246"/>
      <c r="WZW80" s="246" t="str">
        <f>BS!$D$5</f>
        <v>31 March 2026</v>
      </c>
      <c r="WZX80" s="247" t="str">
        <f>BS!$E$5</f>
        <v>31 March 2025</v>
      </c>
      <c r="WZY80" s="1717"/>
      <c r="WZZ80" s="1718"/>
      <c r="XAA80" s="1718"/>
      <c r="XAB80" s="1718"/>
      <c r="XAC80" s="1718"/>
      <c r="XAD80" s="246"/>
      <c r="XAE80" s="246" t="str">
        <f>BS!$D$5</f>
        <v>31 March 2026</v>
      </c>
      <c r="XAF80" s="247" t="str">
        <f>BS!$E$5</f>
        <v>31 March 2025</v>
      </c>
      <c r="XAG80" s="1717"/>
      <c r="XAH80" s="1718"/>
      <c r="XAI80" s="1718"/>
      <c r="XAJ80" s="1718"/>
      <c r="XAK80" s="1718"/>
      <c r="XAL80" s="246"/>
      <c r="XAM80" s="246" t="str">
        <f>BS!$D$5</f>
        <v>31 March 2026</v>
      </c>
      <c r="XAN80" s="247" t="str">
        <f>BS!$E$5</f>
        <v>31 March 2025</v>
      </c>
      <c r="XAO80" s="1717"/>
      <c r="XAP80" s="1718"/>
      <c r="XAQ80" s="1718"/>
      <c r="XAR80" s="1718"/>
      <c r="XAS80" s="1718"/>
      <c r="XAT80" s="246"/>
      <c r="XAU80" s="246" t="str">
        <f>BS!$D$5</f>
        <v>31 March 2026</v>
      </c>
      <c r="XAV80" s="247" t="str">
        <f>BS!$E$5</f>
        <v>31 March 2025</v>
      </c>
      <c r="XAW80" s="1717"/>
      <c r="XAX80" s="1718"/>
      <c r="XAY80" s="1718"/>
      <c r="XAZ80" s="1718"/>
      <c r="XBA80" s="1718"/>
      <c r="XBB80" s="246"/>
      <c r="XBC80" s="246" t="str">
        <f>BS!$D$5</f>
        <v>31 March 2026</v>
      </c>
      <c r="XBD80" s="247" t="str">
        <f>BS!$E$5</f>
        <v>31 March 2025</v>
      </c>
      <c r="XBE80" s="1717"/>
      <c r="XBF80" s="1718"/>
      <c r="XBG80" s="1718"/>
      <c r="XBH80" s="1718"/>
      <c r="XBI80" s="1718"/>
      <c r="XBJ80" s="246"/>
      <c r="XBK80" s="246" t="str">
        <f>BS!$D$5</f>
        <v>31 March 2026</v>
      </c>
      <c r="XBL80" s="247" t="str">
        <f>BS!$E$5</f>
        <v>31 March 2025</v>
      </c>
      <c r="XBM80" s="1717"/>
      <c r="XBN80" s="1718"/>
      <c r="XBO80" s="1718"/>
      <c r="XBP80" s="1718"/>
      <c r="XBQ80" s="1718"/>
      <c r="XBR80" s="246"/>
      <c r="XBS80" s="246" t="str">
        <f>BS!$D$5</f>
        <v>31 March 2026</v>
      </c>
      <c r="XBT80" s="247" t="str">
        <f>BS!$E$5</f>
        <v>31 March 2025</v>
      </c>
      <c r="XBU80" s="1717"/>
      <c r="XBV80" s="1718"/>
      <c r="XBW80" s="1718"/>
      <c r="XBX80" s="1718"/>
      <c r="XBY80" s="1718"/>
      <c r="XBZ80" s="246"/>
      <c r="XCA80" s="246" t="str">
        <f>BS!$D$5</f>
        <v>31 March 2026</v>
      </c>
      <c r="XCB80" s="247" t="str">
        <f>BS!$E$5</f>
        <v>31 March 2025</v>
      </c>
      <c r="XCC80" s="1717"/>
      <c r="XCD80" s="1718"/>
      <c r="XCE80" s="1718"/>
      <c r="XCF80" s="1718"/>
      <c r="XCG80" s="1718"/>
      <c r="XCH80" s="246"/>
      <c r="XCI80" s="246" t="str">
        <f>BS!$D$5</f>
        <v>31 March 2026</v>
      </c>
      <c r="XCJ80" s="247" t="str">
        <f>BS!$E$5</f>
        <v>31 March 2025</v>
      </c>
      <c r="XCK80" s="1717"/>
      <c r="XCL80" s="1718"/>
      <c r="XCM80" s="1718"/>
      <c r="XCN80" s="1718"/>
      <c r="XCO80" s="1718"/>
      <c r="XCP80" s="246"/>
      <c r="XCQ80" s="246" t="str">
        <f>BS!$D$5</f>
        <v>31 March 2026</v>
      </c>
      <c r="XCR80" s="247" t="str">
        <f>BS!$E$5</f>
        <v>31 March 2025</v>
      </c>
      <c r="XCS80" s="1717"/>
      <c r="XCT80" s="1718"/>
      <c r="XCU80" s="1718"/>
      <c r="XCV80" s="1718"/>
      <c r="XCW80" s="1718"/>
      <c r="XCX80" s="246"/>
      <c r="XCY80" s="246" t="str">
        <f>BS!$D$5</f>
        <v>31 March 2026</v>
      </c>
      <c r="XCZ80" s="247" t="str">
        <f>BS!$E$5</f>
        <v>31 March 2025</v>
      </c>
      <c r="XDA80" s="1717"/>
      <c r="XDB80" s="1718"/>
      <c r="XDC80" s="1718"/>
      <c r="XDD80" s="1718"/>
      <c r="XDE80" s="1718"/>
      <c r="XDF80" s="246"/>
      <c r="XDG80" s="246" t="str">
        <f>BS!$D$5</f>
        <v>31 March 2026</v>
      </c>
      <c r="XDH80" s="247" t="str">
        <f>BS!$E$5</f>
        <v>31 March 2025</v>
      </c>
      <c r="XDI80" s="1717"/>
      <c r="XDJ80" s="1718"/>
      <c r="XDK80" s="1718"/>
      <c r="XDL80" s="1718"/>
      <c r="XDM80" s="1718"/>
      <c r="XDN80" s="246"/>
      <c r="XDO80" s="246" t="str">
        <f>BS!$D$5</f>
        <v>31 March 2026</v>
      </c>
      <c r="XDP80" s="247" t="str">
        <f>BS!$E$5</f>
        <v>31 March 2025</v>
      </c>
      <c r="XDQ80" s="1717"/>
      <c r="XDR80" s="1718"/>
      <c r="XDS80" s="1718"/>
      <c r="XDT80" s="1718"/>
      <c r="XDU80" s="1718"/>
      <c r="XDV80" s="246"/>
      <c r="XDW80" s="246" t="str">
        <f>BS!$D$5</f>
        <v>31 March 2026</v>
      </c>
      <c r="XDX80" s="247" t="str">
        <f>BS!$E$5</f>
        <v>31 March 2025</v>
      </c>
      <c r="XDY80" s="1717"/>
      <c r="XDZ80" s="1718"/>
      <c r="XEA80" s="1718"/>
      <c r="XEB80" s="1718"/>
      <c r="XEC80" s="1718"/>
      <c r="XED80" s="246"/>
      <c r="XEE80" s="246" t="str">
        <f>BS!$D$5</f>
        <v>31 March 2026</v>
      </c>
      <c r="XEF80" s="247" t="str">
        <f>BS!$E$5</f>
        <v>31 March 2025</v>
      </c>
      <c r="XEG80" s="1717"/>
      <c r="XEH80" s="1718"/>
      <c r="XEI80" s="1718"/>
      <c r="XEJ80" s="1718"/>
      <c r="XEK80" s="1718"/>
      <c r="XEL80" s="246"/>
      <c r="XEM80" s="246" t="str">
        <f>BS!$D$5</f>
        <v>31 March 2026</v>
      </c>
      <c r="XEN80" s="247" t="str">
        <f>BS!$E$5</f>
        <v>31 March 2025</v>
      </c>
      <c r="XEO80" s="1717"/>
      <c r="XEP80" s="1718"/>
      <c r="XEQ80" s="1718"/>
      <c r="XER80" s="1718"/>
      <c r="XES80" s="1718"/>
      <c r="XET80" s="246"/>
      <c r="XEU80" s="246" t="str">
        <f>BS!$D$5</f>
        <v>31 March 2026</v>
      </c>
      <c r="XEV80" s="247" t="str">
        <f>BS!$E$5</f>
        <v>31 March 2025</v>
      </c>
      <c r="XEW80" s="1717"/>
      <c r="XEX80" s="1718"/>
      <c r="XEY80" s="1718"/>
      <c r="XEZ80" s="1718"/>
      <c r="XFA80" s="1718"/>
      <c r="XFB80" s="246"/>
      <c r="XFC80" s="246" t="str">
        <f>BS!$D$5</f>
        <v>31 March 2026</v>
      </c>
      <c r="XFD80" s="247" t="str">
        <f>BS!$E$5</f>
        <v>31 March 2025</v>
      </c>
    </row>
    <row r="81" spans="1:20" ht="6.6" customHeight="1" x14ac:dyDescent="0.25">
      <c r="A81" s="40"/>
      <c r="B81" s="640"/>
      <c r="C81" s="640"/>
      <c r="D81" s="640"/>
      <c r="E81" s="640"/>
      <c r="F81" s="1664"/>
      <c r="G81" s="1664"/>
      <c r="H81" s="1657"/>
      <c r="I81" s="831"/>
      <c r="J81" s="509"/>
      <c r="K81" s="509"/>
      <c r="L81" s="509"/>
      <c r="M81" s="788"/>
      <c r="O81" s="509">
        <f>O77/10000</f>
        <v>0.46139999999999998</v>
      </c>
      <c r="P81" s="509">
        <f>P77/10000000</f>
        <v>3.515007996</v>
      </c>
    </row>
    <row r="82" spans="1:20" x14ac:dyDescent="0.25">
      <c r="A82" s="314" t="s">
        <v>882</v>
      </c>
      <c r="B82" s="788"/>
      <c r="C82" s="788"/>
      <c r="D82" s="788"/>
      <c r="E82" s="788"/>
      <c r="H82" s="834"/>
      <c r="I82" s="834"/>
      <c r="J82" s="834"/>
      <c r="O82" s="509">
        <f>O81-P81</f>
        <v>-3.0536079960000002</v>
      </c>
      <c r="P82" s="177"/>
    </row>
    <row r="83" spans="1:20" x14ac:dyDescent="0.25">
      <c r="A83" s="314" t="s">
        <v>840</v>
      </c>
      <c r="B83" s="788"/>
      <c r="C83" s="788"/>
      <c r="D83" s="788"/>
      <c r="E83" s="788"/>
      <c r="H83" s="834"/>
      <c r="I83" s="834"/>
      <c r="J83" s="834"/>
      <c r="P83" s="177"/>
    </row>
    <row r="84" spans="1:20" x14ac:dyDescent="0.25">
      <c r="A84" s="822" t="s">
        <v>738</v>
      </c>
      <c r="G84" s="823">
        <f>ROUND(SUMIF('TB BVS 31.03.26'!$E:$E,'BS  Notes  3-18'!A84,'TB BVS 31.03.26'!$I:$I)/Input!$C$2,Input!$E$2)-G86</f>
        <v>3026</v>
      </c>
      <c r="H84" s="787">
        <f>ROUND(SUMIF('TB BVS 31.3.25'!$E:$E,'BS  Notes  3-18'!A84,'TB BVS 31.3.25'!$J:$J)/Input!$C$2,Input!$E$2)</f>
        <v>454</v>
      </c>
      <c r="I84" s="824" t="e">
        <f>ROUND(SUMIF('[1]TB - SNS - 31.3.22'!$E:$E,A84,'[1]TB - SNS - 31.3.22'!$M:$M)/[1]Input!$C$2,[1]Input!$E$2)</f>
        <v>#VALUE!</v>
      </c>
      <c r="J84" s="824" t="e">
        <f>ROUND(SUMIF('[1]TB - SNS - 31.3.21'!$E:$E,'[2]BS  Notes  4-18'!A236,'[1]TB - SNS - 31.3.21'!$M:$M)/[1]Input!$C$2,[1]Input!$E$2)</f>
        <v>#VALUE!</v>
      </c>
      <c r="P84" s="920" t="e" cm="1">
        <f t="array" ref="P84:T84">SUMIF('[2]TB - SNS - 31.3.24'!F:F,'[2]BS  Notes  4-18'!A236:E236,'[2]TB - SNS - 31.3.24'!J:J)/10^5-G84</f>
        <v>#VALUE!</v>
      </c>
      <c r="Q84" s="95" t="e">
        <v>#VALUE!</v>
      </c>
      <c r="R84" s="95" t="e">
        <v>#VALUE!</v>
      </c>
      <c r="S84" s="95" t="e">
        <v>#VALUE!</v>
      </c>
      <c r="T84" s="95" t="e">
        <v>#VALUE!</v>
      </c>
    </row>
    <row r="85" spans="1:20" hidden="1" x14ac:dyDescent="0.25">
      <c r="A85" s="822" t="s">
        <v>841</v>
      </c>
      <c r="G85" s="823">
        <f>ROUND(SUMIF('TB BVS 31.03.26'!$E:$E,'BS  Notes  3-18'!A85,'TB BVS 31.03.26'!$J:$J)/Input!$C$2,Input!$E$2)</f>
        <v>0</v>
      </c>
      <c r="H85" s="787">
        <v>0</v>
      </c>
      <c r="I85" s="824" t="e">
        <f>ROUND(SUMIF('[1]TB - SNS - 31.3.22'!$E:$E,A85,'[1]TB - SNS - 31.3.22'!$M:$M)/[1]Input!$C$2,[1]Input!$E$2)</f>
        <v>#VALUE!</v>
      </c>
      <c r="J85" s="824" t="e">
        <f>ROUND(SUMIF('[1]TB - SNS - 31.3.21'!$E:$E,'[2]BS  Notes  4-18'!A237,'[1]TB - SNS - 31.3.21'!$M:$M)/[1]Input!$C$2,[1]Input!$E$2)</f>
        <v>#VALUE!</v>
      </c>
      <c r="P85" s="920" t="e" cm="1">
        <f t="array" ref="P85:T85">SUMIF('[2]TB - SNS - 31.3.24'!F:F,'[2]BS  Notes  4-18'!A237:E237,'[2]TB - SNS - 31.3.24'!J:J)/10^5-G85</f>
        <v>#VALUE!</v>
      </c>
      <c r="Q85" s="95" t="e">
        <v>#VALUE!</v>
      </c>
      <c r="R85" s="95" t="e">
        <v>#VALUE!</v>
      </c>
      <c r="S85" s="95" t="e">
        <v>#VALUE!</v>
      </c>
      <c r="T85" s="95" t="e">
        <v>#VALUE!</v>
      </c>
    </row>
    <row r="86" spans="1:20" x14ac:dyDescent="0.25">
      <c r="A86" s="822" t="s">
        <v>1540</v>
      </c>
      <c r="G86" s="823">
        <f>-ROUND(SUMIF('TB BVS 31.03.26'!$E:$E,'BS  Notes  3-18'!A86,'TB BVS 31.03.26'!$I:$I)/Input!$C$2,Input!$E$2)</f>
        <v>15</v>
      </c>
      <c r="H86" s="839">
        <v>0</v>
      </c>
      <c r="I86" s="824"/>
      <c r="J86" s="824"/>
      <c r="P86" s="920"/>
    </row>
    <row r="87" spans="1:20" x14ac:dyDescent="0.25">
      <c r="A87" s="822"/>
      <c r="G87" s="1418">
        <f>G84+G86</f>
        <v>3041</v>
      </c>
      <c r="H87" s="957">
        <f>H84+H86</f>
        <v>454</v>
      </c>
      <c r="I87" s="824"/>
      <c r="J87" s="824"/>
      <c r="P87" s="920"/>
    </row>
    <row r="88" spans="1:20" x14ac:dyDescent="0.25">
      <c r="A88" s="822" t="s">
        <v>1541</v>
      </c>
      <c r="G88" s="823"/>
      <c r="H88" s="787"/>
      <c r="I88" s="824"/>
      <c r="J88" s="824"/>
      <c r="P88" s="920"/>
    </row>
    <row r="89" spans="1:20" x14ac:dyDescent="0.25">
      <c r="A89" s="822" t="s">
        <v>1540</v>
      </c>
      <c r="G89" s="1545">
        <f>-G86</f>
        <v>-15</v>
      </c>
      <c r="H89" s="787">
        <v>0</v>
      </c>
      <c r="I89" s="824"/>
      <c r="J89" s="824"/>
      <c r="P89" s="920"/>
    </row>
    <row r="90" spans="1:20" x14ac:dyDescent="0.25">
      <c r="A90" s="646" t="s">
        <v>67</v>
      </c>
      <c r="B90" s="837"/>
      <c r="C90" s="837"/>
      <c r="D90" s="837"/>
      <c r="E90" s="837"/>
      <c r="F90" s="869"/>
      <c r="G90" s="828">
        <f>SUM(G87:G89)</f>
        <v>3026</v>
      </c>
      <c r="H90" s="829">
        <f>SUM(H84:H85)</f>
        <v>454</v>
      </c>
      <c r="I90" s="829" t="e">
        <f>SUM(I84:I85)</f>
        <v>#VALUE!</v>
      </c>
      <c r="J90" s="829" t="e">
        <f>SUM(J84:J85)</f>
        <v>#VALUE!</v>
      </c>
      <c r="P90" s="177"/>
    </row>
    <row r="91" spans="1:20" x14ac:dyDescent="0.25">
      <c r="A91" s="314"/>
      <c r="B91" s="788"/>
      <c r="C91" s="788"/>
      <c r="D91" s="788"/>
      <c r="E91" s="788"/>
      <c r="H91" s="834"/>
      <c r="I91" s="834"/>
      <c r="J91" s="834"/>
      <c r="P91" s="177"/>
    </row>
    <row r="92" spans="1:20" x14ac:dyDescent="0.25">
      <c r="A92" s="1734" t="s">
        <v>1696</v>
      </c>
      <c r="B92" s="1735"/>
      <c r="C92" s="1735"/>
      <c r="D92" s="1735"/>
      <c r="E92" s="1735"/>
      <c r="F92" s="1735"/>
      <c r="G92" s="1735"/>
      <c r="H92" s="1736"/>
      <c r="I92" s="937"/>
      <c r="J92" s="937"/>
      <c r="K92" s="512"/>
      <c r="P92" s="177"/>
    </row>
    <row r="93" spans="1:20" hidden="1" x14ac:dyDescent="0.25">
      <c r="A93" s="689"/>
      <c r="B93" s="1094"/>
      <c r="C93" s="1094"/>
      <c r="D93" s="1094"/>
      <c r="E93" s="1094"/>
      <c r="F93" s="1094"/>
      <c r="G93" s="1094"/>
      <c r="H93" s="690"/>
      <c r="I93" s="937"/>
      <c r="J93" s="937"/>
      <c r="K93" s="512"/>
      <c r="P93" s="177"/>
    </row>
    <row r="94" spans="1:20" ht="14.45" hidden="1" customHeight="1" x14ac:dyDescent="0.25">
      <c r="A94" s="1737" t="s">
        <v>331</v>
      </c>
      <c r="B94" s="1550"/>
      <c r="C94" s="1550"/>
      <c r="D94" s="1550"/>
      <c r="E94" s="1739" t="s">
        <v>331</v>
      </c>
      <c r="F94" s="1739"/>
      <c r="G94" s="1739"/>
      <c r="H94" s="1740" t="s">
        <v>67</v>
      </c>
      <c r="I94" s="937"/>
      <c r="J94" s="512"/>
      <c r="K94" s="512"/>
      <c r="P94" s="177"/>
    </row>
    <row r="95" spans="1:20" ht="60.6" customHeight="1" x14ac:dyDescent="0.25">
      <c r="A95" s="1738"/>
      <c r="B95" s="1549"/>
      <c r="C95" s="1549"/>
      <c r="D95" s="513"/>
      <c r="E95" s="1549" t="s">
        <v>1648</v>
      </c>
      <c r="F95" s="1549" t="s">
        <v>1649</v>
      </c>
      <c r="G95" s="513" t="s">
        <v>1650</v>
      </c>
      <c r="H95" s="1741"/>
      <c r="I95" s="937"/>
      <c r="J95" s="512"/>
      <c r="K95" s="512"/>
      <c r="P95" s="177"/>
    </row>
    <row r="96" spans="1:20" x14ac:dyDescent="0.25">
      <c r="A96" s="1548" t="s">
        <v>330</v>
      </c>
      <c r="B96" s="1649"/>
      <c r="C96" s="1650"/>
      <c r="D96" s="1650"/>
      <c r="E96" s="1552">
        <v>2113.9694493000102</v>
      </c>
      <c r="F96" s="1551">
        <v>0</v>
      </c>
      <c r="G96" s="1551">
        <v>0</v>
      </c>
      <c r="H96" s="1553">
        <f>SUM(E96:G96)</f>
        <v>2113.9694493000102</v>
      </c>
      <c r="I96" s="937"/>
      <c r="J96" s="512"/>
      <c r="K96" s="512"/>
      <c r="P96" s="925"/>
    </row>
    <row r="97" spans="1:16" x14ac:dyDescent="0.25">
      <c r="A97" s="1548" t="s">
        <v>842</v>
      </c>
      <c r="B97" s="1649"/>
      <c r="C97" s="1650"/>
      <c r="D97" s="1650"/>
      <c r="E97" s="1552">
        <f>880.0256313</f>
        <v>880.02563129999999</v>
      </c>
      <c r="F97" s="1551">
        <v>0</v>
      </c>
      <c r="G97" s="1551">
        <v>0</v>
      </c>
      <c r="H97" s="1553">
        <f t="shared" ref="H97:H99" si="0">SUM(E97:G97)</f>
        <v>880.02563129999999</v>
      </c>
      <c r="I97" s="937"/>
      <c r="J97" s="512"/>
      <c r="K97" s="512"/>
      <c r="P97" s="925"/>
    </row>
    <row r="98" spans="1:16" x14ac:dyDescent="0.25">
      <c r="A98" s="1548" t="s">
        <v>843</v>
      </c>
      <c r="B98" s="1649"/>
      <c r="C98" s="1650"/>
      <c r="D98" s="1650"/>
      <c r="E98" s="1552">
        <f>32.1146514</f>
        <v>32.1146514</v>
      </c>
      <c r="F98" s="1552">
        <v>14.950276000000001</v>
      </c>
      <c r="G98" s="1552">
        <v>0</v>
      </c>
      <c r="H98" s="1553">
        <f t="shared" si="0"/>
        <v>47.064927400000002</v>
      </c>
      <c r="I98" s="937"/>
      <c r="J98" s="512"/>
      <c r="K98" s="512"/>
      <c r="P98" s="925"/>
    </row>
    <row r="99" spans="1:16" x14ac:dyDescent="0.25">
      <c r="A99" s="1548" t="s">
        <v>332</v>
      </c>
      <c r="B99" s="1649"/>
      <c r="C99" s="1650"/>
      <c r="D99" s="1650"/>
      <c r="E99" s="1551">
        <v>0</v>
      </c>
      <c r="F99" s="1551">
        <v>0</v>
      </c>
      <c r="G99" s="1551">
        <v>0</v>
      </c>
      <c r="H99" s="1554">
        <f t="shared" si="0"/>
        <v>0</v>
      </c>
      <c r="I99" s="937"/>
      <c r="J99" s="512"/>
      <c r="K99" s="512"/>
      <c r="P99" s="925"/>
    </row>
    <row r="100" spans="1:16" x14ac:dyDescent="0.25">
      <c r="A100" s="1548" t="s">
        <v>333</v>
      </c>
      <c r="B100" s="1649"/>
      <c r="C100" s="1650"/>
      <c r="D100" s="1650"/>
      <c r="E100" s="1551">
        <v>0</v>
      </c>
      <c r="F100" s="1551">
        <v>0</v>
      </c>
      <c r="G100" s="1551">
        <v>0</v>
      </c>
      <c r="H100" s="1554">
        <f t="shared" ref="H100:H101" si="1">SUM(E100:G100)</f>
        <v>0</v>
      </c>
      <c r="I100" s="937"/>
      <c r="J100" s="512"/>
      <c r="K100" s="512"/>
      <c r="P100" s="925"/>
    </row>
    <row r="101" spans="1:16" x14ac:dyDescent="0.25">
      <c r="A101" s="1548" t="s">
        <v>334</v>
      </c>
      <c r="B101" s="1649"/>
      <c r="C101" s="1650"/>
      <c r="D101" s="1650"/>
      <c r="E101" s="1551">
        <v>0</v>
      </c>
      <c r="F101" s="1551">
        <v>0</v>
      </c>
      <c r="G101" s="1551">
        <v>0</v>
      </c>
      <c r="H101" s="1554">
        <f t="shared" si="1"/>
        <v>0</v>
      </c>
      <c r="I101" s="937"/>
      <c r="J101" s="512"/>
      <c r="K101" s="512"/>
      <c r="P101" s="925"/>
    </row>
    <row r="102" spans="1:16" x14ac:dyDescent="0.25">
      <c r="A102" s="646" t="s">
        <v>67</v>
      </c>
      <c r="B102" s="516"/>
      <c r="C102" s="516"/>
      <c r="D102" s="516"/>
      <c r="E102" s="516">
        <f>SUM(E96:E101)</f>
        <v>3026.1097320000104</v>
      </c>
      <c r="F102" s="516">
        <f t="shared" ref="F102:H102" si="2">SUM(F96:F101)</f>
        <v>14.950276000000001</v>
      </c>
      <c r="G102" s="516">
        <f t="shared" si="2"/>
        <v>0</v>
      </c>
      <c r="H102" s="517">
        <f t="shared" si="2"/>
        <v>3041.0600080000104</v>
      </c>
      <c r="I102" s="937"/>
      <c r="J102" s="512"/>
      <c r="K102" s="512"/>
      <c r="P102" s="177"/>
    </row>
    <row r="103" spans="1:16" x14ac:dyDescent="0.25">
      <c r="A103" s="689"/>
      <c r="B103" s="1094"/>
      <c r="C103" s="1094"/>
      <c r="D103" s="1094"/>
      <c r="E103" s="1094"/>
      <c r="F103" s="1094"/>
      <c r="G103" s="1094"/>
      <c r="H103" s="690"/>
      <c r="I103" s="937"/>
      <c r="J103" s="512"/>
      <c r="K103" s="512"/>
      <c r="P103" s="177"/>
    </row>
    <row r="104" spans="1:16" x14ac:dyDescent="0.25">
      <c r="A104" s="1734" t="s">
        <v>1697</v>
      </c>
      <c r="B104" s="1735"/>
      <c r="C104" s="1735"/>
      <c r="D104" s="1735"/>
      <c r="E104" s="1735"/>
      <c r="F104" s="1735"/>
      <c r="G104" s="1735"/>
      <c r="H104" s="1736"/>
      <c r="I104" s="937"/>
      <c r="J104" s="512"/>
      <c r="K104" s="512"/>
      <c r="P104" s="177"/>
    </row>
    <row r="105" spans="1:16" x14ac:dyDescent="0.25">
      <c r="A105" s="1737" t="s">
        <v>331</v>
      </c>
      <c r="B105" s="1550"/>
      <c r="C105" s="1550"/>
      <c r="D105" s="1550"/>
      <c r="E105" s="1739" t="s">
        <v>331</v>
      </c>
      <c r="F105" s="1739"/>
      <c r="G105" s="1739"/>
      <c r="H105" s="1740" t="s">
        <v>67</v>
      </c>
      <c r="I105" s="937"/>
      <c r="J105" s="512"/>
      <c r="K105" s="512"/>
      <c r="P105" s="177"/>
    </row>
    <row r="106" spans="1:16" ht="60" x14ac:dyDescent="0.25">
      <c r="A106" s="1738"/>
      <c r="B106" s="1549"/>
      <c r="C106" s="1549"/>
      <c r="D106" s="513"/>
      <c r="E106" s="1549" t="s">
        <v>1648</v>
      </c>
      <c r="F106" s="1549" t="s">
        <v>1649</v>
      </c>
      <c r="G106" s="513" t="s">
        <v>1650</v>
      </c>
      <c r="H106" s="1741"/>
      <c r="I106" s="937"/>
      <c r="J106" s="512"/>
      <c r="K106" s="512"/>
      <c r="P106" s="177"/>
    </row>
    <row r="107" spans="1:16" x14ac:dyDescent="0.25">
      <c r="A107" s="1548" t="s">
        <v>330</v>
      </c>
      <c r="B107" s="1649"/>
      <c r="C107" s="1650"/>
      <c r="D107" s="1650"/>
      <c r="E107" s="1552">
        <v>446</v>
      </c>
      <c r="F107" s="1551">
        <v>0</v>
      </c>
      <c r="G107" s="1551">
        <v>0</v>
      </c>
      <c r="H107" s="1553">
        <f>SUM(E107:G107)</f>
        <v>446</v>
      </c>
      <c r="I107" s="937"/>
      <c r="J107" s="512"/>
      <c r="K107" s="512"/>
      <c r="P107" s="177"/>
    </row>
    <row r="108" spans="1:16" x14ac:dyDescent="0.25">
      <c r="A108" s="1548" t="s">
        <v>842</v>
      </c>
      <c r="B108" s="1649"/>
      <c r="C108" s="1650"/>
      <c r="D108" s="1650"/>
      <c r="E108" s="1552">
        <v>2</v>
      </c>
      <c r="F108" s="1551">
        <v>0</v>
      </c>
      <c r="G108" s="1551">
        <v>0</v>
      </c>
      <c r="H108" s="1553">
        <f t="shared" ref="H108:H112" si="3">SUM(E108:G108)</f>
        <v>2</v>
      </c>
      <c r="I108" s="937"/>
      <c r="J108" s="512"/>
      <c r="K108" s="512"/>
      <c r="P108" s="177"/>
    </row>
    <row r="109" spans="1:16" x14ac:dyDescent="0.25">
      <c r="A109" s="1548" t="s">
        <v>843</v>
      </c>
      <c r="B109" s="1649"/>
      <c r="C109" s="1650"/>
      <c r="D109" s="1650"/>
      <c r="E109" s="1552">
        <v>6</v>
      </c>
      <c r="F109" s="1551">
        <v>0</v>
      </c>
      <c r="G109" s="1552">
        <v>0</v>
      </c>
      <c r="H109" s="1553">
        <f t="shared" si="3"/>
        <v>6</v>
      </c>
      <c r="I109" s="937"/>
      <c r="J109" s="512"/>
      <c r="K109" s="512"/>
      <c r="P109" s="177"/>
    </row>
    <row r="110" spans="1:16" x14ac:dyDescent="0.25">
      <c r="A110" s="1548" t="s">
        <v>332</v>
      </c>
      <c r="B110" s="1649"/>
      <c r="C110" s="1650"/>
      <c r="D110" s="1650"/>
      <c r="E110" s="1551">
        <v>0</v>
      </c>
      <c r="F110" s="1551">
        <v>0</v>
      </c>
      <c r="G110" s="1551">
        <v>0</v>
      </c>
      <c r="H110" s="1553">
        <f t="shared" si="3"/>
        <v>0</v>
      </c>
      <c r="I110" s="937"/>
      <c r="J110" s="512"/>
      <c r="K110" s="512"/>
      <c r="P110" s="177"/>
    </row>
    <row r="111" spans="1:16" x14ac:dyDescent="0.25">
      <c r="A111" s="1548" t="s">
        <v>333</v>
      </c>
      <c r="B111" s="1649"/>
      <c r="C111" s="1650"/>
      <c r="D111" s="1650"/>
      <c r="E111" s="1551">
        <v>0</v>
      </c>
      <c r="F111" s="1551">
        <v>0</v>
      </c>
      <c r="G111" s="1551">
        <v>0</v>
      </c>
      <c r="H111" s="1553">
        <f t="shared" si="3"/>
        <v>0</v>
      </c>
      <c r="I111" s="937"/>
      <c r="J111" s="512"/>
      <c r="K111" s="512"/>
      <c r="P111" s="177"/>
    </row>
    <row r="112" spans="1:16" x14ac:dyDescent="0.25">
      <c r="A112" s="1548" t="s">
        <v>334</v>
      </c>
      <c r="B112" s="1649"/>
      <c r="C112" s="1650"/>
      <c r="D112" s="1650"/>
      <c r="E112" s="1551">
        <v>0</v>
      </c>
      <c r="F112" s="1551">
        <v>0</v>
      </c>
      <c r="G112" s="1551">
        <v>0</v>
      </c>
      <c r="H112" s="1553">
        <f t="shared" si="3"/>
        <v>0</v>
      </c>
      <c r="I112" s="937"/>
      <c r="J112" s="512"/>
      <c r="K112" s="512"/>
      <c r="P112" s="177"/>
    </row>
    <row r="113" spans="1:16" ht="15.75" thickBot="1" x14ac:dyDescent="0.3">
      <c r="A113" s="916" t="s">
        <v>67</v>
      </c>
      <c r="B113" s="1651"/>
      <c r="C113" s="1651"/>
      <c r="D113" s="1651"/>
      <c r="E113" s="1651">
        <f>SUM(E107:E112)</f>
        <v>454</v>
      </c>
      <c r="F113" s="1651">
        <f t="shared" ref="F113:H113" si="4">SUM(F107:F112)</f>
        <v>0</v>
      </c>
      <c r="G113" s="1651">
        <f t="shared" si="4"/>
        <v>0</v>
      </c>
      <c r="H113" s="1652">
        <f t="shared" si="4"/>
        <v>454</v>
      </c>
      <c r="I113" s="937"/>
      <c r="J113" s="512"/>
      <c r="K113" s="512"/>
      <c r="P113" s="177"/>
    </row>
    <row r="114" spans="1:16" x14ac:dyDescent="0.25">
      <c r="A114" s="314"/>
      <c r="B114" s="788"/>
      <c r="C114" s="788"/>
      <c r="D114" s="788"/>
      <c r="E114" s="788"/>
      <c r="H114" s="834"/>
      <c r="I114" s="834"/>
      <c r="J114" s="834"/>
      <c r="P114" s="177"/>
    </row>
    <row r="115" spans="1:16" x14ac:dyDescent="0.25">
      <c r="A115" s="314" t="s">
        <v>1561</v>
      </c>
      <c r="B115" s="788"/>
      <c r="C115" s="788"/>
      <c r="D115" s="788"/>
      <c r="E115" s="788"/>
      <c r="H115" s="644"/>
      <c r="I115" s="644"/>
      <c r="K115" s="840">
        <f>K132*10^3</f>
        <v>37614000</v>
      </c>
    </row>
    <row r="116" spans="1:16" x14ac:dyDescent="0.25">
      <c r="A116" s="314" t="s">
        <v>120</v>
      </c>
      <c r="B116" s="788"/>
      <c r="C116" s="788"/>
      <c r="D116" s="788"/>
      <c r="E116" s="788"/>
      <c r="H116" s="644"/>
      <c r="I116" s="644"/>
      <c r="K116" s="840">
        <f>K115-K131</f>
        <v>7718000</v>
      </c>
    </row>
    <row r="117" spans="1:16" x14ac:dyDescent="0.25">
      <c r="A117" s="822" t="s">
        <v>121</v>
      </c>
      <c r="G117" s="823">
        <f>ROUND(SUMIF('TB BVS 31.03.26'!$E:$E,'BS  Notes  3-18'!A117,'TB BVS 31.03.26'!$I:$I)/Input!$C$2,Input!$E$2)</f>
        <v>31</v>
      </c>
      <c r="H117" s="787">
        <f>ROUND(SUMIF('TB BVS 31.3.25'!$E:$E,'BS  Notes  3-18'!A117,'TB BVS 31.3.25'!$J:$J)/Input!$C$2,Input!$E$2)</f>
        <v>22</v>
      </c>
      <c r="I117" s="824">
        <f>ROUND(SUMIF('TB BVS 31.3.22'!$E:$E,A117,'TB BVS 31.3.22'!$M:$M)/Input!$C$2,Input!$E$2)</f>
        <v>24</v>
      </c>
      <c r="J117" s="487"/>
      <c r="K117" s="487"/>
      <c r="L117" s="487"/>
    </row>
    <row r="118" spans="1:16" x14ac:dyDescent="0.25">
      <c r="A118" s="646" t="s">
        <v>67</v>
      </c>
      <c r="B118" s="837"/>
      <c r="C118" s="837"/>
      <c r="D118" s="837"/>
      <c r="E118" s="837"/>
      <c r="F118" s="869"/>
      <c r="G118" s="828">
        <f>SUM(G117:G117)</f>
        <v>31</v>
      </c>
      <c r="H118" s="829">
        <f>SUM(H117:H117)</f>
        <v>22</v>
      </c>
      <c r="I118" s="829">
        <f>SUM(I117:I117)</f>
        <v>24</v>
      </c>
    </row>
    <row r="119" spans="1:16" x14ac:dyDescent="0.25">
      <c r="A119" s="314"/>
      <c r="B119" s="788"/>
      <c r="C119" s="788"/>
      <c r="D119" s="788"/>
      <c r="E119" s="788"/>
      <c r="G119" s="1506"/>
      <c r="H119" s="830"/>
      <c r="I119" s="830"/>
    </row>
    <row r="120" spans="1:16" x14ac:dyDescent="0.25">
      <c r="A120" s="314" t="s">
        <v>1612</v>
      </c>
      <c r="B120" s="788"/>
      <c r="C120" s="788"/>
      <c r="D120" s="788"/>
      <c r="E120" s="788"/>
      <c r="H120" s="644"/>
      <c r="I120" s="644"/>
      <c r="K120" s="840">
        <f>K119-K135</f>
        <v>0</v>
      </c>
    </row>
    <row r="121" spans="1:16" x14ac:dyDescent="0.25">
      <c r="A121" s="822" t="s">
        <v>742</v>
      </c>
      <c r="G121" s="823">
        <f>ROUND(SUMIF('TB BVS 31.03.26'!$E:$E,'BS  Notes  3-18'!A121,'TB BVS 31.03.26'!$I:$I)/Input!$C$2,Input!$E$2)</f>
        <v>54</v>
      </c>
      <c r="H121" s="787">
        <f>ROUND(SUMIF('TB BVS 31.3.25'!$E:$E,'BS  Notes  3-18'!A121,'TB BVS 31.3.25'!$J:$J)/Input!$C$2,Input!$E$2)</f>
        <v>0</v>
      </c>
      <c r="I121" s="824">
        <f>ROUND(SUMIF('TB BVS 31.3.22'!$E:$E,A121,'TB BVS 31.3.22'!$M:$M)/Input!$C$2,Input!$E$2)</f>
        <v>0</v>
      </c>
      <c r="J121" s="487"/>
      <c r="K121" s="487"/>
      <c r="L121" s="487"/>
    </row>
    <row r="122" spans="1:16" x14ac:dyDescent="0.25">
      <c r="A122" s="646" t="s">
        <v>67</v>
      </c>
      <c r="B122" s="837"/>
      <c r="C122" s="837"/>
      <c r="D122" s="837"/>
      <c r="E122" s="837"/>
      <c r="F122" s="869"/>
      <c r="G122" s="828">
        <f>SUM(G121:G121)</f>
        <v>54</v>
      </c>
      <c r="H122" s="829">
        <f>SUM(H121:H121)</f>
        <v>0</v>
      </c>
      <c r="I122" s="829">
        <f>SUM(I121:I121)</f>
        <v>0</v>
      </c>
    </row>
    <row r="123" spans="1:16" x14ac:dyDescent="0.25">
      <c r="A123" s="314"/>
      <c r="B123" s="788"/>
      <c r="C123" s="788"/>
      <c r="D123" s="788"/>
      <c r="E123" s="788"/>
      <c r="F123" s="845"/>
      <c r="G123" s="845"/>
      <c r="H123" s="831"/>
      <c r="I123" s="831"/>
      <c r="J123" s="509"/>
      <c r="K123" s="509"/>
      <c r="L123" s="509"/>
      <c r="M123" s="788"/>
    </row>
    <row r="124" spans="1:16" x14ac:dyDescent="0.25">
      <c r="A124" s="314" t="s">
        <v>883</v>
      </c>
      <c r="B124" s="788"/>
      <c r="C124" s="788"/>
      <c r="D124" s="788"/>
      <c r="E124" s="788"/>
      <c r="H124" s="834"/>
      <c r="I124" s="834"/>
    </row>
    <row r="125" spans="1:16" x14ac:dyDescent="0.25">
      <c r="A125" s="314" t="s">
        <v>119</v>
      </c>
      <c r="B125" s="788"/>
      <c r="C125" s="788"/>
      <c r="D125" s="788"/>
      <c r="E125" s="788"/>
      <c r="H125" s="834"/>
      <c r="I125" s="834"/>
    </row>
    <row r="126" spans="1:16" x14ac:dyDescent="0.25">
      <c r="A126" s="822" t="s">
        <v>591</v>
      </c>
      <c r="G126" s="823">
        <f>ROUND(SUMIF('TB BVS 31.03.26'!$E:$E,'BS  Notes  3-18'!A126,'TB BVS 31.03.26'!$I:$I)/Input!$C$2,Input!$E$2)+0.5</f>
        <v>5961.5</v>
      </c>
      <c r="H126" s="787">
        <f>ROUND(SUMIF('TB BVS 31.3.25'!$E:$E,'BS  Notes  3-18'!A126,'TB BVS 31.3.25'!$J:$J)/Input!$C$2,Input!$E$2)</f>
        <v>5128</v>
      </c>
      <c r="I126" s="824">
        <f>ROUND(SUMIF('TB BVS 31.3.22'!$E:$E,A126,'TB BVS 31.3.22'!$M:$M)/Input!$C$2,Input!$E$2)</f>
        <v>296</v>
      </c>
      <c r="K126" s="509">
        <f>I126+'[3]BS  Notes  4-14'!$G$83</f>
        <v>29896</v>
      </c>
    </row>
    <row r="127" spans="1:16" x14ac:dyDescent="0.25">
      <c r="A127" s="822" t="s">
        <v>1193</v>
      </c>
      <c r="G127" s="823">
        <f>ROUND(SUMIF('TB BVS 31.03.26'!$E:$E,'BS  Notes  3-18'!A127,'TB BVS 31.03.26'!$I:$I)/Input!$C$2,Input!$E$2)-G52</f>
        <v>86</v>
      </c>
      <c r="H127" s="787">
        <f>ROUND(SUMIF('TB BVS 31.3.25'!$E:$E,'BS  Notes  3-18'!A127,'TB BVS 31.3.25'!$J:$J)/Input!$C$2,Input!$E$2)</f>
        <v>69</v>
      </c>
      <c r="I127" s="824"/>
      <c r="K127" s="509"/>
    </row>
    <row r="128" spans="1:16" x14ac:dyDescent="0.25">
      <c r="A128" s="822" t="s">
        <v>752</v>
      </c>
      <c r="G128" s="823">
        <f>ROUND(SUMIF('TB BVS 31.03.26'!$E:$E,'BS  Notes  3-18'!A128,'TB BVS 31.03.26'!$I:$I)/Input!$C$2,Input!$E$2)</f>
        <v>70</v>
      </c>
      <c r="H128" s="787">
        <f>ROUND(SUMIF('TB BVS 31.3.25'!$E:$E,'BS  Notes  3-18'!A128,'TB BVS 31.3.25'!$J:$J)/Input!$C$2,Input!$E$2)</f>
        <v>15</v>
      </c>
      <c r="I128" s="824"/>
      <c r="K128" s="509"/>
    </row>
    <row r="129" spans="1:13" ht="15.75" thickBot="1" x14ac:dyDescent="0.3">
      <c r="A129" s="822" t="s">
        <v>1535</v>
      </c>
      <c r="G129" s="823">
        <f>ROUND(SUMIF('TB BVS 31.03.26'!$E:$E,'BS  Notes  3-18'!A129,'TB BVS 31.03.26'!$I:$I)/Input!$C$2,Input!$E$2)</f>
        <v>38</v>
      </c>
      <c r="H129" s="787">
        <f>ROUND(SUMIF('TB BVS 31.3.25'!$E:$E,'BS  Notes  3-18'!A129,'TB BVS 31.3.25'!$J:$J)/Input!$C$2,Input!$E$2)</f>
        <v>0</v>
      </c>
      <c r="I129" s="824"/>
      <c r="K129" s="509"/>
    </row>
    <row r="130" spans="1:13" ht="15.75" hidden="1" thickBot="1" x14ac:dyDescent="0.3">
      <c r="A130" s="822" t="s">
        <v>751</v>
      </c>
      <c r="G130" s="823">
        <f>ROUND(SUMIF('TB BVS 31.03.26'!$E:$E,'BS  Notes  3-18'!A130,'TB BVS 31.03.26'!$I:$I)/Input!$C$2,Input!$E$2)</f>
        <v>0</v>
      </c>
      <c r="H130" s="787">
        <f>ROUND(SUMIF('TB BVS 31.3.25'!$E:$E,'BS  Notes  3-18'!A130,'TB BVS 31.3.25'!$J:$J)/Input!$C$2,Input!$E$2)</f>
        <v>0</v>
      </c>
      <c r="I130" s="824"/>
      <c r="K130" s="509"/>
    </row>
    <row r="131" spans="1:13" ht="15.75" thickBot="1" x14ac:dyDescent="0.3">
      <c r="A131" s="1087" t="s">
        <v>67</v>
      </c>
      <c r="B131" s="1088"/>
      <c r="C131" s="1088"/>
      <c r="D131" s="1088"/>
      <c r="E131" s="1088"/>
      <c r="F131" s="1099"/>
      <c r="G131" s="1100">
        <f>SUM(G126:G130)</f>
        <v>6155.5</v>
      </c>
      <c r="H131" s="1101">
        <f>SUM(H126:H130)</f>
        <v>5212</v>
      </c>
      <c r="I131" s="829">
        <f>SUM(I126:I126)</f>
        <v>296</v>
      </c>
      <c r="K131" s="487">
        <f>K126*10^3</f>
        <v>29896000</v>
      </c>
      <c r="L131" s="487"/>
      <c r="M131" s="487"/>
    </row>
    <row r="132" spans="1:13" x14ac:dyDescent="0.25">
      <c r="A132" s="1038"/>
      <c r="B132" s="817"/>
      <c r="C132" s="817"/>
      <c r="D132" s="817"/>
      <c r="E132" s="817"/>
      <c r="F132" s="817"/>
      <c r="G132" s="817"/>
      <c r="H132" s="818"/>
      <c r="I132" s="644"/>
      <c r="K132" s="840">
        <f>H126+'[3]BS  Notes  4-14'!$F$83</f>
        <v>37614</v>
      </c>
    </row>
    <row r="133" spans="1:13" x14ac:dyDescent="0.25">
      <c r="A133" s="1715" t="s">
        <v>0</v>
      </c>
      <c r="B133" s="1716"/>
      <c r="C133" s="1716"/>
      <c r="D133" s="1716"/>
      <c r="E133" s="1716"/>
      <c r="F133" s="244"/>
      <c r="G133" s="244" t="s">
        <v>68</v>
      </c>
      <c r="H133" s="245" t="s">
        <v>68</v>
      </c>
      <c r="I133" s="245" t="s">
        <v>68</v>
      </c>
    </row>
    <row r="134" spans="1:13" x14ac:dyDescent="0.25">
      <c r="A134" s="1717"/>
      <c r="B134" s="1718"/>
      <c r="C134" s="1718"/>
      <c r="D134" s="1718"/>
      <c r="E134" s="1718"/>
      <c r="F134" s="246"/>
      <c r="G134" s="246" t="str">
        <f>BS!$D$5</f>
        <v>31 March 2026</v>
      </c>
      <c r="H134" s="247" t="str">
        <f>BS!$E$5</f>
        <v>31 March 2025</v>
      </c>
      <c r="I134" s="247" t="str">
        <f>BS!$F$5</f>
        <v>31 March 2022</v>
      </c>
    </row>
    <row r="135" spans="1:13" x14ac:dyDescent="0.25">
      <c r="A135" s="314" t="s">
        <v>884</v>
      </c>
      <c r="B135" s="788"/>
      <c r="C135" s="788"/>
      <c r="D135" s="788"/>
      <c r="E135" s="788"/>
      <c r="H135" s="834"/>
      <c r="I135" s="834"/>
    </row>
    <row r="136" spans="1:13" x14ac:dyDescent="0.25">
      <c r="A136" s="314" t="s">
        <v>122</v>
      </c>
      <c r="B136" s="788"/>
      <c r="C136" s="788"/>
      <c r="D136" s="788"/>
      <c r="E136" s="788"/>
      <c r="H136" s="834"/>
      <c r="I136" s="834"/>
    </row>
    <row r="137" spans="1:13" x14ac:dyDescent="0.25">
      <c r="A137" s="314" t="s">
        <v>221</v>
      </c>
      <c r="B137" s="788"/>
      <c r="C137" s="788"/>
      <c r="D137" s="788"/>
      <c r="E137" s="788"/>
      <c r="H137" s="834"/>
      <c r="I137" s="834"/>
    </row>
    <row r="138" spans="1:13" x14ac:dyDescent="0.25">
      <c r="A138" s="1754" t="s">
        <v>1645</v>
      </c>
      <c r="B138" s="1755"/>
      <c r="C138" s="1755"/>
      <c r="D138" s="1755"/>
      <c r="E138" s="1755"/>
      <c r="F138" s="1755"/>
      <c r="G138" s="526">
        <f>H138</f>
        <v>15</v>
      </c>
      <c r="H138" s="928">
        <f>1500/100</f>
        <v>15</v>
      </c>
      <c r="I138" s="929">
        <f>ROUND(1500000/Input!$C$2,Input!$E$2)</f>
        <v>15</v>
      </c>
    </row>
    <row r="139" spans="1:13" ht="31.5" customHeight="1" x14ac:dyDescent="0.25">
      <c r="A139" s="1754" t="s">
        <v>1646</v>
      </c>
      <c r="B139" s="1755"/>
      <c r="C139" s="1755"/>
      <c r="D139" s="1755"/>
      <c r="E139" s="1755"/>
      <c r="F139" s="1755"/>
      <c r="G139" s="526">
        <f>H139</f>
        <v>10</v>
      </c>
      <c r="H139" s="928">
        <f>1000000/10^5</f>
        <v>10</v>
      </c>
      <c r="I139" s="929"/>
    </row>
    <row r="140" spans="1:13" ht="29.1" customHeight="1" x14ac:dyDescent="0.25">
      <c r="A140" s="1754" t="s">
        <v>1647</v>
      </c>
      <c r="B140" s="1755"/>
      <c r="C140" s="1755"/>
      <c r="D140" s="1755"/>
      <c r="E140" s="1755"/>
      <c r="F140" s="1755"/>
      <c r="G140" s="526">
        <f>1000000/10^5</f>
        <v>10</v>
      </c>
      <c r="H140" s="928">
        <f>1000000/10^5</f>
        <v>10</v>
      </c>
      <c r="I140" s="929"/>
    </row>
    <row r="141" spans="1:13" x14ac:dyDescent="0.25">
      <c r="A141" s="939"/>
      <c r="B141" s="869"/>
      <c r="C141" s="869"/>
      <c r="D141" s="869"/>
      <c r="E141" s="869"/>
      <c r="F141" s="869"/>
      <c r="G141" s="833">
        <f>SUM(G138:G140)</f>
        <v>35</v>
      </c>
      <c r="H141" s="829">
        <f>SUM(H138:H140)</f>
        <v>35</v>
      </c>
      <c r="I141" s="829">
        <f>SUM(I138:I138)</f>
        <v>15</v>
      </c>
    </row>
    <row r="142" spans="1:13" x14ac:dyDescent="0.25">
      <c r="A142" s="314" t="s">
        <v>585</v>
      </c>
      <c r="B142" s="788"/>
      <c r="C142" s="788"/>
      <c r="D142" s="788"/>
      <c r="E142" s="788"/>
      <c r="H142" s="834"/>
      <c r="I142" s="834"/>
    </row>
    <row r="143" spans="1:13" x14ac:dyDescent="0.25">
      <c r="A143" s="314" t="s">
        <v>122</v>
      </c>
      <c r="B143" s="788"/>
      <c r="C143" s="788"/>
      <c r="D143" s="788"/>
      <c r="E143" s="788"/>
      <c r="H143" s="834"/>
      <c r="I143" s="834"/>
    </row>
    <row r="144" spans="1:13" x14ac:dyDescent="0.25">
      <c r="A144" s="822" t="s">
        <v>1557</v>
      </c>
      <c r="E144" s="788"/>
      <c r="G144" s="857">
        <f>(1072760+293210+231920)/100000</f>
        <v>15.978899999999999</v>
      </c>
      <c r="H144" s="824">
        <f>1365.97/100</f>
        <v>13.659700000000001</v>
      </c>
      <c r="I144" s="824">
        <v>100</v>
      </c>
      <c r="L144" s="840"/>
    </row>
    <row r="145" spans="1:12" hidden="1" x14ac:dyDescent="0.25">
      <c r="A145" s="822" t="s">
        <v>887</v>
      </c>
      <c r="E145" s="788"/>
      <c r="G145" s="525"/>
      <c r="H145" s="787"/>
      <c r="I145" s="824"/>
    </row>
    <row r="146" spans="1:12" x14ac:dyDescent="0.25">
      <c r="A146" s="939"/>
      <c r="B146" s="869"/>
      <c r="C146" s="869"/>
      <c r="D146" s="869"/>
      <c r="E146" s="869"/>
      <c r="F146" s="869"/>
      <c r="G146" s="828">
        <f>SUM(G144:G145)</f>
        <v>15.978899999999999</v>
      </c>
      <c r="H146" s="858">
        <f>SUM(H144:H145)</f>
        <v>13.659700000000001</v>
      </c>
      <c r="I146" s="893">
        <f>SUM(I144:I144)</f>
        <v>100</v>
      </c>
      <c r="L146" s="840"/>
    </row>
    <row r="147" spans="1:12" ht="5.0999999999999996" customHeight="1" x14ac:dyDescent="0.25">
      <c r="A147" s="822"/>
      <c r="H147" s="940"/>
      <c r="I147" s="940"/>
    </row>
    <row r="148" spans="1:12" x14ac:dyDescent="0.25">
      <c r="A148" s="314" t="s">
        <v>386</v>
      </c>
      <c r="B148" s="788"/>
      <c r="C148" s="788"/>
      <c r="D148" s="788"/>
      <c r="E148" s="788"/>
      <c r="H148" s="940"/>
      <c r="I148" s="940"/>
    </row>
    <row r="149" spans="1:12" x14ac:dyDescent="0.25">
      <c r="A149" s="314" t="s">
        <v>387</v>
      </c>
      <c r="B149" s="788"/>
      <c r="C149" s="788"/>
      <c r="D149" s="788"/>
      <c r="E149" s="788"/>
      <c r="G149" s="840">
        <f>H151</f>
        <v>136597</v>
      </c>
      <c r="H149" s="834">
        <f>107276</f>
        <v>107276</v>
      </c>
      <c r="I149" s="941">
        <v>0</v>
      </c>
    </row>
    <row r="150" spans="1:12" x14ac:dyDescent="0.25">
      <c r="A150" s="822" t="s">
        <v>388</v>
      </c>
      <c r="G150" s="840">
        <f>23192</f>
        <v>23192</v>
      </c>
      <c r="H150" s="834">
        <f>29321</f>
        <v>29321</v>
      </c>
      <c r="I150" s="834">
        <v>10000</v>
      </c>
      <c r="L150" s="840">
        <f>H150-G150</f>
        <v>6129</v>
      </c>
    </row>
    <row r="151" spans="1:12" x14ac:dyDescent="0.25">
      <c r="A151" s="877" t="s">
        <v>389</v>
      </c>
      <c r="B151" s="878"/>
      <c r="C151" s="878"/>
      <c r="D151" s="878"/>
      <c r="E151" s="878"/>
      <c r="F151" s="861"/>
      <c r="G151" s="897">
        <f>SUM(G149:G150)</f>
        <v>159789</v>
      </c>
      <c r="H151" s="899">
        <f>SUM(H149:H150)</f>
        <v>136597</v>
      </c>
      <c r="I151" s="899">
        <f>SUM(I149:I150)</f>
        <v>10000</v>
      </c>
    </row>
    <row r="152" spans="1:12" ht="6" customHeight="1" x14ac:dyDescent="0.25">
      <c r="A152" s="314"/>
      <c r="B152" s="788"/>
      <c r="C152" s="788"/>
      <c r="D152" s="788"/>
      <c r="E152" s="788"/>
      <c r="H152" s="940"/>
      <c r="I152" s="940"/>
    </row>
    <row r="153" spans="1:12" x14ac:dyDescent="0.25">
      <c r="A153" s="314" t="s">
        <v>549</v>
      </c>
      <c r="B153" s="788"/>
      <c r="C153" s="788"/>
      <c r="D153" s="788"/>
      <c r="E153" s="788"/>
      <c r="H153" s="940"/>
      <c r="I153" s="940"/>
    </row>
    <row r="154" spans="1:12" ht="84.6" customHeight="1" x14ac:dyDescent="0.25">
      <c r="A154" s="1731" t="s">
        <v>548</v>
      </c>
      <c r="B154" s="1732"/>
      <c r="C154" s="1732"/>
      <c r="D154" s="1732"/>
      <c r="E154" s="1732"/>
      <c r="F154" s="1732"/>
      <c r="G154" s="1732"/>
      <c r="H154" s="1733"/>
      <c r="I154" s="942"/>
    </row>
    <row r="155" spans="1:12" ht="86.1" customHeight="1" x14ac:dyDescent="0.25">
      <c r="A155" s="1731" t="s">
        <v>1668</v>
      </c>
      <c r="B155" s="1732"/>
      <c r="C155" s="1732"/>
      <c r="D155" s="1732"/>
      <c r="E155" s="1732"/>
      <c r="F155" s="1732"/>
      <c r="G155" s="1732"/>
      <c r="H155" s="1733"/>
      <c r="I155" s="942"/>
    </row>
    <row r="156" spans="1:12" ht="72.95" customHeight="1" x14ac:dyDescent="0.25">
      <c r="A156" s="1731" t="s">
        <v>1687</v>
      </c>
      <c r="B156" s="1732"/>
      <c r="C156" s="1732"/>
      <c r="D156" s="1732"/>
      <c r="E156" s="1732"/>
      <c r="F156" s="1732"/>
      <c r="G156" s="1732"/>
      <c r="H156" s="1733"/>
      <c r="I156" s="812"/>
    </row>
    <row r="157" spans="1:12" x14ac:dyDescent="0.25">
      <c r="A157" s="1762" t="s">
        <v>550</v>
      </c>
      <c r="B157" s="1763"/>
      <c r="C157" s="1763"/>
      <c r="D157" s="1763"/>
      <c r="E157" s="1763"/>
      <c r="F157" s="1645"/>
      <c r="G157" s="1645"/>
      <c r="H157" s="812"/>
      <c r="I157" s="812"/>
    </row>
    <row r="158" spans="1:12" x14ac:dyDescent="0.25">
      <c r="A158" s="943" t="s">
        <v>393</v>
      </c>
      <c r="B158" s="944"/>
      <c r="C158" s="944"/>
      <c r="D158" s="944"/>
      <c r="E158" s="944"/>
      <c r="F158" s="945"/>
      <c r="G158" s="946" t="s">
        <v>68</v>
      </c>
      <c r="H158" s="947" t="s">
        <v>68</v>
      </c>
      <c r="I158" s="947" t="s">
        <v>68</v>
      </c>
    </row>
    <row r="159" spans="1:12" x14ac:dyDescent="0.25">
      <c r="A159" s="612"/>
      <c r="B159" s="948"/>
      <c r="C159" s="948"/>
      <c r="D159" s="948"/>
      <c r="E159" s="948"/>
      <c r="F159" s="949"/>
      <c r="G159" s="246" t="str">
        <f>BS!$D$5</f>
        <v>31 March 2026</v>
      </c>
      <c r="H159" s="247" t="str">
        <f>BS!$E$5</f>
        <v>31 March 2025</v>
      </c>
      <c r="I159" s="247" t="str">
        <f>BS!$F$5</f>
        <v>31 March 2022</v>
      </c>
    </row>
    <row r="160" spans="1:12" x14ac:dyDescent="0.25">
      <c r="A160" s="950" t="s">
        <v>457</v>
      </c>
      <c r="B160" s="788"/>
      <c r="C160" s="788"/>
      <c r="D160" s="788"/>
      <c r="E160" s="1645"/>
      <c r="F160" s="1645"/>
      <c r="G160" s="1645"/>
      <c r="H160" s="812"/>
      <c r="I160" s="812"/>
    </row>
    <row r="161" spans="1:15" x14ac:dyDescent="0.25">
      <c r="A161" s="811" t="s">
        <v>157</v>
      </c>
      <c r="B161" s="1645"/>
      <c r="C161" s="1645"/>
      <c r="D161" s="1645"/>
      <c r="E161" s="1645"/>
      <c r="F161" s="1645"/>
      <c r="G161" s="951">
        <f>(9999+97276+29321)</f>
        <v>136596</v>
      </c>
      <c r="H161" s="952">
        <f>(9999+97276)</f>
        <v>107275</v>
      </c>
      <c r="I161" s="952">
        <v>9999</v>
      </c>
    </row>
    <row r="162" spans="1:15" x14ac:dyDescent="0.25">
      <c r="A162" s="811" t="s">
        <v>938</v>
      </c>
      <c r="B162" s="1645"/>
      <c r="C162" s="1645"/>
      <c r="D162" s="1645"/>
      <c r="E162" s="1645"/>
      <c r="F162" s="1645"/>
      <c r="G162" s="951">
        <f>1</f>
        <v>1</v>
      </c>
      <c r="H162" s="952">
        <f>1/100</f>
        <v>0.01</v>
      </c>
      <c r="I162" s="952">
        <v>1</v>
      </c>
    </row>
    <row r="163" spans="1:15" x14ac:dyDescent="0.25">
      <c r="A163" s="953"/>
      <c r="B163" s="954"/>
      <c r="C163" s="954"/>
      <c r="D163" s="954"/>
      <c r="E163" s="954"/>
      <c r="F163" s="954"/>
      <c r="G163" s="955">
        <f>SUM(G161:G162)</f>
        <v>136597</v>
      </c>
      <c r="H163" s="956">
        <f>SUM(H161:H162)</f>
        <v>107275.01</v>
      </c>
      <c r="I163" s="956">
        <f>SUM(I161:I162)</f>
        <v>10000</v>
      </c>
    </row>
    <row r="164" spans="1:15" ht="14.45" customHeight="1" x14ac:dyDescent="0.25">
      <c r="A164" s="1764" t="s">
        <v>1387</v>
      </c>
      <c r="B164" s="1765"/>
      <c r="C164" s="1765"/>
      <c r="D164" s="1765"/>
      <c r="E164" s="1765"/>
      <c r="F164" s="1765"/>
      <c r="G164" s="1765"/>
      <c r="H164" s="1766"/>
      <c r="I164" s="881"/>
    </row>
    <row r="165" spans="1:15" ht="6" customHeight="1" x14ac:dyDescent="0.25">
      <c r="A165" s="811"/>
      <c r="B165" s="1645"/>
      <c r="C165" s="1645"/>
      <c r="D165" s="1645"/>
      <c r="E165" s="1645"/>
      <c r="F165" s="1645"/>
      <c r="G165" s="1645"/>
      <c r="H165" s="812"/>
      <c r="I165" s="812"/>
    </row>
    <row r="166" spans="1:15" x14ac:dyDescent="0.25">
      <c r="A166" s="314" t="s">
        <v>1688</v>
      </c>
      <c r="B166" s="788"/>
      <c r="C166" s="788"/>
      <c r="D166" s="788"/>
      <c r="E166" s="788"/>
      <c r="H166" s="940"/>
      <c r="I166" s="940"/>
    </row>
    <row r="167" spans="1:15" x14ac:dyDescent="0.25">
      <c r="A167" s="943" t="s">
        <v>393</v>
      </c>
      <c r="B167" s="944"/>
      <c r="C167" s="944"/>
      <c r="D167" s="944"/>
      <c r="E167" s="944"/>
      <c r="F167" s="945"/>
      <c r="G167" s="946" t="s">
        <v>68</v>
      </c>
      <c r="H167" s="947" t="s">
        <v>68</v>
      </c>
      <c r="I167" s="947" t="s">
        <v>68</v>
      </c>
    </row>
    <row r="168" spans="1:15" ht="14.1" customHeight="1" x14ac:dyDescent="0.25">
      <c r="A168" s="612"/>
      <c r="B168" s="948"/>
      <c r="C168" s="948"/>
      <c r="D168" s="948"/>
      <c r="E168" s="948"/>
      <c r="F168" s="949"/>
      <c r="G168" s="246" t="str">
        <f>G159</f>
        <v>31 March 2026</v>
      </c>
      <c r="H168" s="247" t="str">
        <f>BS!$E$5</f>
        <v>31 March 2025</v>
      </c>
      <c r="I168" s="247" t="str">
        <f>BS!$F$5</f>
        <v>31 March 2022</v>
      </c>
    </row>
    <row r="169" spans="1:15" x14ac:dyDescent="0.25">
      <c r="A169" s="950" t="s">
        <v>457</v>
      </c>
      <c r="B169" s="930"/>
      <c r="C169" s="930"/>
      <c r="D169" s="930"/>
      <c r="E169" s="930"/>
      <c r="F169" s="864"/>
      <c r="G169" s="864"/>
      <c r="H169" s="649"/>
      <c r="I169" s="649"/>
    </row>
    <row r="170" spans="1:15" x14ac:dyDescent="0.25">
      <c r="A170" s="822" t="s">
        <v>462</v>
      </c>
      <c r="F170" s="1654" t="s">
        <v>390</v>
      </c>
      <c r="G170" s="1655">
        <f>G163</f>
        <v>136597</v>
      </c>
      <c r="H170" s="957">
        <f>H163</f>
        <v>107275.01</v>
      </c>
      <c r="I170" s="957">
        <v>10000</v>
      </c>
    </row>
    <row r="171" spans="1:15" x14ac:dyDescent="0.25">
      <c r="A171" s="822"/>
      <c r="F171" s="1654" t="s">
        <v>391</v>
      </c>
      <c r="G171" s="958">
        <f>G170/$G$151</f>
        <v>0.85485859477185533</v>
      </c>
      <c r="H171" s="959">
        <f>H170/$H$151</f>
        <v>0.78533942912362642</v>
      </c>
      <c r="I171" s="959">
        <f>I170/$I$151</f>
        <v>1</v>
      </c>
    </row>
    <row r="172" spans="1:15" x14ac:dyDescent="0.25">
      <c r="A172" s="960"/>
      <c r="B172" s="820"/>
      <c r="C172" s="820"/>
      <c r="D172" s="820"/>
      <c r="E172" s="820"/>
      <c r="F172" s="961" t="s">
        <v>392</v>
      </c>
      <c r="G172" s="962">
        <f>G171-H171</f>
        <v>6.9519165648228909E-2</v>
      </c>
      <c r="H172" s="963">
        <f>H171-I171</f>
        <v>-0.21466057087637358</v>
      </c>
      <c r="I172" s="963">
        <v>0</v>
      </c>
    </row>
    <row r="173" spans="1:15" ht="15.75" thickBot="1" x14ac:dyDescent="0.3">
      <c r="A173" s="1769" t="s">
        <v>463</v>
      </c>
      <c r="B173" s="1770"/>
      <c r="C173" s="1770"/>
      <c r="D173" s="1665"/>
      <c r="E173" s="1665"/>
      <c r="F173" s="1665"/>
      <c r="G173" s="1665"/>
      <c r="H173" s="1666"/>
      <c r="I173" s="651"/>
    </row>
    <row r="174" spans="1:15" ht="5.0999999999999996" customHeight="1" x14ac:dyDescent="0.25">
      <c r="A174" s="1035"/>
      <c r="B174" s="1036"/>
      <c r="C174" s="1036"/>
      <c r="D174" s="1036"/>
      <c r="E174" s="1036"/>
      <c r="F174" s="1036"/>
      <c r="G174" s="1036"/>
      <c r="H174" s="1037"/>
      <c r="I174" s="556"/>
    </row>
    <row r="175" spans="1:15" x14ac:dyDescent="0.25">
      <c r="A175" s="314" t="s">
        <v>1064</v>
      </c>
      <c r="B175" s="805"/>
      <c r="C175" s="805"/>
      <c r="D175" s="805"/>
      <c r="E175" s="805"/>
      <c r="F175" s="805"/>
      <c r="G175" s="1669">
        <f>ROUND((44097*22677)/Input!$C$2,Input!$E$2)</f>
        <v>10000</v>
      </c>
      <c r="H175" s="1263">
        <f>ROUND((44097*22677)/Input!$C$2,Input!$E$2)</f>
        <v>10000</v>
      </c>
      <c r="I175" s="556"/>
    </row>
    <row r="176" spans="1:15" ht="18.600000000000001" customHeight="1" x14ac:dyDescent="0.25">
      <c r="A176" s="1725" t="s">
        <v>1767</v>
      </c>
      <c r="B176" s="1726"/>
      <c r="C176" s="1726"/>
      <c r="D176" s="1726"/>
      <c r="E176" s="1726"/>
      <c r="F176" s="1726"/>
      <c r="G176" s="1726"/>
      <c r="H176" s="1727"/>
      <c r="I176" s="824">
        <v>100</v>
      </c>
      <c r="O176" s="487">
        <f>44097*22667</f>
        <v>999546699</v>
      </c>
    </row>
    <row r="177" spans="1:15" x14ac:dyDescent="0.25">
      <c r="A177" s="1767" t="s">
        <v>0</v>
      </c>
      <c r="B177" s="510"/>
      <c r="C177" s="510"/>
      <c r="D177" s="510"/>
      <c r="E177" s="510"/>
      <c r="F177" s="244"/>
      <c r="G177" s="244" t="s">
        <v>68</v>
      </c>
      <c r="H177" s="245" t="s">
        <v>68</v>
      </c>
      <c r="I177" s="824"/>
      <c r="O177" s="487">
        <f>44097*10</f>
        <v>440970</v>
      </c>
    </row>
    <row r="178" spans="1:15" x14ac:dyDescent="0.25">
      <c r="A178" s="1768"/>
      <c r="B178" s="511"/>
      <c r="C178" s="511"/>
      <c r="D178" s="511"/>
      <c r="E178" s="511"/>
      <c r="F178" s="246"/>
      <c r="G178" s="246" t="str">
        <f>G168</f>
        <v>31 March 2026</v>
      </c>
      <c r="H178" s="247" t="str">
        <f>H168</f>
        <v>31 March 2025</v>
      </c>
      <c r="I178" s="824"/>
      <c r="O178" s="487">
        <f>SUM(O176:O177)</f>
        <v>999987669</v>
      </c>
    </row>
    <row r="179" spans="1:15" x14ac:dyDescent="0.25">
      <c r="A179" s="27" t="s">
        <v>387</v>
      </c>
      <c r="B179" s="1203"/>
      <c r="C179" s="1203"/>
      <c r="D179" s="1203"/>
      <c r="E179" s="1203"/>
      <c r="F179" s="1203"/>
      <c r="G179" s="1204">
        <f>H181</f>
        <v>4.4097</v>
      </c>
      <c r="H179" s="1205">
        <f>O177/100000</f>
        <v>4.4097</v>
      </c>
      <c r="I179" s="824"/>
      <c r="O179" s="487">
        <f>O178/100000</f>
        <v>9999.8766899999991</v>
      </c>
    </row>
    <row r="180" spans="1:15" x14ac:dyDescent="0.25">
      <c r="A180" s="18" t="s">
        <v>388</v>
      </c>
      <c r="B180" s="1206"/>
      <c r="C180" s="1206"/>
      <c r="D180" s="1206"/>
      <c r="E180" s="1206"/>
      <c r="F180" s="1206"/>
      <c r="G180" s="1204">
        <v>0</v>
      </c>
      <c r="H180" s="1205">
        <v>0</v>
      </c>
      <c r="I180" s="824"/>
    </row>
    <row r="181" spans="1:15" x14ac:dyDescent="0.25">
      <c r="A181" s="241" t="s">
        <v>1382</v>
      </c>
      <c r="B181" s="242"/>
      <c r="C181" s="242"/>
      <c r="D181" s="242"/>
      <c r="E181" s="242"/>
      <c r="F181" s="242"/>
      <c r="G181" s="1207">
        <f>SUM(G179:G180)</f>
        <v>4.4097</v>
      </c>
      <c r="H181" s="1208">
        <f>SUM(H179:H180)</f>
        <v>4.4097</v>
      </c>
      <c r="I181" s="824"/>
    </row>
    <row r="182" spans="1:15" ht="6.95" customHeight="1" x14ac:dyDescent="0.25">
      <c r="A182" s="314"/>
      <c r="E182" s="788"/>
      <c r="G182" s="523"/>
      <c r="H182" s="824"/>
      <c r="I182" s="824"/>
    </row>
    <row r="183" spans="1:15" ht="29.45" customHeight="1" x14ac:dyDescent="0.25">
      <c r="A183" s="1728" t="s">
        <v>1766</v>
      </c>
      <c r="B183" s="1729"/>
      <c r="C183" s="1729"/>
      <c r="D183" s="1729"/>
      <c r="E183" s="1729"/>
      <c r="F183" s="1729"/>
      <c r="G183" s="1729"/>
      <c r="H183" s="1730"/>
      <c r="I183" s="824"/>
    </row>
    <row r="184" spans="1:15" x14ac:dyDescent="0.25">
      <c r="A184" s="1767" t="s">
        <v>0</v>
      </c>
      <c r="B184" s="510"/>
      <c r="C184" s="510"/>
      <c r="D184" s="510"/>
      <c r="E184" s="510"/>
      <c r="F184" s="244"/>
      <c r="G184" s="244" t="s">
        <v>68</v>
      </c>
      <c r="H184" s="245" t="s">
        <v>68</v>
      </c>
      <c r="I184" s="824"/>
    </row>
    <row r="185" spans="1:15" x14ac:dyDescent="0.25">
      <c r="A185" s="1768"/>
      <c r="B185" s="511"/>
      <c r="C185" s="511"/>
      <c r="D185" s="511"/>
      <c r="E185" s="511"/>
      <c r="F185" s="246"/>
      <c r="G185" s="246" t="str">
        <f>G178</f>
        <v>31 March 2026</v>
      </c>
      <c r="H185" s="247" t="str">
        <f>H178</f>
        <v>31 March 2025</v>
      </c>
      <c r="I185" s="824"/>
      <c r="O185" s="487">
        <f>42771*23370</f>
        <v>999558270</v>
      </c>
    </row>
    <row r="186" spans="1:15" x14ac:dyDescent="0.25">
      <c r="A186" s="27" t="s">
        <v>387</v>
      </c>
      <c r="B186" s="1203"/>
      <c r="C186" s="1203"/>
      <c r="D186" s="1203"/>
      <c r="E186" s="1203"/>
      <c r="F186" s="1203"/>
      <c r="G186" s="1204">
        <f>H188</f>
        <v>4.7770999999999999</v>
      </c>
      <c r="H186" s="1205">
        <v>0</v>
      </c>
      <c r="I186" s="824"/>
      <c r="O186" s="487">
        <f>42771*10</f>
        <v>427710</v>
      </c>
    </row>
    <row r="187" spans="1:15" x14ac:dyDescent="0.25">
      <c r="A187" s="18" t="s">
        <v>388</v>
      </c>
      <c r="B187" s="1206"/>
      <c r="C187" s="1206"/>
      <c r="D187" s="1206"/>
      <c r="E187" s="1206"/>
      <c r="F187" s="1206"/>
      <c r="G187" s="1204">
        <v>0</v>
      </c>
      <c r="H187" s="1205">
        <f>O186/100000+0.5</f>
        <v>4.7770999999999999</v>
      </c>
      <c r="I187" s="824"/>
      <c r="O187" s="487">
        <f>SUM(O185:O186)</f>
        <v>999985980</v>
      </c>
    </row>
    <row r="188" spans="1:15" x14ac:dyDescent="0.25">
      <c r="A188" s="241" t="s">
        <v>1381</v>
      </c>
      <c r="B188" s="242"/>
      <c r="C188" s="242"/>
      <c r="D188" s="242"/>
      <c r="E188" s="242"/>
      <c r="F188" s="242"/>
      <c r="G188" s="1207">
        <f>SUM(G186:G187)</f>
        <v>4.7770999999999999</v>
      </c>
      <c r="H188" s="1208">
        <f>SUM(H186:H187)</f>
        <v>4.7770999999999999</v>
      </c>
      <c r="I188" s="824"/>
      <c r="O188" s="487">
        <f>O187/100000</f>
        <v>9999.8598000000002</v>
      </c>
    </row>
    <row r="189" spans="1:15" x14ac:dyDescent="0.25">
      <c r="A189" s="241" t="s">
        <v>1380</v>
      </c>
      <c r="B189" s="242"/>
      <c r="C189" s="242"/>
      <c r="D189" s="242"/>
      <c r="E189" s="242"/>
      <c r="F189" s="242"/>
      <c r="G189" s="1207">
        <f>G188+G181</f>
        <v>9.1867999999999999</v>
      </c>
      <c r="H189" s="1208">
        <f>H188+H181</f>
        <v>9.1867999999999999</v>
      </c>
      <c r="I189" s="824"/>
    </row>
    <row r="190" spans="1:15" hidden="1" x14ac:dyDescent="0.25">
      <c r="A190" s="27"/>
      <c r="B190"/>
      <c r="C190"/>
      <c r="D190"/>
      <c r="E190"/>
      <c r="F190"/>
      <c r="G190" s="1653"/>
      <c r="H190" s="1259"/>
      <c r="I190" s="824"/>
    </row>
    <row r="191" spans="1:15" hidden="1" x14ac:dyDescent="0.25">
      <c r="A191" s="314" t="s">
        <v>1527</v>
      </c>
      <c r="E191" s="788"/>
      <c r="G191" s="523"/>
      <c r="H191" s="824"/>
      <c r="I191" s="824"/>
    </row>
    <row r="192" spans="1:15" hidden="1" x14ac:dyDescent="0.25">
      <c r="A192" s="1767" t="s">
        <v>0</v>
      </c>
      <c r="B192" s="510"/>
      <c r="C192" s="510"/>
      <c r="D192" s="510"/>
      <c r="E192" s="510"/>
      <c r="F192" s="244"/>
      <c r="G192" s="244" t="s">
        <v>68</v>
      </c>
      <c r="H192" s="245" t="s">
        <v>68</v>
      </c>
      <c r="I192" s="824"/>
    </row>
    <row r="193" spans="1:9" hidden="1" x14ac:dyDescent="0.25">
      <c r="A193" s="1768"/>
      <c r="B193" s="511"/>
      <c r="C193" s="511"/>
      <c r="D193" s="511"/>
      <c r="E193" s="511"/>
      <c r="F193" s="246"/>
      <c r="G193" s="246" t="str">
        <f>G185</f>
        <v>31 March 2026</v>
      </c>
      <c r="H193" s="247" t="str">
        <f>H185</f>
        <v>31 March 2025</v>
      </c>
      <c r="I193" s="824"/>
    </row>
    <row r="194" spans="1:9" hidden="1" x14ac:dyDescent="0.25">
      <c r="A194" s="27" t="s">
        <v>387</v>
      </c>
      <c r="B194" s="1203"/>
      <c r="C194" s="1203"/>
      <c r="D194" s="1203"/>
      <c r="E194" s="1203"/>
      <c r="F194" s="1203"/>
      <c r="G194" s="1204">
        <f>H196</f>
        <v>0</v>
      </c>
      <c r="H194" s="1205">
        <v>0</v>
      </c>
      <c r="I194" s="824"/>
    </row>
    <row r="195" spans="1:9" hidden="1" x14ac:dyDescent="0.25">
      <c r="A195" s="18" t="s">
        <v>388</v>
      </c>
      <c r="B195" s="1206"/>
      <c r="C195" s="1206"/>
      <c r="D195" s="1206"/>
      <c r="E195" s="1206"/>
      <c r="F195" s="1206"/>
      <c r="G195" s="1204">
        <v>0</v>
      </c>
      <c r="H195" s="1205">
        <v>0</v>
      </c>
      <c r="I195" s="824"/>
    </row>
    <row r="196" spans="1:9" hidden="1" x14ac:dyDescent="0.25">
      <c r="A196" s="241" t="s">
        <v>1381</v>
      </c>
      <c r="B196" s="242"/>
      <c r="C196" s="242"/>
      <c r="D196" s="242"/>
      <c r="E196" s="242"/>
      <c r="F196" s="242"/>
      <c r="G196" s="1207">
        <f>SUM(G194:G195)</f>
        <v>0</v>
      </c>
      <c r="H196" s="1208">
        <f>SUM(H194:H195)</f>
        <v>0</v>
      </c>
      <c r="I196" s="824"/>
    </row>
    <row r="197" spans="1:9" hidden="1" x14ac:dyDescent="0.25">
      <c r="A197" s="241" t="s">
        <v>1528</v>
      </c>
      <c r="B197" s="242"/>
      <c r="C197" s="242"/>
      <c r="D197" s="242"/>
      <c r="E197" s="242"/>
      <c r="F197" s="242"/>
      <c r="G197" s="1207">
        <f>G196+G189</f>
        <v>9.1867999999999999</v>
      </c>
      <c r="H197" s="1208">
        <f>H196+H189</f>
        <v>9.1867999999999999</v>
      </c>
      <c r="I197" s="824"/>
    </row>
    <row r="198" spans="1:9" ht="45.6" customHeight="1" x14ac:dyDescent="0.25">
      <c r="A198" s="1719" t="s">
        <v>1765</v>
      </c>
      <c r="B198" s="1720"/>
      <c r="C198" s="1720"/>
      <c r="D198" s="1720"/>
      <c r="E198" s="1720"/>
      <c r="F198" s="1720"/>
      <c r="G198" s="1720"/>
      <c r="H198" s="1721"/>
      <c r="I198" s="787"/>
    </row>
    <row r="199" spans="1:9" ht="9.6" customHeight="1" x14ac:dyDescent="0.25">
      <c r="A199" s="27"/>
      <c r="B199"/>
      <c r="C199"/>
      <c r="D199"/>
      <c r="E199"/>
      <c r="F199"/>
      <c r="G199" s="1653"/>
      <c r="H199" s="1259"/>
      <c r="I199" s="824"/>
    </row>
    <row r="200" spans="1:9" x14ac:dyDescent="0.25">
      <c r="A200" s="1773" t="s">
        <v>1388</v>
      </c>
      <c r="B200" s="1774"/>
      <c r="C200" s="1774"/>
      <c r="D200" s="1774"/>
      <c r="E200" s="1774"/>
      <c r="F200" s="1774"/>
      <c r="H200" s="940"/>
      <c r="I200" s="940"/>
    </row>
    <row r="201" spans="1:9" x14ac:dyDescent="0.25">
      <c r="A201" s="314" t="s">
        <v>387</v>
      </c>
      <c r="B201" s="788"/>
      <c r="C201" s="788"/>
      <c r="D201" s="788"/>
      <c r="E201" s="788"/>
      <c r="G201" s="846">
        <f>H203</f>
        <v>86868</v>
      </c>
      <c r="H201" s="941">
        <f>44097</f>
        <v>44097</v>
      </c>
      <c r="I201" s="941">
        <v>0</v>
      </c>
    </row>
    <row r="202" spans="1:9" x14ac:dyDescent="0.25">
      <c r="A202" s="822" t="s">
        <v>388</v>
      </c>
      <c r="G202" s="840">
        <v>0</v>
      </c>
      <c r="H202" s="834">
        <f>42771</f>
        <v>42771</v>
      </c>
      <c r="I202" s="834">
        <v>10000</v>
      </c>
    </row>
    <row r="203" spans="1:9" x14ac:dyDescent="0.25">
      <c r="A203" s="877" t="s">
        <v>389</v>
      </c>
      <c r="B203" s="878"/>
      <c r="C203" s="878"/>
      <c r="D203" s="878"/>
      <c r="E203" s="878"/>
      <c r="F203" s="861"/>
      <c r="G203" s="897">
        <f>SUM(G201:G202)</f>
        <v>86868</v>
      </c>
      <c r="H203" s="899">
        <f>SUM(H201:H202)</f>
        <v>86868</v>
      </c>
      <c r="I203" s="899">
        <f>SUM(I201:I202)</f>
        <v>10000</v>
      </c>
    </row>
    <row r="204" spans="1:9" ht="5.45" customHeight="1" x14ac:dyDescent="0.25">
      <c r="A204" s="314"/>
      <c r="B204" s="788"/>
      <c r="C204" s="788"/>
      <c r="D204" s="788"/>
      <c r="E204" s="788"/>
      <c r="H204" s="940"/>
      <c r="I204" s="940"/>
    </row>
    <row r="205" spans="1:9" x14ac:dyDescent="0.25">
      <c r="A205" s="314" t="s">
        <v>1389</v>
      </c>
      <c r="B205" s="788"/>
      <c r="C205" s="788"/>
      <c r="D205" s="788"/>
      <c r="E205" s="788"/>
      <c r="H205" s="940"/>
      <c r="I205" s="940"/>
    </row>
    <row r="206" spans="1:9" ht="47.1" customHeight="1" x14ac:dyDescent="0.25">
      <c r="A206" s="1731" t="s">
        <v>1182</v>
      </c>
      <c r="B206" s="1732"/>
      <c r="C206" s="1732"/>
      <c r="D206" s="1732"/>
      <c r="E206" s="1732"/>
      <c r="F206" s="1732"/>
      <c r="G206" s="1732"/>
      <c r="H206" s="1733"/>
      <c r="I206" s="942"/>
    </row>
    <row r="207" spans="1:9" x14ac:dyDescent="0.25">
      <c r="A207" s="1775" t="s">
        <v>1390</v>
      </c>
      <c r="B207" s="1776"/>
      <c r="C207" s="1776"/>
      <c r="D207" s="1776"/>
      <c r="E207" s="1776"/>
      <c r="F207" s="1776"/>
      <c r="G207" s="1645"/>
      <c r="H207" s="812"/>
      <c r="I207" s="812"/>
    </row>
    <row r="208" spans="1:9" x14ac:dyDescent="0.25">
      <c r="A208" s="943" t="s">
        <v>393</v>
      </c>
      <c r="B208" s="944"/>
      <c r="C208" s="944"/>
      <c r="D208" s="944"/>
      <c r="E208" s="944"/>
      <c r="F208" s="945"/>
      <c r="G208" s="946" t="s">
        <v>68</v>
      </c>
      <c r="H208" s="947" t="s">
        <v>68</v>
      </c>
      <c r="I208" s="947" t="s">
        <v>68</v>
      </c>
    </row>
    <row r="209" spans="1:14" x14ac:dyDescent="0.25">
      <c r="A209" s="612"/>
      <c r="B209" s="948"/>
      <c r="C209" s="948"/>
      <c r="D209" s="948"/>
      <c r="E209" s="948"/>
      <c r="F209" s="949"/>
      <c r="G209" s="246" t="str">
        <f>BS!$D$5</f>
        <v>31 March 2026</v>
      </c>
      <c r="H209" s="247" t="str">
        <f>BS!$E$5</f>
        <v>31 March 2025</v>
      </c>
      <c r="I209" s="247" t="str">
        <f>BS!$F$5</f>
        <v>31 March 2022</v>
      </c>
    </row>
    <row r="210" spans="1:14" x14ac:dyDescent="0.25">
      <c r="A210" s="950" t="s">
        <v>1391</v>
      </c>
      <c r="B210" s="788"/>
      <c r="C210" s="788"/>
      <c r="D210" s="788"/>
      <c r="E210" s="1645"/>
      <c r="F210" s="1645"/>
      <c r="G210" s="1645"/>
      <c r="H210" s="812"/>
      <c r="I210" s="812"/>
    </row>
    <row r="211" spans="1:14" x14ac:dyDescent="0.25">
      <c r="A211" s="811" t="s">
        <v>157</v>
      </c>
      <c r="B211" s="1645"/>
      <c r="C211" s="1645"/>
      <c r="D211" s="1645"/>
      <c r="E211" s="1645"/>
      <c r="F211" s="1645"/>
      <c r="G211" s="951">
        <f>G203</f>
        <v>86868</v>
      </c>
      <c r="H211" s="952">
        <f>H203</f>
        <v>86868</v>
      </c>
      <c r="I211" s="952">
        <v>9999</v>
      </c>
    </row>
    <row r="212" spans="1:14" x14ac:dyDescent="0.25">
      <c r="A212" s="953"/>
      <c r="B212" s="954"/>
      <c r="C212" s="954"/>
      <c r="D212" s="954"/>
      <c r="E212" s="954"/>
      <c r="F212" s="954"/>
      <c r="G212" s="955">
        <f>SUM(G211:G211)</f>
        <v>86868</v>
      </c>
      <c r="H212" s="956">
        <f>SUM(H211:H211)</f>
        <v>86868</v>
      </c>
      <c r="I212" s="956">
        <f>SUM(I211:I211)</f>
        <v>9999</v>
      </c>
    </row>
    <row r="213" spans="1:14" x14ac:dyDescent="0.25">
      <c r="A213" s="811"/>
      <c r="B213" s="1645"/>
      <c r="C213" s="1645"/>
      <c r="D213" s="1645"/>
      <c r="E213" s="1645"/>
      <c r="F213" s="1645"/>
      <c r="G213" s="1645"/>
      <c r="H213" s="812"/>
      <c r="I213" s="812"/>
    </row>
    <row r="214" spans="1:14" x14ac:dyDescent="0.25">
      <c r="A214" s="314" t="s">
        <v>1392</v>
      </c>
      <c r="B214" s="788"/>
      <c r="C214" s="788"/>
      <c r="D214" s="788"/>
      <c r="E214" s="788"/>
      <c r="H214" s="940"/>
      <c r="I214" s="940"/>
    </row>
    <row r="215" spans="1:14" x14ac:dyDescent="0.25">
      <c r="A215" s="943" t="s">
        <v>393</v>
      </c>
      <c r="B215" s="944"/>
      <c r="C215" s="944"/>
      <c r="D215" s="944"/>
      <c r="E215" s="944"/>
      <c r="F215" s="945"/>
      <c r="G215" s="946" t="s">
        <v>68</v>
      </c>
      <c r="H215" s="947" t="s">
        <v>68</v>
      </c>
      <c r="I215" s="947" t="s">
        <v>68</v>
      </c>
    </row>
    <row r="216" spans="1:14" x14ac:dyDescent="0.25">
      <c r="A216" s="612"/>
      <c r="B216" s="948"/>
      <c r="C216" s="948"/>
      <c r="D216" s="948"/>
      <c r="E216" s="948"/>
      <c r="F216" s="949"/>
      <c r="G216" s="246" t="str">
        <f>G209</f>
        <v>31 March 2026</v>
      </c>
      <c r="H216" s="247" t="str">
        <f>BS!$E$5</f>
        <v>31 March 2025</v>
      </c>
      <c r="I216" s="247" t="str">
        <f>BS!$F$5</f>
        <v>31 March 2022</v>
      </c>
    </row>
    <row r="217" spans="1:14" x14ac:dyDescent="0.25">
      <c r="A217" s="950" t="s">
        <v>1391</v>
      </c>
      <c r="B217" s="930"/>
      <c r="C217" s="930"/>
      <c r="D217" s="930"/>
      <c r="E217" s="930"/>
      <c r="F217" s="864"/>
      <c r="G217" s="864"/>
      <c r="H217" s="649"/>
      <c r="I217" s="649"/>
    </row>
    <row r="218" spans="1:14" x14ac:dyDescent="0.25">
      <c r="A218" s="822" t="s">
        <v>157</v>
      </c>
      <c r="F218" s="1654" t="s">
        <v>390</v>
      </c>
      <c r="G218" s="1655">
        <f>G211</f>
        <v>86868</v>
      </c>
      <c r="H218" s="957">
        <f>H211</f>
        <v>86868</v>
      </c>
      <c r="I218" s="957">
        <v>10000</v>
      </c>
    </row>
    <row r="219" spans="1:14" x14ac:dyDescent="0.25">
      <c r="A219" s="960"/>
      <c r="B219" s="820"/>
      <c r="C219" s="820"/>
      <c r="D219" s="820"/>
      <c r="E219" s="820"/>
      <c r="F219" s="961" t="s">
        <v>391</v>
      </c>
      <c r="G219" s="1667">
        <v>1</v>
      </c>
      <c r="H219" s="1668">
        <v>1</v>
      </c>
      <c r="I219" s="959">
        <f>I218/$I$151</f>
        <v>1</v>
      </c>
    </row>
    <row r="220" spans="1:14" x14ac:dyDescent="0.25">
      <c r="A220" s="555"/>
      <c r="B220" s="805"/>
      <c r="C220" s="805"/>
      <c r="D220" s="805"/>
      <c r="E220" s="805"/>
      <c r="F220" s="805"/>
      <c r="G220" s="805"/>
      <c r="H220" s="556"/>
      <c r="I220" s="556"/>
    </row>
    <row r="221" spans="1:14" ht="30" x14ac:dyDescent="0.25">
      <c r="A221" s="906" t="s">
        <v>0</v>
      </c>
      <c r="B221" s="907"/>
      <c r="C221" s="907"/>
      <c r="D221" s="907"/>
      <c r="E221" s="907"/>
      <c r="F221" s="869"/>
      <c r="G221" s="248" t="s">
        <v>1530</v>
      </c>
      <c r="H221" s="641" t="s">
        <v>1490</v>
      </c>
      <c r="I221" s="641" t="str">
        <f>CONCATENATE("For the year ended ",Input!$C$6)</f>
        <v>For the year ended 31 March 2022</v>
      </c>
      <c r="J221" s="509"/>
      <c r="K221" s="509"/>
      <c r="L221" s="509"/>
      <c r="M221" s="788"/>
    </row>
    <row r="222" spans="1:14" x14ac:dyDescent="0.25">
      <c r="A222" s="314" t="s">
        <v>915</v>
      </c>
      <c r="B222" s="788"/>
      <c r="C222" s="788"/>
      <c r="D222" s="788"/>
      <c r="E222" s="788"/>
      <c r="H222" s="644"/>
      <c r="I222" s="644"/>
    </row>
    <row r="223" spans="1:14" x14ac:dyDescent="0.25">
      <c r="A223" s="314" t="s">
        <v>123</v>
      </c>
      <c r="B223" s="788"/>
      <c r="C223" s="788"/>
      <c r="D223" s="788"/>
      <c r="E223" s="788"/>
      <c r="H223" s="644"/>
      <c r="I223" s="644"/>
      <c r="K223" s="840">
        <f>H257</f>
        <v>0</v>
      </c>
    </row>
    <row r="224" spans="1:14" hidden="1" x14ac:dyDescent="0.25">
      <c r="A224" s="822" t="s">
        <v>1383</v>
      </c>
      <c r="G224" s="525">
        <f>G232</f>
        <v>0</v>
      </c>
      <c r="H224" s="787">
        <f>H232</f>
        <v>0</v>
      </c>
      <c r="I224" s="824">
        <f>I232</f>
        <v>1250</v>
      </c>
      <c r="L224" s="840">
        <f>G224-H224</f>
        <v>0</v>
      </c>
      <c r="N224" s="840">
        <f>G224-H224</f>
        <v>0</v>
      </c>
    </row>
    <row r="225" spans="1:15" x14ac:dyDescent="0.25">
      <c r="A225" s="822" t="s">
        <v>874</v>
      </c>
      <c r="G225" s="525">
        <f>G237</f>
        <v>35594.421860000002</v>
      </c>
      <c r="H225" s="787">
        <f>H237</f>
        <v>28885.599690000003</v>
      </c>
      <c r="I225" s="824"/>
      <c r="K225" s="840">
        <f>G225-H224-K223</f>
        <v>35594.421860000002</v>
      </c>
      <c r="L225" s="840">
        <f>G225-H225</f>
        <v>6708.8221699999995</v>
      </c>
      <c r="N225" s="840">
        <f>G225-H225</f>
        <v>6708.8221699999995</v>
      </c>
      <c r="O225" s="840">
        <f>G225-H225</f>
        <v>6708.8221699999995</v>
      </c>
    </row>
    <row r="226" spans="1:15" x14ac:dyDescent="0.25">
      <c r="A226" s="822" t="s">
        <v>116</v>
      </c>
      <c r="G226" s="525">
        <f>G246</f>
        <v>-8075.4032304999964</v>
      </c>
      <c r="H226" s="787">
        <f>H246</f>
        <v>-2130.1632696999945</v>
      </c>
      <c r="I226" s="824" t="e">
        <f>I246</f>
        <v>#REF!</v>
      </c>
      <c r="L226" s="908">
        <f>G226-H226</f>
        <v>-5945.2399608000014</v>
      </c>
      <c r="N226" s="840">
        <f>G226-H226</f>
        <v>-5945.2399608000014</v>
      </c>
      <c r="O226" s="840">
        <f>G226-H226</f>
        <v>-5945.2399608000014</v>
      </c>
    </row>
    <row r="227" spans="1:15" x14ac:dyDescent="0.25">
      <c r="A227" s="646" t="s">
        <v>67</v>
      </c>
      <c r="B227" s="837"/>
      <c r="C227" s="837"/>
      <c r="D227" s="837"/>
      <c r="E227" s="837"/>
      <c r="F227" s="869"/>
      <c r="G227" s="833">
        <f>SUM(G224:G226)</f>
        <v>27519.018629500006</v>
      </c>
      <c r="H227" s="829">
        <f>SUM(H224:H226)</f>
        <v>26755.436420300008</v>
      </c>
      <c r="I227" s="829" t="e">
        <f>SUM(I224:I226)</f>
        <v>#REF!</v>
      </c>
      <c r="L227" s="846">
        <f>SUM(L224:L226)</f>
        <v>763.58220919999803</v>
      </c>
    </row>
    <row r="228" spans="1:15" x14ac:dyDescent="0.25">
      <c r="A228" s="822"/>
      <c r="H228" s="834"/>
      <c r="I228" s="834"/>
    </row>
    <row r="229" spans="1:15" hidden="1" x14ac:dyDescent="0.25">
      <c r="A229" s="314" t="s">
        <v>488</v>
      </c>
      <c r="B229" s="788"/>
      <c r="C229" s="788"/>
      <c r="D229" s="788"/>
      <c r="E229" s="788"/>
      <c r="H229" s="831"/>
      <c r="I229" s="831"/>
    </row>
    <row r="230" spans="1:15" hidden="1" x14ac:dyDescent="0.25">
      <c r="A230" s="822" t="s">
        <v>472</v>
      </c>
      <c r="G230" s="857">
        <f>H232</f>
        <v>0</v>
      </c>
      <c r="H230" s="824">
        <f>125000/100</f>
        <v>1250</v>
      </c>
      <c r="I230" s="831">
        <v>0</v>
      </c>
    </row>
    <row r="231" spans="1:15" hidden="1" x14ac:dyDescent="0.25">
      <c r="A231" s="822" t="s">
        <v>484</v>
      </c>
      <c r="G231" s="857">
        <f>G232-G230</f>
        <v>0</v>
      </c>
      <c r="H231" s="824">
        <f>H232-H230</f>
        <v>-1250</v>
      </c>
      <c r="I231" s="824">
        <f>-ROUND(SUMIF('TB BVS 31.3.22'!$E:$E,A231,'TB BVS 31.3.22'!$N:$N)/Input!$C$2,Input!$E$2)</f>
        <v>1250</v>
      </c>
    </row>
    <row r="232" spans="1:15" ht="15.75" hidden="1" thickBot="1" x14ac:dyDescent="0.3">
      <c r="A232" s="646" t="s">
        <v>486</v>
      </c>
      <c r="B232" s="837"/>
      <c r="C232" s="837"/>
      <c r="D232" s="837"/>
      <c r="E232" s="837"/>
      <c r="F232" s="869"/>
      <c r="G232" s="828">
        <f>-ROUND(SUMIF('TB BVS 31.03.26'!$E:$E,'BS  Notes  3-18'!A232,'TB BVS 31.03.26'!$K:$K)/Input!$C$2,Input!$E$2)</f>
        <v>0</v>
      </c>
      <c r="H232" s="829">
        <f>-ROUND(SUMIF('TB BVS 31.3.25'!$E:$E,'BS  Notes  3-18'!A232,'TB BVS 31.3.25'!$K:$K)/Input!$C$2,Input!$E$2)</f>
        <v>0</v>
      </c>
      <c r="I232" s="918">
        <f>SUM(I230:I231)</f>
        <v>1250</v>
      </c>
    </row>
    <row r="233" spans="1:15" hidden="1" x14ac:dyDescent="0.25">
      <c r="A233" s="822"/>
      <c r="H233" s="644"/>
      <c r="I233" s="644"/>
    </row>
    <row r="234" spans="1:15" x14ac:dyDescent="0.25">
      <c r="A234" s="314" t="s">
        <v>874</v>
      </c>
      <c r="B234" s="788"/>
      <c r="C234" s="788"/>
      <c r="D234" s="788"/>
      <c r="E234" s="788"/>
      <c r="H234" s="834"/>
      <c r="I234" s="644"/>
    </row>
    <row r="235" spans="1:15" x14ac:dyDescent="0.25">
      <c r="A235" s="822" t="s">
        <v>875</v>
      </c>
      <c r="G235" s="523">
        <f>H237</f>
        <v>28885.599690000003</v>
      </c>
      <c r="H235" s="787">
        <f>204224/100+O176/100000</f>
        <v>12037.706990000001</v>
      </c>
      <c r="I235" s="644"/>
    </row>
    <row r="236" spans="1:15" x14ac:dyDescent="0.25">
      <c r="A236" s="822" t="s">
        <v>876</v>
      </c>
      <c r="G236" s="823">
        <f>670782217/100000+1</f>
        <v>6708.8221700000004</v>
      </c>
      <c r="H236" s="787">
        <f>685231/100+O185/100000</f>
        <v>16847.8927</v>
      </c>
      <c r="I236" s="644"/>
      <c r="O236" s="225"/>
    </row>
    <row r="237" spans="1:15" x14ac:dyDescent="0.25">
      <c r="A237" s="646" t="s">
        <v>719</v>
      </c>
      <c r="B237" s="837"/>
      <c r="C237" s="837"/>
      <c r="D237" s="837"/>
      <c r="E237" s="837"/>
      <c r="F237" s="869"/>
      <c r="G237" s="828">
        <f>G235+G236</f>
        <v>35594.421860000002</v>
      </c>
      <c r="H237" s="893">
        <f>SUM(H235:H236)</f>
        <v>28885.599690000003</v>
      </c>
      <c r="I237" s="644"/>
      <c r="O237" s="225">
        <f>G237-H237</f>
        <v>6708.8221699999995</v>
      </c>
    </row>
    <row r="238" spans="1:15" x14ac:dyDescent="0.25">
      <c r="A238" s="822"/>
      <c r="H238" s="644"/>
      <c r="I238" s="644"/>
    </row>
    <row r="239" spans="1:15" x14ac:dyDescent="0.25">
      <c r="A239" s="314" t="s">
        <v>70</v>
      </c>
      <c r="B239" s="788"/>
      <c r="C239" s="788"/>
      <c r="D239" s="788"/>
      <c r="E239" s="788"/>
      <c r="H239" s="644"/>
      <c r="I239" s="644"/>
    </row>
    <row r="240" spans="1:15" x14ac:dyDescent="0.25">
      <c r="A240" s="314" t="s">
        <v>124</v>
      </c>
      <c r="B240" s="788"/>
      <c r="C240" s="788"/>
      <c r="D240" s="788"/>
      <c r="E240" s="788"/>
      <c r="G240" s="525">
        <f>H246</f>
        <v>-2130.1632696999945</v>
      </c>
      <c r="H240" s="787">
        <f>-10275.8113641913/100</f>
        <v>-102.758113641913</v>
      </c>
      <c r="I240" s="824">
        <v>0</v>
      </c>
      <c r="J240" s="509"/>
    </row>
    <row r="241" spans="1:15" x14ac:dyDescent="0.25">
      <c r="A241" s="314" t="s">
        <v>126</v>
      </c>
      <c r="B241" s="788"/>
      <c r="C241" s="788"/>
      <c r="D241" s="788"/>
      <c r="E241" s="788"/>
      <c r="G241" s="840"/>
      <c r="H241" s="834"/>
      <c r="I241" s="834"/>
    </row>
    <row r="242" spans="1:15" hidden="1" x14ac:dyDescent="0.25">
      <c r="A242" s="791" t="s">
        <v>1032</v>
      </c>
      <c r="B242" s="788"/>
      <c r="C242" s="788"/>
      <c r="D242" s="788"/>
      <c r="E242" s="788"/>
      <c r="G242" s="525">
        <v>0</v>
      </c>
      <c r="H242" s="834">
        <v>0</v>
      </c>
      <c r="I242" s="834"/>
    </row>
    <row r="243" spans="1:15" x14ac:dyDescent="0.25">
      <c r="A243" s="822" t="s">
        <v>1689</v>
      </c>
      <c r="G243" s="525">
        <f>PL!D26</f>
        <v>-5952.2399608000014</v>
      </c>
      <c r="H243" s="787">
        <f>PL!E26</f>
        <v>-2029.0351560580816</v>
      </c>
      <c r="I243" s="787" t="e">
        <f>PL!F26</f>
        <v>#REF!</v>
      </c>
    </row>
    <row r="244" spans="1:15" x14ac:dyDescent="0.25">
      <c r="A244" s="822" t="s">
        <v>1377</v>
      </c>
      <c r="G244" s="525"/>
      <c r="H244" s="787"/>
      <c r="I244" s="787"/>
    </row>
    <row r="245" spans="1:15" x14ac:dyDescent="0.25">
      <c r="A245" s="822" t="s">
        <v>1378</v>
      </c>
      <c r="G245" s="525">
        <f>PL!D30+PL!D31</f>
        <v>7</v>
      </c>
      <c r="H245" s="787">
        <v>1.63</v>
      </c>
      <c r="I245" s="787"/>
    </row>
    <row r="246" spans="1:15" x14ac:dyDescent="0.25">
      <c r="A246" s="646" t="s">
        <v>125</v>
      </c>
      <c r="B246" s="837"/>
      <c r="C246" s="837"/>
      <c r="D246" s="837"/>
      <c r="E246" s="837"/>
      <c r="F246" s="869"/>
      <c r="G246" s="833">
        <f>SUM(G240:G245)</f>
        <v>-8075.4032304999964</v>
      </c>
      <c r="H246" s="829">
        <f>SUM(H240:H245)</f>
        <v>-2130.1632696999945</v>
      </c>
      <c r="I246" s="829" t="e">
        <f>SUM(I240:I243)</f>
        <v>#REF!</v>
      </c>
      <c r="O246" s="225">
        <f>G246-H246</f>
        <v>-5945.2399608000014</v>
      </c>
    </row>
    <row r="247" spans="1:15" x14ac:dyDescent="0.25">
      <c r="A247" s="964"/>
      <c r="B247" s="864"/>
      <c r="C247" s="864"/>
      <c r="D247" s="864"/>
      <c r="E247" s="930"/>
      <c r="F247" s="864"/>
      <c r="G247" s="864"/>
      <c r="H247" s="932"/>
      <c r="I247" s="932"/>
    </row>
    <row r="248" spans="1:15" x14ac:dyDescent="0.25">
      <c r="A248" s="965" t="s">
        <v>384</v>
      </c>
      <c r="E248" s="788"/>
      <c r="H248" s="831"/>
      <c r="I248" s="831"/>
    </row>
    <row r="249" spans="1:15" ht="62.45" hidden="1" customHeight="1" x14ac:dyDescent="0.25">
      <c r="A249" s="1731" t="s">
        <v>1091</v>
      </c>
      <c r="B249" s="1732"/>
      <c r="C249" s="1732"/>
      <c r="D249" s="1732"/>
      <c r="E249" s="1732"/>
      <c r="F249" s="1732"/>
      <c r="G249" s="1732"/>
      <c r="H249" s="1733"/>
      <c r="I249" s="942"/>
    </row>
    <row r="250" spans="1:15" ht="32.450000000000003" customHeight="1" x14ac:dyDescent="0.25">
      <c r="A250" s="1731" t="s">
        <v>1651</v>
      </c>
      <c r="B250" s="1732"/>
      <c r="C250" s="1732"/>
      <c r="D250" s="1732"/>
      <c r="E250" s="1732"/>
      <c r="F250" s="1732"/>
      <c r="G250" s="1732"/>
      <c r="H250" s="1733"/>
      <c r="I250" s="942"/>
    </row>
    <row r="251" spans="1:15" ht="29.45" customHeight="1" thickBot="1" x14ac:dyDescent="0.3">
      <c r="A251" s="1748" t="s">
        <v>1652</v>
      </c>
      <c r="B251" s="1749"/>
      <c r="C251" s="1749"/>
      <c r="D251" s="1749"/>
      <c r="E251" s="1749"/>
      <c r="F251" s="1749"/>
      <c r="G251" s="1749"/>
      <c r="H251" s="1750"/>
      <c r="I251" s="708"/>
    </row>
    <row r="252" spans="1:15" ht="15.75" thickBot="1" x14ac:dyDescent="0.3">
      <c r="A252" s="1035"/>
      <c r="B252" s="1036"/>
      <c r="C252" s="1036"/>
      <c r="D252" s="1036"/>
      <c r="E252" s="1036"/>
      <c r="F252" s="1036"/>
      <c r="G252" s="1036"/>
      <c r="H252" s="1037"/>
      <c r="I252" s="556"/>
    </row>
    <row r="253" spans="1:15" x14ac:dyDescent="0.25">
      <c r="A253" s="1771" t="s">
        <v>0</v>
      </c>
      <c r="B253" s="1772"/>
      <c r="C253" s="1772"/>
      <c r="D253" s="1772"/>
      <c r="E253" s="1772"/>
      <c r="F253" s="806"/>
      <c r="G253" s="806" t="s">
        <v>68</v>
      </c>
      <c r="H253" s="807" t="s">
        <v>68</v>
      </c>
      <c r="I253" s="245" t="s">
        <v>68</v>
      </c>
    </row>
    <row r="254" spans="1:15" x14ac:dyDescent="0.25">
      <c r="A254" s="1717"/>
      <c r="B254" s="1718"/>
      <c r="C254" s="1718"/>
      <c r="D254" s="1718"/>
      <c r="E254" s="1718"/>
      <c r="F254" s="246"/>
      <c r="G254" s="246" t="str">
        <f>G168</f>
        <v>31 March 2026</v>
      </c>
      <c r="H254" s="247" t="str">
        <f>BS!$E$5</f>
        <v>31 March 2025</v>
      </c>
      <c r="I254" s="247" t="str">
        <f>BS!$F$5</f>
        <v>31 March 2022</v>
      </c>
    </row>
    <row r="255" spans="1:15" x14ac:dyDescent="0.25">
      <c r="A255" s="314" t="s">
        <v>1085</v>
      </c>
      <c r="B255" s="788"/>
      <c r="C255" s="788"/>
      <c r="D255" s="788"/>
      <c r="E255" s="788"/>
      <c r="H255" s="834"/>
      <c r="I255" s="834"/>
    </row>
    <row r="256" spans="1:15" x14ac:dyDescent="0.25">
      <c r="A256" s="314" t="s">
        <v>127</v>
      </c>
      <c r="B256" s="788"/>
      <c r="C256" s="788"/>
      <c r="D256" s="788"/>
      <c r="E256" s="788"/>
      <c r="H256" s="834"/>
      <c r="I256" s="834"/>
    </row>
    <row r="257" spans="1:15" hidden="1" x14ac:dyDescent="0.25">
      <c r="A257" s="822" t="s">
        <v>551</v>
      </c>
      <c r="G257" s="823">
        <f>-ROUND(SUMIF('TB BVS 31.03.26'!$E:$E,A257,'TB BVS 31.03.26'!$K:$K)/Input!$C$2,Input!$E$2)</f>
        <v>0</v>
      </c>
      <c r="H257" s="824">
        <f>-ROUND(SUMIF('TB BVS 31.3.25'!$E:$E,A257,'TB BVS 31.3.25'!$K:$K)/Input!$C$2,Input!$E$2)</f>
        <v>0</v>
      </c>
      <c r="I257" s="824">
        <f>-ROUND(SUMIF('TB BVS 31.3.22'!$E:$E,A257,'TB BVS 31.3.22'!$N:$N)/Input!$C$2,Input!$E$2)</f>
        <v>495</v>
      </c>
      <c r="J257" s="966"/>
    </row>
    <row r="258" spans="1:15" hidden="1" x14ac:dyDescent="0.25">
      <c r="A258" s="822" t="s">
        <v>445</v>
      </c>
      <c r="G258" s="823">
        <f>-ROUND(SUMIF('TB BVS 31.03.26'!$E:$E,A258,'TB BVS 31.03.26'!$K:$K)/Input!$C$2,Input!$E$2)</f>
        <v>0</v>
      </c>
      <c r="H258" s="824">
        <f>-ROUND(SUMIF('TB BVS 31.3.25'!$E:$E,A258,'TB BVS 31.3.25'!$K:$K)/Input!$C$2,Input!$E$2)</f>
        <v>2660</v>
      </c>
      <c r="I258" s="824">
        <f>-ROUND(SUMIF('TB BVS 31.3.22'!$E:$E,A258,'TB BVS 31.3.22'!$N:$N)/Input!$C$2,Input!$E$2)</f>
        <v>0</v>
      </c>
      <c r="J258" s="966"/>
      <c r="L258" s="840"/>
    </row>
    <row r="259" spans="1:15" x14ac:dyDescent="0.25">
      <c r="A259" s="822" t="s">
        <v>1769</v>
      </c>
      <c r="G259" s="823">
        <f>-ROUND(SUMIF('TB BVS 31.03.26'!$E:$E,A259,'TB BVS 31.03.26'!$I:$I)/Input!$C$2,Input!$E$2)</f>
        <v>25824</v>
      </c>
      <c r="H259" s="824">
        <f>-ROUND(SUMIF('TB BVS 31.3.25'!$E:$E,A259,'TB BVS 31.3.25'!$I:$I)/Input!$C$2,Input!$E$2)</f>
        <v>26462</v>
      </c>
      <c r="I259" s="824"/>
      <c r="J259" s="966"/>
      <c r="L259" s="840"/>
    </row>
    <row r="260" spans="1:15" x14ac:dyDescent="0.25">
      <c r="A260" s="1229" t="s">
        <v>1291</v>
      </c>
      <c r="G260" s="525">
        <f>ROUND(SUMIF('TB BVS 31.03.26'!$E:$E,A259,'TB BVS 31.03.26'!$J:$J)/Input!$C$2,Input!$E$2)</f>
        <v>-6133</v>
      </c>
      <c r="H260" s="824">
        <f>ROUND(SUMIF('TB BVS 31.3.25'!$E:$E,A259,'TB BVS 31.3.25'!$J:$J)/Input!$C$2,Input!$E$2)</f>
        <v>-3109</v>
      </c>
      <c r="I260" s="824"/>
      <c r="J260" s="966"/>
      <c r="L260" s="840"/>
    </row>
    <row r="261" spans="1:15" x14ac:dyDescent="0.25">
      <c r="A261" s="27" t="s">
        <v>1294</v>
      </c>
      <c r="G261" s="857"/>
      <c r="H261" s="824"/>
      <c r="I261" s="824"/>
      <c r="J261" s="966"/>
      <c r="L261" s="840"/>
    </row>
    <row r="262" spans="1:15" x14ac:dyDescent="0.25">
      <c r="A262" s="822" t="s">
        <v>445</v>
      </c>
      <c r="G262" s="857">
        <f>-ROUND(SUMIF('TB BVS 31.03.26'!$E:$E,A262,'TB BVS 31.03.26'!$K:$K)/Input!$C$2,Input!$E$2)</f>
        <v>0</v>
      </c>
      <c r="H262" s="824">
        <f>-ROUND(SUMIF('TB BVS 31.3.25'!$E:$E,A262,'TB BVS 31.3.25'!$K:$K)/Input!$C$2,Input!$E$2)</f>
        <v>2660</v>
      </c>
      <c r="I262" s="824"/>
      <c r="J262" s="966"/>
      <c r="L262" s="840"/>
    </row>
    <row r="263" spans="1:15" ht="15.75" thickBot="1" x14ac:dyDescent="0.3">
      <c r="A263" s="916" t="s">
        <v>67</v>
      </c>
      <c r="B263" s="917"/>
      <c r="C263" s="917"/>
      <c r="D263" s="917"/>
      <c r="E263" s="917"/>
      <c r="F263" s="1656"/>
      <c r="G263" s="926">
        <f>SUM(G259:G262)</f>
        <v>19691</v>
      </c>
      <c r="H263" s="927">
        <f>SUM(H257:H260)</f>
        <v>26013</v>
      </c>
      <c r="I263" s="829">
        <f>SUM(I257:I258)</f>
        <v>495</v>
      </c>
      <c r="K263" s="225">
        <f>G263-H263</f>
        <v>-6322</v>
      </c>
      <c r="L263" s="840">
        <f>+G263-H258</f>
        <v>17031</v>
      </c>
    </row>
    <row r="264" spans="1:15" ht="27" customHeight="1" x14ac:dyDescent="0.25">
      <c r="A264" s="1722" t="s">
        <v>1768</v>
      </c>
      <c r="B264" s="1723"/>
      <c r="C264" s="1723"/>
      <c r="D264" s="1723"/>
      <c r="E264" s="1723"/>
      <c r="F264" s="1723"/>
      <c r="G264" s="1723"/>
      <c r="H264" s="1724"/>
      <c r="I264" s="830"/>
      <c r="K264" s="225"/>
      <c r="L264" s="840"/>
    </row>
    <row r="265" spans="1:15" ht="6" customHeight="1" x14ac:dyDescent="0.25">
      <c r="A265" s="314"/>
      <c r="B265" s="788"/>
      <c r="C265" s="788"/>
      <c r="D265" s="788"/>
      <c r="E265" s="788"/>
      <c r="H265" s="831"/>
      <c r="I265" s="831"/>
      <c r="L265" s="225">
        <f>+L263+G273</f>
        <v>17031</v>
      </c>
    </row>
    <row r="266" spans="1:15" x14ac:dyDescent="0.25">
      <c r="A266" s="314" t="s">
        <v>128</v>
      </c>
      <c r="B266" s="788"/>
      <c r="C266" s="788"/>
      <c r="D266" s="788"/>
      <c r="E266" s="788"/>
      <c r="H266" s="831"/>
      <c r="I266" s="831"/>
    </row>
    <row r="267" spans="1:15" x14ac:dyDescent="0.25">
      <c r="A267" s="27" t="s">
        <v>1292</v>
      </c>
      <c r="B267" s="788"/>
      <c r="C267" s="788"/>
      <c r="D267" s="788"/>
      <c r="E267" s="788"/>
      <c r="H267" s="831"/>
      <c r="I267" s="831"/>
    </row>
    <row r="268" spans="1:15" x14ac:dyDescent="0.25">
      <c r="A268" s="1162" t="s">
        <v>1293</v>
      </c>
      <c r="B268" s="788"/>
      <c r="C268" s="788"/>
      <c r="D268" s="788"/>
      <c r="E268" s="788"/>
      <c r="G268" s="225">
        <f>-G260</f>
        <v>6133</v>
      </c>
      <c r="H268" s="1559">
        <f>-H260</f>
        <v>3109</v>
      </c>
      <c r="I268" s="831"/>
    </row>
    <row r="269" spans="1:15" ht="3.6" customHeight="1" x14ac:dyDescent="0.25">
      <c r="A269" s="1162"/>
      <c r="B269" s="788"/>
      <c r="C269" s="788"/>
      <c r="D269" s="788"/>
      <c r="E269" s="788"/>
      <c r="G269" s="225"/>
      <c r="H269" s="824"/>
      <c r="I269" s="831"/>
    </row>
    <row r="270" spans="1:15" x14ac:dyDescent="0.25">
      <c r="A270" s="27" t="s">
        <v>1292</v>
      </c>
      <c r="B270" s="788"/>
      <c r="C270" s="788"/>
      <c r="D270" s="788"/>
      <c r="E270" s="788"/>
      <c r="G270" s="225"/>
      <c r="H270" s="824"/>
      <c r="I270" s="831"/>
    </row>
    <row r="271" spans="1:15" x14ac:dyDescent="0.25">
      <c r="A271" s="1162" t="s">
        <v>1318</v>
      </c>
      <c r="B271" s="788"/>
      <c r="C271" s="788"/>
      <c r="D271" s="788"/>
      <c r="E271" s="788"/>
      <c r="G271" s="823">
        <f>-ROUND(SUMIF('TB BVS 31.03.26'!$E:$E,A271,'TB BVS 31.03.26'!$I:$I)/Input!$C$2,Input!$E$2)</f>
        <v>5618</v>
      </c>
      <c r="H271" s="824">
        <f>-ROUND(SUMIF('TB BVS 31.3.25'!$E:$E,A271,'TB BVS 31.3.25'!$J:$J)/Input!$C$2,Input!$E$2)</f>
        <v>31</v>
      </c>
      <c r="I271" s="831"/>
      <c r="O271" s="509">
        <f>G271/1000</f>
        <v>5.6180000000000003</v>
      </c>
    </row>
    <row r="272" spans="1:15" x14ac:dyDescent="0.25">
      <c r="A272" s="27" t="s">
        <v>1294</v>
      </c>
      <c r="B272" s="788"/>
      <c r="C272" s="788"/>
      <c r="D272" s="788"/>
      <c r="E272" s="788"/>
      <c r="H272" s="831"/>
      <c r="I272" s="831"/>
    </row>
    <row r="273" spans="1:12" x14ac:dyDescent="0.25">
      <c r="A273" s="822" t="s">
        <v>445</v>
      </c>
      <c r="G273" s="523">
        <f>-ROUND(SUMIF('TB BVS 31.03.26'!$E:$E,A273,'TB BVS 31.03.26'!$I:$I)/Input!$C$2,Input!$E$2)*0</f>
        <v>0</v>
      </c>
      <c r="H273" s="824">
        <f>-ROUND(SUMIF('TB BVS 31.3.25'!$E:$E,A273,'TB BVS 31.3.25'!$J:$J)/Input!$C$2,Input!$E$2)</f>
        <v>0</v>
      </c>
      <c r="I273" s="824">
        <f>-ROUND(SUMIF('TB BVS 31.3.22'!$E:$E,A273,'TB BVS 31.3.22'!$M:$M)/Input!$C$2,Input!$E$2)</f>
        <v>30</v>
      </c>
      <c r="J273" s="840">
        <f>H273-'Note 28-31'!D26</f>
        <v>-4095</v>
      </c>
      <c r="L273" s="840"/>
    </row>
    <row r="274" spans="1:12" hidden="1" x14ac:dyDescent="0.25">
      <c r="A274" s="822" t="s">
        <v>1318</v>
      </c>
      <c r="G274" s="823">
        <f>-ROUND(SUMIF('TB BVS 31.03.26'!$E:$E,A274,'TB BVS 31.03.26'!$J:$J)/Input!$C$2,Input!$E$2)*0</f>
        <v>0</v>
      </c>
      <c r="H274" s="824"/>
      <c r="I274" s="824"/>
      <c r="J274" s="840"/>
      <c r="L274" s="840"/>
    </row>
    <row r="275" spans="1:12" x14ac:dyDescent="0.25">
      <c r="A275" s="646" t="s">
        <v>67</v>
      </c>
      <c r="B275" s="837"/>
      <c r="C275" s="837"/>
      <c r="D275" s="837"/>
      <c r="E275" s="837"/>
      <c r="F275" s="869"/>
      <c r="G275" s="833">
        <f>SUM(G268:G274)</f>
        <v>11751</v>
      </c>
      <c r="H275" s="829">
        <f>SUM(H268:H273)</f>
        <v>3140</v>
      </c>
      <c r="I275" s="829">
        <f>SUM(I273:I273)</f>
        <v>30</v>
      </c>
      <c r="J275" s="840">
        <f>J273-I273</f>
        <v>-4125</v>
      </c>
      <c r="K275" s="840">
        <f>G275</f>
        <v>11751</v>
      </c>
    </row>
    <row r="276" spans="1:12" ht="6.95" customHeight="1" x14ac:dyDescent="0.25">
      <c r="A276" s="314"/>
      <c r="B276" s="788"/>
      <c r="C276" s="788"/>
      <c r="D276" s="788"/>
      <c r="E276" s="788"/>
      <c r="H276" s="967"/>
      <c r="I276" s="967"/>
    </row>
    <row r="277" spans="1:12" x14ac:dyDescent="0.25">
      <c r="A277" s="965" t="s">
        <v>408</v>
      </c>
      <c r="B277" s="1658"/>
      <c r="C277" s="1658"/>
      <c r="D277" s="1658"/>
      <c r="E277" s="1658"/>
      <c r="H277" s="967"/>
      <c r="I277" s="967"/>
    </row>
    <row r="278" spans="1:12" ht="71.45" hidden="1" customHeight="1" x14ac:dyDescent="0.25">
      <c r="A278" s="1751" t="s">
        <v>1183</v>
      </c>
      <c r="B278" s="1752"/>
      <c r="C278" s="1752"/>
      <c r="D278" s="1752"/>
      <c r="E278" s="1752"/>
      <c r="F278" s="1752"/>
      <c r="G278" s="1752"/>
      <c r="H278" s="1753"/>
      <c r="I278" s="708"/>
    </row>
    <row r="279" spans="1:12" ht="32.450000000000003" hidden="1" customHeight="1" x14ac:dyDescent="0.25">
      <c r="A279" s="1751"/>
      <c r="B279" s="1752"/>
      <c r="C279" s="1752"/>
      <c r="D279" s="1752"/>
      <c r="E279" s="1752"/>
      <c r="F279" s="1752"/>
      <c r="G279" s="1752"/>
      <c r="H279" s="1753"/>
      <c r="I279" s="708"/>
    </row>
    <row r="280" spans="1:12" s="810" customFormat="1" ht="84.6" customHeight="1" x14ac:dyDescent="0.25">
      <c r="A280" s="1781" t="s">
        <v>1670</v>
      </c>
      <c r="B280" s="1782"/>
      <c r="C280" s="1782"/>
      <c r="D280" s="1782"/>
      <c r="E280" s="1782"/>
      <c r="F280" s="1782"/>
      <c r="G280" s="1782"/>
      <c r="H280" s="1783"/>
      <c r="I280" s="690"/>
    </row>
    <row r="281" spans="1:12" s="810" customFormat="1" ht="76.5" customHeight="1" x14ac:dyDescent="0.25">
      <c r="A281" s="1731" t="s">
        <v>1671</v>
      </c>
      <c r="B281" s="1732"/>
      <c r="C281" s="1732"/>
      <c r="D281" s="1732"/>
      <c r="E281" s="1732"/>
      <c r="F281" s="1732"/>
      <c r="G281" s="1732"/>
      <c r="H281" s="1733"/>
      <c r="I281" s="690"/>
    </row>
    <row r="282" spans="1:12" s="810" customFormat="1" ht="75.599999999999994" customHeight="1" x14ac:dyDescent="0.25">
      <c r="A282" s="1731" t="s">
        <v>1672</v>
      </c>
      <c r="B282" s="1732"/>
      <c r="C282" s="1732"/>
      <c r="D282" s="1732"/>
      <c r="E282" s="1732"/>
      <c r="F282" s="1732"/>
      <c r="G282" s="1732"/>
      <c r="H282" s="1733"/>
      <c r="I282" s="690"/>
    </row>
    <row r="283" spans="1:12" s="810" customFormat="1" ht="42.95" customHeight="1" thickBot="1" x14ac:dyDescent="0.3">
      <c r="A283" s="1789" t="s">
        <v>1698</v>
      </c>
      <c r="B283" s="1790"/>
      <c r="C283" s="1790"/>
      <c r="D283" s="1790"/>
      <c r="E283" s="1790"/>
      <c r="F283" s="1790"/>
      <c r="G283" s="1790"/>
      <c r="H283" s="1791"/>
      <c r="I283" s="282"/>
    </row>
    <row r="284" spans="1:12" s="810" customFormat="1" ht="15.75" hidden="1" thickBot="1" x14ac:dyDescent="0.3">
      <c r="A284" s="689"/>
      <c r="B284" s="1094"/>
      <c r="C284" s="1094"/>
      <c r="D284" s="1094"/>
      <c r="E284" s="1094"/>
      <c r="F284" s="1094"/>
      <c r="G284" s="1094"/>
      <c r="H284" s="690"/>
      <c r="I284" s="690"/>
    </row>
    <row r="285" spans="1:12" s="810" customFormat="1" ht="15.75" hidden="1" thickBot="1" x14ac:dyDescent="0.3">
      <c r="A285" s="314" t="s">
        <v>1058</v>
      </c>
      <c r="B285" s="788"/>
      <c r="C285" s="788"/>
      <c r="D285" s="788"/>
      <c r="E285" s="788"/>
      <c r="F285" s="95"/>
      <c r="G285" s="95"/>
      <c r="H285" s="834"/>
      <c r="I285" s="690"/>
    </row>
    <row r="286" spans="1:12" s="810" customFormat="1" ht="15.75" hidden="1" thickBot="1" x14ac:dyDescent="0.3">
      <c r="A286" s="314" t="s">
        <v>1046</v>
      </c>
      <c r="B286" s="788"/>
      <c r="C286" s="788"/>
      <c r="D286" s="788"/>
      <c r="E286" s="788"/>
      <c r="F286" s="95"/>
      <c r="G286" s="95"/>
      <c r="H286" s="834"/>
      <c r="I286" s="690"/>
    </row>
    <row r="287" spans="1:12" s="810" customFormat="1" ht="15.75" hidden="1" thickBot="1" x14ac:dyDescent="0.3">
      <c r="A287" s="822" t="s">
        <v>1044</v>
      </c>
      <c r="B287" s="95"/>
      <c r="C287" s="95"/>
      <c r="D287" s="95"/>
      <c r="E287" s="95"/>
      <c r="F287" s="95"/>
      <c r="G287" s="523">
        <f>-ROUND(SUMIF('TB BVS 31.03.26'!$E:$E,'BS  Notes  3-18'!A287,'TB BVS 31.03.26'!$K:$K)/Input!$C$2,Input!$E$2)</f>
        <v>39</v>
      </c>
      <c r="H287" s="787">
        <v>0</v>
      </c>
      <c r="I287" s="690"/>
    </row>
    <row r="288" spans="1:12" s="810" customFormat="1" ht="15.75" hidden="1" thickBot="1" x14ac:dyDescent="0.3">
      <c r="A288" s="822" t="s">
        <v>1045</v>
      </c>
      <c r="B288" s="95"/>
      <c r="C288" s="95"/>
      <c r="D288" s="95"/>
      <c r="E288" s="95"/>
      <c r="F288" s="95"/>
      <c r="G288" s="523">
        <f>-ROUND(SUMIF('TB BVS 31.03.26'!$E:$E,'BS  Notes  3-18'!A288,'TB BVS 31.03.26'!$K:$K)/Input!$C$2,Input!$E$2)</f>
        <v>41</v>
      </c>
      <c r="H288" s="787">
        <v>0</v>
      </c>
      <c r="I288" s="690"/>
    </row>
    <row r="289" spans="1:9" s="810" customFormat="1" ht="15.75" hidden="1" thickBot="1" x14ac:dyDescent="0.3">
      <c r="A289" s="646" t="s">
        <v>67</v>
      </c>
      <c r="B289" s="837"/>
      <c r="C289" s="837"/>
      <c r="D289" s="837"/>
      <c r="E289" s="837"/>
      <c r="F289" s="869"/>
      <c r="G289" s="828">
        <f>SUM(G287:G288)</f>
        <v>80</v>
      </c>
      <c r="H289" s="829">
        <f>SUM(H287:H288)</f>
        <v>0</v>
      </c>
      <c r="I289" s="690"/>
    </row>
    <row r="290" spans="1:9" s="810" customFormat="1" ht="15.75" hidden="1" thickBot="1" x14ac:dyDescent="0.3">
      <c r="A290" s="822"/>
      <c r="B290" s="95"/>
      <c r="C290" s="95"/>
      <c r="D290" s="95"/>
      <c r="E290" s="95"/>
      <c r="F290" s="95"/>
      <c r="G290" s="95"/>
      <c r="H290" s="834"/>
      <c r="I290" s="690"/>
    </row>
    <row r="291" spans="1:9" s="810" customFormat="1" ht="15.75" hidden="1" thickBot="1" x14ac:dyDescent="0.3">
      <c r="A291" s="314" t="s">
        <v>1047</v>
      </c>
      <c r="B291" s="788"/>
      <c r="C291" s="788"/>
      <c r="D291" s="788"/>
      <c r="E291" s="788"/>
      <c r="F291" s="95"/>
      <c r="G291" s="95"/>
      <c r="H291" s="834"/>
      <c r="I291" s="690"/>
    </row>
    <row r="292" spans="1:9" s="810" customFormat="1" ht="15.75" hidden="1" thickBot="1" x14ac:dyDescent="0.3">
      <c r="A292" s="822" t="s">
        <v>1044</v>
      </c>
      <c r="B292" s="95"/>
      <c r="C292" s="95"/>
      <c r="D292" s="95"/>
      <c r="E292" s="95"/>
      <c r="F292" s="95"/>
      <c r="G292" s="523">
        <f>-ROUND(SUMIF('TB BVS 31.03.26'!$E:$E,'BS  Notes  3-18'!A292,'TB BVS 31.03.26'!$J:$J)/Input!$C$2,Input!$E$2)</f>
        <v>8</v>
      </c>
      <c r="H292" s="787">
        <v>0</v>
      </c>
      <c r="I292" s="690"/>
    </row>
    <row r="293" spans="1:9" s="810" customFormat="1" ht="15.75" hidden="1" thickBot="1" x14ac:dyDescent="0.3">
      <c r="A293" s="822" t="s">
        <v>1045</v>
      </c>
      <c r="B293" s="95"/>
      <c r="C293" s="95"/>
      <c r="D293" s="95"/>
      <c r="E293" s="95"/>
      <c r="F293" s="95"/>
      <c r="G293" s="523">
        <f>-ROUND(SUMIF('TB BVS 31.03.26'!$E:$E,'BS  Notes  3-18'!A293,'TB BVS 31.03.26'!$J:$J)/Input!$C$2,Input!$E$2)</f>
        <v>4</v>
      </c>
      <c r="H293" s="787">
        <v>0</v>
      </c>
      <c r="I293" s="690"/>
    </row>
    <row r="294" spans="1:9" s="810" customFormat="1" ht="15.75" hidden="1" thickBot="1" x14ac:dyDescent="0.3">
      <c r="A294" s="646" t="s">
        <v>67</v>
      </c>
      <c r="B294" s="837"/>
      <c r="C294" s="837"/>
      <c r="D294" s="837"/>
      <c r="E294" s="837"/>
      <c r="F294" s="869"/>
      <c r="G294" s="833">
        <f>SUM(G292:G293)</f>
        <v>12</v>
      </c>
      <c r="H294" s="829">
        <f>SUM(H292:H293)</f>
        <v>0</v>
      </c>
      <c r="I294" s="690"/>
    </row>
    <row r="295" spans="1:9" s="810" customFormat="1" ht="15.75" hidden="1" thickBot="1" x14ac:dyDescent="0.3">
      <c r="A295" s="314"/>
      <c r="B295" s="788"/>
      <c r="C295" s="788"/>
      <c r="D295" s="788"/>
      <c r="E295" s="788"/>
      <c r="F295" s="95"/>
      <c r="G295" s="832"/>
      <c r="H295" s="830"/>
      <c r="I295" s="690"/>
    </row>
    <row r="296" spans="1:9" s="810" customFormat="1" ht="15.75" hidden="1" thickBot="1" x14ac:dyDescent="0.3">
      <c r="A296" s="689"/>
      <c r="B296" s="1094"/>
      <c r="C296" s="1094"/>
      <c r="D296" s="1094"/>
      <c r="E296" s="1094"/>
      <c r="F296" s="1094"/>
      <c r="G296" s="1094"/>
      <c r="H296" s="690"/>
      <c r="I296" s="690"/>
    </row>
    <row r="297" spans="1:9" ht="15.75" hidden="1" thickBot="1" x14ac:dyDescent="0.3">
      <c r="A297" s="1767" t="s">
        <v>0</v>
      </c>
      <c r="B297" s="510"/>
      <c r="C297" s="510"/>
      <c r="D297" s="510"/>
      <c r="E297" s="510"/>
      <c r="F297" s="244"/>
      <c r="G297" s="244" t="s">
        <v>68</v>
      </c>
      <c r="H297" s="245" t="s">
        <v>68</v>
      </c>
      <c r="I297" s="556"/>
    </row>
    <row r="298" spans="1:9" ht="15.75" hidden="1" thickBot="1" x14ac:dyDescent="0.3">
      <c r="A298" s="1780"/>
      <c r="B298" s="1601"/>
      <c r="C298" s="1601"/>
      <c r="D298" s="1601"/>
      <c r="E298" s="1601"/>
      <c r="F298" s="1602"/>
      <c r="G298" s="1602" t="str">
        <f>[1]BS!$D$5</f>
        <v>31 March 2024</v>
      </c>
      <c r="H298" s="1603" t="str">
        <f>[1]BS!$E$5</f>
        <v>31 March 2023</v>
      </c>
      <c r="I298" s="556"/>
    </row>
    <row r="299" spans="1:9" x14ac:dyDescent="0.25">
      <c r="A299" s="1771" t="s">
        <v>0</v>
      </c>
      <c r="B299" s="1772"/>
      <c r="C299" s="1772"/>
      <c r="D299" s="1772"/>
      <c r="E299" s="1772"/>
      <c r="F299" s="806"/>
      <c r="G299" s="806" t="s">
        <v>68</v>
      </c>
      <c r="H299" s="807" t="s">
        <v>68</v>
      </c>
      <c r="I299" s="556"/>
    </row>
    <row r="300" spans="1:9" x14ac:dyDescent="0.25">
      <c r="A300" s="1717"/>
      <c r="B300" s="1718"/>
      <c r="C300" s="1718"/>
      <c r="D300" s="1718"/>
      <c r="E300" s="1718"/>
      <c r="F300" s="246"/>
      <c r="G300" s="246" t="str">
        <f>BS!$D$5</f>
        <v>31 March 2026</v>
      </c>
      <c r="H300" s="247" t="str">
        <f>BS!$E$5</f>
        <v>31 March 2025</v>
      </c>
      <c r="I300" s="556"/>
    </row>
    <row r="301" spans="1:9" x14ac:dyDescent="0.25">
      <c r="A301" s="689"/>
      <c r="B301" s="1094"/>
      <c r="C301" s="1094"/>
      <c r="D301" s="1094"/>
      <c r="E301" s="1094"/>
      <c r="F301" s="1094"/>
      <c r="G301" s="1094"/>
      <c r="H301" s="690"/>
      <c r="I301" s="556"/>
    </row>
    <row r="302" spans="1:9" x14ac:dyDescent="0.25">
      <c r="A302" s="314" t="s">
        <v>1086</v>
      </c>
      <c r="B302" s="788"/>
      <c r="C302" s="788"/>
      <c r="D302" s="788"/>
      <c r="E302" s="788"/>
      <c r="H302" s="834"/>
      <c r="I302" s="556"/>
    </row>
    <row r="303" spans="1:9" x14ac:dyDescent="0.25">
      <c r="A303" s="314" t="s">
        <v>1046</v>
      </c>
      <c r="B303" s="788"/>
      <c r="C303" s="788"/>
      <c r="D303" s="788"/>
      <c r="E303" s="788"/>
      <c r="H303" s="834"/>
      <c r="I303" s="556"/>
    </row>
    <row r="304" spans="1:9" x14ac:dyDescent="0.25">
      <c r="A304" s="822" t="s">
        <v>1044</v>
      </c>
      <c r="G304" s="823">
        <f>-ROUND(SUMIF('TB BVS 31.03.26'!$E:$E,A304,'TB BVS 31.03.26'!$K:$K)/Input!$C$2,Input!$E$2)</f>
        <v>39</v>
      </c>
      <c r="H304" s="787">
        <f>-ROUND(SUMIF('TB BVS 31.3.25'!$E:$E,A304,'TB BVS 31.3.25'!$K:$K)/Input!$C$2,Input!$E$2)</f>
        <v>22</v>
      </c>
      <c r="I304" s="556"/>
    </row>
    <row r="305" spans="1:16384" s="95" customFormat="1" x14ac:dyDescent="0.25">
      <c r="A305" s="822" t="s">
        <v>1045</v>
      </c>
      <c r="G305" s="823">
        <f>-ROUND(SUMIF('TB BVS 31.03.26'!$E:$E,A305,'TB BVS 31.03.26'!$K:$K)/Input!$C$2,Input!$E$2)</f>
        <v>41</v>
      </c>
      <c r="H305" s="787">
        <f>-ROUND(SUMIF('TB BVS 31.3.25'!$E:$E,A305,'TB BVS 31.3.25'!$K:$K)/Input!$C$2,Input!$E$2)</f>
        <v>17</v>
      </c>
      <c r="I305" s="556"/>
    </row>
    <row r="306" spans="1:16384" s="95" customFormat="1" x14ac:dyDescent="0.25">
      <c r="A306" s="646" t="s">
        <v>67</v>
      </c>
      <c r="B306" s="837"/>
      <c r="C306" s="837"/>
      <c r="D306" s="837"/>
      <c r="E306" s="837"/>
      <c r="F306" s="869"/>
      <c r="G306" s="828">
        <f>SUM(G304:G305)</f>
        <v>80</v>
      </c>
      <c r="H306" s="829">
        <f>SUM(H304:H305)</f>
        <v>39</v>
      </c>
      <c r="I306" s="556"/>
    </row>
    <row r="307" spans="1:16384" s="95" customFormat="1" x14ac:dyDescent="0.25">
      <c r="A307" s="822"/>
      <c r="H307" s="834"/>
      <c r="I307" s="556"/>
    </row>
    <row r="308" spans="1:16384" s="95" customFormat="1" x14ac:dyDescent="0.25">
      <c r="A308" s="314" t="s">
        <v>1047</v>
      </c>
      <c r="B308" s="788"/>
      <c r="C308" s="788"/>
      <c r="D308" s="788"/>
      <c r="E308" s="788"/>
      <c r="H308" s="834"/>
      <c r="I308" s="556"/>
    </row>
    <row r="309" spans="1:16384" s="95" customFormat="1" x14ac:dyDescent="0.25">
      <c r="A309" s="822" t="s">
        <v>1044</v>
      </c>
      <c r="G309" s="523">
        <f>-ROUND(SUMIF('TB BVS 31.03.26'!$E:$E,A309,'TB BVS 31.03.26'!$J:$J)/Input!$C$2,Input!$E$2)</f>
        <v>8</v>
      </c>
      <c r="H309" s="787">
        <f>-ROUND(SUMIF('TB BVS 31.3.25'!$E:$E,A309,'TB BVS 31.3.25'!$J:$J)/Input!$C$2,Input!$E$2)</f>
        <v>5</v>
      </c>
      <c r="I309" s="556"/>
    </row>
    <row r="310" spans="1:16384" s="95" customFormat="1" x14ac:dyDescent="0.25">
      <c r="A310" s="822" t="s">
        <v>1045</v>
      </c>
      <c r="G310" s="523">
        <f>-ROUND(SUMIF('TB BVS 31.03.26'!$E:$E,A310,'TB BVS 31.03.26'!$J:$J)/Input!$C$2,Input!$E$2)</f>
        <v>4</v>
      </c>
      <c r="H310" s="787">
        <f>-ROUND(SUMIF('TB BVS 31.3.25'!$E:$E,A310,'TB BVS 31.3.25'!$J:$J)/Input!$C$2,Input!$E$2)</f>
        <v>2</v>
      </c>
      <c r="I310" s="556"/>
    </row>
    <row r="311" spans="1:16384" s="95" customFormat="1" ht="15.75" thickBot="1" x14ac:dyDescent="0.3">
      <c r="A311" s="916" t="s">
        <v>67</v>
      </c>
      <c r="B311" s="917"/>
      <c r="C311" s="917"/>
      <c r="D311" s="917"/>
      <c r="E311" s="917"/>
      <c r="F311" s="1656"/>
      <c r="G311" s="1670">
        <f>SUM(G309:G310)</f>
        <v>12</v>
      </c>
      <c r="H311" s="918">
        <f>SUM(H309:H310)</f>
        <v>7</v>
      </c>
      <c r="I311" s="556"/>
    </row>
    <row r="312" spans="1:16384" s="95" customFormat="1" x14ac:dyDescent="0.25">
      <c r="A312" s="1715" t="s">
        <v>0</v>
      </c>
      <c r="B312" s="1716"/>
      <c r="C312" s="1716"/>
      <c r="D312" s="1716"/>
      <c r="E312" s="1716"/>
      <c r="F312" s="244"/>
      <c r="G312" s="244" t="s">
        <v>68</v>
      </c>
      <c r="H312" s="245" t="s">
        <v>68</v>
      </c>
      <c r="I312" s="1715" t="s">
        <v>0</v>
      </c>
      <c r="J312" s="1716"/>
      <c r="K312" s="1716"/>
      <c r="L312" s="1716"/>
      <c r="M312" s="1716"/>
      <c r="N312" s="244"/>
      <c r="O312" s="244" t="s">
        <v>68</v>
      </c>
      <c r="P312" s="245" t="s">
        <v>68</v>
      </c>
      <c r="Q312" s="1715" t="s">
        <v>0</v>
      </c>
      <c r="R312" s="1716"/>
      <c r="S312" s="1716"/>
      <c r="T312" s="1716"/>
      <c r="U312" s="1716"/>
      <c r="V312" s="244"/>
      <c r="W312" s="244" t="s">
        <v>68</v>
      </c>
      <c r="X312" s="245" t="s">
        <v>68</v>
      </c>
      <c r="Y312" s="1715" t="s">
        <v>0</v>
      </c>
      <c r="Z312" s="1716"/>
      <c r="AA312" s="1716"/>
      <c r="AB312" s="1716"/>
      <c r="AC312" s="1716"/>
      <c r="AD312" s="244"/>
      <c r="AE312" s="244" t="s">
        <v>68</v>
      </c>
      <c r="AF312" s="245" t="s">
        <v>68</v>
      </c>
      <c r="AG312" s="1715" t="s">
        <v>0</v>
      </c>
      <c r="AH312" s="1716"/>
      <c r="AI312" s="1716"/>
      <c r="AJ312" s="1716"/>
      <c r="AK312" s="1716"/>
      <c r="AL312" s="244"/>
      <c r="AM312" s="244" t="s">
        <v>68</v>
      </c>
      <c r="AN312" s="245" t="s">
        <v>68</v>
      </c>
      <c r="AO312" s="1715" t="s">
        <v>0</v>
      </c>
      <c r="AP312" s="1716"/>
      <c r="AQ312" s="1716"/>
      <c r="AR312" s="1716"/>
      <c r="AS312" s="1716"/>
      <c r="AT312" s="244"/>
      <c r="AU312" s="244" t="s">
        <v>68</v>
      </c>
      <c r="AV312" s="245" t="s">
        <v>68</v>
      </c>
      <c r="AW312" s="1715" t="s">
        <v>0</v>
      </c>
      <c r="AX312" s="1716"/>
      <c r="AY312" s="1716"/>
      <c r="AZ312" s="1716"/>
      <c r="BA312" s="1716"/>
      <c r="BB312" s="244"/>
      <c r="BC312" s="244" t="s">
        <v>68</v>
      </c>
      <c r="BD312" s="245" t="s">
        <v>68</v>
      </c>
      <c r="BE312" s="1715" t="s">
        <v>0</v>
      </c>
      <c r="BF312" s="1716"/>
      <c r="BG312" s="1716"/>
      <c r="BH312" s="1716"/>
      <c r="BI312" s="1716"/>
      <c r="BJ312" s="244"/>
      <c r="BK312" s="244" t="s">
        <v>68</v>
      </c>
      <c r="BL312" s="245" t="s">
        <v>68</v>
      </c>
      <c r="BM312" s="1715" t="s">
        <v>0</v>
      </c>
      <c r="BN312" s="1716"/>
      <c r="BO312" s="1716"/>
      <c r="BP312" s="1716"/>
      <c r="BQ312" s="1716"/>
      <c r="BR312" s="244"/>
      <c r="BS312" s="244" t="s">
        <v>68</v>
      </c>
      <c r="BT312" s="245" t="s">
        <v>68</v>
      </c>
      <c r="BU312" s="1715" t="s">
        <v>0</v>
      </c>
      <c r="BV312" s="1716"/>
      <c r="BW312" s="1716"/>
      <c r="BX312" s="1716"/>
      <c r="BY312" s="1716"/>
      <c r="BZ312" s="244"/>
      <c r="CA312" s="244" t="s">
        <v>68</v>
      </c>
      <c r="CB312" s="245" t="s">
        <v>68</v>
      </c>
      <c r="CC312" s="1715" t="s">
        <v>0</v>
      </c>
      <c r="CD312" s="1716"/>
      <c r="CE312" s="1716"/>
      <c r="CF312" s="1716"/>
      <c r="CG312" s="1716"/>
      <c r="CH312" s="244"/>
      <c r="CI312" s="244" t="s">
        <v>68</v>
      </c>
      <c r="CJ312" s="245" t="s">
        <v>68</v>
      </c>
      <c r="CK312" s="1715" t="s">
        <v>0</v>
      </c>
      <c r="CL312" s="1716"/>
      <c r="CM312" s="1716"/>
      <c r="CN312" s="1716"/>
      <c r="CO312" s="1716"/>
      <c r="CP312" s="244"/>
      <c r="CQ312" s="244" t="s">
        <v>68</v>
      </c>
      <c r="CR312" s="245" t="s">
        <v>68</v>
      </c>
      <c r="CS312" s="1715" t="s">
        <v>0</v>
      </c>
      <c r="CT312" s="1716"/>
      <c r="CU312" s="1716"/>
      <c r="CV312" s="1716"/>
      <c r="CW312" s="1716"/>
      <c r="CX312" s="244"/>
      <c r="CY312" s="244" t="s">
        <v>68</v>
      </c>
      <c r="CZ312" s="245" t="s">
        <v>68</v>
      </c>
      <c r="DA312" s="1715" t="s">
        <v>0</v>
      </c>
      <c r="DB312" s="1716"/>
      <c r="DC312" s="1716"/>
      <c r="DD312" s="1716"/>
      <c r="DE312" s="1716"/>
      <c r="DF312" s="244"/>
      <c r="DG312" s="244" t="s">
        <v>68</v>
      </c>
      <c r="DH312" s="245" t="s">
        <v>68</v>
      </c>
      <c r="DI312" s="1715" t="s">
        <v>0</v>
      </c>
      <c r="DJ312" s="1716"/>
      <c r="DK312" s="1716"/>
      <c r="DL312" s="1716"/>
      <c r="DM312" s="1716"/>
      <c r="DN312" s="244"/>
      <c r="DO312" s="244" t="s">
        <v>68</v>
      </c>
      <c r="DP312" s="245" t="s">
        <v>68</v>
      </c>
      <c r="DQ312" s="1715" t="s">
        <v>0</v>
      </c>
      <c r="DR312" s="1716"/>
      <c r="DS312" s="1716"/>
      <c r="DT312" s="1716"/>
      <c r="DU312" s="1716"/>
      <c r="DV312" s="244"/>
      <c r="DW312" s="244" t="s">
        <v>68</v>
      </c>
      <c r="DX312" s="245" t="s">
        <v>68</v>
      </c>
      <c r="DY312" s="1715" t="s">
        <v>0</v>
      </c>
      <c r="DZ312" s="1716"/>
      <c r="EA312" s="1716"/>
      <c r="EB312" s="1716"/>
      <c r="EC312" s="1716"/>
      <c r="ED312" s="244"/>
      <c r="EE312" s="244" t="s">
        <v>68</v>
      </c>
      <c r="EF312" s="245" t="s">
        <v>68</v>
      </c>
      <c r="EG312" s="1715" t="s">
        <v>0</v>
      </c>
      <c r="EH312" s="1716"/>
      <c r="EI312" s="1716"/>
      <c r="EJ312" s="1716"/>
      <c r="EK312" s="1716"/>
      <c r="EL312" s="244"/>
      <c r="EM312" s="244" t="s">
        <v>68</v>
      </c>
      <c r="EN312" s="245" t="s">
        <v>68</v>
      </c>
      <c r="EO312" s="1715" t="s">
        <v>0</v>
      </c>
      <c r="EP312" s="1716"/>
      <c r="EQ312" s="1716"/>
      <c r="ER312" s="1716"/>
      <c r="ES312" s="1716"/>
      <c r="ET312" s="244"/>
      <c r="EU312" s="244" t="s">
        <v>68</v>
      </c>
      <c r="EV312" s="245" t="s">
        <v>68</v>
      </c>
      <c r="EW312" s="1715" t="s">
        <v>0</v>
      </c>
      <c r="EX312" s="1716"/>
      <c r="EY312" s="1716"/>
      <c r="EZ312" s="1716"/>
      <c r="FA312" s="1716"/>
      <c r="FB312" s="244"/>
      <c r="FC312" s="244" t="s">
        <v>68</v>
      </c>
      <c r="FD312" s="245" t="s">
        <v>68</v>
      </c>
      <c r="FE312" s="1715" t="s">
        <v>0</v>
      </c>
      <c r="FF312" s="1716"/>
      <c r="FG312" s="1716"/>
      <c r="FH312" s="1716"/>
      <c r="FI312" s="1716"/>
      <c r="FJ312" s="244"/>
      <c r="FK312" s="244" t="s">
        <v>68</v>
      </c>
      <c r="FL312" s="245" t="s">
        <v>68</v>
      </c>
      <c r="FM312" s="1715" t="s">
        <v>0</v>
      </c>
      <c r="FN312" s="1716"/>
      <c r="FO312" s="1716"/>
      <c r="FP312" s="1716"/>
      <c r="FQ312" s="1716"/>
      <c r="FR312" s="244"/>
      <c r="FS312" s="244" t="s">
        <v>68</v>
      </c>
      <c r="FT312" s="245" t="s">
        <v>68</v>
      </c>
      <c r="FU312" s="1715" t="s">
        <v>0</v>
      </c>
      <c r="FV312" s="1716"/>
      <c r="FW312" s="1716"/>
      <c r="FX312" s="1716"/>
      <c r="FY312" s="1716"/>
      <c r="FZ312" s="244"/>
      <c r="GA312" s="244" t="s">
        <v>68</v>
      </c>
      <c r="GB312" s="245" t="s">
        <v>68</v>
      </c>
      <c r="GC312" s="1715" t="s">
        <v>0</v>
      </c>
      <c r="GD312" s="1716"/>
      <c r="GE312" s="1716"/>
      <c r="GF312" s="1716"/>
      <c r="GG312" s="1716"/>
      <c r="GH312" s="244"/>
      <c r="GI312" s="244" t="s">
        <v>68</v>
      </c>
      <c r="GJ312" s="245" t="s">
        <v>68</v>
      </c>
      <c r="GK312" s="1715" t="s">
        <v>0</v>
      </c>
      <c r="GL312" s="1716"/>
      <c r="GM312" s="1716"/>
      <c r="GN312" s="1716"/>
      <c r="GO312" s="1716"/>
      <c r="GP312" s="244"/>
      <c r="GQ312" s="244" t="s">
        <v>68</v>
      </c>
      <c r="GR312" s="245" t="s">
        <v>68</v>
      </c>
      <c r="GS312" s="1715" t="s">
        <v>0</v>
      </c>
      <c r="GT312" s="1716"/>
      <c r="GU312" s="1716"/>
      <c r="GV312" s="1716"/>
      <c r="GW312" s="1716"/>
      <c r="GX312" s="244"/>
      <c r="GY312" s="244" t="s">
        <v>68</v>
      </c>
      <c r="GZ312" s="245" t="s">
        <v>68</v>
      </c>
      <c r="HA312" s="1715" t="s">
        <v>0</v>
      </c>
      <c r="HB312" s="1716"/>
      <c r="HC312" s="1716"/>
      <c r="HD312" s="1716"/>
      <c r="HE312" s="1716"/>
      <c r="HF312" s="244"/>
      <c r="HG312" s="244" t="s">
        <v>68</v>
      </c>
      <c r="HH312" s="245" t="s">
        <v>68</v>
      </c>
      <c r="HI312" s="1715" t="s">
        <v>0</v>
      </c>
      <c r="HJ312" s="1716"/>
      <c r="HK312" s="1716"/>
      <c r="HL312" s="1716"/>
      <c r="HM312" s="1716"/>
      <c r="HN312" s="244"/>
      <c r="HO312" s="244" t="s">
        <v>68</v>
      </c>
      <c r="HP312" s="245" t="s">
        <v>68</v>
      </c>
      <c r="HQ312" s="1715" t="s">
        <v>0</v>
      </c>
      <c r="HR312" s="1716"/>
      <c r="HS312" s="1716"/>
      <c r="HT312" s="1716"/>
      <c r="HU312" s="1716"/>
      <c r="HV312" s="244"/>
      <c r="HW312" s="244" t="s">
        <v>68</v>
      </c>
      <c r="HX312" s="245" t="s">
        <v>68</v>
      </c>
      <c r="HY312" s="1715" t="s">
        <v>0</v>
      </c>
      <c r="HZ312" s="1716"/>
      <c r="IA312" s="1716"/>
      <c r="IB312" s="1716"/>
      <c r="IC312" s="1716"/>
      <c r="ID312" s="244"/>
      <c r="IE312" s="244" t="s">
        <v>68</v>
      </c>
      <c r="IF312" s="245" t="s">
        <v>68</v>
      </c>
      <c r="IG312" s="1715" t="s">
        <v>0</v>
      </c>
      <c r="IH312" s="1716"/>
      <c r="II312" s="1716"/>
      <c r="IJ312" s="1716"/>
      <c r="IK312" s="1716"/>
      <c r="IL312" s="244"/>
      <c r="IM312" s="244" t="s">
        <v>68</v>
      </c>
      <c r="IN312" s="245" t="s">
        <v>68</v>
      </c>
      <c r="IO312" s="1715" t="s">
        <v>0</v>
      </c>
      <c r="IP312" s="1716"/>
      <c r="IQ312" s="1716"/>
      <c r="IR312" s="1716"/>
      <c r="IS312" s="1716"/>
      <c r="IT312" s="244"/>
      <c r="IU312" s="244" t="s">
        <v>68</v>
      </c>
      <c r="IV312" s="245" t="s">
        <v>68</v>
      </c>
      <c r="IW312" s="1715" t="s">
        <v>0</v>
      </c>
      <c r="IX312" s="1716"/>
      <c r="IY312" s="1716"/>
      <c r="IZ312" s="1716"/>
      <c r="JA312" s="1716"/>
      <c r="JB312" s="244"/>
      <c r="JC312" s="244" t="s">
        <v>68</v>
      </c>
      <c r="JD312" s="245" t="s">
        <v>68</v>
      </c>
      <c r="JE312" s="1715" t="s">
        <v>0</v>
      </c>
      <c r="JF312" s="1716"/>
      <c r="JG312" s="1716"/>
      <c r="JH312" s="1716"/>
      <c r="JI312" s="1716"/>
      <c r="JJ312" s="244"/>
      <c r="JK312" s="244" t="s">
        <v>68</v>
      </c>
      <c r="JL312" s="245" t="s">
        <v>68</v>
      </c>
      <c r="JM312" s="1715" t="s">
        <v>0</v>
      </c>
      <c r="JN312" s="1716"/>
      <c r="JO312" s="1716"/>
      <c r="JP312" s="1716"/>
      <c r="JQ312" s="1716"/>
      <c r="JR312" s="244"/>
      <c r="JS312" s="244" t="s">
        <v>68</v>
      </c>
      <c r="JT312" s="245" t="s">
        <v>68</v>
      </c>
      <c r="JU312" s="1715" t="s">
        <v>0</v>
      </c>
      <c r="JV312" s="1716"/>
      <c r="JW312" s="1716"/>
      <c r="JX312" s="1716"/>
      <c r="JY312" s="1716"/>
      <c r="JZ312" s="244"/>
      <c r="KA312" s="244" t="s">
        <v>68</v>
      </c>
      <c r="KB312" s="245" t="s">
        <v>68</v>
      </c>
      <c r="KC312" s="1715" t="s">
        <v>0</v>
      </c>
      <c r="KD312" s="1716"/>
      <c r="KE312" s="1716"/>
      <c r="KF312" s="1716"/>
      <c r="KG312" s="1716"/>
      <c r="KH312" s="244"/>
      <c r="KI312" s="244" t="s">
        <v>68</v>
      </c>
      <c r="KJ312" s="245" t="s">
        <v>68</v>
      </c>
      <c r="KK312" s="1715" t="s">
        <v>0</v>
      </c>
      <c r="KL312" s="1716"/>
      <c r="KM312" s="1716"/>
      <c r="KN312" s="1716"/>
      <c r="KO312" s="1716"/>
      <c r="KP312" s="244"/>
      <c r="KQ312" s="244" t="s">
        <v>68</v>
      </c>
      <c r="KR312" s="245" t="s">
        <v>68</v>
      </c>
      <c r="KS312" s="1715" t="s">
        <v>0</v>
      </c>
      <c r="KT312" s="1716"/>
      <c r="KU312" s="1716"/>
      <c r="KV312" s="1716"/>
      <c r="KW312" s="1716"/>
      <c r="KX312" s="244"/>
      <c r="KY312" s="244" t="s">
        <v>68</v>
      </c>
      <c r="KZ312" s="245" t="s">
        <v>68</v>
      </c>
      <c r="LA312" s="1715" t="s">
        <v>0</v>
      </c>
      <c r="LB312" s="1716"/>
      <c r="LC312" s="1716"/>
      <c r="LD312" s="1716"/>
      <c r="LE312" s="1716"/>
      <c r="LF312" s="244"/>
      <c r="LG312" s="244" t="s">
        <v>68</v>
      </c>
      <c r="LH312" s="245" t="s">
        <v>68</v>
      </c>
      <c r="LI312" s="1715" t="s">
        <v>0</v>
      </c>
      <c r="LJ312" s="1716"/>
      <c r="LK312" s="1716"/>
      <c r="LL312" s="1716"/>
      <c r="LM312" s="1716"/>
      <c r="LN312" s="244"/>
      <c r="LO312" s="244" t="s">
        <v>68</v>
      </c>
      <c r="LP312" s="245" t="s">
        <v>68</v>
      </c>
      <c r="LQ312" s="1715" t="s">
        <v>0</v>
      </c>
      <c r="LR312" s="1716"/>
      <c r="LS312" s="1716"/>
      <c r="LT312" s="1716"/>
      <c r="LU312" s="1716"/>
      <c r="LV312" s="244"/>
      <c r="LW312" s="244" t="s">
        <v>68</v>
      </c>
      <c r="LX312" s="245" t="s">
        <v>68</v>
      </c>
      <c r="LY312" s="1715" t="s">
        <v>0</v>
      </c>
      <c r="LZ312" s="1716"/>
      <c r="MA312" s="1716"/>
      <c r="MB312" s="1716"/>
      <c r="MC312" s="1716"/>
      <c r="MD312" s="244"/>
      <c r="ME312" s="244" t="s">
        <v>68</v>
      </c>
      <c r="MF312" s="245" t="s">
        <v>68</v>
      </c>
      <c r="MG312" s="1715" t="s">
        <v>0</v>
      </c>
      <c r="MH312" s="1716"/>
      <c r="MI312" s="1716"/>
      <c r="MJ312" s="1716"/>
      <c r="MK312" s="1716"/>
      <c r="ML312" s="244"/>
      <c r="MM312" s="244" t="s">
        <v>68</v>
      </c>
      <c r="MN312" s="245" t="s">
        <v>68</v>
      </c>
      <c r="MO312" s="1715" t="s">
        <v>0</v>
      </c>
      <c r="MP312" s="1716"/>
      <c r="MQ312" s="1716"/>
      <c r="MR312" s="1716"/>
      <c r="MS312" s="1716"/>
      <c r="MT312" s="244"/>
      <c r="MU312" s="244" t="s">
        <v>68</v>
      </c>
      <c r="MV312" s="245" t="s">
        <v>68</v>
      </c>
      <c r="MW312" s="1715" t="s">
        <v>0</v>
      </c>
      <c r="MX312" s="1716"/>
      <c r="MY312" s="1716"/>
      <c r="MZ312" s="1716"/>
      <c r="NA312" s="1716"/>
      <c r="NB312" s="244"/>
      <c r="NC312" s="244" t="s">
        <v>68</v>
      </c>
      <c r="ND312" s="245" t="s">
        <v>68</v>
      </c>
      <c r="NE312" s="1715" t="s">
        <v>0</v>
      </c>
      <c r="NF312" s="1716"/>
      <c r="NG312" s="1716"/>
      <c r="NH312" s="1716"/>
      <c r="NI312" s="1716"/>
      <c r="NJ312" s="244"/>
      <c r="NK312" s="244" t="s">
        <v>68</v>
      </c>
      <c r="NL312" s="245" t="s">
        <v>68</v>
      </c>
      <c r="NM312" s="1715" t="s">
        <v>0</v>
      </c>
      <c r="NN312" s="1716"/>
      <c r="NO312" s="1716"/>
      <c r="NP312" s="1716"/>
      <c r="NQ312" s="1716"/>
      <c r="NR312" s="244"/>
      <c r="NS312" s="244" t="s">
        <v>68</v>
      </c>
      <c r="NT312" s="245" t="s">
        <v>68</v>
      </c>
      <c r="NU312" s="1715" t="s">
        <v>0</v>
      </c>
      <c r="NV312" s="1716"/>
      <c r="NW312" s="1716"/>
      <c r="NX312" s="1716"/>
      <c r="NY312" s="1716"/>
      <c r="NZ312" s="244"/>
      <c r="OA312" s="244" t="s">
        <v>68</v>
      </c>
      <c r="OB312" s="245" t="s">
        <v>68</v>
      </c>
      <c r="OC312" s="1715" t="s">
        <v>0</v>
      </c>
      <c r="OD312" s="1716"/>
      <c r="OE312" s="1716"/>
      <c r="OF312" s="1716"/>
      <c r="OG312" s="1716"/>
      <c r="OH312" s="244"/>
      <c r="OI312" s="244" t="s">
        <v>68</v>
      </c>
      <c r="OJ312" s="245" t="s">
        <v>68</v>
      </c>
      <c r="OK312" s="1715" t="s">
        <v>0</v>
      </c>
      <c r="OL312" s="1716"/>
      <c r="OM312" s="1716"/>
      <c r="ON312" s="1716"/>
      <c r="OO312" s="1716"/>
      <c r="OP312" s="244"/>
      <c r="OQ312" s="244" t="s">
        <v>68</v>
      </c>
      <c r="OR312" s="245" t="s">
        <v>68</v>
      </c>
      <c r="OS312" s="1715" t="s">
        <v>0</v>
      </c>
      <c r="OT312" s="1716"/>
      <c r="OU312" s="1716"/>
      <c r="OV312" s="1716"/>
      <c r="OW312" s="1716"/>
      <c r="OX312" s="244"/>
      <c r="OY312" s="244" t="s">
        <v>68</v>
      </c>
      <c r="OZ312" s="245" t="s">
        <v>68</v>
      </c>
      <c r="PA312" s="1715" t="s">
        <v>0</v>
      </c>
      <c r="PB312" s="1716"/>
      <c r="PC312" s="1716"/>
      <c r="PD312" s="1716"/>
      <c r="PE312" s="1716"/>
      <c r="PF312" s="244"/>
      <c r="PG312" s="244" t="s">
        <v>68</v>
      </c>
      <c r="PH312" s="245" t="s">
        <v>68</v>
      </c>
      <c r="PI312" s="1715" t="s">
        <v>0</v>
      </c>
      <c r="PJ312" s="1716"/>
      <c r="PK312" s="1716"/>
      <c r="PL312" s="1716"/>
      <c r="PM312" s="1716"/>
      <c r="PN312" s="244"/>
      <c r="PO312" s="244" t="s">
        <v>68</v>
      </c>
      <c r="PP312" s="245" t="s">
        <v>68</v>
      </c>
      <c r="PQ312" s="1715" t="s">
        <v>0</v>
      </c>
      <c r="PR312" s="1716"/>
      <c r="PS312" s="1716"/>
      <c r="PT312" s="1716"/>
      <c r="PU312" s="1716"/>
      <c r="PV312" s="244"/>
      <c r="PW312" s="244" t="s">
        <v>68</v>
      </c>
      <c r="PX312" s="245" t="s">
        <v>68</v>
      </c>
      <c r="PY312" s="1715" t="s">
        <v>0</v>
      </c>
      <c r="PZ312" s="1716"/>
      <c r="QA312" s="1716"/>
      <c r="QB312" s="1716"/>
      <c r="QC312" s="1716"/>
      <c r="QD312" s="244"/>
      <c r="QE312" s="244" t="s">
        <v>68</v>
      </c>
      <c r="QF312" s="245" t="s">
        <v>68</v>
      </c>
      <c r="QG312" s="1715" t="s">
        <v>0</v>
      </c>
      <c r="QH312" s="1716"/>
      <c r="QI312" s="1716"/>
      <c r="QJ312" s="1716"/>
      <c r="QK312" s="1716"/>
      <c r="QL312" s="244"/>
      <c r="QM312" s="244" t="s">
        <v>68</v>
      </c>
      <c r="QN312" s="245" t="s">
        <v>68</v>
      </c>
      <c r="QO312" s="1715" t="s">
        <v>0</v>
      </c>
      <c r="QP312" s="1716"/>
      <c r="QQ312" s="1716"/>
      <c r="QR312" s="1716"/>
      <c r="QS312" s="1716"/>
      <c r="QT312" s="244"/>
      <c r="QU312" s="244" t="s">
        <v>68</v>
      </c>
      <c r="QV312" s="245" t="s">
        <v>68</v>
      </c>
      <c r="QW312" s="1715" t="s">
        <v>0</v>
      </c>
      <c r="QX312" s="1716"/>
      <c r="QY312" s="1716"/>
      <c r="QZ312" s="1716"/>
      <c r="RA312" s="1716"/>
      <c r="RB312" s="244"/>
      <c r="RC312" s="244" t="s">
        <v>68</v>
      </c>
      <c r="RD312" s="245" t="s">
        <v>68</v>
      </c>
      <c r="RE312" s="1715" t="s">
        <v>0</v>
      </c>
      <c r="RF312" s="1716"/>
      <c r="RG312" s="1716"/>
      <c r="RH312" s="1716"/>
      <c r="RI312" s="1716"/>
      <c r="RJ312" s="244"/>
      <c r="RK312" s="244" t="s">
        <v>68</v>
      </c>
      <c r="RL312" s="245" t="s">
        <v>68</v>
      </c>
      <c r="RM312" s="1715" t="s">
        <v>0</v>
      </c>
      <c r="RN312" s="1716"/>
      <c r="RO312" s="1716"/>
      <c r="RP312" s="1716"/>
      <c r="RQ312" s="1716"/>
      <c r="RR312" s="244"/>
      <c r="RS312" s="244" t="s">
        <v>68</v>
      </c>
      <c r="RT312" s="245" t="s">
        <v>68</v>
      </c>
      <c r="RU312" s="1715" t="s">
        <v>0</v>
      </c>
      <c r="RV312" s="1716"/>
      <c r="RW312" s="1716"/>
      <c r="RX312" s="1716"/>
      <c r="RY312" s="1716"/>
      <c r="RZ312" s="244"/>
      <c r="SA312" s="244" t="s">
        <v>68</v>
      </c>
      <c r="SB312" s="245" t="s">
        <v>68</v>
      </c>
      <c r="SC312" s="1715" t="s">
        <v>0</v>
      </c>
      <c r="SD312" s="1716"/>
      <c r="SE312" s="1716"/>
      <c r="SF312" s="1716"/>
      <c r="SG312" s="1716"/>
      <c r="SH312" s="244"/>
      <c r="SI312" s="244" t="s">
        <v>68</v>
      </c>
      <c r="SJ312" s="245" t="s">
        <v>68</v>
      </c>
      <c r="SK312" s="1715" t="s">
        <v>0</v>
      </c>
      <c r="SL312" s="1716"/>
      <c r="SM312" s="1716"/>
      <c r="SN312" s="1716"/>
      <c r="SO312" s="1716"/>
      <c r="SP312" s="244"/>
      <c r="SQ312" s="244" t="s">
        <v>68</v>
      </c>
      <c r="SR312" s="245" t="s">
        <v>68</v>
      </c>
      <c r="SS312" s="1715" t="s">
        <v>0</v>
      </c>
      <c r="ST312" s="1716"/>
      <c r="SU312" s="1716"/>
      <c r="SV312" s="1716"/>
      <c r="SW312" s="1716"/>
      <c r="SX312" s="244"/>
      <c r="SY312" s="244" t="s">
        <v>68</v>
      </c>
      <c r="SZ312" s="245" t="s">
        <v>68</v>
      </c>
      <c r="TA312" s="1715" t="s">
        <v>0</v>
      </c>
      <c r="TB312" s="1716"/>
      <c r="TC312" s="1716"/>
      <c r="TD312" s="1716"/>
      <c r="TE312" s="1716"/>
      <c r="TF312" s="244"/>
      <c r="TG312" s="244" t="s">
        <v>68</v>
      </c>
      <c r="TH312" s="245" t="s">
        <v>68</v>
      </c>
      <c r="TI312" s="1715" t="s">
        <v>0</v>
      </c>
      <c r="TJ312" s="1716"/>
      <c r="TK312" s="1716"/>
      <c r="TL312" s="1716"/>
      <c r="TM312" s="1716"/>
      <c r="TN312" s="244"/>
      <c r="TO312" s="244" t="s">
        <v>68</v>
      </c>
      <c r="TP312" s="245" t="s">
        <v>68</v>
      </c>
      <c r="TQ312" s="1715" t="s">
        <v>0</v>
      </c>
      <c r="TR312" s="1716"/>
      <c r="TS312" s="1716"/>
      <c r="TT312" s="1716"/>
      <c r="TU312" s="1716"/>
      <c r="TV312" s="244"/>
      <c r="TW312" s="244" t="s">
        <v>68</v>
      </c>
      <c r="TX312" s="245" t="s">
        <v>68</v>
      </c>
      <c r="TY312" s="1715" t="s">
        <v>0</v>
      </c>
      <c r="TZ312" s="1716"/>
      <c r="UA312" s="1716"/>
      <c r="UB312" s="1716"/>
      <c r="UC312" s="1716"/>
      <c r="UD312" s="244"/>
      <c r="UE312" s="244" t="s">
        <v>68</v>
      </c>
      <c r="UF312" s="245" t="s">
        <v>68</v>
      </c>
      <c r="UG312" s="1715" t="s">
        <v>0</v>
      </c>
      <c r="UH312" s="1716"/>
      <c r="UI312" s="1716"/>
      <c r="UJ312" s="1716"/>
      <c r="UK312" s="1716"/>
      <c r="UL312" s="244"/>
      <c r="UM312" s="244" t="s">
        <v>68</v>
      </c>
      <c r="UN312" s="245" t="s">
        <v>68</v>
      </c>
      <c r="UO312" s="1715" t="s">
        <v>0</v>
      </c>
      <c r="UP312" s="1716"/>
      <c r="UQ312" s="1716"/>
      <c r="UR312" s="1716"/>
      <c r="US312" s="1716"/>
      <c r="UT312" s="244"/>
      <c r="UU312" s="244" t="s">
        <v>68</v>
      </c>
      <c r="UV312" s="245" t="s">
        <v>68</v>
      </c>
      <c r="UW312" s="1715" t="s">
        <v>0</v>
      </c>
      <c r="UX312" s="1716"/>
      <c r="UY312" s="1716"/>
      <c r="UZ312" s="1716"/>
      <c r="VA312" s="1716"/>
      <c r="VB312" s="244"/>
      <c r="VC312" s="244" t="s">
        <v>68</v>
      </c>
      <c r="VD312" s="245" t="s">
        <v>68</v>
      </c>
      <c r="VE312" s="1715" t="s">
        <v>0</v>
      </c>
      <c r="VF312" s="1716"/>
      <c r="VG312" s="1716"/>
      <c r="VH312" s="1716"/>
      <c r="VI312" s="1716"/>
      <c r="VJ312" s="244"/>
      <c r="VK312" s="244" t="s">
        <v>68</v>
      </c>
      <c r="VL312" s="245" t="s">
        <v>68</v>
      </c>
      <c r="VM312" s="1715" t="s">
        <v>0</v>
      </c>
      <c r="VN312" s="1716"/>
      <c r="VO312" s="1716"/>
      <c r="VP312" s="1716"/>
      <c r="VQ312" s="1716"/>
      <c r="VR312" s="244"/>
      <c r="VS312" s="244" t="s">
        <v>68</v>
      </c>
      <c r="VT312" s="245" t="s">
        <v>68</v>
      </c>
      <c r="VU312" s="1715" t="s">
        <v>0</v>
      </c>
      <c r="VV312" s="1716"/>
      <c r="VW312" s="1716"/>
      <c r="VX312" s="1716"/>
      <c r="VY312" s="1716"/>
      <c r="VZ312" s="244"/>
      <c r="WA312" s="244" t="s">
        <v>68</v>
      </c>
      <c r="WB312" s="245" t="s">
        <v>68</v>
      </c>
      <c r="WC312" s="1715" t="s">
        <v>0</v>
      </c>
      <c r="WD312" s="1716"/>
      <c r="WE312" s="1716"/>
      <c r="WF312" s="1716"/>
      <c r="WG312" s="1716"/>
      <c r="WH312" s="244"/>
      <c r="WI312" s="244" t="s">
        <v>68</v>
      </c>
      <c r="WJ312" s="245" t="s">
        <v>68</v>
      </c>
      <c r="WK312" s="1715" t="s">
        <v>0</v>
      </c>
      <c r="WL312" s="1716"/>
      <c r="WM312" s="1716"/>
      <c r="WN312" s="1716"/>
      <c r="WO312" s="1716"/>
      <c r="WP312" s="244"/>
      <c r="WQ312" s="244" t="s">
        <v>68</v>
      </c>
      <c r="WR312" s="245" t="s">
        <v>68</v>
      </c>
      <c r="WS312" s="1715" t="s">
        <v>0</v>
      </c>
      <c r="WT312" s="1716"/>
      <c r="WU312" s="1716"/>
      <c r="WV312" s="1716"/>
      <c r="WW312" s="1716"/>
      <c r="WX312" s="244"/>
      <c r="WY312" s="244" t="s">
        <v>68</v>
      </c>
      <c r="WZ312" s="245" t="s">
        <v>68</v>
      </c>
      <c r="XA312" s="1715" t="s">
        <v>0</v>
      </c>
      <c r="XB312" s="1716"/>
      <c r="XC312" s="1716"/>
      <c r="XD312" s="1716"/>
      <c r="XE312" s="1716"/>
      <c r="XF312" s="244"/>
      <c r="XG312" s="244" t="s">
        <v>68</v>
      </c>
      <c r="XH312" s="245" t="s">
        <v>68</v>
      </c>
      <c r="XI312" s="1715" t="s">
        <v>0</v>
      </c>
      <c r="XJ312" s="1716"/>
      <c r="XK312" s="1716"/>
      <c r="XL312" s="1716"/>
      <c r="XM312" s="1716"/>
      <c r="XN312" s="244"/>
      <c r="XO312" s="244" t="s">
        <v>68</v>
      </c>
      <c r="XP312" s="245" t="s">
        <v>68</v>
      </c>
      <c r="XQ312" s="1715" t="s">
        <v>0</v>
      </c>
      <c r="XR312" s="1716"/>
      <c r="XS312" s="1716"/>
      <c r="XT312" s="1716"/>
      <c r="XU312" s="1716"/>
      <c r="XV312" s="244"/>
      <c r="XW312" s="244" t="s">
        <v>68</v>
      </c>
      <c r="XX312" s="245" t="s">
        <v>68</v>
      </c>
      <c r="XY312" s="1715" t="s">
        <v>0</v>
      </c>
      <c r="XZ312" s="1716"/>
      <c r="YA312" s="1716"/>
      <c r="YB312" s="1716"/>
      <c r="YC312" s="1716"/>
      <c r="YD312" s="244"/>
      <c r="YE312" s="244" t="s">
        <v>68</v>
      </c>
      <c r="YF312" s="245" t="s">
        <v>68</v>
      </c>
      <c r="YG312" s="1715" t="s">
        <v>0</v>
      </c>
      <c r="YH312" s="1716"/>
      <c r="YI312" s="1716"/>
      <c r="YJ312" s="1716"/>
      <c r="YK312" s="1716"/>
      <c r="YL312" s="244"/>
      <c r="YM312" s="244" t="s">
        <v>68</v>
      </c>
      <c r="YN312" s="245" t="s">
        <v>68</v>
      </c>
      <c r="YO312" s="1715" t="s">
        <v>0</v>
      </c>
      <c r="YP312" s="1716"/>
      <c r="YQ312" s="1716"/>
      <c r="YR312" s="1716"/>
      <c r="YS312" s="1716"/>
      <c r="YT312" s="244"/>
      <c r="YU312" s="244" t="s">
        <v>68</v>
      </c>
      <c r="YV312" s="245" t="s">
        <v>68</v>
      </c>
      <c r="YW312" s="1715" t="s">
        <v>0</v>
      </c>
      <c r="YX312" s="1716"/>
      <c r="YY312" s="1716"/>
      <c r="YZ312" s="1716"/>
      <c r="ZA312" s="1716"/>
      <c r="ZB312" s="244"/>
      <c r="ZC312" s="244" t="s">
        <v>68</v>
      </c>
      <c r="ZD312" s="245" t="s">
        <v>68</v>
      </c>
      <c r="ZE312" s="1715" t="s">
        <v>0</v>
      </c>
      <c r="ZF312" s="1716"/>
      <c r="ZG312" s="1716"/>
      <c r="ZH312" s="1716"/>
      <c r="ZI312" s="1716"/>
      <c r="ZJ312" s="244"/>
      <c r="ZK312" s="244" t="s">
        <v>68</v>
      </c>
      <c r="ZL312" s="245" t="s">
        <v>68</v>
      </c>
      <c r="ZM312" s="1715" t="s">
        <v>0</v>
      </c>
      <c r="ZN312" s="1716"/>
      <c r="ZO312" s="1716"/>
      <c r="ZP312" s="1716"/>
      <c r="ZQ312" s="1716"/>
      <c r="ZR312" s="244"/>
      <c r="ZS312" s="244" t="s">
        <v>68</v>
      </c>
      <c r="ZT312" s="245" t="s">
        <v>68</v>
      </c>
      <c r="ZU312" s="1715" t="s">
        <v>0</v>
      </c>
      <c r="ZV312" s="1716"/>
      <c r="ZW312" s="1716"/>
      <c r="ZX312" s="1716"/>
      <c r="ZY312" s="1716"/>
      <c r="ZZ312" s="244"/>
      <c r="AAA312" s="244" t="s">
        <v>68</v>
      </c>
      <c r="AAB312" s="245" t="s">
        <v>68</v>
      </c>
      <c r="AAC312" s="1715" t="s">
        <v>0</v>
      </c>
      <c r="AAD312" s="1716"/>
      <c r="AAE312" s="1716"/>
      <c r="AAF312" s="1716"/>
      <c r="AAG312" s="1716"/>
      <c r="AAH312" s="244"/>
      <c r="AAI312" s="244" t="s">
        <v>68</v>
      </c>
      <c r="AAJ312" s="245" t="s">
        <v>68</v>
      </c>
      <c r="AAK312" s="1715" t="s">
        <v>0</v>
      </c>
      <c r="AAL312" s="1716"/>
      <c r="AAM312" s="1716"/>
      <c r="AAN312" s="1716"/>
      <c r="AAO312" s="1716"/>
      <c r="AAP312" s="244"/>
      <c r="AAQ312" s="244" t="s">
        <v>68</v>
      </c>
      <c r="AAR312" s="245" t="s">
        <v>68</v>
      </c>
      <c r="AAS312" s="1715" t="s">
        <v>0</v>
      </c>
      <c r="AAT312" s="1716"/>
      <c r="AAU312" s="1716"/>
      <c r="AAV312" s="1716"/>
      <c r="AAW312" s="1716"/>
      <c r="AAX312" s="244"/>
      <c r="AAY312" s="244" t="s">
        <v>68</v>
      </c>
      <c r="AAZ312" s="245" t="s">
        <v>68</v>
      </c>
      <c r="ABA312" s="1715" t="s">
        <v>0</v>
      </c>
      <c r="ABB312" s="1716"/>
      <c r="ABC312" s="1716"/>
      <c r="ABD312" s="1716"/>
      <c r="ABE312" s="1716"/>
      <c r="ABF312" s="244"/>
      <c r="ABG312" s="244" t="s">
        <v>68</v>
      </c>
      <c r="ABH312" s="245" t="s">
        <v>68</v>
      </c>
      <c r="ABI312" s="1715" t="s">
        <v>0</v>
      </c>
      <c r="ABJ312" s="1716"/>
      <c r="ABK312" s="1716"/>
      <c r="ABL312" s="1716"/>
      <c r="ABM312" s="1716"/>
      <c r="ABN312" s="244"/>
      <c r="ABO312" s="244" t="s">
        <v>68</v>
      </c>
      <c r="ABP312" s="245" t="s">
        <v>68</v>
      </c>
      <c r="ABQ312" s="1715" t="s">
        <v>0</v>
      </c>
      <c r="ABR312" s="1716"/>
      <c r="ABS312" s="1716"/>
      <c r="ABT312" s="1716"/>
      <c r="ABU312" s="1716"/>
      <c r="ABV312" s="244"/>
      <c r="ABW312" s="244" t="s">
        <v>68</v>
      </c>
      <c r="ABX312" s="245" t="s">
        <v>68</v>
      </c>
      <c r="ABY312" s="1715" t="s">
        <v>0</v>
      </c>
      <c r="ABZ312" s="1716"/>
      <c r="ACA312" s="1716"/>
      <c r="ACB312" s="1716"/>
      <c r="ACC312" s="1716"/>
      <c r="ACD312" s="244"/>
      <c r="ACE312" s="244" t="s">
        <v>68</v>
      </c>
      <c r="ACF312" s="245" t="s">
        <v>68</v>
      </c>
      <c r="ACG312" s="1715" t="s">
        <v>0</v>
      </c>
      <c r="ACH312" s="1716"/>
      <c r="ACI312" s="1716"/>
      <c r="ACJ312" s="1716"/>
      <c r="ACK312" s="1716"/>
      <c r="ACL312" s="244"/>
      <c r="ACM312" s="244" t="s">
        <v>68</v>
      </c>
      <c r="ACN312" s="245" t="s">
        <v>68</v>
      </c>
      <c r="ACO312" s="1715" t="s">
        <v>0</v>
      </c>
      <c r="ACP312" s="1716"/>
      <c r="ACQ312" s="1716"/>
      <c r="ACR312" s="1716"/>
      <c r="ACS312" s="1716"/>
      <c r="ACT312" s="244"/>
      <c r="ACU312" s="244" t="s">
        <v>68</v>
      </c>
      <c r="ACV312" s="245" t="s">
        <v>68</v>
      </c>
      <c r="ACW312" s="1715" t="s">
        <v>0</v>
      </c>
      <c r="ACX312" s="1716"/>
      <c r="ACY312" s="1716"/>
      <c r="ACZ312" s="1716"/>
      <c r="ADA312" s="1716"/>
      <c r="ADB312" s="244"/>
      <c r="ADC312" s="244" t="s">
        <v>68</v>
      </c>
      <c r="ADD312" s="245" t="s">
        <v>68</v>
      </c>
      <c r="ADE312" s="1715" t="s">
        <v>0</v>
      </c>
      <c r="ADF312" s="1716"/>
      <c r="ADG312" s="1716"/>
      <c r="ADH312" s="1716"/>
      <c r="ADI312" s="1716"/>
      <c r="ADJ312" s="244"/>
      <c r="ADK312" s="244" t="s">
        <v>68</v>
      </c>
      <c r="ADL312" s="245" t="s">
        <v>68</v>
      </c>
      <c r="ADM312" s="1715" t="s">
        <v>0</v>
      </c>
      <c r="ADN312" s="1716"/>
      <c r="ADO312" s="1716"/>
      <c r="ADP312" s="1716"/>
      <c r="ADQ312" s="1716"/>
      <c r="ADR312" s="244"/>
      <c r="ADS312" s="244" t="s">
        <v>68</v>
      </c>
      <c r="ADT312" s="245" t="s">
        <v>68</v>
      </c>
      <c r="ADU312" s="1715" t="s">
        <v>0</v>
      </c>
      <c r="ADV312" s="1716"/>
      <c r="ADW312" s="1716"/>
      <c r="ADX312" s="1716"/>
      <c r="ADY312" s="1716"/>
      <c r="ADZ312" s="244"/>
      <c r="AEA312" s="244" t="s">
        <v>68</v>
      </c>
      <c r="AEB312" s="245" t="s">
        <v>68</v>
      </c>
      <c r="AEC312" s="1715" t="s">
        <v>0</v>
      </c>
      <c r="AED312" s="1716"/>
      <c r="AEE312" s="1716"/>
      <c r="AEF312" s="1716"/>
      <c r="AEG312" s="1716"/>
      <c r="AEH312" s="244"/>
      <c r="AEI312" s="244" t="s">
        <v>68</v>
      </c>
      <c r="AEJ312" s="245" t="s">
        <v>68</v>
      </c>
      <c r="AEK312" s="1715" t="s">
        <v>0</v>
      </c>
      <c r="AEL312" s="1716"/>
      <c r="AEM312" s="1716"/>
      <c r="AEN312" s="1716"/>
      <c r="AEO312" s="1716"/>
      <c r="AEP312" s="244"/>
      <c r="AEQ312" s="244" t="s">
        <v>68</v>
      </c>
      <c r="AER312" s="245" t="s">
        <v>68</v>
      </c>
      <c r="AES312" s="1715" t="s">
        <v>0</v>
      </c>
      <c r="AET312" s="1716"/>
      <c r="AEU312" s="1716"/>
      <c r="AEV312" s="1716"/>
      <c r="AEW312" s="1716"/>
      <c r="AEX312" s="244"/>
      <c r="AEY312" s="244" t="s">
        <v>68</v>
      </c>
      <c r="AEZ312" s="245" t="s">
        <v>68</v>
      </c>
      <c r="AFA312" s="1715" t="s">
        <v>0</v>
      </c>
      <c r="AFB312" s="1716"/>
      <c r="AFC312" s="1716"/>
      <c r="AFD312" s="1716"/>
      <c r="AFE312" s="1716"/>
      <c r="AFF312" s="244"/>
      <c r="AFG312" s="244" t="s">
        <v>68</v>
      </c>
      <c r="AFH312" s="245" t="s">
        <v>68</v>
      </c>
      <c r="AFI312" s="1715" t="s">
        <v>0</v>
      </c>
      <c r="AFJ312" s="1716"/>
      <c r="AFK312" s="1716"/>
      <c r="AFL312" s="1716"/>
      <c r="AFM312" s="1716"/>
      <c r="AFN312" s="244"/>
      <c r="AFO312" s="244" t="s">
        <v>68</v>
      </c>
      <c r="AFP312" s="245" t="s">
        <v>68</v>
      </c>
      <c r="AFQ312" s="1715" t="s">
        <v>0</v>
      </c>
      <c r="AFR312" s="1716"/>
      <c r="AFS312" s="1716"/>
      <c r="AFT312" s="1716"/>
      <c r="AFU312" s="1716"/>
      <c r="AFV312" s="244"/>
      <c r="AFW312" s="244" t="s">
        <v>68</v>
      </c>
      <c r="AFX312" s="245" t="s">
        <v>68</v>
      </c>
      <c r="AFY312" s="1715" t="s">
        <v>0</v>
      </c>
      <c r="AFZ312" s="1716"/>
      <c r="AGA312" s="1716"/>
      <c r="AGB312" s="1716"/>
      <c r="AGC312" s="1716"/>
      <c r="AGD312" s="244"/>
      <c r="AGE312" s="244" t="s">
        <v>68</v>
      </c>
      <c r="AGF312" s="245" t="s">
        <v>68</v>
      </c>
      <c r="AGG312" s="1715" t="s">
        <v>0</v>
      </c>
      <c r="AGH312" s="1716"/>
      <c r="AGI312" s="1716"/>
      <c r="AGJ312" s="1716"/>
      <c r="AGK312" s="1716"/>
      <c r="AGL312" s="244"/>
      <c r="AGM312" s="244" t="s">
        <v>68</v>
      </c>
      <c r="AGN312" s="245" t="s">
        <v>68</v>
      </c>
      <c r="AGO312" s="1715" t="s">
        <v>0</v>
      </c>
      <c r="AGP312" s="1716"/>
      <c r="AGQ312" s="1716"/>
      <c r="AGR312" s="1716"/>
      <c r="AGS312" s="1716"/>
      <c r="AGT312" s="244"/>
      <c r="AGU312" s="244" t="s">
        <v>68</v>
      </c>
      <c r="AGV312" s="245" t="s">
        <v>68</v>
      </c>
      <c r="AGW312" s="1715" t="s">
        <v>0</v>
      </c>
      <c r="AGX312" s="1716"/>
      <c r="AGY312" s="1716"/>
      <c r="AGZ312" s="1716"/>
      <c r="AHA312" s="1716"/>
      <c r="AHB312" s="244"/>
      <c r="AHC312" s="244" t="s">
        <v>68</v>
      </c>
      <c r="AHD312" s="245" t="s">
        <v>68</v>
      </c>
      <c r="AHE312" s="1715" t="s">
        <v>0</v>
      </c>
      <c r="AHF312" s="1716"/>
      <c r="AHG312" s="1716"/>
      <c r="AHH312" s="1716"/>
      <c r="AHI312" s="1716"/>
      <c r="AHJ312" s="244"/>
      <c r="AHK312" s="244" t="s">
        <v>68</v>
      </c>
      <c r="AHL312" s="245" t="s">
        <v>68</v>
      </c>
      <c r="AHM312" s="1715" t="s">
        <v>0</v>
      </c>
      <c r="AHN312" s="1716"/>
      <c r="AHO312" s="1716"/>
      <c r="AHP312" s="1716"/>
      <c r="AHQ312" s="1716"/>
      <c r="AHR312" s="244"/>
      <c r="AHS312" s="244" t="s">
        <v>68</v>
      </c>
      <c r="AHT312" s="245" t="s">
        <v>68</v>
      </c>
      <c r="AHU312" s="1715" t="s">
        <v>0</v>
      </c>
      <c r="AHV312" s="1716"/>
      <c r="AHW312" s="1716"/>
      <c r="AHX312" s="1716"/>
      <c r="AHY312" s="1716"/>
      <c r="AHZ312" s="244"/>
      <c r="AIA312" s="244" t="s">
        <v>68</v>
      </c>
      <c r="AIB312" s="245" t="s">
        <v>68</v>
      </c>
      <c r="AIC312" s="1715" t="s">
        <v>0</v>
      </c>
      <c r="AID312" s="1716"/>
      <c r="AIE312" s="1716"/>
      <c r="AIF312" s="1716"/>
      <c r="AIG312" s="1716"/>
      <c r="AIH312" s="244"/>
      <c r="AII312" s="244" t="s">
        <v>68</v>
      </c>
      <c r="AIJ312" s="245" t="s">
        <v>68</v>
      </c>
      <c r="AIK312" s="1715" t="s">
        <v>0</v>
      </c>
      <c r="AIL312" s="1716"/>
      <c r="AIM312" s="1716"/>
      <c r="AIN312" s="1716"/>
      <c r="AIO312" s="1716"/>
      <c r="AIP312" s="244"/>
      <c r="AIQ312" s="244" t="s">
        <v>68</v>
      </c>
      <c r="AIR312" s="245" t="s">
        <v>68</v>
      </c>
      <c r="AIS312" s="1715" t="s">
        <v>0</v>
      </c>
      <c r="AIT312" s="1716"/>
      <c r="AIU312" s="1716"/>
      <c r="AIV312" s="1716"/>
      <c r="AIW312" s="1716"/>
      <c r="AIX312" s="244"/>
      <c r="AIY312" s="244" t="s">
        <v>68</v>
      </c>
      <c r="AIZ312" s="245" t="s">
        <v>68</v>
      </c>
      <c r="AJA312" s="1715" t="s">
        <v>0</v>
      </c>
      <c r="AJB312" s="1716"/>
      <c r="AJC312" s="1716"/>
      <c r="AJD312" s="1716"/>
      <c r="AJE312" s="1716"/>
      <c r="AJF312" s="244"/>
      <c r="AJG312" s="244" t="s">
        <v>68</v>
      </c>
      <c r="AJH312" s="245" t="s">
        <v>68</v>
      </c>
      <c r="AJI312" s="1715" t="s">
        <v>0</v>
      </c>
      <c r="AJJ312" s="1716"/>
      <c r="AJK312" s="1716"/>
      <c r="AJL312" s="1716"/>
      <c r="AJM312" s="1716"/>
      <c r="AJN312" s="244"/>
      <c r="AJO312" s="244" t="s">
        <v>68</v>
      </c>
      <c r="AJP312" s="245" t="s">
        <v>68</v>
      </c>
      <c r="AJQ312" s="1715" t="s">
        <v>0</v>
      </c>
      <c r="AJR312" s="1716"/>
      <c r="AJS312" s="1716"/>
      <c r="AJT312" s="1716"/>
      <c r="AJU312" s="1716"/>
      <c r="AJV312" s="244"/>
      <c r="AJW312" s="244" t="s">
        <v>68</v>
      </c>
      <c r="AJX312" s="245" t="s">
        <v>68</v>
      </c>
      <c r="AJY312" s="1715" t="s">
        <v>0</v>
      </c>
      <c r="AJZ312" s="1716"/>
      <c r="AKA312" s="1716"/>
      <c r="AKB312" s="1716"/>
      <c r="AKC312" s="1716"/>
      <c r="AKD312" s="244"/>
      <c r="AKE312" s="244" t="s">
        <v>68</v>
      </c>
      <c r="AKF312" s="245" t="s">
        <v>68</v>
      </c>
      <c r="AKG312" s="1715" t="s">
        <v>0</v>
      </c>
      <c r="AKH312" s="1716"/>
      <c r="AKI312" s="1716"/>
      <c r="AKJ312" s="1716"/>
      <c r="AKK312" s="1716"/>
      <c r="AKL312" s="244"/>
      <c r="AKM312" s="244" t="s">
        <v>68</v>
      </c>
      <c r="AKN312" s="245" t="s">
        <v>68</v>
      </c>
      <c r="AKO312" s="1715" t="s">
        <v>0</v>
      </c>
      <c r="AKP312" s="1716"/>
      <c r="AKQ312" s="1716"/>
      <c r="AKR312" s="1716"/>
      <c r="AKS312" s="1716"/>
      <c r="AKT312" s="244"/>
      <c r="AKU312" s="244" t="s">
        <v>68</v>
      </c>
      <c r="AKV312" s="245" t="s">
        <v>68</v>
      </c>
      <c r="AKW312" s="1715" t="s">
        <v>0</v>
      </c>
      <c r="AKX312" s="1716"/>
      <c r="AKY312" s="1716"/>
      <c r="AKZ312" s="1716"/>
      <c r="ALA312" s="1716"/>
      <c r="ALB312" s="244"/>
      <c r="ALC312" s="244" t="s">
        <v>68</v>
      </c>
      <c r="ALD312" s="245" t="s">
        <v>68</v>
      </c>
      <c r="ALE312" s="1715" t="s">
        <v>0</v>
      </c>
      <c r="ALF312" s="1716"/>
      <c r="ALG312" s="1716"/>
      <c r="ALH312" s="1716"/>
      <c r="ALI312" s="1716"/>
      <c r="ALJ312" s="244"/>
      <c r="ALK312" s="244" t="s">
        <v>68</v>
      </c>
      <c r="ALL312" s="245" t="s">
        <v>68</v>
      </c>
      <c r="ALM312" s="1715" t="s">
        <v>0</v>
      </c>
      <c r="ALN312" s="1716"/>
      <c r="ALO312" s="1716"/>
      <c r="ALP312" s="1716"/>
      <c r="ALQ312" s="1716"/>
      <c r="ALR312" s="244"/>
      <c r="ALS312" s="244" t="s">
        <v>68</v>
      </c>
      <c r="ALT312" s="245" t="s">
        <v>68</v>
      </c>
      <c r="ALU312" s="1715" t="s">
        <v>0</v>
      </c>
      <c r="ALV312" s="1716"/>
      <c r="ALW312" s="1716"/>
      <c r="ALX312" s="1716"/>
      <c r="ALY312" s="1716"/>
      <c r="ALZ312" s="244"/>
      <c r="AMA312" s="244" t="s">
        <v>68</v>
      </c>
      <c r="AMB312" s="245" t="s">
        <v>68</v>
      </c>
      <c r="AMC312" s="1715" t="s">
        <v>0</v>
      </c>
      <c r="AMD312" s="1716"/>
      <c r="AME312" s="1716"/>
      <c r="AMF312" s="1716"/>
      <c r="AMG312" s="1716"/>
      <c r="AMH312" s="244"/>
      <c r="AMI312" s="244" t="s">
        <v>68</v>
      </c>
      <c r="AMJ312" s="245" t="s">
        <v>68</v>
      </c>
      <c r="AMK312" s="1715" t="s">
        <v>0</v>
      </c>
      <c r="AML312" s="1716"/>
      <c r="AMM312" s="1716"/>
      <c r="AMN312" s="1716"/>
      <c r="AMO312" s="1716"/>
      <c r="AMP312" s="244"/>
      <c r="AMQ312" s="244" t="s">
        <v>68</v>
      </c>
      <c r="AMR312" s="245" t="s">
        <v>68</v>
      </c>
      <c r="AMS312" s="1715" t="s">
        <v>0</v>
      </c>
      <c r="AMT312" s="1716"/>
      <c r="AMU312" s="1716"/>
      <c r="AMV312" s="1716"/>
      <c r="AMW312" s="1716"/>
      <c r="AMX312" s="244"/>
      <c r="AMY312" s="244" t="s">
        <v>68</v>
      </c>
      <c r="AMZ312" s="245" t="s">
        <v>68</v>
      </c>
      <c r="ANA312" s="1715" t="s">
        <v>0</v>
      </c>
      <c r="ANB312" s="1716"/>
      <c r="ANC312" s="1716"/>
      <c r="AND312" s="1716"/>
      <c r="ANE312" s="1716"/>
      <c r="ANF312" s="244"/>
      <c r="ANG312" s="244" t="s">
        <v>68</v>
      </c>
      <c r="ANH312" s="245" t="s">
        <v>68</v>
      </c>
      <c r="ANI312" s="1715" t="s">
        <v>0</v>
      </c>
      <c r="ANJ312" s="1716"/>
      <c r="ANK312" s="1716"/>
      <c r="ANL312" s="1716"/>
      <c r="ANM312" s="1716"/>
      <c r="ANN312" s="244"/>
      <c r="ANO312" s="244" t="s">
        <v>68</v>
      </c>
      <c r="ANP312" s="245" t="s">
        <v>68</v>
      </c>
      <c r="ANQ312" s="1715" t="s">
        <v>0</v>
      </c>
      <c r="ANR312" s="1716"/>
      <c r="ANS312" s="1716"/>
      <c r="ANT312" s="1716"/>
      <c r="ANU312" s="1716"/>
      <c r="ANV312" s="244"/>
      <c r="ANW312" s="244" t="s">
        <v>68</v>
      </c>
      <c r="ANX312" s="245" t="s">
        <v>68</v>
      </c>
      <c r="ANY312" s="1715" t="s">
        <v>0</v>
      </c>
      <c r="ANZ312" s="1716"/>
      <c r="AOA312" s="1716"/>
      <c r="AOB312" s="1716"/>
      <c r="AOC312" s="1716"/>
      <c r="AOD312" s="244"/>
      <c r="AOE312" s="244" t="s">
        <v>68</v>
      </c>
      <c r="AOF312" s="245" t="s">
        <v>68</v>
      </c>
      <c r="AOG312" s="1715" t="s">
        <v>0</v>
      </c>
      <c r="AOH312" s="1716"/>
      <c r="AOI312" s="1716"/>
      <c r="AOJ312" s="1716"/>
      <c r="AOK312" s="1716"/>
      <c r="AOL312" s="244"/>
      <c r="AOM312" s="244" t="s">
        <v>68</v>
      </c>
      <c r="AON312" s="245" t="s">
        <v>68</v>
      </c>
      <c r="AOO312" s="1715" t="s">
        <v>0</v>
      </c>
      <c r="AOP312" s="1716"/>
      <c r="AOQ312" s="1716"/>
      <c r="AOR312" s="1716"/>
      <c r="AOS312" s="1716"/>
      <c r="AOT312" s="244"/>
      <c r="AOU312" s="244" t="s">
        <v>68</v>
      </c>
      <c r="AOV312" s="245" t="s">
        <v>68</v>
      </c>
      <c r="AOW312" s="1715" t="s">
        <v>0</v>
      </c>
      <c r="AOX312" s="1716"/>
      <c r="AOY312" s="1716"/>
      <c r="AOZ312" s="1716"/>
      <c r="APA312" s="1716"/>
      <c r="APB312" s="244"/>
      <c r="APC312" s="244" t="s">
        <v>68</v>
      </c>
      <c r="APD312" s="245" t="s">
        <v>68</v>
      </c>
      <c r="APE312" s="1715" t="s">
        <v>0</v>
      </c>
      <c r="APF312" s="1716"/>
      <c r="APG312" s="1716"/>
      <c r="APH312" s="1716"/>
      <c r="API312" s="1716"/>
      <c r="APJ312" s="244"/>
      <c r="APK312" s="244" t="s">
        <v>68</v>
      </c>
      <c r="APL312" s="245" t="s">
        <v>68</v>
      </c>
      <c r="APM312" s="1715" t="s">
        <v>0</v>
      </c>
      <c r="APN312" s="1716"/>
      <c r="APO312" s="1716"/>
      <c r="APP312" s="1716"/>
      <c r="APQ312" s="1716"/>
      <c r="APR312" s="244"/>
      <c r="APS312" s="244" t="s">
        <v>68</v>
      </c>
      <c r="APT312" s="245" t="s">
        <v>68</v>
      </c>
      <c r="APU312" s="1715" t="s">
        <v>0</v>
      </c>
      <c r="APV312" s="1716"/>
      <c r="APW312" s="1716"/>
      <c r="APX312" s="1716"/>
      <c r="APY312" s="1716"/>
      <c r="APZ312" s="244"/>
      <c r="AQA312" s="244" t="s">
        <v>68</v>
      </c>
      <c r="AQB312" s="245" t="s">
        <v>68</v>
      </c>
      <c r="AQC312" s="1715" t="s">
        <v>0</v>
      </c>
      <c r="AQD312" s="1716"/>
      <c r="AQE312" s="1716"/>
      <c r="AQF312" s="1716"/>
      <c r="AQG312" s="1716"/>
      <c r="AQH312" s="244"/>
      <c r="AQI312" s="244" t="s">
        <v>68</v>
      </c>
      <c r="AQJ312" s="245" t="s">
        <v>68</v>
      </c>
      <c r="AQK312" s="1715" t="s">
        <v>0</v>
      </c>
      <c r="AQL312" s="1716"/>
      <c r="AQM312" s="1716"/>
      <c r="AQN312" s="1716"/>
      <c r="AQO312" s="1716"/>
      <c r="AQP312" s="244"/>
      <c r="AQQ312" s="244" t="s">
        <v>68</v>
      </c>
      <c r="AQR312" s="245" t="s">
        <v>68</v>
      </c>
      <c r="AQS312" s="1715" t="s">
        <v>0</v>
      </c>
      <c r="AQT312" s="1716"/>
      <c r="AQU312" s="1716"/>
      <c r="AQV312" s="1716"/>
      <c r="AQW312" s="1716"/>
      <c r="AQX312" s="244"/>
      <c r="AQY312" s="244" t="s">
        <v>68</v>
      </c>
      <c r="AQZ312" s="245" t="s">
        <v>68</v>
      </c>
      <c r="ARA312" s="1715" t="s">
        <v>0</v>
      </c>
      <c r="ARB312" s="1716"/>
      <c r="ARC312" s="1716"/>
      <c r="ARD312" s="1716"/>
      <c r="ARE312" s="1716"/>
      <c r="ARF312" s="244"/>
      <c r="ARG312" s="244" t="s">
        <v>68</v>
      </c>
      <c r="ARH312" s="245" t="s">
        <v>68</v>
      </c>
      <c r="ARI312" s="1715" t="s">
        <v>0</v>
      </c>
      <c r="ARJ312" s="1716"/>
      <c r="ARK312" s="1716"/>
      <c r="ARL312" s="1716"/>
      <c r="ARM312" s="1716"/>
      <c r="ARN312" s="244"/>
      <c r="ARO312" s="244" t="s">
        <v>68</v>
      </c>
      <c r="ARP312" s="245" t="s">
        <v>68</v>
      </c>
      <c r="ARQ312" s="1715" t="s">
        <v>0</v>
      </c>
      <c r="ARR312" s="1716"/>
      <c r="ARS312" s="1716"/>
      <c r="ART312" s="1716"/>
      <c r="ARU312" s="1716"/>
      <c r="ARV312" s="244"/>
      <c r="ARW312" s="244" t="s">
        <v>68</v>
      </c>
      <c r="ARX312" s="245" t="s">
        <v>68</v>
      </c>
      <c r="ARY312" s="1715" t="s">
        <v>0</v>
      </c>
      <c r="ARZ312" s="1716"/>
      <c r="ASA312" s="1716"/>
      <c r="ASB312" s="1716"/>
      <c r="ASC312" s="1716"/>
      <c r="ASD312" s="244"/>
      <c r="ASE312" s="244" t="s">
        <v>68</v>
      </c>
      <c r="ASF312" s="245" t="s">
        <v>68</v>
      </c>
      <c r="ASG312" s="1715" t="s">
        <v>0</v>
      </c>
      <c r="ASH312" s="1716"/>
      <c r="ASI312" s="1716"/>
      <c r="ASJ312" s="1716"/>
      <c r="ASK312" s="1716"/>
      <c r="ASL312" s="244"/>
      <c r="ASM312" s="244" t="s">
        <v>68</v>
      </c>
      <c r="ASN312" s="245" t="s">
        <v>68</v>
      </c>
      <c r="ASO312" s="1715" t="s">
        <v>0</v>
      </c>
      <c r="ASP312" s="1716"/>
      <c r="ASQ312" s="1716"/>
      <c r="ASR312" s="1716"/>
      <c r="ASS312" s="1716"/>
      <c r="AST312" s="244"/>
      <c r="ASU312" s="244" t="s">
        <v>68</v>
      </c>
      <c r="ASV312" s="245" t="s">
        <v>68</v>
      </c>
      <c r="ASW312" s="1715" t="s">
        <v>0</v>
      </c>
      <c r="ASX312" s="1716"/>
      <c r="ASY312" s="1716"/>
      <c r="ASZ312" s="1716"/>
      <c r="ATA312" s="1716"/>
      <c r="ATB312" s="244"/>
      <c r="ATC312" s="244" t="s">
        <v>68</v>
      </c>
      <c r="ATD312" s="245" t="s">
        <v>68</v>
      </c>
      <c r="ATE312" s="1715" t="s">
        <v>0</v>
      </c>
      <c r="ATF312" s="1716"/>
      <c r="ATG312" s="1716"/>
      <c r="ATH312" s="1716"/>
      <c r="ATI312" s="1716"/>
      <c r="ATJ312" s="244"/>
      <c r="ATK312" s="244" t="s">
        <v>68</v>
      </c>
      <c r="ATL312" s="245" t="s">
        <v>68</v>
      </c>
      <c r="ATM312" s="1715" t="s">
        <v>0</v>
      </c>
      <c r="ATN312" s="1716"/>
      <c r="ATO312" s="1716"/>
      <c r="ATP312" s="1716"/>
      <c r="ATQ312" s="1716"/>
      <c r="ATR312" s="244"/>
      <c r="ATS312" s="244" t="s">
        <v>68</v>
      </c>
      <c r="ATT312" s="245" t="s">
        <v>68</v>
      </c>
      <c r="ATU312" s="1715" t="s">
        <v>0</v>
      </c>
      <c r="ATV312" s="1716"/>
      <c r="ATW312" s="1716"/>
      <c r="ATX312" s="1716"/>
      <c r="ATY312" s="1716"/>
      <c r="ATZ312" s="244"/>
      <c r="AUA312" s="244" t="s">
        <v>68</v>
      </c>
      <c r="AUB312" s="245" t="s">
        <v>68</v>
      </c>
      <c r="AUC312" s="1715" t="s">
        <v>0</v>
      </c>
      <c r="AUD312" s="1716"/>
      <c r="AUE312" s="1716"/>
      <c r="AUF312" s="1716"/>
      <c r="AUG312" s="1716"/>
      <c r="AUH312" s="244"/>
      <c r="AUI312" s="244" t="s">
        <v>68</v>
      </c>
      <c r="AUJ312" s="245" t="s">
        <v>68</v>
      </c>
      <c r="AUK312" s="1715" t="s">
        <v>0</v>
      </c>
      <c r="AUL312" s="1716"/>
      <c r="AUM312" s="1716"/>
      <c r="AUN312" s="1716"/>
      <c r="AUO312" s="1716"/>
      <c r="AUP312" s="244"/>
      <c r="AUQ312" s="244" t="s">
        <v>68</v>
      </c>
      <c r="AUR312" s="245" t="s">
        <v>68</v>
      </c>
      <c r="AUS312" s="1715" t="s">
        <v>0</v>
      </c>
      <c r="AUT312" s="1716"/>
      <c r="AUU312" s="1716"/>
      <c r="AUV312" s="1716"/>
      <c r="AUW312" s="1716"/>
      <c r="AUX312" s="244"/>
      <c r="AUY312" s="244" t="s">
        <v>68</v>
      </c>
      <c r="AUZ312" s="245" t="s">
        <v>68</v>
      </c>
      <c r="AVA312" s="1715" t="s">
        <v>0</v>
      </c>
      <c r="AVB312" s="1716"/>
      <c r="AVC312" s="1716"/>
      <c r="AVD312" s="1716"/>
      <c r="AVE312" s="1716"/>
      <c r="AVF312" s="244"/>
      <c r="AVG312" s="244" t="s">
        <v>68</v>
      </c>
      <c r="AVH312" s="245" t="s">
        <v>68</v>
      </c>
      <c r="AVI312" s="1715" t="s">
        <v>0</v>
      </c>
      <c r="AVJ312" s="1716"/>
      <c r="AVK312" s="1716"/>
      <c r="AVL312" s="1716"/>
      <c r="AVM312" s="1716"/>
      <c r="AVN312" s="244"/>
      <c r="AVO312" s="244" t="s">
        <v>68</v>
      </c>
      <c r="AVP312" s="245" t="s">
        <v>68</v>
      </c>
      <c r="AVQ312" s="1715" t="s">
        <v>0</v>
      </c>
      <c r="AVR312" s="1716"/>
      <c r="AVS312" s="1716"/>
      <c r="AVT312" s="1716"/>
      <c r="AVU312" s="1716"/>
      <c r="AVV312" s="244"/>
      <c r="AVW312" s="244" t="s">
        <v>68</v>
      </c>
      <c r="AVX312" s="245" t="s">
        <v>68</v>
      </c>
      <c r="AVY312" s="1715" t="s">
        <v>0</v>
      </c>
      <c r="AVZ312" s="1716"/>
      <c r="AWA312" s="1716"/>
      <c r="AWB312" s="1716"/>
      <c r="AWC312" s="1716"/>
      <c r="AWD312" s="244"/>
      <c r="AWE312" s="244" t="s">
        <v>68</v>
      </c>
      <c r="AWF312" s="245" t="s">
        <v>68</v>
      </c>
      <c r="AWG312" s="1715" t="s">
        <v>0</v>
      </c>
      <c r="AWH312" s="1716"/>
      <c r="AWI312" s="1716"/>
      <c r="AWJ312" s="1716"/>
      <c r="AWK312" s="1716"/>
      <c r="AWL312" s="244"/>
      <c r="AWM312" s="244" t="s">
        <v>68</v>
      </c>
      <c r="AWN312" s="245" t="s">
        <v>68</v>
      </c>
      <c r="AWO312" s="1715" t="s">
        <v>0</v>
      </c>
      <c r="AWP312" s="1716"/>
      <c r="AWQ312" s="1716"/>
      <c r="AWR312" s="1716"/>
      <c r="AWS312" s="1716"/>
      <c r="AWT312" s="244"/>
      <c r="AWU312" s="244" t="s">
        <v>68</v>
      </c>
      <c r="AWV312" s="245" t="s">
        <v>68</v>
      </c>
      <c r="AWW312" s="1715" t="s">
        <v>0</v>
      </c>
      <c r="AWX312" s="1716"/>
      <c r="AWY312" s="1716"/>
      <c r="AWZ312" s="1716"/>
      <c r="AXA312" s="1716"/>
      <c r="AXB312" s="244"/>
      <c r="AXC312" s="244" t="s">
        <v>68</v>
      </c>
      <c r="AXD312" s="245" t="s">
        <v>68</v>
      </c>
      <c r="AXE312" s="1715" t="s">
        <v>0</v>
      </c>
      <c r="AXF312" s="1716"/>
      <c r="AXG312" s="1716"/>
      <c r="AXH312" s="1716"/>
      <c r="AXI312" s="1716"/>
      <c r="AXJ312" s="244"/>
      <c r="AXK312" s="244" t="s">
        <v>68</v>
      </c>
      <c r="AXL312" s="245" t="s">
        <v>68</v>
      </c>
      <c r="AXM312" s="1715" t="s">
        <v>0</v>
      </c>
      <c r="AXN312" s="1716"/>
      <c r="AXO312" s="1716"/>
      <c r="AXP312" s="1716"/>
      <c r="AXQ312" s="1716"/>
      <c r="AXR312" s="244"/>
      <c r="AXS312" s="244" t="s">
        <v>68</v>
      </c>
      <c r="AXT312" s="245" t="s">
        <v>68</v>
      </c>
      <c r="AXU312" s="1715" t="s">
        <v>0</v>
      </c>
      <c r="AXV312" s="1716"/>
      <c r="AXW312" s="1716"/>
      <c r="AXX312" s="1716"/>
      <c r="AXY312" s="1716"/>
      <c r="AXZ312" s="244"/>
      <c r="AYA312" s="244" t="s">
        <v>68</v>
      </c>
      <c r="AYB312" s="245" t="s">
        <v>68</v>
      </c>
      <c r="AYC312" s="1715" t="s">
        <v>0</v>
      </c>
      <c r="AYD312" s="1716"/>
      <c r="AYE312" s="1716"/>
      <c r="AYF312" s="1716"/>
      <c r="AYG312" s="1716"/>
      <c r="AYH312" s="244"/>
      <c r="AYI312" s="244" t="s">
        <v>68</v>
      </c>
      <c r="AYJ312" s="245" t="s">
        <v>68</v>
      </c>
      <c r="AYK312" s="1715" t="s">
        <v>0</v>
      </c>
      <c r="AYL312" s="1716"/>
      <c r="AYM312" s="1716"/>
      <c r="AYN312" s="1716"/>
      <c r="AYO312" s="1716"/>
      <c r="AYP312" s="244"/>
      <c r="AYQ312" s="244" t="s">
        <v>68</v>
      </c>
      <c r="AYR312" s="245" t="s">
        <v>68</v>
      </c>
      <c r="AYS312" s="1715" t="s">
        <v>0</v>
      </c>
      <c r="AYT312" s="1716"/>
      <c r="AYU312" s="1716"/>
      <c r="AYV312" s="1716"/>
      <c r="AYW312" s="1716"/>
      <c r="AYX312" s="244"/>
      <c r="AYY312" s="244" t="s">
        <v>68</v>
      </c>
      <c r="AYZ312" s="245" t="s">
        <v>68</v>
      </c>
      <c r="AZA312" s="1715" t="s">
        <v>0</v>
      </c>
      <c r="AZB312" s="1716"/>
      <c r="AZC312" s="1716"/>
      <c r="AZD312" s="1716"/>
      <c r="AZE312" s="1716"/>
      <c r="AZF312" s="244"/>
      <c r="AZG312" s="244" t="s">
        <v>68</v>
      </c>
      <c r="AZH312" s="245" t="s">
        <v>68</v>
      </c>
      <c r="AZI312" s="1715" t="s">
        <v>0</v>
      </c>
      <c r="AZJ312" s="1716"/>
      <c r="AZK312" s="1716"/>
      <c r="AZL312" s="1716"/>
      <c r="AZM312" s="1716"/>
      <c r="AZN312" s="244"/>
      <c r="AZO312" s="244" t="s">
        <v>68</v>
      </c>
      <c r="AZP312" s="245" t="s">
        <v>68</v>
      </c>
      <c r="AZQ312" s="1715" t="s">
        <v>0</v>
      </c>
      <c r="AZR312" s="1716"/>
      <c r="AZS312" s="1716"/>
      <c r="AZT312" s="1716"/>
      <c r="AZU312" s="1716"/>
      <c r="AZV312" s="244"/>
      <c r="AZW312" s="244" t="s">
        <v>68</v>
      </c>
      <c r="AZX312" s="245" t="s">
        <v>68</v>
      </c>
      <c r="AZY312" s="1715" t="s">
        <v>0</v>
      </c>
      <c r="AZZ312" s="1716"/>
      <c r="BAA312" s="1716"/>
      <c r="BAB312" s="1716"/>
      <c r="BAC312" s="1716"/>
      <c r="BAD312" s="244"/>
      <c r="BAE312" s="244" t="s">
        <v>68</v>
      </c>
      <c r="BAF312" s="245" t="s">
        <v>68</v>
      </c>
      <c r="BAG312" s="1715" t="s">
        <v>0</v>
      </c>
      <c r="BAH312" s="1716"/>
      <c r="BAI312" s="1716"/>
      <c r="BAJ312" s="1716"/>
      <c r="BAK312" s="1716"/>
      <c r="BAL312" s="244"/>
      <c r="BAM312" s="244" t="s">
        <v>68</v>
      </c>
      <c r="BAN312" s="245" t="s">
        <v>68</v>
      </c>
      <c r="BAO312" s="1715" t="s">
        <v>0</v>
      </c>
      <c r="BAP312" s="1716"/>
      <c r="BAQ312" s="1716"/>
      <c r="BAR312" s="1716"/>
      <c r="BAS312" s="1716"/>
      <c r="BAT312" s="244"/>
      <c r="BAU312" s="244" t="s">
        <v>68</v>
      </c>
      <c r="BAV312" s="245" t="s">
        <v>68</v>
      </c>
      <c r="BAW312" s="1715" t="s">
        <v>0</v>
      </c>
      <c r="BAX312" s="1716"/>
      <c r="BAY312" s="1716"/>
      <c r="BAZ312" s="1716"/>
      <c r="BBA312" s="1716"/>
      <c r="BBB312" s="244"/>
      <c r="BBC312" s="244" t="s">
        <v>68</v>
      </c>
      <c r="BBD312" s="245" t="s">
        <v>68</v>
      </c>
      <c r="BBE312" s="1715" t="s">
        <v>0</v>
      </c>
      <c r="BBF312" s="1716"/>
      <c r="BBG312" s="1716"/>
      <c r="BBH312" s="1716"/>
      <c r="BBI312" s="1716"/>
      <c r="BBJ312" s="244"/>
      <c r="BBK312" s="244" t="s">
        <v>68</v>
      </c>
      <c r="BBL312" s="245" t="s">
        <v>68</v>
      </c>
      <c r="BBM312" s="1715" t="s">
        <v>0</v>
      </c>
      <c r="BBN312" s="1716"/>
      <c r="BBO312" s="1716"/>
      <c r="BBP312" s="1716"/>
      <c r="BBQ312" s="1716"/>
      <c r="BBR312" s="244"/>
      <c r="BBS312" s="244" t="s">
        <v>68</v>
      </c>
      <c r="BBT312" s="245" t="s">
        <v>68</v>
      </c>
      <c r="BBU312" s="1715" t="s">
        <v>0</v>
      </c>
      <c r="BBV312" s="1716"/>
      <c r="BBW312" s="1716"/>
      <c r="BBX312" s="1716"/>
      <c r="BBY312" s="1716"/>
      <c r="BBZ312" s="244"/>
      <c r="BCA312" s="244" t="s">
        <v>68</v>
      </c>
      <c r="BCB312" s="245" t="s">
        <v>68</v>
      </c>
      <c r="BCC312" s="1715" t="s">
        <v>0</v>
      </c>
      <c r="BCD312" s="1716"/>
      <c r="BCE312" s="1716"/>
      <c r="BCF312" s="1716"/>
      <c r="BCG312" s="1716"/>
      <c r="BCH312" s="244"/>
      <c r="BCI312" s="244" t="s">
        <v>68</v>
      </c>
      <c r="BCJ312" s="245" t="s">
        <v>68</v>
      </c>
      <c r="BCK312" s="1715" t="s">
        <v>0</v>
      </c>
      <c r="BCL312" s="1716"/>
      <c r="BCM312" s="1716"/>
      <c r="BCN312" s="1716"/>
      <c r="BCO312" s="1716"/>
      <c r="BCP312" s="244"/>
      <c r="BCQ312" s="244" t="s">
        <v>68</v>
      </c>
      <c r="BCR312" s="245" t="s">
        <v>68</v>
      </c>
      <c r="BCS312" s="1715" t="s">
        <v>0</v>
      </c>
      <c r="BCT312" s="1716"/>
      <c r="BCU312" s="1716"/>
      <c r="BCV312" s="1716"/>
      <c r="BCW312" s="1716"/>
      <c r="BCX312" s="244"/>
      <c r="BCY312" s="244" t="s">
        <v>68</v>
      </c>
      <c r="BCZ312" s="245" t="s">
        <v>68</v>
      </c>
      <c r="BDA312" s="1715" t="s">
        <v>0</v>
      </c>
      <c r="BDB312" s="1716"/>
      <c r="BDC312" s="1716"/>
      <c r="BDD312" s="1716"/>
      <c r="BDE312" s="1716"/>
      <c r="BDF312" s="244"/>
      <c r="BDG312" s="244" t="s">
        <v>68</v>
      </c>
      <c r="BDH312" s="245" t="s">
        <v>68</v>
      </c>
      <c r="BDI312" s="1715" t="s">
        <v>0</v>
      </c>
      <c r="BDJ312" s="1716"/>
      <c r="BDK312" s="1716"/>
      <c r="BDL312" s="1716"/>
      <c r="BDM312" s="1716"/>
      <c r="BDN312" s="244"/>
      <c r="BDO312" s="244" t="s">
        <v>68</v>
      </c>
      <c r="BDP312" s="245" t="s">
        <v>68</v>
      </c>
      <c r="BDQ312" s="1715" t="s">
        <v>0</v>
      </c>
      <c r="BDR312" s="1716"/>
      <c r="BDS312" s="1716"/>
      <c r="BDT312" s="1716"/>
      <c r="BDU312" s="1716"/>
      <c r="BDV312" s="244"/>
      <c r="BDW312" s="244" t="s">
        <v>68</v>
      </c>
      <c r="BDX312" s="245" t="s">
        <v>68</v>
      </c>
      <c r="BDY312" s="1715" t="s">
        <v>0</v>
      </c>
      <c r="BDZ312" s="1716"/>
      <c r="BEA312" s="1716"/>
      <c r="BEB312" s="1716"/>
      <c r="BEC312" s="1716"/>
      <c r="BED312" s="244"/>
      <c r="BEE312" s="244" t="s">
        <v>68</v>
      </c>
      <c r="BEF312" s="245" t="s">
        <v>68</v>
      </c>
      <c r="BEG312" s="1715" t="s">
        <v>0</v>
      </c>
      <c r="BEH312" s="1716"/>
      <c r="BEI312" s="1716"/>
      <c r="BEJ312" s="1716"/>
      <c r="BEK312" s="1716"/>
      <c r="BEL312" s="244"/>
      <c r="BEM312" s="244" t="s">
        <v>68</v>
      </c>
      <c r="BEN312" s="245" t="s">
        <v>68</v>
      </c>
      <c r="BEO312" s="1715" t="s">
        <v>0</v>
      </c>
      <c r="BEP312" s="1716"/>
      <c r="BEQ312" s="1716"/>
      <c r="BER312" s="1716"/>
      <c r="BES312" s="1716"/>
      <c r="BET312" s="244"/>
      <c r="BEU312" s="244" t="s">
        <v>68</v>
      </c>
      <c r="BEV312" s="245" t="s">
        <v>68</v>
      </c>
      <c r="BEW312" s="1715" t="s">
        <v>0</v>
      </c>
      <c r="BEX312" s="1716"/>
      <c r="BEY312" s="1716"/>
      <c r="BEZ312" s="1716"/>
      <c r="BFA312" s="1716"/>
      <c r="BFB312" s="244"/>
      <c r="BFC312" s="244" t="s">
        <v>68</v>
      </c>
      <c r="BFD312" s="245" t="s">
        <v>68</v>
      </c>
      <c r="BFE312" s="1715" t="s">
        <v>0</v>
      </c>
      <c r="BFF312" s="1716"/>
      <c r="BFG312" s="1716"/>
      <c r="BFH312" s="1716"/>
      <c r="BFI312" s="1716"/>
      <c r="BFJ312" s="244"/>
      <c r="BFK312" s="244" t="s">
        <v>68</v>
      </c>
      <c r="BFL312" s="245" t="s">
        <v>68</v>
      </c>
      <c r="BFM312" s="1715" t="s">
        <v>0</v>
      </c>
      <c r="BFN312" s="1716"/>
      <c r="BFO312" s="1716"/>
      <c r="BFP312" s="1716"/>
      <c r="BFQ312" s="1716"/>
      <c r="BFR312" s="244"/>
      <c r="BFS312" s="244" t="s">
        <v>68</v>
      </c>
      <c r="BFT312" s="245" t="s">
        <v>68</v>
      </c>
      <c r="BFU312" s="1715" t="s">
        <v>0</v>
      </c>
      <c r="BFV312" s="1716"/>
      <c r="BFW312" s="1716"/>
      <c r="BFX312" s="1716"/>
      <c r="BFY312" s="1716"/>
      <c r="BFZ312" s="244"/>
      <c r="BGA312" s="244" t="s">
        <v>68</v>
      </c>
      <c r="BGB312" s="245" t="s">
        <v>68</v>
      </c>
      <c r="BGC312" s="1715" t="s">
        <v>0</v>
      </c>
      <c r="BGD312" s="1716"/>
      <c r="BGE312" s="1716"/>
      <c r="BGF312" s="1716"/>
      <c r="BGG312" s="1716"/>
      <c r="BGH312" s="244"/>
      <c r="BGI312" s="244" t="s">
        <v>68</v>
      </c>
      <c r="BGJ312" s="245" t="s">
        <v>68</v>
      </c>
      <c r="BGK312" s="1715" t="s">
        <v>0</v>
      </c>
      <c r="BGL312" s="1716"/>
      <c r="BGM312" s="1716"/>
      <c r="BGN312" s="1716"/>
      <c r="BGO312" s="1716"/>
      <c r="BGP312" s="244"/>
      <c r="BGQ312" s="244" t="s">
        <v>68</v>
      </c>
      <c r="BGR312" s="245" t="s">
        <v>68</v>
      </c>
      <c r="BGS312" s="1715" t="s">
        <v>0</v>
      </c>
      <c r="BGT312" s="1716"/>
      <c r="BGU312" s="1716"/>
      <c r="BGV312" s="1716"/>
      <c r="BGW312" s="1716"/>
      <c r="BGX312" s="244"/>
      <c r="BGY312" s="244" t="s">
        <v>68</v>
      </c>
      <c r="BGZ312" s="245" t="s">
        <v>68</v>
      </c>
      <c r="BHA312" s="1715" t="s">
        <v>0</v>
      </c>
      <c r="BHB312" s="1716"/>
      <c r="BHC312" s="1716"/>
      <c r="BHD312" s="1716"/>
      <c r="BHE312" s="1716"/>
      <c r="BHF312" s="244"/>
      <c r="BHG312" s="244" t="s">
        <v>68</v>
      </c>
      <c r="BHH312" s="245" t="s">
        <v>68</v>
      </c>
      <c r="BHI312" s="1715" t="s">
        <v>0</v>
      </c>
      <c r="BHJ312" s="1716"/>
      <c r="BHK312" s="1716"/>
      <c r="BHL312" s="1716"/>
      <c r="BHM312" s="1716"/>
      <c r="BHN312" s="244"/>
      <c r="BHO312" s="244" t="s">
        <v>68</v>
      </c>
      <c r="BHP312" s="245" t="s">
        <v>68</v>
      </c>
      <c r="BHQ312" s="1715" t="s">
        <v>0</v>
      </c>
      <c r="BHR312" s="1716"/>
      <c r="BHS312" s="1716"/>
      <c r="BHT312" s="1716"/>
      <c r="BHU312" s="1716"/>
      <c r="BHV312" s="244"/>
      <c r="BHW312" s="244" t="s">
        <v>68</v>
      </c>
      <c r="BHX312" s="245" t="s">
        <v>68</v>
      </c>
      <c r="BHY312" s="1715" t="s">
        <v>0</v>
      </c>
      <c r="BHZ312" s="1716"/>
      <c r="BIA312" s="1716"/>
      <c r="BIB312" s="1716"/>
      <c r="BIC312" s="1716"/>
      <c r="BID312" s="244"/>
      <c r="BIE312" s="244" t="s">
        <v>68</v>
      </c>
      <c r="BIF312" s="245" t="s">
        <v>68</v>
      </c>
      <c r="BIG312" s="1715" t="s">
        <v>0</v>
      </c>
      <c r="BIH312" s="1716"/>
      <c r="BII312" s="1716"/>
      <c r="BIJ312" s="1716"/>
      <c r="BIK312" s="1716"/>
      <c r="BIL312" s="244"/>
      <c r="BIM312" s="244" t="s">
        <v>68</v>
      </c>
      <c r="BIN312" s="245" t="s">
        <v>68</v>
      </c>
      <c r="BIO312" s="1715" t="s">
        <v>0</v>
      </c>
      <c r="BIP312" s="1716"/>
      <c r="BIQ312" s="1716"/>
      <c r="BIR312" s="1716"/>
      <c r="BIS312" s="1716"/>
      <c r="BIT312" s="244"/>
      <c r="BIU312" s="244" t="s">
        <v>68</v>
      </c>
      <c r="BIV312" s="245" t="s">
        <v>68</v>
      </c>
      <c r="BIW312" s="1715" t="s">
        <v>0</v>
      </c>
      <c r="BIX312" s="1716"/>
      <c r="BIY312" s="1716"/>
      <c r="BIZ312" s="1716"/>
      <c r="BJA312" s="1716"/>
      <c r="BJB312" s="244"/>
      <c r="BJC312" s="244" t="s">
        <v>68</v>
      </c>
      <c r="BJD312" s="245" t="s">
        <v>68</v>
      </c>
      <c r="BJE312" s="1715" t="s">
        <v>0</v>
      </c>
      <c r="BJF312" s="1716"/>
      <c r="BJG312" s="1716"/>
      <c r="BJH312" s="1716"/>
      <c r="BJI312" s="1716"/>
      <c r="BJJ312" s="244"/>
      <c r="BJK312" s="244" t="s">
        <v>68</v>
      </c>
      <c r="BJL312" s="245" t="s">
        <v>68</v>
      </c>
      <c r="BJM312" s="1715" t="s">
        <v>0</v>
      </c>
      <c r="BJN312" s="1716"/>
      <c r="BJO312" s="1716"/>
      <c r="BJP312" s="1716"/>
      <c r="BJQ312" s="1716"/>
      <c r="BJR312" s="244"/>
      <c r="BJS312" s="244" t="s">
        <v>68</v>
      </c>
      <c r="BJT312" s="245" t="s">
        <v>68</v>
      </c>
      <c r="BJU312" s="1715" t="s">
        <v>0</v>
      </c>
      <c r="BJV312" s="1716"/>
      <c r="BJW312" s="1716"/>
      <c r="BJX312" s="1716"/>
      <c r="BJY312" s="1716"/>
      <c r="BJZ312" s="244"/>
      <c r="BKA312" s="244" t="s">
        <v>68</v>
      </c>
      <c r="BKB312" s="245" t="s">
        <v>68</v>
      </c>
      <c r="BKC312" s="1715" t="s">
        <v>0</v>
      </c>
      <c r="BKD312" s="1716"/>
      <c r="BKE312" s="1716"/>
      <c r="BKF312" s="1716"/>
      <c r="BKG312" s="1716"/>
      <c r="BKH312" s="244"/>
      <c r="BKI312" s="244" t="s">
        <v>68</v>
      </c>
      <c r="BKJ312" s="245" t="s">
        <v>68</v>
      </c>
      <c r="BKK312" s="1715" t="s">
        <v>0</v>
      </c>
      <c r="BKL312" s="1716"/>
      <c r="BKM312" s="1716"/>
      <c r="BKN312" s="1716"/>
      <c r="BKO312" s="1716"/>
      <c r="BKP312" s="244"/>
      <c r="BKQ312" s="244" t="s">
        <v>68</v>
      </c>
      <c r="BKR312" s="245" t="s">
        <v>68</v>
      </c>
      <c r="BKS312" s="1715" t="s">
        <v>0</v>
      </c>
      <c r="BKT312" s="1716"/>
      <c r="BKU312" s="1716"/>
      <c r="BKV312" s="1716"/>
      <c r="BKW312" s="1716"/>
      <c r="BKX312" s="244"/>
      <c r="BKY312" s="244" t="s">
        <v>68</v>
      </c>
      <c r="BKZ312" s="245" t="s">
        <v>68</v>
      </c>
      <c r="BLA312" s="1715" t="s">
        <v>0</v>
      </c>
      <c r="BLB312" s="1716"/>
      <c r="BLC312" s="1716"/>
      <c r="BLD312" s="1716"/>
      <c r="BLE312" s="1716"/>
      <c r="BLF312" s="244"/>
      <c r="BLG312" s="244" t="s">
        <v>68</v>
      </c>
      <c r="BLH312" s="245" t="s">
        <v>68</v>
      </c>
      <c r="BLI312" s="1715" t="s">
        <v>0</v>
      </c>
      <c r="BLJ312" s="1716"/>
      <c r="BLK312" s="1716"/>
      <c r="BLL312" s="1716"/>
      <c r="BLM312" s="1716"/>
      <c r="BLN312" s="244"/>
      <c r="BLO312" s="244" t="s">
        <v>68</v>
      </c>
      <c r="BLP312" s="245" t="s">
        <v>68</v>
      </c>
      <c r="BLQ312" s="1715" t="s">
        <v>0</v>
      </c>
      <c r="BLR312" s="1716"/>
      <c r="BLS312" s="1716"/>
      <c r="BLT312" s="1716"/>
      <c r="BLU312" s="1716"/>
      <c r="BLV312" s="244"/>
      <c r="BLW312" s="244" t="s">
        <v>68</v>
      </c>
      <c r="BLX312" s="245" t="s">
        <v>68</v>
      </c>
      <c r="BLY312" s="1715" t="s">
        <v>0</v>
      </c>
      <c r="BLZ312" s="1716"/>
      <c r="BMA312" s="1716"/>
      <c r="BMB312" s="1716"/>
      <c r="BMC312" s="1716"/>
      <c r="BMD312" s="244"/>
      <c r="BME312" s="244" t="s">
        <v>68</v>
      </c>
      <c r="BMF312" s="245" t="s">
        <v>68</v>
      </c>
      <c r="BMG312" s="1715" t="s">
        <v>0</v>
      </c>
      <c r="BMH312" s="1716"/>
      <c r="BMI312" s="1716"/>
      <c r="BMJ312" s="1716"/>
      <c r="BMK312" s="1716"/>
      <c r="BML312" s="244"/>
      <c r="BMM312" s="244" t="s">
        <v>68</v>
      </c>
      <c r="BMN312" s="245" t="s">
        <v>68</v>
      </c>
      <c r="BMO312" s="1715" t="s">
        <v>0</v>
      </c>
      <c r="BMP312" s="1716"/>
      <c r="BMQ312" s="1716"/>
      <c r="BMR312" s="1716"/>
      <c r="BMS312" s="1716"/>
      <c r="BMT312" s="244"/>
      <c r="BMU312" s="244" t="s">
        <v>68</v>
      </c>
      <c r="BMV312" s="245" t="s">
        <v>68</v>
      </c>
      <c r="BMW312" s="1715" t="s">
        <v>0</v>
      </c>
      <c r="BMX312" s="1716"/>
      <c r="BMY312" s="1716"/>
      <c r="BMZ312" s="1716"/>
      <c r="BNA312" s="1716"/>
      <c r="BNB312" s="244"/>
      <c r="BNC312" s="244" t="s">
        <v>68</v>
      </c>
      <c r="BND312" s="245" t="s">
        <v>68</v>
      </c>
      <c r="BNE312" s="1715" t="s">
        <v>0</v>
      </c>
      <c r="BNF312" s="1716"/>
      <c r="BNG312" s="1716"/>
      <c r="BNH312" s="1716"/>
      <c r="BNI312" s="1716"/>
      <c r="BNJ312" s="244"/>
      <c r="BNK312" s="244" t="s">
        <v>68</v>
      </c>
      <c r="BNL312" s="245" t="s">
        <v>68</v>
      </c>
      <c r="BNM312" s="1715" t="s">
        <v>0</v>
      </c>
      <c r="BNN312" s="1716"/>
      <c r="BNO312" s="1716"/>
      <c r="BNP312" s="1716"/>
      <c r="BNQ312" s="1716"/>
      <c r="BNR312" s="244"/>
      <c r="BNS312" s="244" t="s">
        <v>68</v>
      </c>
      <c r="BNT312" s="245" t="s">
        <v>68</v>
      </c>
      <c r="BNU312" s="1715" t="s">
        <v>0</v>
      </c>
      <c r="BNV312" s="1716"/>
      <c r="BNW312" s="1716"/>
      <c r="BNX312" s="1716"/>
      <c r="BNY312" s="1716"/>
      <c r="BNZ312" s="244"/>
      <c r="BOA312" s="244" t="s">
        <v>68</v>
      </c>
      <c r="BOB312" s="245" t="s">
        <v>68</v>
      </c>
      <c r="BOC312" s="1715" t="s">
        <v>0</v>
      </c>
      <c r="BOD312" s="1716"/>
      <c r="BOE312" s="1716"/>
      <c r="BOF312" s="1716"/>
      <c r="BOG312" s="1716"/>
      <c r="BOH312" s="244"/>
      <c r="BOI312" s="244" t="s">
        <v>68</v>
      </c>
      <c r="BOJ312" s="245" t="s">
        <v>68</v>
      </c>
      <c r="BOK312" s="1715" t="s">
        <v>0</v>
      </c>
      <c r="BOL312" s="1716"/>
      <c r="BOM312" s="1716"/>
      <c r="BON312" s="1716"/>
      <c r="BOO312" s="1716"/>
      <c r="BOP312" s="244"/>
      <c r="BOQ312" s="244" t="s">
        <v>68</v>
      </c>
      <c r="BOR312" s="245" t="s">
        <v>68</v>
      </c>
      <c r="BOS312" s="1715" t="s">
        <v>0</v>
      </c>
      <c r="BOT312" s="1716"/>
      <c r="BOU312" s="1716"/>
      <c r="BOV312" s="1716"/>
      <c r="BOW312" s="1716"/>
      <c r="BOX312" s="244"/>
      <c r="BOY312" s="244" t="s">
        <v>68</v>
      </c>
      <c r="BOZ312" s="245" t="s">
        <v>68</v>
      </c>
      <c r="BPA312" s="1715" t="s">
        <v>0</v>
      </c>
      <c r="BPB312" s="1716"/>
      <c r="BPC312" s="1716"/>
      <c r="BPD312" s="1716"/>
      <c r="BPE312" s="1716"/>
      <c r="BPF312" s="244"/>
      <c r="BPG312" s="244" t="s">
        <v>68</v>
      </c>
      <c r="BPH312" s="245" t="s">
        <v>68</v>
      </c>
      <c r="BPI312" s="1715" t="s">
        <v>0</v>
      </c>
      <c r="BPJ312" s="1716"/>
      <c r="BPK312" s="1716"/>
      <c r="BPL312" s="1716"/>
      <c r="BPM312" s="1716"/>
      <c r="BPN312" s="244"/>
      <c r="BPO312" s="244" t="s">
        <v>68</v>
      </c>
      <c r="BPP312" s="245" t="s">
        <v>68</v>
      </c>
      <c r="BPQ312" s="1715" t="s">
        <v>0</v>
      </c>
      <c r="BPR312" s="1716"/>
      <c r="BPS312" s="1716"/>
      <c r="BPT312" s="1716"/>
      <c r="BPU312" s="1716"/>
      <c r="BPV312" s="244"/>
      <c r="BPW312" s="244" t="s">
        <v>68</v>
      </c>
      <c r="BPX312" s="245" t="s">
        <v>68</v>
      </c>
      <c r="BPY312" s="1715" t="s">
        <v>0</v>
      </c>
      <c r="BPZ312" s="1716"/>
      <c r="BQA312" s="1716"/>
      <c r="BQB312" s="1716"/>
      <c r="BQC312" s="1716"/>
      <c r="BQD312" s="244"/>
      <c r="BQE312" s="244" t="s">
        <v>68</v>
      </c>
      <c r="BQF312" s="245" t="s">
        <v>68</v>
      </c>
      <c r="BQG312" s="1715" t="s">
        <v>0</v>
      </c>
      <c r="BQH312" s="1716"/>
      <c r="BQI312" s="1716"/>
      <c r="BQJ312" s="1716"/>
      <c r="BQK312" s="1716"/>
      <c r="BQL312" s="244"/>
      <c r="BQM312" s="244" t="s">
        <v>68</v>
      </c>
      <c r="BQN312" s="245" t="s">
        <v>68</v>
      </c>
      <c r="BQO312" s="1715" t="s">
        <v>0</v>
      </c>
      <c r="BQP312" s="1716"/>
      <c r="BQQ312" s="1716"/>
      <c r="BQR312" s="1716"/>
      <c r="BQS312" s="1716"/>
      <c r="BQT312" s="244"/>
      <c r="BQU312" s="244" t="s">
        <v>68</v>
      </c>
      <c r="BQV312" s="245" t="s">
        <v>68</v>
      </c>
      <c r="BQW312" s="1715" t="s">
        <v>0</v>
      </c>
      <c r="BQX312" s="1716"/>
      <c r="BQY312" s="1716"/>
      <c r="BQZ312" s="1716"/>
      <c r="BRA312" s="1716"/>
      <c r="BRB312" s="244"/>
      <c r="BRC312" s="244" t="s">
        <v>68</v>
      </c>
      <c r="BRD312" s="245" t="s">
        <v>68</v>
      </c>
      <c r="BRE312" s="1715" t="s">
        <v>0</v>
      </c>
      <c r="BRF312" s="1716"/>
      <c r="BRG312" s="1716"/>
      <c r="BRH312" s="1716"/>
      <c r="BRI312" s="1716"/>
      <c r="BRJ312" s="244"/>
      <c r="BRK312" s="244" t="s">
        <v>68</v>
      </c>
      <c r="BRL312" s="245" t="s">
        <v>68</v>
      </c>
      <c r="BRM312" s="1715" t="s">
        <v>0</v>
      </c>
      <c r="BRN312" s="1716"/>
      <c r="BRO312" s="1716"/>
      <c r="BRP312" s="1716"/>
      <c r="BRQ312" s="1716"/>
      <c r="BRR312" s="244"/>
      <c r="BRS312" s="244" t="s">
        <v>68</v>
      </c>
      <c r="BRT312" s="245" t="s">
        <v>68</v>
      </c>
      <c r="BRU312" s="1715" t="s">
        <v>0</v>
      </c>
      <c r="BRV312" s="1716"/>
      <c r="BRW312" s="1716"/>
      <c r="BRX312" s="1716"/>
      <c r="BRY312" s="1716"/>
      <c r="BRZ312" s="244"/>
      <c r="BSA312" s="244" t="s">
        <v>68</v>
      </c>
      <c r="BSB312" s="245" t="s">
        <v>68</v>
      </c>
      <c r="BSC312" s="1715" t="s">
        <v>0</v>
      </c>
      <c r="BSD312" s="1716"/>
      <c r="BSE312" s="1716"/>
      <c r="BSF312" s="1716"/>
      <c r="BSG312" s="1716"/>
      <c r="BSH312" s="244"/>
      <c r="BSI312" s="244" t="s">
        <v>68</v>
      </c>
      <c r="BSJ312" s="245" t="s">
        <v>68</v>
      </c>
      <c r="BSK312" s="1715" t="s">
        <v>0</v>
      </c>
      <c r="BSL312" s="1716"/>
      <c r="BSM312" s="1716"/>
      <c r="BSN312" s="1716"/>
      <c r="BSO312" s="1716"/>
      <c r="BSP312" s="244"/>
      <c r="BSQ312" s="244" t="s">
        <v>68</v>
      </c>
      <c r="BSR312" s="245" t="s">
        <v>68</v>
      </c>
      <c r="BSS312" s="1715" t="s">
        <v>0</v>
      </c>
      <c r="BST312" s="1716"/>
      <c r="BSU312" s="1716"/>
      <c r="BSV312" s="1716"/>
      <c r="BSW312" s="1716"/>
      <c r="BSX312" s="244"/>
      <c r="BSY312" s="244" t="s">
        <v>68</v>
      </c>
      <c r="BSZ312" s="245" t="s">
        <v>68</v>
      </c>
      <c r="BTA312" s="1715" t="s">
        <v>0</v>
      </c>
      <c r="BTB312" s="1716"/>
      <c r="BTC312" s="1716"/>
      <c r="BTD312" s="1716"/>
      <c r="BTE312" s="1716"/>
      <c r="BTF312" s="244"/>
      <c r="BTG312" s="244" t="s">
        <v>68</v>
      </c>
      <c r="BTH312" s="245" t="s">
        <v>68</v>
      </c>
      <c r="BTI312" s="1715" t="s">
        <v>0</v>
      </c>
      <c r="BTJ312" s="1716"/>
      <c r="BTK312" s="1716"/>
      <c r="BTL312" s="1716"/>
      <c r="BTM312" s="1716"/>
      <c r="BTN312" s="244"/>
      <c r="BTO312" s="244" t="s">
        <v>68</v>
      </c>
      <c r="BTP312" s="245" t="s">
        <v>68</v>
      </c>
      <c r="BTQ312" s="1715" t="s">
        <v>0</v>
      </c>
      <c r="BTR312" s="1716"/>
      <c r="BTS312" s="1716"/>
      <c r="BTT312" s="1716"/>
      <c r="BTU312" s="1716"/>
      <c r="BTV312" s="244"/>
      <c r="BTW312" s="244" t="s">
        <v>68</v>
      </c>
      <c r="BTX312" s="245" t="s">
        <v>68</v>
      </c>
      <c r="BTY312" s="1715" t="s">
        <v>0</v>
      </c>
      <c r="BTZ312" s="1716"/>
      <c r="BUA312" s="1716"/>
      <c r="BUB312" s="1716"/>
      <c r="BUC312" s="1716"/>
      <c r="BUD312" s="244"/>
      <c r="BUE312" s="244" t="s">
        <v>68</v>
      </c>
      <c r="BUF312" s="245" t="s">
        <v>68</v>
      </c>
      <c r="BUG312" s="1715" t="s">
        <v>0</v>
      </c>
      <c r="BUH312" s="1716"/>
      <c r="BUI312" s="1716"/>
      <c r="BUJ312" s="1716"/>
      <c r="BUK312" s="1716"/>
      <c r="BUL312" s="244"/>
      <c r="BUM312" s="244" t="s">
        <v>68</v>
      </c>
      <c r="BUN312" s="245" t="s">
        <v>68</v>
      </c>
      <c r="BUO312" s="1715" t="s">
        <v>0</v>
      </c>
      <c r="BUP312" s="1716"/>
      <c r="BUQ312" s="1716"/>
      <c r="BUR312" s="1716"/>
      <c r="BUS312" s="1716"/>
      <c r="BUT312" s="244"/>
      <c r="BUU312" s="244" t="s">
        <v>68</v>
      </c>
      <c r="BUV312" s="245" t="s">
        <v>68</v>
      </c>
      <c r="BUW312" s="1715" t="s">
        <v>0</v>
      </c>
      <c r="BUX312" s="1716"/>
      <c r="BUY312" s="1716"/>
      <c r="BUZ312" s="1716"/>
      <c r="BVA312" s="1716"/>
      <c r="BVB312" s="244"/>
      <c r="BVC312" s="244" t="s">
        <v>68</v>
      </c>
      <c r="BVD312" s="245" t="s">
        <v>68</v>
      </c>
      <c r="BVE312" s="1715" t="s">
        <v>0</v>
      </c>
      <c r="BVF312" s="1716"/>
      <c r="BVG312" s="1716"/>
      <c r="BVH312" s="1716"/>
      <c r="BVI312" s="1716"/>
      <c r="BVJ312" s="244"/>
      <c r="BVK312" s="244" t="s">
        <v>68</v>
      </c>
      <c r="BVL312" s="245" t="s">
        <v>68</v>
      </c>
      <c r="BVM312" s="1715" t="s">
        <v>0</v>
      </c>
      <c r="BVN312" s="1716"/>
      <c r="BVO312" s="1716"/>
      <c r="BVP312" s="1716"/>
      <c r="BVQ312" s="1716"/>
      <c r="BVR312" s="244"/>
      <c r="BVS312" s="244" t="s">
        <v>68</v>
      </c>
      <c r="BVT312" s="245" t="s">
        <v>68</v>
      </c>
      <c r="BVU312" s="1715" t="s">
        <v>0</v>
      </c>
      <c r="BVV312" s="1716"/>
      <c r="BVW312" s="1716"/>
      <c r="BVX312" s="1716"/>
      <c r="BVY312" s="1716"/>
      <c r="BVZ312" s="244"/>
      <c r="BWA312" s="244" t="s">
        <v>68</v>
      </c>
      <c r="BWB312" s="245" t="s">
        <v>68</v>
      </c>
      <c r="BWC312" s="1715" t="s">
        <v>0</v>
      </c>
      <c r="BWD312" s="1716"/>
      <c r="BWE312" s="1716"/>
      <c r="BWF312" s="1716"/>
      <c r="BWG312" s="1716"/>
      <c r="BWH312" s="244"/>
      <c r="BWI312" s="244" t="s">
        <v>68</v>
      </c>
      <c r="BWJ312" s="245" t="s">
        <v>68</v>
      </c>
      <c r="BWK312" s="1715" t="s">
        <v>0</v>
      </c>
      <c r="BWL312" s="1716"/>
      <c r="BWM312" s="1716"/>
      <c r="BWN312" s="1716"/>
      <c r="BWO312" s="1716"/>
      <c r="BWP312" s="244"/>
      <c r="BWQ312" s="244" t="s">
        <v>68</v>
      </c>
      <c r="BWR312" s="245" t="s">
        <v>68</v>
      </c>
      <c r="BWS312" s="1715" t="s">
        <v>0</v>
      </c>
      <c r="BWT312" s="1716"/>
      <c r="BWU312" s="1716"/>
      <c r="BWV312" s="1716"/>
      <c r="BWW312" s="1716"/>
      <c r="BWX312" s="244"/>
      <c r="BWY312" s="244" t="s">
        <v>68</v>
      </c>
      <c r="BWZ312" s="245" t="s">
        <v>68</v>
      </c>
      <c r="BXA312" s="1715" t="s">
        <v>0</v>
      </c>
      <c r="BXB312" s="1716"/>
      <c r="BXC312" s="1716"/>
      <c r="BXD312" s="1716"/>
      <c r="BXE312" s="1716"/>
      <c r="BXF312" s="244"/>
      <c r="BXG312" s="244" t="s">
        <v>68</v>
      </c>
      <c r="BXH312" s="245" t="s">
        <v>68</v>
      </c>
      <c r="BXI312" s="1715" t="s">
        <v>0</v>
      </c>
      <c r="BXJ312" s="1716"/>
      <c r="BXK312" s="1716"/>
      <c r="BXL312" s="1716"/>
      <c r="BXM312" s="1716"/>
      <c r="BXN312" s="244"/>
      <c r="BXO312" s="244" t="s">
        <v>68</v>
      </c>
      <c r="BXP312" s="245" t="s">
        <v>68</v>
      </c>
      <c r="BXQ312" s="1715" t="s">
        <v>0</v>
      </c>
      <c r="BXR312" s="1716"/>
      <c r="BXS312" s="1716"/>
      <c r="BXT312" s="1716"/>
      <c r="BXU312" s="1716"/>
      <c r="BXV312" s="244"/>
      <c r="BXW312" s="244" t="s">
        <v>68</v>
      </c>
      <c r="BXX312" s="245" t="s">
        <v>68</v>
      </c>
      <c r="BXY312" s="1715" t="s">
        <v>0</v>
      </c>
      <c r="BXZ312" s="1716"/>
      <c r="BYA312" s="1716"/>
      <c r="BYB312" s="1716"/>
      <c r="BYC312" s="1716"/>
      <c r="BYD312" s="244"/>
      <c r="BYE312" s="244" t="s">
        <v>68</v>
      </c>
      <c r="BYF312" s="245" t="s">
        <v>68</v>
      </c>
      <c r="BYG312" s="1715" t="s">
        <v>0</v>
      </c>
      <c r="BYH312" s="1716"/>
      <c r="BYI312" s="1716"/>
      <c r="BYJ312" s="1716"/>
      <c r="BYK312" s="1716"/>
      <c r="BYL312" s="244"/>
      <c r="BYM312" s="244" t="s">
        <v>68</v>
      </c>
      <c r="BYN312" s="245" t="s">
        <v>68</v>
      </c>
      <c r="BYO312" s="1715" t="s">
        <v>0</v>
      </c>
      <c r="BYP312" s="1716"/>
      <c r="BYQ312" s="1716"/>
      <c r="BYR312" s="1716"/>
      <c r="BYS312" s="1716"/>
      <c r="BYT312" s="244"/>
      <c r="BYU312" s="244" t="s">
        <v>68</v>
      </c>
      <c r="BYV312" s="245" t="s">
        <v>68</v>
      </c>
      <c r="BYW312" s="1715" t="s">
        <v>0</v>
      </c>
      <c r="BYX312" s="1716"/>
      <c r="BYY312" s="1716"/>
      <c r="BYZ312" s="1716"/>
      <c r="BZA312" s="1716"/>
      <c r="BZB312" s="244"/>
      <c r="BZC312" s="244" t="s">
        <v>68</v>
      </c>
      <c r="BZD312" s="245" t="s">
        <v>68</v>
      </c>
      <c r="BZE312" s="1715" t="s">
        <v>0</v>
      </c>
      <c r="BZF312" s="1716"/>
      <c r="BZG312" s="1716"/>
      <c r="BZH312" s="1716"/>
      <c r="BZI312" s="1716"/>
      <c r="BZJ312" s="244"/>
      <c r="BZK312" s="244" t="s">
        <v>68</v>
      </c>
      <c r="BZL312" s="245" t="s">
        <v>68</v>
      </c>
      <c r="BZM312" s="1715" t="s">
        <v>0</v>
      </c>
      <c r="BZN312" s="1716"/>
      <c r="BZO312" s="1716"/>
      <c r="BZP312" s="1716"/>
      <c r="BZQ312" s="1716"/>
      <c r="BZR312" s="244"/>
      <c r="BZS312" s="244" t="s">
        <v>68</v>
      </c>
      <c r="BZT312" s="245" t="s">
        <v>68</v>
      </c>
      <c r="BZU312" s="1715" t="s">
        <v>0</v>
      </c>
      <c r="BZV312" s="1716"/>
      <c r="BZW312" s="1716"/>
      <c r="BZX312" s="1716"/>
      <c r="BZY312" s="1716"/>
      <c r="BZZ312" s="244"/>
      <c r="CAA312" s="244" t="s">
        <v>68</v>
      </c>
      <c r="CAB312" s="245" t="s">
        <v>68</v>
      </c>
      <c r="CAC312" s="1715" t="s">
        <v>0</v>
      </c>
      <c r="CAD312" s="1716"/>
      <c r="CAE312" s="1716"/>
      <c r="CAF312" s="1716"/>
      <c r="CAG312" s="1716"/>
      <c r="CAH312" s="244"/>
      <c r="CAI312" s="244" t="s">
        <v>68</v>
      </c>
      <c r="CAJ312" s="245" t="s">
        <v>68</v>
      </c>
      <c r="CAK312" s="1715" t="s">
        <v>0</v>
      </c>
      <c r="CAL312" s="1716"/>
      <c r="CAM312" s="1716"/>
      <c r="CAN312" s="1716"/>
      <c r="CAO312" s="1716"/>
      <c r="CAP312" s="244"/>
      <c r="CAQ312" s="244" t="s">
        <v>68</v>
      </c>
      <c r="CAR312" s="245" t="s">
        <v>68</v>
      </c>
      <c r="CAS312" s="1715" t="s">
        <v>0</v>
      </c>
      <c r="CAT312" s="1716"/>
      <c r="CAU312" s="1716"/>
      <c r="CAV312" s="1716"/>
      <c r="CAW312" s="1716"/>
      <c r="CAX312" s="244"/>
      <c r="CAY312" s="244" t="s">
        <v>68</v>
      </c>
      <c r="CAZ312" s="245" t="s">
        <v>68</v>
      </c>
      <c r="CBA312" s="1715" t="s">
        <v>0</v>
      </c>
      <c r="CBB312" s="1716"/>
      <c r="CBC312" s="1716"/>
      <c r="CBD312" s="1716"/>
      <c r="CBE312" s="1716"/>
      <c r="CBF312" s="244"/>
      <c r="CBG312" s="244" t="s">
        <v>68</v>
      </c>
      <c r="CBH312" s="245" t="s">
        <v>68</v>
      </c>
      <c r="CBI312" s="1715" t="s">
        <v>0</v>
      </c>
      <c r="CBJ312" s="1716"/>
      <c r="CBK312" s="1716"/>
      <c r="CBL312" s="1716"/>
      <c r="CBM312" s="1716"/>
      <c r="CBN312" s="244"/>
      <c r="CBO312" s="244" t="s">
        <v>68</v>
      </c>
      <c r="CBP312" s="245" t="s">
        <v>68</v>
      </c>
      <c r="CBQ312" s="1715" t="s">
        <v>0</v>
      </c>
      <c r="CBR312" s="1716"/>
      <c r="CBS312" s="1716"/>
      <c r="CBT312" s="1716"/>
      <c r="CBU312" s="1716"/>
      <c r="CBV312" s="244"/>
      <c r="CBW312" s="244" t="s">
        <v>68</v>
      </c>
      <c r="CBX312" s="245" t="s">
        <v>68</v>
      </c>
      <c r="CBY312" s="1715" t="s">
        <v>0</v>
      </c>
      <c r="CBZ312" s="1716"/>
      <c r="CCA312" s="1716"/>
      <c r="CCB312" s="1716"/>
      <c r="CCC312" s="1716"/>
      <c r="CCD312" s="244"/>
      <c r="CCE312" s="244" t="s">
        <v>68</v>
      </c>
      <c r="CCF312" s="245" t="s">
        <v>68</v>
      </c>
      <c r="CCG312" s="1715" t="s">
        <v>0</v>
      </c>
      <c r="CCH312" s="1716"/>
      <c r="CCI312" s="1716"/>
      <c r="CCJ312" s="1716"/>
      <c r="CCK312" s="1716"/>
      <c r="CCL312" s="244"/>
      <c r="CCM312" s="244" t="s">
        <v>68</v>
      </c>
      <c r="CCN312" s="245" t="s">
        <v>68</v>
      </c>
      <c r="CCO312" s="1715" t="s">
        <v>0</v>
      </c>
      <c r="CCP312" s="1716"/>
      <c r="CCQ312" s="1716"/>
      <c r="CCR312" s="1716"/>
      <c r="CCS312" s="1716"/>
      <c r="CCT312" s="244"/>
      <c r="CCU312" s="244" t="s">
        <v>68</v>
      </c>
      <c r="CCV312" s="245" t="s">
        <v>68</v>
      </c>
      <c r="CCW312" s="1715" t="s">
        <v>0</v>
      </c>
      <c r="CCX312" s="1716"/>
      <c r="CCY312" s="1716"/>
      <c r="CCZ312" s="1716"/>
      <c r="CDA312" s="1716"/>
      <c r="CDB312" s="244"/>
      <c r="CDC312" s="244" t="s">
        <v>68</v>
      </c>
      <c r="CDD312" s="245" t="s">
        <v>68</v>
      </c>
      <c r="CDE312" s="1715" t="s">
        <v>0</v>
      </c>
      <c r="CDF312" s="1716"/>
      <c r="CDG312" s="1716"/>
      <c r="CDH312" s="1716"/>
      <c r="CDI312" s="1716"/>
      <c r="CDJ312" s="244"/>
      <c r="CDK312" s="244" t="s">
        <v>68</v>
      </c>
      <c r="CDL312" s="245" t="s">
        <v>68</v>
      </c>
      <c r="CDM312" s="1715" t="s">
        <v>0</v>
      </c>
      <c r="CDN312" s="1716"/>
      <c r="CDO312" s="1716"/>
      <c r="CDP312" s="1716"/>
      <c r="CDQ312" s="1716"/>
      <c r="CDR312" s="244"/>
      <c r="CDS312" s="244" t="s">
        <v>68</v>
      </c>
      <c r="CDT312" s="245" t="s">
        <v>68</v>
      </c>
      <c r="CDU312" s="1715" t="s">
        <v>0</v>
      </c>
      <c r="CDV312" s="1716"/>
      <c r="CDW312" s="1716"/>
      <c r="CDX312" s="1716"/>
      <c r="CDY312" s="1716"/>
      <c r="CDZ312" s="244"/>
      <c r="CEA312" s="244" t="s">
        <v>68</v>
      </c>
      <c r="CEB312" s="245" t="s">
        <v>68</v>
      </c>
      <c r="CEC312" s="1715" t="s">
        <v>0</v>
      </c>
      <c r="CED312" s="1716"/>
      <c r="CEE312" s="1716"/>
      <c r="CEF312" s="1716"/>
      <c r="CEG312" s="1716"/>
      <c r="CEH312" s="244"/>
      <c r="CEI312" s="244" t="s">
        <v>68</v>
      </c>
      <c r="CEJ312" s="245" t="s">
        <v>68</v>
      </c>
      <c r="CEK312" s="1715" t="s">
        <v>0</v>
      </c>
      <c r="CEL312" s="1716"/>
      <c r="CEM312" s="1716"/>
      <c r="CEN312" s="1716"/>
      <c r="CEO312" s="1716"/>
      <c r="CEP312" s="244"/>
      <c r="CEQ312" s="244" t="s">
        <v>68</v>
      </c>
      <c r="CER312" s="245" t="s">
        <v>68</v>
      </c>
      <c r="CES312" s="1715" t="s">
        <v>0</v>
      </c>
      <c r="CET312" s="1716"/>
      <c r="CEU312" s="1716"/>
      <c r="CEV312" s="1716"/>
      <c r="CEW312" s="1716"/>
      <c r="CEX312" s="244"/>
      <c r="CEY312" s="244" t="s">
        <v>68</v>
      </c>
      <c r="CEZ312" s="245" t="s">
        <v>68</v>
      </c>
      <c r="CFA312" s="1715" t="s">
        <v>0</v>
      </c>
      <c r="CFB312" s="1716"/>
      <c r="CFC312" s="1716"/>
      <c r="CFD312" s="1716"/>
      <c r="CFE312" s="1716"/>
      <c r="CFF312" s="244"/>
      <c r="CFG312" s="244" t="s">
        <v>68</v>
      </c>
      <c r="CFH312" s="245" t="s">
        <v>68</v>
      </c>
      <c r="CFI312" s="1715" t="s">
        <v>0</v>
      </c>
      <c r="CFJ312" s="1716"/>
      <c r="CFK312" s="1716"/>
      <c r="CFL312" s="1716"/>
      <c r="CFM312" s="1716"/>
      <c r="CFN312" s="244"/>
      <c r="CFO312" s="244" t="s">
        <v>68</v>
      </c>
      <c r="CFP312" s="245" t="s">
        <v>68</v>
      </c>
      <c r="CFQ312" s="1715" t="s">
        <v>0</v>
      </c>
      <c r="CFR312" s="1716"/>
      <c r="CFS312" s="1716"/>
      <c r="CFT312" s="1716"/>
      <c r="CFU312" s="1716"/>
      <c r="CFV312" s="244"/>
      <c r="CFW312" s="244" t="s">
        <v>68</v>
      </c>
      <c r="CFX312" s="245" t="s">
        <v>68</v>
      </c>
      <c r="CFY312" s="1715" t="s">
        <v>0</v>
      </c>
      <c r="CFZ312" s="1716"/>
      <c r="CGA312" s="1716"/>
      <c r="CGB312" s="1716"/>
      <c r="CGC312" s="1716"/>
      <c r="CGD312" s="244"/>
      <c r="CGE312" s="244" t="s">
        <v>68</v>
      </c>
      <c r="CGF312" s="245" t="s">
        <v>68</v>
      </c>
      <c r="CGG312" s="1715" t="s">
        <v>0</v>
      </c>
      <c r="CGH312" s="1716"/>
      <c r="CGI312" s="1716"/>
      <c r="CGJ312" s="1716"/>
      <c r="CGK312" s="1716"/>
      <c r="CGL312" s="244"/>
      <c r="CGM312" s="244" t="s">
        <v>68</v>
      </c>
      <c r="CGN312" s="245" t="s">
        <v>68</v>
      </c>
      <c r="CGO312" s="1715" t="s">
        <v>0</v>
      </c>
      <c r="CGP312" s="1716"/>
      <c r="CGQ312" s="1716"/>
      <c r="CGR312" s="1716"/>
      <c r="CGS312" s="1716"/>
      <c r="CGT312" s="244"/>
      <c r="CGU312" s="244" t="s">
        <v>68</v>
      </c>
      <c r="CGV312" s="245" t="s">
        <v>68</v>
      </c>
      <c r="CGW312" s="1715" t="s">
        <v>0</v>
      </c>
      <c r="CGX312" s="1716"/>
      <c r="CGY312" s="1716"/>
      <c r="CGZ312" s="1716"/>
      <c r="CHA312" s="1716"/>
      <c r="CHB312" s="244"/>
      <c r="CHC312" s="244" t="s">
        <v>68</v>
      </c>
      <c r="CHD312" s="245" t="s">
        <v>68</v>
      </c>
      <c r="CHE312" s="1715" t="s">
        <v>0</v>
      </c>
      <c r="CHF312" s="1716"/>
      <c r="CHG312" s="1716"/>
      <c r="CHH312" s="1716"/>
      <c r="CHI312" s="1716"/>
      <c r="CHJ312" s="244"/>
      <c r="CHK312" s="244" t="s">
        <v>68</v>
      </c>
      <c r="CHL312" s="245" t="s">
        <v>68</v>
      </c>
      <c r="CHM312" s="1715" t="s">
        <v>0</v>
      </c>
      <c r="CHN312" s="1716"/>
      <c r="CHO312" s="1716"/>
      <c r="CHP312" s="1716"/>
      <c r="CHQ312" s="1716"/>
      <c r="CHR312" s="244"/>
      <c r="CHS312" s="244" t="s">
        <v>68</v>
      </c>
      <c r="CHT312" s="245" t="s">
        <v>68</v>
      </c>
      <c r="CHU312" s="1715" t="s">
        <v>0</v>
      </c>
      <c r="CHV312" s="1716"/>
      <c r="CHW312" s="1716"/>
      <c r="CHX312" s="1716"/>
      <c r="CHY312" s="1716"/>
      <c r="CHZ312" s="244"/>
      <c r="CIA312" s="244" t="s">
        <v>68</v>
      </c>
      <c r="CIB312" s="245" t="s">
        <v>68</v>
      </c>
      <c r="CIC312" s="1715" t="s">
        <v>0</v>
      </c>
      <c r="CID312" s="1716"/>
      <c r="CIE312" s="1716"/>
      <c r="CIF312" s="1716"/>
      <c r="CIG312" s="1716"/>
      <c r="CIH312" s="244"/>
      <c r="CII312" s="244" t="s">
        <v>68</v>
      </c>
      <c r="CIJ312" s="245" t="s">
        <v>68</v>
      </c>
      <c r="CIK312" s="1715" t="s">
        <v>0</v>
      </c>
      <c r="CIL312" s="1716"/>
      <c r="CIM312" s="1716"/>
      <c r="CIN312" s="1716"/>
      <c r="CIO312" s="1716"/>
      <c r="CIP312" s="244"/>
      <c r="CIQ312" s="244" t="s">
        <v>68</v>
      </c>
      <c r="CIR312" s="245" t="s">
        <v>68</v>
      </c>
      <c r="CIS312" s="1715" t="s">
        <v>0</v>
      </c>
      <c r="CIT312" s="1716"/>
      <c r="CIU312" s="1716"/>
      <c r="CIV312" s="1716"/>
      <c r="CIW312" s="1716"/>
      <c r="CIX312" s="244"/>
      <c r="CIY312" s="244" t="s">
        <v>68</v>
      </c>
      <c r="CIZ312" s="245" t="s">
        <v>68</v>
      </c>
      <c r="CJA312" s="1715" t="s">
        <v>0</v>
      </c>
      <c r="CJB312" s="1716"/>
      <c r="CJC312" s="1716"/>
      <c r="CJD312" s="1716"/>
      <c r="CJE312" s="1716"/>
      <c r="CJF312" s="244"/>
      <c r="CJG312" s="244" t="s">
        <v>68</v>
      </c>
      <c r="CJH312" s="245" t="s">
        <v>68</v>
      </c>
      <c r="CJI312" s="1715" t="s">
        <v>0</v>
      </c>
      <c r="CJJ312" s="1716"/>
      <c r="CJK312" s="1716"/>
      <c r="CJL312" s="1716"/>
      <c r="CJM312" s="1716"/>
      <c r="CJN312" s="244"/>
      <c r="CJO312" s="244" t="s">
        <v>68</v>
      </c>
      <c r="CJP312" s="245" t="s">
        <v>68</v>
      </c>
      <c r="CJQ312" s="1715" t="s">
        <v>0</v>
      </c>
      <c r="CJR312" s="1716"/>
      <c r="CJS312" s="1716"/>
      <c r="CJT312" s="1716"/>
      <c r="CJU312" s="1716"/>
      <c r="CJV312" s="244"/>
      <c r="CJW312" s="244" t="s">
        <v>68</v>
      </c>
      <c r="CJX312" s="245" t="s">
        <v>68</v>
      </c>
      <c r="CJY312" s="1715" t="s">
        <v>0</v>
      </c>
      <c r="CJZ312" s="1716"/>
      <c r="CKA312" s="1716"/>
      <c r="CKB312" s="1716"/>
      <c r="CKC312" s="1716"/>
      <c r="CKD312" s="244"/>
      <c r="CKE312" s="244" t="s">
        <v>68</v>
      </c>
      <c r="CKF312" s="245" t="s">
        <v>68</v>
      </c>
      <c r="CKG312" s="1715" t="s">
        <v>0</v>
      </c>
      <c r="CKH312" s="1716"/>
      <c r="CKI312" s="1716"/>
      <c r="CKJ312" s="1716"/>
      <c r="CKK312" s="1716"/>
      <c r="CKL312" s="244"/>
      <c r="CKM312" s="244" t="s">
        <v>68</v>
      </c>
      <c r="CKN312" s="245" t="s">
        <v>68</v>
      </c>
      <c r="CKO312" s="1715" t="s">
        <v>0</v>
      </c>
      <c r="CKP312" s="1716"/>
      <c r="CKQ312" s="1716"/>
      <c r="CKR312" s="1716"/>
      <c r="CKS312" s="1716"/>
      <c r="CKT312" s="244"/>
      <c r="CKU312" s="244" t="s">
        <v>68</v>
      </c>
      <c r="CKV312" s="245" t="s">
        <v>68</v>
      </c>
      <c r="CKW312" s="1715" t="s">
        <v>0</v>
      </c>
      <c r="CKX312" s="1716"/>
      <c r="CKY312" s="1716"/>
      <c r="CKZ312" s="1716"/>
      <c r="CLA312" s="1716"/>
      <c r="CLB312" s="244"/>
      <c r="CLC312" s="244" t="s">
        <v>68</v>
      </c>
      <c r="CLD312" s="245" t="s">
        <v>68</v>
      </c>
      <c r="CLE312" s="1715" t="s">
        <v>0</v>
      </c>
      <c r="CLF312" s="1716"/>
      <c r="CLG312" s="1716"/>
      <c r="CLH312" s="1716"/>
      <c r="CLI312" s="1716"/>
      <c r="CLJ312" s="244"/>
      <c r="CLK312" s="244" t="s">
        <v>68</v>
      </c>
      <c r="CLL312" s="245" t="s">
        <v>68</v>
      </c>
      <c r="CLM312" s="1715" t="s">
        <v>0</v>
      </c>
      <c r="CLN312" s="1716"/>
      <c r="CLO312" s="1716"/>
      <c r="CLP312" s="1716"/>
      <c r="CLQ312" s="1716"/>
      <c r="CLR312" s="244"/>
      <c r="CLS312" s="244" t="s">
        <v>68</v>
      </c>
      <c r="CLT312" s="245" t="s">
        <v>68</v>
      </c>
      <c r="CLU312" s="1715" t="s">
        <v>0</v>
      </c>
      <c r="CLV312" s="1716"/>
      <c r="CLW312" s="1716"/>
      <c r="CLX312" s="1716"/>
      <c r="CLY312" s="1716"/>
      <c r="CLZ312" s="244"/>
      <c r="CMA312" s="244" t="s">
        <v>68</v>
      </c>
      <c r="CMB312" s="245" t="s">
        <v>68</v>
      </c>
      <c r="CMC312" s="1715" t="s">
        <v>0</v>
      </c>
      <c r="CMD312" s="1716"/>
      <c r="CME312" s="1716"/>
      <c r="CMF312" s="1716"/>
      <c r="CMG312" s="1716"/>
      <c r="CMH312" s="244"/>
      <c r="CMI312" s="244" t="s">
        <v>68</v>
      </c>
      <c r="CMJ312" s="245" t="s">
        <v>68</v>
      </c>
      <c r="CMK312" s="1715" t="s">
        <v>0</v>
      </c>
      <c r="CML312" s="1716"/>
      <c r="CMM312" s="1716"/>
      <c r="CMN312" s="1716"/>
      <c r="CMO312" s="1716"/>
      <c r="CMP312" s="244"/>
      <c r="CMQ312" s="244" t="s">
        <v>68</v>
      </c>
      <c r="CMR312" s="245" t="s">
        <v>68</v>
      </c>
      <c r="CMS312" s="1715" t="s">
        <v>0</v>
      </c>
      <c r="CMT312" s="1716"/>
      <c r="CMU312" s="1716"/>
      <c r="CMV312" s="1716"/>
      <c r="CMW312" s="1716"/>
      <c r="CMX312" s="244"/>
      <c r="CMY312" s="244" t="s">
        <v>68</v>
      </c>
      <c r="CMZ312" s="245" t="s">
        <v>68</v>
      </c>
      <c r="CNA312" s="1715" t="s">
        <v>0</v>
      </c>
      <c r="CNB312" s="1716"/>
      <c r="CNC312" s="1716"/>
      <c r="CND312" s="1716"/>
      <c r="CNE312" s="1716"/>
      <c r="CNF312" s="244"/>
      <c r="CNG312" s="244" t="s">
        <v>68</v>
      </c>
      <c r="CNH312" s="245" t="s">
        <v>68</v>
      </c>
      <c r="CNI312" s="1715" t="s">
        <v>0</v>
      </c>
      <c r="CNJ312" s="1716"/>
      <c r="CNK312" s="1716"/>
      <c r="CNL312" s="1716"/>
      <c r="CNM312" s="1716"/>
      <c r="CNN312" s="244"/>
      <c r="CNO312" s="244" t="s">
        <v>68</v>
      </c>
      <c r="CNP312" s="245" t="s">
        <v>68</v>
      </c>
      <c r="CNQ312" s="1715" t="s">
        <v>0</v>
      </c>
      <c r="CNR312" s="1716"/>
      <c r="CNS312" s="1716"/>
      <c r="CNT312" s="1716"/>
      <c r="CNU312" s="1716"/>
      <c r="CNV312" s="244"/>
      <c r="CNW312" s="244" t="s">
        <v>68</v>
      </c>
      <c r="CNX312" s="245" t="s">
        <v>68</v>
      </c>
      <c r="CNY312" s="1715" t="s">
        <v>0</v>
      </c>
      <c r="CNZ312" s="1716"/>
      <c r="COA312" s="1716"/>
      <c r="COB312" s="1716"/>
      <c r="COC312" s="1716"/>
      <c r="COD312" s="244"/>
      <c r="COE312" s="244" t="s">
        <v>68</v>
      </c>
      <c r="COF312" s="245" t="s">
        <v>68</v>
      </c>
      <c r="COG312" s="1715" t="s">
        <v>0</v>
      </c>
      <c r="COH312" s="1716"/>
      <c r="COI312" s="1716"/>
      <c r="COJ312" s="1716"/>
      <c r="COK312" s="1716"/>
      <c r="COL312" s="244"/>
      <c r="COM312" s="244" t="s">
        <v>68</v>
      </c>
      <c r="CON312" s="245" t="s">
        <v>68</v>
      </c>
      <c r="COO312" s="1715" t="s">
        <v>0</v>
      </c>
      <c r="COP312" s="1716"/>
      <c r="COQ312" s="1716"/>
      <c r="COR312" s="1716"/>
      <c r="COS312" s="1716"/>
      <c r="COT312" s="244"/>
      <c r="COU312" s="244" t="s">
        <v>68</v>
      </c>
      <c r="COV312" s="245" t="s">
        <v>68</v>
      </c>
      <c r="COW312" s="1715" t="s">
        <v>0</v>
      </c>
      <c r="COX312" s="1716"/>
      <c r="COY312" s="1716"/>
      <c r="COZ312" s="1716"/>
      <c r="CPA312" s="1716"/>
      <c r="CPB312" s="244"/>
      <c r="CPC312" s="244" t="s">
        <v>68</v>
      </c>
      <c r="CPD312" s="245" t="s">
        <v>68</v>
      </c>
      <c r="CPE312" s="1715" t="s">
        <v>0</v>
      </c>
      <c r="CPF312" s="1716"/>
      <c r="CPG312" s="1716"/>
      <c r="CPH312" s="1716"/>
      <c r="CPI312" s="1716"/>
      <c r="CPJ312" s="244"/>
      <c r="CPK312" s="244" t="s">
        <v>68</v>
      </c>
      <c r="CPL312" s="245" t="s">
        <v>68</v>
      </c>
      <c r="CPM312" s="1715" t="s">
        <v>0</v>
      </c>
      <c r="CPN312" s="1716"/>
      <c r="CPO312" s="1716"/>
      <c r="CPP312" s="1716"/>
      <c r="CPQ312" s="1716"/>
      <c r="CPR312" s="244"/>
      <c r="CPS312" s="244" t="s">
        <v>68</v>
      </c>
      <c r="CPT312" s="245" t="s">
        <v>68</v>
      </c>
      <c r="CPU312" s="1715" t="s">
        <v>0</v>
      </c>
      <c r="CPV312" s="1716"/>
      <c r="CPW312" s="1716"/>
      <c r="CPX312" s="1716"/>
      <c r="CPY312" s="1716"/>
      <c r="CPZ312" s="244"/>
      <c r="CQA312" s="244" t="s">
        <v>68</v>
      </c>
      <c r="CQB312" s="245" t="s">
        <v>68</v>
      </c>
      <c r="CQC312" s="1715" t="s">
        <v>0</v>
      </c>
      <c r="CQD312" s="1716"/>
      <c r="CQE312" s="1716"/>
      <c r="CQF312" s="1716"/>
      <c r="CQG312" s="1716"/>
      <c r="CQH312" s="244"/>
      <c r="CQI312" s="244" t="s">
        <v>68</v>
      </c>
      <c r="CQJ312" s="245" t="s">
        <v>68</v>
      </c>
      <c r="CQK312" s="1715" t="s">
        <v>0</v>
      </c>
      <c r="CQL312" s="1716"/>
      <c r="CQM312" s="1716"/>
      <c r="CQN312" s="1716"/>
      <c r="CQO312" s="1716"/>
      <c r="CQP312" s="244"/>
      <c r="CQQ312" s="244" t="s">
        <v>68</v>
      </c>
      <c r="CQR312" s="245" t="s">
        <v>68</v>
      </c>
      <c r="CQS312" s="1715" t="s">
        <v>0</v>
      </c>
      <c r="CQT312" s="1716"/>
      <c r="CQU312" s="1716"/>
      <c r="CQV312" s="1716"/>
      <c r="CQW312" s="1716"/>
      <c r="CQX312" s="244"/>
      <c r="CQY312" s="244" t="s">
        <v>68</v>
      </c>
      <c r="CQZ312" s="245" t="s">
        <v>68</v>
      </c>
      <c r="CRA312" s="1715" t="s">
        <v>0</v>
      </c>
      <c r="CRB312" s="1716"/>
      <c r="CRC312" s="1716"/>
      <c r="CRD312" s="1716"/>
      <c r="CRE312" s="1716"/>
      <c r="CRF312" s="244"/>
      <c r="CRG312" s="244" t="s">
        <v>68</v>
      </c>
      <c r="CRH312" s="245" t="s">
        <v>68</v>
      </c>
      <c r="CRI312" s="1715" t="s">
        <v>0</v>
      </c>
      <c r="CRJ312" s="1716"/>
      <c r="CRK312" s="1716"/>
      <c r="CRL312" s="1716"/>
      <c r="CRM312" s="1716"/>
      <c r="CRN312" s="244"/>
      <c r="CRO312" s="244" t="s">
        <v>68</v>
      </c>
      <c r="CRP312" s="245" t="s">
        <v>68</v>
      </c>
      <c r="CRQ312" s="1715" t="s">
        <v>0</v>
      </c>
      <c r="CRR312" s="1716"/>
      <c r="CRS312" s="1716"/>
      <c r="CRT312" s="1716"/>
      <c r="CRU312" s="1716"/>
      <c r="CRV312" s="244"/>
      <c r="CRW312" s="244" t="s">
        <v>68</v>
      </c>
      <c r="CRX312" s="245" t="s">
        <v>68</v>
      </c>
      <c r="CRY312" s="1715" t="s">
        <v>0</v>
      </c>
      <c r="CRZ312" s="1716"/>
      <c r="CSA312" s="1716"/>
      <c r="CSB312" s="1716"/>
      <c r="CSC312" s="1716"/>
      <c r="CSD312" s="244"/>
      <c r="CSE312" s="244" t="s">
        <v>68</v>
      </c>
      <c r="CSF312" s="245" t="s">
        <v>68</v>
      </c>
      <c r="CSG312" s="1715" t="s">
        <v>0</v>
      </c>
      <c r="CSH312" s="1716"/>
      <c r="CSI312" s="1716"/>
      <c r="CSJ312" s="1716"/>
      <c r="CSK312" s="1716"/>
      <c r="CSL312" s="244"/>
      <c r="CSM312" s="244" t="s">
        <v>68</v>
      </c>
      <c r="CSN312" s="245" t="s">
        <v>68</v>
      </c>
      <c r="CSO312" s="1715" t="s">
        <v>0</v>
      </c>
      <c r="CSP312" s="1716"/>
      <c r="CSQ312" s="1716"/>
      <c r="CSR312" s="1716"/>
      <c r="CSS312" s="1716"/>
      <c r="CST312" s="244"/>
      <c r="CSU312" s="244" t="s">
        <v>68</v>
      </c>
      <c r="CSV312" s="245" t="s">
        <v>68</v>
      </c>
      <c r="CSW312" s="1715" t="s">
        <v>0</v>
      </c>
      <c r="CSX312" s="1716"/>
      <c r="CSY312" s="1716"/>
      <c r="CSZ312" s="1716"/>
      <c r="CTA312" s="1716"/>
      <c r="CTB312" s="244"/>
      <c r="CTC312" s="244" t="s">
        <v>68</v>
      </c>
      <c r="CTD312" s="245" t="s">
        <v>68</v>
      </c>
      <c r="CTE312" s="1715" t="s">
        <v>0</v>
      </c>
      <c r="CTF312" s="1716"/>
      <c r="CTG312" s="1716"/>
      <c r="CTH312" s="1716"/>
      <c r="CTI312" s="1716"/>
      <c r="CTJ312" s="244"/>
      <c r="CTK312" s="244" t="s">
        <v>68</v>
      </c>
      <c r="CTL312" s="245" t="s">
        <v>68</v>
      </c>
      <c r="CTM312" s="1715" t="s">
        <v>0</v>
      </c>
      <c r="CTN312" s="1716"/>
      <c r="CTO312" s="1716"/>
      <c r="CTP312" s="1716"/>
      <c r="CTQ312" s="1716"/>
      <c r="CTR312" s="244"/>
      <c r="CTS312" s="244" t="s">
        <v>68</v>
      </c>
      <c r="CTT312" s="245" t="s">
        <v>68</v>
      </c>
      <c r="CTU312" s="1715" t="s">
        <v>0</v>
      </c>
      <c r="CTV312" s="1716"/>
      <c r="CTW312" s="1716"/>
      <c r="CTX312" s="1716"/>
      <c r="CTY312" s="1716"/>
      <c r="CTZ312" s="244"/>
      <c r="CUA312" s="244" t="s">
        <v>68</v>
      </c>
      <c r="CUB312" s="245" t="s">
        <v>68</v>
      </c>
      <c r="CUC312" s="1715" t="s">
        <v>0</v>
      </c>
      <c r="CUD312" s="1716"/>
      <c r="CUE312" s="1716"/>
      <c r="CUF312" s="1716"/>
      <c r="CUG312" s="1716"/>
      <c r="CUH312" s="244"/>
      <c r="CUI312" s="244" t="s">
        <v>68</v>
      </c>
      <c r="CUJ312" s="245" t="s">
        <v>68</v>
      </c>
      <c r="CUK312" s="1715" t="s">
        <v>0</v>
      </c>
      <c r="CUL312" s="1716"/>
      <c r="CUM312" s="1716"/>
      <c r="CUN312" s="1716"/>
      <c r="CUO312" s="1716"/>
      <c r="CUP312" s="244"/>
      <c r="CUQ312" s="244" t="s">
        <v>68</v>
      </c>
      <c r="CUR312" s="245" t="s">
        <v>68</v>
      </c>
      <c r="CUS312" s="1715" t="s">
        <v>0</v>
      </c>
      <c r="CUT312" s="1716"/>
      <c r="CUU312" s="1716"/>
      <c r="CUV312" s="1716"/>
      <c r="CUW312" s="1716"/>
      <c r="CUX312" s="244"/>
      <c r="CUY312" s="244" t="s">
        <v>68</v>
      </c>
      <c r="CUZ312" s="245" t="s">
        <v>68</v>
      </c>
      <c r="CVA312" s="1715" t="s">
        <v>0</v>
      </c>
      <c r="CVB312" s="1716"/>
      <c r="CVC312" s="1716"/>
      <c r="CVD312" s="1716"/>
      <c r="CVE312" s="1716"/>
      <c r="CVF312" s="244"/>
      <c r="CVG312" s="244" t="s">
        <v>68</v>
      </c>
      <c r="CVH312" s="245" t="s">
        <v>68</v>
      </c>
      <c r="CVI312" s="1715" t="s">
        <v>0</v>
      </c>
      <c r="CVJ312" s="1716"/>
      <c r="CVK312" s="1716"/>
      <c r="CVL312" s="1716"/>
      <c r="CVM312" s="1716"/>
      <c r="CVN312" s="244"/>
      <c r="CVO312" s="244" t="s">
        <v>68</v>
      </c>
      <c r="CVP312" s="245" t="s">
        <v>68</v>
      </c>
      <c r="CVQ312" s="1715" t="s">
        <v>0</v>
      </c>
      <c r="CVR312" s="1716"/>
      <c r="CVS312" s="1716"/>
      <c r="CVT312" s="1716"/>
      <c r="CVU312" s="1716"/>
      <c r="CVV312" s="244"/>
      <c r="CVW312" s="244" t="s">
        <v>68</v>
      </c>
      <c r="CVX312" s="245" t="s">
        <v>68</v>
      </c>
      <c r="CVY312" s="1715" t="s">
        <v>0</v>
      </c>
      <c r="CVZ312" s="1716"/>
      <c r="CWA312" s="1716"/>
      <c r="CWB312" s="1716"/>
      <c r="CWC312" s="1716"/>
      <c r="CWD312" s="244"/>
      <c r="CWE312" s="244" t="s">
        <v>68</v>
      </c>
      <c r="CWF312" s="245" t="s">
        <v>68</v>
      </c>
      <c r="CWG312" s="1715" t="s">
        <v>0</v>
      </c>
      <c r="CWH312" s="1716"/>
      <c r="CWI312" s="1716"/>
      <c r="CWJ312" s="1716"/>
      <c r="CWK312" s="1716"/>
      <c r="CWL312" s="244"/>
      <c r="CWM312" s="244" t="s">
        <v>68</v>
      </c>
      <c r="CWN312" s="245" t="s">
        <v>68</v>
      </c>
      <c r="CWO312" s="1715" t="s">
        <v>0</v>
      </c>
      <c r="CWP312" s="1716"/>
      <c r="CWQ312" s="1716"/>
      <c r="CWR312" s="1716"/>
      <c r="CWS312" s="1716"/>
      <c r="CWT312" s="244"/>
      <c r="CWU312" s="244" t="s">
        <v>68</v>
      </c>
      <c r="CWV312" s="245" t="s">
        <v>68</v>
      </c>
      <c r="CWW312" s="1715" t="s">
        <v>0</v>
      </c>
      <c r="CWX312" s="1716"/>
      <c r="CWY312" s="1716"/>
      <c r="CWZ312" s="1716"/>
      <c r="CXA312" s="1716"/>
      <c r="CXB312" s="244"/>
      <c r="CXC312" s="244" t="s">
        <v>68</v>
      </c>
      <c r="CXD312" s="245" t="s">
        <v>68</v>
      </c>
      <c r="CXE312" s="1715" t="s">
        <v>0</v>
      </c>
      <c r="CXF312" s="1716"/>
      <c r="CXG312" s="1716"/>
      <c r="CXH312" s="1716"/>
      <c r="CXI312" s="1716"/>
      <c r="CXJ312" s="244"/>
      <c r="CXK312" s="244" t="s">
        <v>68</v>
      </c>
      <c r="CXL312" s="245" t="s">
        <v>68</v>
      </c>
      <c r="CXM312" s="1715" t="s">
        <v>0</v>
      </c>
      <c r="CXN312" s="1716"/>
      <c r="CXO312" s="1716"/>
      <c r="CXP312" s="1716"/>
      <c r="CXQ312" s="1716"/>
      <c r="CXR312" s="244"/>
      <c r="CXS312" s="244" t="s">
        <v>68</v>
      </c>
      <c r="CXT312" s="245" t="s">
        <v>68</v>
      </c>
      <c r="CXU312" s="1715" t="s">
        <v>0</v>
      </c>
      <c r="CXV312" s="1716"/>
      <c r="CXW312" s="1716"/>
      <c r="CXX312" s="1716"/>
      <c r="CXY312" s="1716"/>
      <c r="CXZ312" s="244"/>
      <c r="CYA312" s="244" t="s">
        <v>68</v>
      </c>
      <c r="CYB312" s="245" t="s">
        <v>68</v>
      </c>
      <c r="CYC312" s="1715" t="s">
        <v>0</v>
      </c>
      <c r="CYD312" s="1716"/>
      <c r="CYE312" s="1716"/>
      <c r="CYF312" s="1716"/>
      <c r="CYG312" s="1716"/>
      <c r="CYH312" s="244"/>
      <c r="CYI312" s="244" t="s">
        <v>68</v>
      </c>
      <c r="CYJ312" s="245" t="s">
        <v>68</v>
      </c>
      <c r="CYK312" s="1715" t="s">
        <v>0</v>
      </c>
      <c r="CYL312" s="1716"/>
      <c r="CYM312" s="1716"/>
      <c r="CYN312" s="1716"/>
      <c r="CYO312" s="1716"/>
      <c r="CYP312" s="244"/>
      <c r="CYQ312" s="244" t="s">
        <v>68</v>
      </c>
      <c r="CYR312" s="245" t="s">
        <v>68</v>
      </c>
      <c r="CYS312" s="1715" t="s">
        <v>0</v>
      </c>
      <c r="CYT312" s="1716"/>
      <c r="CYU312" s="1716"/>
      <c r="CYV312" s="1716"/>
      <c r="CYW312" s="1716"/>
      <c r="CYX312" s="244"/>
      <c r="CYY312" s="244" t="s">
        <v>68</v>
      </c>
      <c r="CYZ312" s="245" t="s">
        <v>68</v>
      </c>
      <c r="CZA312" s="1715" t="s">
        <v>0</v>
      </c>
      <c r="CZB312" s="1716"/>
      <c r="CZC312" s="1716"/>
      <c r="CZD312" s="1716"/>
      <c r="CZE312" s="1716"/>
      <c r="CZF312" s="244"/>
      <c r="CZG312" s="244" t="s">
        <v>68</v>
      </c>
      <c r="CZH312" s="245" t="s">
        <v>68</v>
      </c>
      <c r="CZI312" s="1715" t="s">
        <v>0</v>
      </c>
      <c r="CZJ312" s="1716"/>
      <c r="CZK312" s="1716"/>
      <c r="CZL312" s="1716"/>
      <c r="CZM312" s="1716"/>
      <c r="CZN312" s="244"/>
      <c r="CZO312" s="244" t="s">
        <v>68</v>
      </c>
      <c r="CZP312" s="245" t="s">
        <v>68</v>
      </c>
      <c r="CZQ312" s="1715" t="s">
        <v>0</v>
      </c>
      <c r="CZR312" s="1716"/>
      <c r="CZS312" s="1716"/>
      <c r="CZT312" s="1716"/>
      <c r="CZU312" s="1716"/>
      <c r="CZV312" s="244"/>
      <c r="CZW312" s="244" t="s">
        <v>68</v>
      </c>
      <c r="CZX312" s="245" t="s">
        <v>68</v>
      </c>
      <c r="CZY312" s="1715" t="s">
        <v>0</v>
      </c>
      <c r="CZZ312" s="1716"/>
      <c r="DAA312" s="1716"/>
      <c r="DAB312" s="1716"/>
      <c r="DAC312" s="1716"/>
      <c r="DAD312" s="244"/>
      <c r="DAE312" s="244" t="s">
        <v>68</v>
      </c>
      <c r="DAF312" s="245" t="s">
        <v>68</v>
      </c>
      <c r="DAG312" s="1715" t="s">
        <v>0</v>
      </c>
      <c r="DAH312" s="1716"/>
      <c r="DAI312" s="1716"/>
      <c r="DAJ312" s="1716"/>
      <c r="DAK312" s="1716"/>
      <c r="DAL312" s="244"/>
      <c r="DAM312" s="244" t="s">
        <v>68</v>
      </c>
      <c r="DAN312" s="245" t="s">
        <v>68</v>
      </c>
      <c r="DAO312" s="1715" t="s">
        <v>0</v>
      </c>
      <c r="DAP312" s="1716"/>
      <c r="DAQ312" s="1716"/>
      <c r="DAR312" s="1716"/>
      <c r="DAS312" s="1716"/>
      <c r="DAT312" s="244"/>
      <c r="DAU312" s="244" t="s">
        <v>68</v>
      </c>
      <c r="DAV312" s="245" t="s">
        <v>68</v>
      </c>
      <c r="DAW312" s="1715" t="s">
        <v>0</v>
      </c>
      <c r="DAX312" s="1716"/>
      <c r="DAY312" s="1716"/>
      <c r="DAZ312" s="1716"/>
      <c r="DBA312" s="1716"/>
      <c r="DBB312" s="244"/>
      <c r="DBC312" s="244" t="s">
        <v>68</v>
      </c>
      <c r="DBD312" s="245" t="s">
        <v>68</v>
      </c>
      <c r="DBE312" s="1715" t="s">
        <v>0</v>
      </c>
      <c r="DBF312" s="1716"/>
      <c r="DBG312" s="1716"/>
      <c r="DBH312" s="1716"/>
      <c r="DBI312" s="1716"/>
      <c r="DBJ312" s="244"/>
      <c r="DBK312" s="244" t="s">
        <v>68</v>
      </c>
      <c r="DBL312" s="245" t="s">
        <v>68</v>
      </c>
      <c r="DBM312" s="1715" t="s">
        <v>0</v>
      </c>
      <c r="DBN312" s="1716"/>
      <c r="DBO312" s="1716"/>
      <c r="DBP312" s="1716"/>
      <c r="DBQ312" s="1716"/>
      <c r="DBR312" s="244"/>
      <c r="DBS312" s="244" t="s">
        <v>68</v>
      </c>
      <c r="DBT312" s="245" t="s">
        <v>68</v>
      </c>
      <c r="DBU312" s="1715" t="s">
        <v>0</v>
      </c>
      <c r="DBV312" s="1716"/>
      <c r="DBW312" s="1716"/>
      <c r="DBX312" s="1716"/>
      <c r="DBY312" s="1716"/>
      <c r="DBZ312" s="244"/>
      <c r="DCA312" s="244" t="s">
        <v>68</v>
      </c>
      <c r="DCB312" s="245" t="s">
        <v>68</v>
      </c>
      <c r="DCC312" s="1715" t="s">
        <v>0</v>
      </c>
      <c r="DCD312" s="1716"/>
      <c r="DCE312" s="1716"/>
      <c r="DCF312" s="1716"/>
      <c r="DCG312" s="1716"/>
      <c r="DCH312" s="244"/>
      <c r="DCI312" s="244" t="s">
        <v>68</v>
      </c>
      <c r="DCJ312" s="245" t="s">
        <v>68</v>
      </c>
      <c r="DCK312" s="1715" t="s">
        <v>0</v>
      </c>
      <c r="DCL312" s="1716"/>
      <c r="DCM312" s="1716"/>
      <c r="DCN312" s="1716"/>
      <c r="DCO312" s="1716"/>
      <c r="DCP312" s="244"/>
      <c r="DCQ312" s="244" t="s">
        <v>68</v>
      </c>
      <c r="DCR312" s="245" t="s">
        <v>68</v>
      </c>
      <c r="DCS312" s="1715" t="s">
        <v>0</v>
      </c>
      <c r="DCT312" s="1716"/>
      <c r="DCU312" s="1716"/>
      <c r="DCV312" s="1716"/>
      <c r="DCW312" s="1716"/>
      <c r="DCX312" s="244"/>
      <c r="DCY312" s="244" t="s">
        <v>68</v>
      </c>
      <c r="DCZ312" s="245" t="s">
        <v>68</v>
      </c>
      <c r="DDA312" s="1715" t="s">
        <v>0</v>
      </c>
      <c r="DDB312" s="1716"/>
      <c r="DDC312" s="1716"/>
      <c r="DDD312" s="1716"/>
      <c r="DDE312" s="1716"/>
      <c r="DDF312" s="244"/>
      <c r="DDG312" s="244" t="s">
        <v>68</v>
      </c>
      <c r="DDH312" s="245" t="s">
        <v>68</v>
      </c>
      <c r="DDI312" s="1715" t="s">
        <v>0</v>
      </c>
      <c r="DDJ312" s="1716"/>
      <c r="DDK312" s="1716"/>
      <c r="DDL312" s="1716"/>
      <c r="DDM312" s="1716"/>
      <c r="DDN312" s="244"/>
      <c r="DDO312" s="244" t="s">
        <v>68</v>
      </c>
      <c r="DDP312" s="245" t="s">
        <v>68</v>
      </c>
      <c r="DDQ312" s="1715" t="s">
        <v>0</v>
      </c>
      <c r="DDR312" s="1716"/>
      <c r="DDS312" s="1716"/>
      <c r="DDT312" s="1716"/>
      <c r="DDU312" s="1716"/>
      <c r="DDV312" s="244"/>
      <c r="DDW312" s="244" t="s">
        <v>68</v>
      </c>
      <c r="DDX312" s="245" t="s">
        <v>68</v>
      </c>
      <c r="DDY312" s="1715" t="s">
        <v>0</v>
      </c>
      <c r="DDZ312" s="1716"/>
      <c r="DEA312" s="1716"/>
      <c r="DEB312" s="1716"/>
      <c r="DEC312" s="1716"/>
      <c r="DED312" s="244"/>
      <c r="DEE312" s="244" t="s">
        <v>68</v>
      </c>
      <c r="DEF312" s="245" t="s">
        <v>68</v>
      </c>
      <c r="DEG312" s="1715" t="s">
        <v>0</v>
      </c>
      <c r="DEH312" s="1716"/>
      <c r="DEI312" s="1716"/>
      <c r="DEJ312" s="1716"/>
      <c r="DEK312" s="1716"/>
      <c r="DEL312" s="244"/>
      <c r="DEM312" s="244" t="s">
        <v>68</v>
      </c>
      <c r="DEN312" s="245" t="s">
        <v>68</v>
      </c>
      <c r="DEO312" s="1715" t="s">
        <v>0</v>
      </c>
      <c r="DEP312" s="1716"/>
      <c r="DEQ312" s="1716"/>
      <c r="DER312" s="1716"/>
      <c r="DES312" s="1716"/>
      <c r="DET312" s="244"/>
      <c r="DEU312" s="244" t="s">
        <v>68</v>
      </c>
      <c r="DEV312" s="245" t="s">
        <v>68</v>
      </c>
      <c r="DEW312" s="1715" t="s">
        <v>0</v>
      </c>
      <c r="DEX312" s="1716"/>
      <c r="DEY312" s="1716"/>
      <c r="DEZ312" s="1716"/>
      <c r="DFA312" s="1716"/>
      <c r="DFB312" s="244"/>
      <c r="DFC312" s="244" t="s">
        <v>68</v>
      </c>
      <c r="DFD312" s="245" t="s">
        <v>68</v>
      </c>
      <c r="DFE312" s="1715" t="s">
        <v>0</v>
      </c>
      <c r="DFF312" s="1716"/>
      <c r="DFG312" s="1716"/>
      <c r="DFH312" s="1716"/>
      <c r="DFI312" s="1716"/>
      <c r="DFJ312" s="244"/>
      <c r="DFK312" s="244" t="s">
        <v>68</v>
      </c>
      <c r="DFL312" s="245" t="s">
        <v>68</v>
      </c>
      <c r="DFM312" s="1715" t="s">
        <v>0</v>
      </c>
      <c r="DFN312" s="1716"/>
      <c r="DFO312" s="1716"/>
      <c r="DFP312" s="1716"/>
      <c r="DFQ312" s="1716"/>
      <c r="DFR312" s="244"/>
      <c r="DFS312" s="244" t="s">
        <v>68</v>
      </c>
      <c r="DFT312" s="245" t="s">
        <v>68</v>
      </c>
      <c r="DFU312" s="1715" t="s">
        <v>0</v>
      </c>
      <c r="DFV312" s="1716"/>
      <c r="DFW312" s="1716"/>
      <c r="DFX312" s="1716"/>
      <c r="DFY312" s="1716"/>
      <c r="DFZ312" s="244"/>
      <c r="DGA312" s="244" t="s">
        <v>68</v>
      </c>
      <c r="DGB312" s="245" t="s">
        <v>68</v>
      </c>
      <c r="DGC312" s="1715" t="s">
        <v>0</v>
      </c>
      <c r="DGD312" s="1716"/>
      <c r="DGE312" s="1716"/>
      <c r="DGF312" s="1716"/>
      <c r="DGG312" s="1716"/>
      <c r="DGH312" s="244"/>
      <c r="DGI312" s="244" t="s">
        <v>68</v>
      </c>
      <c r="DGJ312" s="245" t="s">
        <v>68</v>
      </c>
      <c r="DGK312" s="1715" t="s">
        <v>0</v>
      </c>
      <c r="DGL312" s="1716"/>
      <c r="DGM312" s="1716"/>
      <c r="DGN312" s="1716"/>
      <c r="DGO312" s="1716"/>
      <c r="DGP312" s="244"/>
      <c r="DGQ312" s="244" t="s">
        <v>68</v>
      </c>
      <c r="DGR312" s="245" t="s">
        <v>68</v>
      </c>
      <c r="DGS312" s="1715" t="s">
        <v>0</v>
      </c>
      <c r="DGT312" s="1716"/>
      <c r="DGU312" s="1716"/>
      <c r="DGV312" s="1716"/>
      <c r="DGW312" s="1716"/>
      <c r="DGX312" s="244"/>
      <c r="DGY312" s="244" t="s">
        <v>68</v>
      </c>
      <c r="DGZ312" s="245" t="s">
        <v>68</v>
      </c>
      <c r="DHA312" s="1715" t="s">
        <v>0</v>
      </c>
      <c r="DHB312" s="1716"/>
      <c r="DHC312" s="1716"/>
      <c r="DHD312" s="1716"/>
      <c r="DHE312" s="1716"/>
      <c r="DHF312" s="244"/>
      <c r="DHG312" s="244" t="s">
        <v>68</v>
      </c>
      <c r="DHH312" s="245" t="s">
        <v>68</v>
      </c>
      <c r="DHI312" s="1715" t="s">
        <v>0</v>
      </c>
      <c r="DHJ312" s="1716"/>
      <c r="DHK312" s="1716"/>
      <c r="DHL312" s="1716"/>
      <c r="DHM312" s="1716"/>
      <c r="DHN312" s="244"/>
      <c r="DHO312" s="244" t="s">
        <v>68</v>
      </c>
      <c r="DHP312" s="245" t="s">
        <v>68</v>
      </c>
      <c r="DHQ312" s="1715" t="s">
        <v>0</v>
      </c>
      <c r="DHR312" s="1716"/>
      <c r="DHS312" s="1716"/>
      <c r="DHT312" s="1716"/>
      <c r="DHU312" s="1716"/>
      <c r="DHV312" s="244"/>
      <c r="DHW312" s="244" t="s">
        <v>68</v>
      </c>
      <c r="DHX312" s="245" t="s">
        <v>68</v>
      </c>
      <c r="DHY312" s="1715" t="s">
        <v>0</v>
      </c>
      <c r="DHZ312" s="1716"/>
      <c r="DIA312" s="1716"/>
      <c r="DIB312" s="1716"/>
      <c r="DIC312" s="1716"/>
      <c r="DID312" s="244"/>
      <c r="DIE312" s="244" t="s">
        <v>68</v>
      </c>
      <c r="DIF312" s="245" t="s">
        <v>68</v>
      </c>
      <c r="DIG312" s="1715" t="s">
        <v>0</v>
      </c>
      <c r="DIH312" s="1716"/>
      <c r="DII312" s="1716"/>
      <c r="DIJ312" s="1716"/>
      <c r="DIK312" s="1716"/>
      <c r="DIL312" s="244"/>
      <c r="DIM312" s="244" t="s">
        <v>68</v>
      </c>
      <c r="DIN312" s="245" t="s">
        <v>68</v>
      </c>
      <c r="DIO312" s="1715" t="s">
        <v>0</v>
      </c>
      <c r="DIP312" s="1716"/>
      <c r="DIQ312" s="1716"/>
      <c r="DIR312" s="1716"/>
      <c r="DIS312" s="1716"/>
      <c r="DIT312" s="244"/>
      <c r="DIU312" s="244" t="s">
        <v>68</v>
      </c>
      <c r="DIV312" s="245" t="s">
        <v>68</v>
      </c>
      <c r="DIW312" s="1715" t="s">
        <v>0</v>
      </c>
      <c r="DIX312" s="1716"/>
      <c r="DIY312" s="1716"/>
      <c r="DIZ312" s="1716"/>
      <c r="DJA312" s="1716"/>
      <c r="DJB312" s="244"/>
      <c r="DJC312" s="244" t="s">
        <v>68</v>
      </c>
      <c r="DJD312" s="245" t="s">
        <v>68</v>
      </c>
      <c r="DJE312" s="1715" t="s">
        <v>0</v>
      </c>
      <c r="DJF312" s="1716"/>
      <c r="DJG312" s="1716"/>
      <c r="DJH312" s="1716"/>
      <c r="DJI312" s="1716"/>
      <c r="DJJ312" s="244"/>
      <c r="DJK312" s="244" t="s">
        <v>68</v>
      </c>
      <c r="DJL312" s="245" t="s">
        <v>68</v>
      </c>
      <c r="DJM312" s="1715" t="s">
        <v>0</v>
      </c>
      <c r="DJN312" s="1716"/>
      <c r="DJO312" s="1716"/>
      <c r="DJP312" s="1716"/>
      <c r="DJQ312" s="1716"/>
      <c r="DJR312" s="244"/>
      <c r="DJS312" s="244" t="s">
        <v>68</v>
      </c>
      <c r="DJT312" s="245" t="s">
        <v>68</v>
      </c>
      <c r="DJU312" s="1715" t="s">
        <v>0</v>
      </c>
      <c r="DJV312" s="1716"/>
      <c r="DJW312" s="1716"/>
      <c r="DJX312" s="1716"/>
      <c r="DJY312" s="1716"/>
      <c r="DJZ312" s="244"/>
      <c r="DKA312" s="244" t="s">
        <v>68</v>
      </c>
      <c r="DKB312" s="245" t="s">
        <v>68</v>
      </c>
      <c r="DKC312" s="1715" t="s">
        <v>0</v>
      </c>
      <c r="DKD312" s="1716"/>
      <c r="DKE312" s="1716"/>
      <c r="DKF312" s="1716"/>
      <c r="DKG312" s="1716"/>
      <c r="DKH312" s="244"/>
      <c r="DKI312" s="244" t="s">
        <v>68</v>
      </c>
      <c r="DKJ312" s="245" t="s">
        <v>68</v>
      </c>
      <c r="DKK312" s="1715" t="s">
        <v>0</v>
      </c>
      <c r="DKL312" s="1716"/>
      <c r="DKM312" s="1716"/>
      <c r="DKN312" s="1716"/>
      <c r="DKO312" s="1716"/>
      <c r="DKP312" s="244"/>
      <c r="DKQ312" s="244" t="s">
        <v>68</v>
      </c>
      <c r="DKR312" s="245" t="s">
        <v>68</v>
      </c>
      <c r="DKS312" s="1715" t="s">
        <v>0</v>
      </c>
      <c r="DKT312" s="1716"/>
      <c r="DKU312" s="1716"/>
      <c r="DKV312" s="1716"/>
      <c r="DKW312" s="1716"/>
      <c r="DKX312" s="244"/>
      <c r="DKY312" s="244" t="s">
        <v>68</v>
      </c>
      <c r="DKZ312" s="245" t="s">
        <v>68</v>
      </c>
      <c r="DLA312" s="1715" t="s">
        <v>0</v>
      </c>
      <c r="DLB312" s="1716"/>
      <c r="DLC312" s="1716"/>
      <c r="DLD312" s="1716"/>
      <c r="DLE312" s="1716"/>
      <c r="DLF312" s="244"/>
      <c r="DLG312" s="244" t="s">
        <v>68</v>
      </c>
      <c r="DLH312" s="245" t="s">
        <v>68</v>
      </c>
      <c r="DLI312" s="1715" t="s">
        <v>0</v>
      </c>
      <c r="DLJ312" s="1716"/>
      <c r="DLK312" s="1716"/>
      <c r="DLL312" s="1716"/>
      <c r="DLM312" s="1716"/>
      <c r="DLN312" s="244"/>
      <c r="DLO312" s="244" t="s">
        <v>68</v>
      </c>
      <c r="DLP312" s="245" t="s">
        <v>68</v>
      </c>
      <c r="DLQ312" s="1715" t="s">
        <v>0</v>
      </c>
      <c r="DLR312" s="1716"/>
      <c r="DLS312" s="1716"/>
      <c r="DLT312" s="1716"/>
      <c r="DLU312" s="1716"/>
      <c r="DLV312" s="244"/>
      <c r="DLW312" s="244" t="s">
        <v>68</v>
      </c>
      <c r="DLX312" s="245" t="s">
        <v>68</v>
      </c>
      <c r="DLY312" s="1715" t="s">
        <v>0</v>
      </c>
      <c r="DLZ312" s="1716"/>
      <c r="DMA312" s="1716"/>
      <c r="DMB312" s="1716"/>
      <c r="DMC312" s="1716"/>
      <c r="DMD312" s="244"/>
      <c r="DME312" s="244" t="s">
        <v>68</v>
      </c>
      <c r="DMF312" s="245" t="s">
        <v>68</v>
      </c>
      <c r="DMG312" s="1715" t="s">
        <v>0</v>
      </c>
      <c r="DMH312" s="1716"/>
      <c r="DMI312" s="1716"/>
      <c r="DMJ312" s="1716"/>
      <c r="DMK312" s="1716"/>
      <c r="DML312" s="244"/>
      <c r="DMM312" s="244" t="s">
        <v>68</v>
      </c>
      <c r="DMN312" s="245" t="s">
        <v>68</v>
      </c>
      <c r="DMO312" s="1715" t="s">
        <v>0</v>
      </c>
      <c r="DMP312" s="1716"/>
      <c r="DMQ312" s="1716"/>
      <c r="DMR312" s="1716"/>
      <c r="DMS312" s="1716"/>
      <c r="DMT312" s="244"/>
      <c r="DMU312" s="244" t="s">
        <v>68</v>
      </c>
      <c r="DMV312" s="245" t="s">
        <v>68</v>
      </c>
      <c r="DMW312" s="1715" t="s">
        <v>0</v>
      </c>
      <c r="DMX312" s="1716"/>
      <c r="DMY312" s="1716"/>
      <c r="DMZ312" s="1716"/>
      <c r="DNA312" s="1716"/>
      <c r="DNB312" s="244"/>
      <c r="DNC312" s="244" t="s">
        <v>68</v>
      </c>
      <c r="DND312" s="245" t="s">
        <v>68</v>
      </c>
      <c r="DNE312" s="1715" t="s">
        <v>0</v>
      </c>
      <c r="DNF312" s="1716"/>
      <c r="DNG312" s="1716"/>
      <c r="DNH312" s="1716"/>
      <c r="DNI312" s="1716"/>
      <c r="DNJ312" s="244"/>
      <c r="DNK312" s="244" t="s">
        <v>68</v>
      </c>
      <c r="DNL312" s="245" t="s">
        <v>68</v>
      </c>
      <c r="DNM312" s="1715" t="s">
        <v>0</v>
      </c>
      <c r="DNN312" s="1716"/>
      <c r="DNO312" s="1716"/>
      <c r="DNP312" s="1716"/>
      <c r="DNQ312" s="1716"/>
      <c r="DNR312" s="244"/>
      <c r="DNS312" s="244" t="s">
        <v>68</v>
      </c>
      <c r="DNT312" s="245" t="s">
        <v>68</v>
      </c>
      <c r="DNU312" s="1715" t="s">
        <v>0</v>
      </c>
      <c r="DNV312" s="1716"/>
      <c r="DNW312" s="1716"/>
      <c r="DNX312" s="1716"/>
      <c r="DNY312" s="1716"/>
      <c r="DNZ312" s="244"/>
      <c r="DOA312" s="244" t="s">
        <v>68</v>
      </c>
      <c r="DOB312" s="245" t="s">
        <v>68</v>
      </c>
      <c r="DOC312" s="1715" t="s">
        <v>0</v>
      </c>
      <c r="DOD312" s="1716"/>
      <c r="DOE312" s="1716"/>
      <c r="DOF312" s="1716"/>
      <c r="DOG312" s="1716"/>
      <c r="DOH312" s="244"/>
      <c r="DOI312" s="244" t="s">
        <v>68</v>
      </c>
      <c r="DOJ312" s="245" t="s">
        <v>68</v>
      </c>
      <c r="DOK312" s="1715" t="s">
        <v>0</v>
      </c>
      <c r="DOL312" s="1716"/>
      <c r="DOM312" s="1716"/>
      <c r="DON312" s="1716"/>
      <c r="DOO312" s="1716"/>
      <c r="DOP312" s="244"/>
      <c r="DOQ312" s="244" t="s">
        <v>68</v>
      </c>
      <c r="DOR312" s="245" t="s">
        <v>68</v>
      </c>
      <c r="DOS312" s="1715" t="s">
        <v>0</v>
      </c>
      <c r="DOT312" s="1716"/>
      <c r="DOU312" s="1716"/>
      <c r="DOV312" s="1716"/>
      <c r="DOW312" s="1716"/>
      <c r="DOX312" s="244"/>
      <c r="DOY312" s="244" t="s">
        <v>68</v>
      </c>
      <c r="DOZ312" s="245" t="s">
        <v>68</v>
      </c>
      <c r="DPA312" s="1715" t="s">
        <v>0</v>
      </c>
      <c r="DPB312" s="1716"/>
      <c r="DPC312" s="1716"/>
      <c r="DPD312" s="1716"/>
      <c r="DPE312" s="1716"/>
      <c r="DPF312" s="244"/>
      <c r="DPG312" s="244" t="s">
        <v>68</v>
      </c>
      <c r="DPH312" s="245" t="s">
        <v>68</v>
      </c>
      <c r="DPI312" s="1715" t="s">
        <v>0</v>
      </c>
      <c r="DPJ312" s="1716"/>
      <c r="DPK312" s="1716"/>
      <c r="DPL312" s="1716"/>
      <c r="DPM312" s="1716"/>
      <c r="DPN312" s="244"/>
      <c r="DPO312" s="244" t="s">
        <v>68</v>
      </c>
      <c r="DPP312" s="245" t="s">
        <v>68</v>
      </c>
      <c r="DPQ312" s="1715" t="s">
        <v>0</v>
      </c>
      <c r="DPR312" s="1716"/>
      <c r="DPS312" s="1716"/>
      <c r="DPT312" s="1716"/>
      <c r="DPU312" s="1716"/>
      <c r="DPV312" s="244"/>
      <c r="DPW312" s="244" t="s">
        <v>68</v>
      </c>
      <c r="DPX312" s="245" t="s">
        <v>68</v>
      </c>
      <c r="DPY312" s="1715" t="s">
        <v>0</v>
      </c>
      <c r="DPZ312" s="1716"/>
      <c r="DQA312" s="1716"/>
      <c r="DQB312" s="1716"/>
      <c r="DQC312" s="1716"/>
      <c r="DQD312" s="244"/>
      <c r="DQE312" s="244" t="s">
        <v>68</v>
      </c>
      <c r="DQF312" s="245" t="s">
        <v>68</v>
      </c>
      <c r="DQG312" s="1715" t="s">
        <v>0</v>
      </c>
      <c r="DQH312" s="1716"/>
      <c r="DQI312" s="1716"/>
      <c r="DQJ312" s="1716"/>
      <c r="DQK312" s="1716"/>
      <c r="DQL312" s="244"/>
      <c r="DQM312" s="244" t="s">
        <v>68</v>
      </c>
      <c r="DQN312" s="245" t="s">
        <v>68</v>
      </c>
      <c r="DQO312" s="1715" t="s">
        <v>0</v>
      </c>
      <c r="DQP312" s="1716"/>
      <c r="DQQ312" s="1716"/>
      <c r="DQR312" s="1716"/>
      <c r="DQS312" s="1716"/>
      <c r="DQT312" s="244"/>
      <c r="DQU312" s="244" t="s">
        <v>68</v>
      </c>
      <c r="DQV312" s="245" t="s">
        <v>68</v>
      </c>
      <c r="DQW312" s="1715" t="s">
        <v>0</v>
      </c>
      <c r="DQX312" s="1716"/>
      <c r="DQY312" s="1716"/>
      <c r="DQZ312" s="1716"/>
      <c r="DRA312" s="1716"/>
      <c r="DRB312" s="244"/>
      <c r="DRC312" s="244" t="s">
        <v>68</v>
      </c>
      <c r="DRD312" s="245" t="s">
        <v>68</v>
      </c>
      <c r="DRE312" s="1715" t="s">
        <v>0</v>
      </c>
      <c r="DRF312" s="1716"/>
      <c r="DRG312" s="1716"/>
      <c r="DRH312" s="1716"/>
      <c r="DRI312" s="1716"/>
      <c r="DRJ312" s="244"/>
      <c r="DRK312" s="244" t="s">
        <v>68</v>
      </c>
      <c r="DRL312" s="245" t="s">
        <v>68</v>
      </c>
      <c r="DRM312" s="1715" t="s">
        <v>0</v>
      </c>
      <c r="DRN312" s="1716"/>
      <c r="DRO312" s="1716"/>
      <c r="DRP312" s="1716"/>
      <c r="DRQ312" s="1716"/>
      <c r="DRR312" s="244"/>
      <c r="DRS312" s="244" t="s">
        <v>68</v>
      </c>
      <c r="DRT312" s="245" t="s">
        <v>68</v>
      </c>
      <c r="DRU312" s="1715" t="s">
        <v>0</v>
      </c>
      <c r="DRV312" s="1716"/>
      <c r="DRW312" s="1716"/>
      <c r="DRX312" s="1716"/>
      <c r="DRY312" s="1716"/>
      <c r="DRZ312" s="244"/>
      <c r="DSA312" s="244" t="s">
        <v>68</v>
      </c>
      <c r="DSB312" s="245" t="s">
        <v>68</v>
      </c>
      <c r="DSC312" s="1715" t="s">
        <v>0</v>
      </c>
      <c r="DSD312" s="1716"/>
      <c r="DSE312" s="1716"/>
      <c r="DSF312" s="1716"/>
      <c r="DSG312" s="1716"/>
      <c r="DSH312" s="244"/>
      <c r="DSI312" s="244" t="s">
        <v>68</v>
      </c>
      <c r="DSJ312" s="245" t="s">
        <v>68</v>
      </c>
      <c r="DSK312" s="1715" t="s">
        <v>0</v>
      </c>
      <c r="DSL312" s="1716"/>
      <c r="DSM312" s="1716"/>
      <c r="DSN312" s="1716"/>
      <c r="DSO312" s="1716"/>
      <c r="DSP312" s="244"/>
      <c r="DSQ312" s="244" t="s">
        <v>68</v>
      </c>
      <c r="DSR312" s="245" t="s">
        <v>68</v>
      </c>
      <c r="DSS312" s="1715" t="s">
        <v>0</v>
      </c>
      <c r="DST312" s="1716"/>
      <c r="DSU312" s="1716"/>
      <c r="DSV312" s="1716"/>
      <c r="DSW312" s="1716"/>
      <c r="DSX312" s="244"/>
      <c r="DSY312" s="244" t="s">
        <v>68</v>
      </c>
      <c r="DSZ312" s="245" t="s">
        <v>68</v>
      </c>
      <c r="DTA312" s="1715" t="s">
        <v>0</v>
      </c>
      <c r="DTB312" s="1716"/>
      <c r="DTC312" s="1716"/>
      <c r="DTD312" s="1716"/>
      <c r="DTE312" s="1716"/>
      <c r="DTF312" s="244"/>
      <c r="DTG312" s="244" t="s">
        <v>68</v>
      </c>
      <c r="DTH312" s="245" t="s">
        <v>68</v>
      </c>
      <c r="DTI312" s="1715" t="s">
        <v>0</v>
      </c>
      <c r="DTJ312" s="1716"/>
      <c r="DTK312" s="1716"/>
      <c r="DTL312" s="1716"/>
      <c r="DTM312" s="1716"/>
      <c r="DTN312" s="244"/>
      <c r="DTO312" s="244" t="s">
        <v>68</v>
      </c>
      <c r="DTP312" s="245" t="s">
        <v>68</v>
      </c>
      <c r="DTQ312" s="1715" t="s">
        <v>0</v>
      </c>
      <c r="DTR312" s="1716"/>
      <c r="DTS312" s="1716"/>
      <c r="DTT312" s="1716"/>
      <c r="DTU312" s="1716"/>
      <c r="DTV312" s="244"/>
      <c r="DTW312" s="244" t="s">
        <v>68</v>
      </c>
      <c r="DTX312" s="245" t="s">
        <v>68</v>
      </c>
      <c r="DTY312" s="1715" t="s">
        <v>0</v>
      </c>
      <c r="DTZ312" s="1716"/>
      <c r="DUA312" s="1716"/>
      <c r="DUB312" s="1716"/>
      <c r="DUC312" s="1716"/>
      <c r="DUD312" s="244"/>
      <c r="DUE312" s="244" t="s">
        <v>68</v>
      </c>
      <c r="DUF312" s="245" t="s">
        <v>68</v>
      </c>
      <c r="DUG312" s="1715" t="s">
        <v>0</v>
      </c>
      <c r="DUH312" s="1716"/>
      <c r="DUI312" s="1716"/>
      <c r="DUJ312" s="1716"/>
      <c r="DUK312" s="1716"/>
      <c r="DUL312" s="244"/>
      <c r="DUM312" s="244" t="s">
        <v>68</v>
      </c>
      <c r="DUN312" s="245" t="s">
        <v>68</v>
      </c>
      <c r="DUO312" s="1715" t="s">
        <v>0</v>
      </c>
      <c r="DUP312" s="1716"/>
      <c r="DUQ312" s="1716"/>
      <c r="DUR312" s="1716"/>
      <c r="DUS312" s="1716"/>
      <c r="DUT312" s="244"/>
      <c r="DUU312" s="244" t="s">
        <v>68</v>
      </c>
      <c r="DUV312" s="245" t="s">
        <v>68</v>
      </c>
      <c r="DUW312" s="1715" t="s">
        <v>0</v>
      </c>
      <c r="DUX312" s="1716"/>
      <c r="DUY312" s="1716"/>
      <c r="DUZ312" s="1716"/>
      <c r="DVA312" s="1716"/>
      <c r="DVB312" s="244"/>
      <c r="DVC312" s="244" t="s">
        <v>68</v>
      </c>
      <c r="DVD312" s="245" t="s">
        <v>68</v>
      </c>
      <c r="DVE312" s="1715" t="s">
        <v>0</v>
      </c>
      <c r="DVF312" s="1716"/>
      <c r="DVG312" s="1716"/>
      <c r="DVH312" s="1716"/>
      <c r="DVI312" s="1716"/>
      <c r="DVJ312" s="244"/>
      <c r="DVK312" s="244" t="s">
        <v>68</v>
      </c>
      <c r="DVL312" s="245" t="s">
        <v>68</v>
      </c>
      <c r="DVM312" s="1715" t="s">
        <v>0</v>
      </c>
      <c r="DVN312" s="1716"/>
      <c r="DVO312" s="1716"/>
      <c r="DVP312" s="1716"/>
      <c r="DVQ312" s="1716"/>
      <c r="DVR312" s="244"/>
      <c r="DVS312" s="244" t="s">
        <v>68</v>
      </c>
      <c r="DVT312" s="245" t="s">
        <v>68</v>
      </c>
      <c r="DVU312" s="1715" t="s">
        <v>0</v>
      </c>
      <c r="DVV312" s="1716"/>
      <c r="DVW312" s="1716"/>
      <c r="DVX312" s="1716"/>
      <c r="DVY312" s="1716"/>
      <c r="DVZ312" s="244"/>
      <c r="DWA312" s="244" t="s">
        <v>68</v>
      </c>
      <c r="DWB312" s="245" t="s">
        <v>68</v>
      </c>
      <c r="DWC312" s="1715" t="s">
        <v>0</v>
      </c>
      <c r="DWD312" s="1716"/>
      <c r="DWE312" s="1716"/>
      <c r="DWF312" s="1716"/>
      <c r="DWG312" s="1716"/>
      <c r="DWH312" s="244"/>
      <c r="DWI312" s="244" t="s">
        <v>68</v>
      </c>
      <c r="DWJ312" s="245" t="s">
        <v>68</v>
      </c>
      <c r="DWK312" s="1715" t="s">
        <v>0</v>
      </c>
      <c r="DWL312" s="1716"/>
      <c r="DWM312" s="1716"/>
      <c r="DWN312" s="1716"/>
      <c r="DWO312" s="1716"/>
      <c r="DWP312" s="244"/>
      <c r="DWQ312" s="244" t="s">
        <v>68</v>
      </c>
      <c r="DWR312" s="245" t="s">
        <v>68</v>
      </c>
      <c r="DWS312" s="1715" t="s">
        <v>0</v>
      </c>
      <c r="DWT312" s="1716"/>
      <c r="DWU312" s="1716"/>
      <c r="DWV312" s="1716"/>
      <c r="DWW312" s="1716"/>
      <c r="DWX312" s="244"/>
      <c r="DWY312" s="244" t="s">
        <v>68</v>
      </c>
      <c r="DWZ312" s="245" t="s">
        <v>68</v>
      </c>
      <c r="DXA312" s="1715" t="s">
        <v>0</v>
      </c>
      <c r="DXB312" s="1716"/>
      <c r="DXC312" s="1716"/>
      <c r="DXD312" s="1716"/>
      <c r="DXE312" s="1716"/>
      <c r="DXF312" s="244"/>
      <c r="DXG312" s="244" t="s">
        <v>68</v>
      </c>
      <c r="DXH312" s="245" t="s">
        <v>68</v>
      </c>
      <c r="DXI312" s="1715" t="s">
        <v>0</v>
      </c>
      <c r="DXJ312" s="1716"/>
      <c r="DXK312" s="1716"/>
      <c r="DXL312" s="1716"/>
      <c r="DXM312" s="1716"/>
      <c r="DXN312" s="244"/>
      <c r="DXO312" s="244" t="s">
        <v>68</v>
      </c>
      <c r="DXP312" s="245" t="s">
        <v>68</v>
      </c>
      <c r="DXQ312" s="1715" t="s">
        <v>0</v>
      </c>
      <c r="DXR312" s="1716"/>
      <c r="DXS312" s="1716"/>
      <c r="DXT312" s="1716"/>
      <c r="DXU312" s="1716"/>
      <c r="DXV312" s="244"/>
      <c r="DXW312" s="244" t="s">
        <v>68</v>
      </c>
      <c r="DXX312" s="245" t="s">
        <v>68</v>
      </c>
      <c r="DXY312" s="1715" t="s">
        <v>0</v>
      </c>
      <c r="DXZ312" s="1716"/>
      <c r="DYA312" s="1716"/>
      <c r="DYB312" s="1716"/>
      <c r="DYC312" s="1716"/>
      <c r="DYD312" s="244"/>
      <c r="DYE312" s="244" t="s">
        <v>68</v>
      </c>
      <c r="DYF312" s="245" t="s">
        <v>68</v>
      </c>
      <c r="DYG312" s="1715" t="s">
        <v>0</v>
      </c>
      <c r="DYH312" s="1716"/>
      <c r="DYI312" s="1716"/>
      <c r="DYJ312" s="1716"/>
      <c r="DYK312" s="1716"/>
      <c r="DYL312" s="244"/>
      <c r="DYM312" s="244" t="s">
        <v>68</v>
      </c>
      <c r="DYN312" s="245" t="s">
        <v>68</v>
      </c>
      <c r="DYO312" s="1715" t="s">
        <v>0</v>
      </c>
      <c r="DYP312" s="1716"/>
      <c r="DYQ312" s="1716"/>
      <c r="DYR312" s="1716"/>
      <c r="DYS312" s="1716"/>
      <c r="DYT312" s="244"/>
      <c r="DYU312" s="244" t="s">
        <v>68</v>
      </c>
      <c r="DYV312" s="245" t="s">
        <v>68</v>
      </c>
      <c r="DYW312" s="1715" t="s">
        <v>0</v>
      </c>
      <c r="DYX312" s="1716"/>
      <c r="DYY312" s="1716"/>
      <c r="DYZ312" s="1716"/>
      <c r="DZA312" s="1716"/>
      <c r="DZB312" s="244"/>
      <c r="DZC312" s="244" t="s">
        <v>68</v>
      </c>
      <c r="DZD312" s="245" t="s">
        <v>68</v>
      </c>
      <c r="DZE312" s="1715" t="s">
        <v>0</v>
      </c>
      <c r="DZF312" s="1716"/>
      <c r="DZG312" s="1716"/>
      <c r="DZH312" s="1716"/>
      <c r="DZI312" s="1716"/>
      <c r="DZJ312" s="244"/>
      <c r="DZK312" s="244" t="s">
        <v>68</v>
      </c>
      <c r="DZL312" s="245" t="s">
        <v>68</v>
      </c>
      <c r="DZM312" s="1715" t="s">
        <v>0</v>
      </c>
      <c r="DZN312" s="1716"/>
      <c r="DZO312" s="1716"/>
      <c r="DZP312" s="1716"/>
      <c r="DZQ312" s="1716"/>
      <c r="DZR312" s="244"/>
      <c r="DZS312" s="244" t="s">
        <v>68</v>
      </c>
      <c r="DZT312" s="245" t="s">
        <v>68</v>
      </c>
      <c r="DZU312" s="1715" t="s">
        <v>0</v>
      </c>
      <c r="DZV312" s="1716"/>
      <c r="DZW312" s="1716"/>
      <c r="DZX312" s="1716"/>
      <c r="DZY312" s="1716"/>
      <c r="DZZ312" s="244"/>
      <c r="EAA312" s="244" t="s">
        <v>68</v>
      </c>
      <c r="EAB312" s="245" t="s">
        <v>68</v>
      </c>
      <c r="EAC312" s="1715" t="s">
        <v>0</v>
      </c>
      <c r="EAD312" s="1716"/>
      <c r="EAE312" s="1716"/>
      <c r="EAF312" s="1716"/>
      <c r="EAG312" s="1716"/>
      <c r="EAH312" s="244"/>
      <c r="EAI312" s="244" t="s">
        <v>68</v>
      </c>
      <c r="EAJ312" s="245" t="s">
        <v>68</v>
      </c>
      <c r="EAK312" s="1715" t="s">
        <v>0</v>
      </c>
      <c r="EAL312" s="1716"/>
      <c r="EAM312" s="1716"/>
      <c r="EAN312" s="1716"/>
      <c r="EAO312" s="1716"/>
      <c r="EAP312" s="244"/>
      <c r="EAQ312" s="244" t="s">
        <v>68</v>
      </c>
      <c r="EAR312" s="245" t="s">
        <v>68</v>
      </c>
      <c r="EAS312" s="1715" t="s">
        <v>0</v>
      </c>
      <c r="EAT312" s="1716"/>
      <c r="EAU312" s="1716"/>
      <c r="EAV312" s="1716"/>
      <c r="EAW312" s="1716"/>
      <c r="EAX312" s="244"/>
      <c r="EAY312" s="244" t="s">
        <v>68</v>
      </c>
      <c r="EAZ312" s="245" t="s">
        <v>68</v>
      </c>
      <c r="EBA312" s="1715" t="s">
        <v>0</v>
      </c>
      <c r="EBB312" s="1716"/>
      <c r="EBC312" s="1716"/>
      <c r="EBD312" s="1716"/>
      <c r="EBE312" s="1716"/>
      <c r="EBF312" s="244"/>
      <c r="EBG312" s="244" t="s">
        <v>68</v>
      </c>
      <c r="EBH312" s="245" t="s">
        <v>68</v>
      </c>
      <c r="EBI312" s="1715" t="s">
        <v>0</v>
      </c>
      <c r="EBJ312" s="1716"/>
      <c r="EBK312" s="1716"/>
      <c r="EBL312" s="1716"/>
      <c r="EBM312" s="1716"/>
      <c r="EBN312" s="244"/>
      <c r="EBO312" s="244" t="s">
        <v>68</v>
      </c>
      <c r="EBP312" s="245" t="s">
        <v>68</v>
      </c>
      <c r="EBQ312" s="1715" t="s">
        <v>0</v>
      </c>
      <c r="EBR312" s="1716"/>
      <c r="EBS312" s="1716"/>
      <c r="EBT312" s="1716"/>
      <c r="EBU312" s="1716"/>
      <c r="EBV312" s="244"/>
      <c r="EBW312" s="244" t="s">
        <v>68</v>
      </c>
      <c r="EBX312" s="245" t="s">
        <v>68</v>
      </c>
      <c r="EBY312" s="1715" t="s">
        <v>0</v>
      </c>
      <c r="EBZ312" s="1716"/>
      <c r="ECA312" s="1716"/>
      <c r="ECB312" s="1716"/>
      <c r="ECC312" s="1716"/>
      <c r="ECD312" s="244"/>
      <c r="ECE312" s="244" t="s">
        <v>68</v>
      </c>
      <c r="ECF312" s="245" t="s">
        <v>68</v>
      </c>
      <c r="ECG312" s="1715" t="s">
        <v>0</v>
      </c>
      <c r="ECH312" s="1716"/>
      <c r="ECI312" s="1716"/>
      <c r="ECJ312" s="1716"/>
      <c r="ECK312" s="1716"/>
      <c r="ECL312" s="244"/>
      <c r="ECM312" s="244" t="s">
        <v>68</v>
      </c>
      <c r="ECN312" s="245" t="s">
        <v>68</v>
      </c>
      <c r="ECO312" s="1715" t="s">
        <v>0</v>
      </c>
      <c r="ECP312" s="1716"/>
      <c r="ECQ312" s="1716"/>
      <c r="ECR312" s="1716"/>
      <c r="ECS312" s="1716"/>
      <c r="ECT312" s="244"/>
      <c r="ECU312" s="244" t="s">
        <v>68</v>
      </c>
      <c r="ECV312" s="245" t="s">
        <v>68</v>
      </c>
      <c r="ECW312" s="1715" t="s">
        <v>0</v>
      </c>
      <c r="ECX312" s="1716"/>
      <c r="ECY312" s="1716"/>
      <c r="ECZ312" s="1716"/>
      <c r="EDA312" s="1716"/>
      <c r="EDB312" s="244"/>
      <c r="EDC312" s="244" t="s">
        <v>68</v>
      </c>
      <c r="EDD312" s="245" t="s">
        <v>68</v>
      </c>
      <c r="EDE312" s="1715" t="s">
        <v>0</v>
      </c>
      <c r="EDF312" s="1716"/>
      <c r="EDG312" s="1716"/>
      <c r="EDH312" s="1716"/>
      <c r="EDI312" s="1716"/>
      <c r="EDJ312" s="244"/>
      <c r="EDK312" s="244" t="s">
        <v>68</v>
      </c>
      <c r="EDL312" s="245" t="s">
        <v>68</v>
      </c>
      <c r="EDM312" s="1715" t="s">
        <v>0</v>
      </c>
      <c r="EDN312" s="1716"/>
      <c r="EDO312" s="1716"/>
      <c r="EDP312" s="1716"/>
      <c r="EDQ312" s="1716"/>
      <c r="EDR312" s="244"/>
      <c r="EDS312" s="244" t="s">
        <v>68</v>
      </c>
      <c r="EDT312" s="245" t="s">
        <v>68</v>
      </c>
      <c r="EDU312" s="1715" t="s">
        <v>0</v>
      </c>
      <c r="EDV312" s="1716"/>
      <c r="EDW312" s="1716"/>
      <c r="EDX312" s="1716"/>
      <c r="EDY312" s="1716"/>
      <c r="EDZ312" s="244"/>
      <c r="EEA312" s="244" t="s">
        <v>68</v>
      </c>
      <c r="EEB312" s="245" t="s">
        <v>68</v>
      </c>
      <c r="EEC312" s="1715" t="s">
        <v>0</v>
      </c>
      <c r="EED312" s="1716"/>
      <c r="EEE312" s="1716"/>
      <c r="EEF312" s="1716"/>
      <c r="EEG312" s="1716"/>
      <c r="EEH312" s="244"/>
      <c r="EEI312" s="244" t="s">
        <v>68</v>
      </c>
      <c r="EEJ312" s="245" t="s">
        <v>68</v>
      </c>
      <c r="EEK312" s="1715" t="s">
        <v>0</v>
      </c>
      <c r="EEL312" s="1716"/>
      <c r="EEM312" s="1716"/>
      <c r="EEN312" s="1716"/>
      <c r="EEO312" s="1716"/>
      <c r="EEP312" s="244"/>
      <c r="EEQ312" s="244" t="s">
        <v>68</v>
      </c>
      <c r="EER312" s="245" t="s">
        <v>68</v>
      </c>
      <c r="EES312" s="1715" t="s">
        <v>0</v>
      </c>
      <c r="EET312" s="1716"/>
      <c r="EEU312" s="1716"/>
      <c r="EEV312" s="1716"/>
      <c r="EEW312" s="1716"/>
      <c r="EEX312" s="244"/>
      <c r="EEY312" s="244" t="s">
        <v>68</v>
      </c>
      <c r="EEZ312" s="245" t="s">
        <v>68</v>
      </c>
      <c r="EFA312" s="1715" t="s">
        <v>0</v>
      </c>
      <c r="EFB312" s="1716"/>
      <c r="EFC312" s="1716"/>
      <c r="EFD312" s="1716"/>
      <c r="EFE312" s="1716"/>
      <c r="EFF312" s="244"/>
      <c r="EFG312" s="244" t="s">
        <v>68</v>
      </c>
      <c r="EFH312" s="245" t="s">
        <v>68</v>
      </c>
      <c r="EFI312" s="1715" t="s">
        <v>0</v>
      </c>
      <c r="EFJ312" s="1716"/>
      <c r="EFK312" s="1716"/>
      <c r="EFL312" s="1716"/>
      <c r="EFM312" s="1716"/>
      <c r="EFN312" s="244"/>
      <c r="EFO312" s="244" t="s">
        <v>68</v>
      </c>
      <c r="EFP312" s="245" t="s">
        <v>68</v>
      </c>
      <c r="EFQ312" s="1715" t="s">
        <v>0</v>
      </c>
      <c r="EFR312" s="1716"/>
      <c r="EFS312" s="1716"/>
      <c r="EFT312" s="1716"/>
      <c r="EFU312" s="1716"/>
      <c r="EFV312" s="244"/>
      <c r="EFW312" s="244" t="s">
        <v>68</v>
      </c>
      <c r="EFX312" s="245" t="s">
        <v>68</v>
      </c>
      <c r="EFY312" s="1715" t="s">
        <v>0</v>
      </c>
      <c r="EFZ312" s="1716"/>
      <c r="EGA312" s="1716"/>
      <c r="EGB312" s="1716"/>
      <c r="EGC312" s="1716"/>
      <c r="EGD312" s="244"/>
      <c r="EGE312" s="244" t="s">
        <v>68</v>
      </c>
      <c r="EGF312" s="245" t="s">
        <v>68</v>
      </c>
      <c r="EGG312" s="1715" t="s">
        <v>0</v>
      </c>
      <c r="EGH312" s="1716"/>
      <c r="EGI312" s="1716"/>
      <c r="EGJ312" s="1716"/>
      <c r="EGK312" s="1716"/>
      <c r="EGL312" s="244"/>
      <c r="EGM312" s="244" t="s">
        <v>68</v>
      </c>
      <c r="EGN312" s="245" t="s">
        <v>68</v>
      </c>
      <c r="EGO312" s="1715" t="s">
        <v>0</v>
      </c>
      <c r="EGP312" s="1716"/>
      <c r="EGQ312" s="1716"/>
      <c r="EGR312" s="1716"/>
      <c r="EGS312" s="1716"/>
      <c r="EGT312" s="244"/>
      <c r="EGU312" s="244" t="s">
        <v>68</v>
      </c>
      <c r="EGV312" s="245" t="s">
        <v>68</v>
      </c>
      <c r="EGW312" s="1715" t="s">
        <v>0</v>
      </c>
      <c r="EGX312" s="1716"/>
      <c r="EGY312" s="1716"/>
      <c r="EGZ312" s="1716"/>
      <c r="EHA312" s="1716"/>
      <c r="EHB312" s="244"/>
      <c r="EHC312" s="244" t="s">
        <v>68</v>
      </c>
      <c r="EHD312" s="245" t="s">
        <v>68</v>
      </c>
      <c r="EHE312" s="1715" t="s">
        <v>0</v>
      </c>
      <c r="EHF312" s="1716"/>
      <c r="EHG312" s="1716"/>
      <c r="EHH312" s="1716"/>
      <c r="EHI312" s="1716"/>
      <c r="EHJ312" s="244"/>
      <c r="EHK312" s="244" t="s">
        <v>68</v>
      </c>
      <c r="EHL312" s="245" t="s">
        <v>68</v>
      </c>
      <c r="EHM312" s="1715" t="s">
        <v>0</v>
      </c>
      <c r="EHN312" s="1716"/>
      <c r="EHO312" s="1716"/>
      <c r="EHP312" s="1716"/>
      <c r="EHQ312" s="1716"/>
      <c r="EHR312" s="244"/>
      <c r="EHS312" s="244" t="s">
        <v>68</v>
      </c>
      <c r="EHT312" s="245" t="s">
        <v>68</v>
      </c>
      <c r="EHU312" s="1715" t="s">
        <v>0</v>
      </c>
      <c r="EHV312" s="1716"/>
      <c r="EHW312" s="1716"/>
      <c r="EHX312" s="1716"/>
      <c r="EHY312" s="1716"/>
      <c r="EHZ312" s="244"/>
      <c r="EIA312" s="244" t="s">
        <v>68</v>
      </c>
      <c r="EIB312" s="245" t="s">
        <v>68</v>
      </c>
      <c r="EIC312" s="1715" t="s">
        <v>0</v>
      </c>
      <c r="EID312" s="1716"/>
      <c r="EIE312" s="1716"/>
      <c r="EIF312" s="1716"/>
      <c r="EIG312" s="1716"/>
      <c r="EIH312" s="244"/>
      <c r="EII312" s="244" t="s">
        <v>68</v>
      </c>
      <c r="EIJ312" s="245" t="s">
        <v>68</v>
      </c>
      <c r="EIK312" s="1715" t="s">
        <v>0</v>
      </c>
      <c r="EIL312" s="1716"/>
      <c r="EIM312" s="1716"/>
      <c r="EIN312" s="1716"/>
      <c r="EIO312" s="1716"/>
      <c r="EIP312" s="244"/>
      <c r="EIQ312" s="244" t="s">
        <v>68</v>
      </c>
      <c r="EIR312" s="245" t="s">
        <v>68</v>
      </c>
      <c r="EIS312" s="1715" t="s">
        <v>0</v>
      </c>
      <c r="EIT312" s="1716"/>
      <c r="EIU312" s="1716"/>
      <c r="EIV312" s="1716"/>
      <c r="EIW312" s="1716"/>
      <c r="EIX312" s="244"/>
      <c r="EIY312" s="244" t="s">
        <v>68</v>
      </c>
      <c r="EIZ312" s="245" t="s">
        <v>68</v>
      </c>
      <c r="EJA312" s="1715" t="s">
        <v>0</v>
      </c>
      <c r="EJB312" s="1716"/>
      <c r="EJC312" s="1716"/>
      <c r="EJD312" s="1716"/>
      <c r="EJE312" s="1716"/>
      <c r="EJF312" s="244"/>
      <c r="EJG312" s="244" t="s">
        <v>68</v>
      </c>
      <c r="EJH312" s="245" t="s">
        <v>68</v>
      </c>
      <c r="EJI312" s="1715" t="s">
        <v>0</v>
      </c>
      <c r="EJJ312" s="1716"/>
      <c r="EJK312" s="1716"/>
      <c r="EJL312" s="1716"/>
      <c r="EJM312" s="1716"/>
      <c r="EJN312" s="244"/>
      <c r="EJO312" s="244" t="s">
        <v>68</v>
      </c>
      <c r="EJP312" s="245" t="s">
        <v>68</v>
      </c>
      <c r="EJQ312" s="1715" t="s">
        <v>0</v>
      </c>
      <c r="EJR312" s="1716"/>
      <c r="EJS312" s="1716"/>
      <c r="EJT312" s="1716"/>
      <c r="EJU312" s="1716"/>
      <c r="EJV312" s="244"/>
      <c r="EJW312" s="244" t="s">
        <v>68</v>
      </c>
      <c r="EJX312" s="245" t="s">
        <v>68</v>
      </c>
      <c r="EJY312" s="1715" t="s">
        <v>0</v>
      </c>
      <c r="EJZ312" s="1716"/>
      <c r="EKA312" s="1716"/>
      <c r="EKB312" s="1716"/>
      <c r="EKC312" s="1716"/>
      <c r="EKD312" s="244"/>
      <c r="EKE312" s="244" t="s">
        <v>68</v>
      </c>
      <c r="EKF312" s="245" t="s">
        <v>68</v>
      </c>
      <c r="EKG312" s="1715" t="s">
        <v>0</v>
      </c>
      <c r="EKH312" s="1716"/>
      <c r="EKI312" s="1716"/>
      <c r="EKJ312" s="1716"/>
      <c r="EKK312" s="1716"/>
      <c r="EKL312" s="244"/>
      <c r="EKM312" s="244" t="s">
        <v>68</v>
      </c>
      <c r="EKN312" s="245" t="s">
        <v>68</v>
      </c>
      <c r="EKO312" s="1715" t="s">
        <v>0</v>
      </c>
      <c r="EKP312" s="1716"/>
      <c r="EKQ312" s="1716"/>
      <c r="EKR312" s="1716"/>
      <c r="EKS312" s="1716"/>
      <c r="EKT312" s="244"/>
      <c r="EKU312" s="244" t="s">
        <v>68</v>
      </c>
      <c r="EKV312" s="245" t="s">
        <v>68</v>
      </c>
      <c r="EKW312" s="1715" t="s">
        <v>0</v>
      </c>
      <c r="EKX312" s="1716"/>
      <c r="EKY312" s="1716"/>
      <c r="EKZ312" s="1716"/>
      <c r="ELA312" s="1716"/>
      <c r="ELB312" s="244"/>
      <c r="ELC312" s="244" t="s">
        <v>68</v>
      </c>
      <c r="ELD312" s="245" t="s">
        <v>68</v>
      </c>
      <c r="ELE312" s="1715" t="s">
        <v>0</v>
      </c>
      <c r="ELF312" s="1716"/>
      <c r="ELG312" s="1716"/>
      <c r="ELH312" s="1716"/>
      <c r="ELI312" s="1716"/>
      <c r="ELJ312" s="244"/>
      <c r="ELK312" s="244" t="s">
        <v>68</v>
      </c>
      <c r="ELL312" s="245" t="s">
        <v>68</v>
      </c>
      <c r="ELM312" s="1715" t="s">
        <v>0</v>
      </c>
      <c r="ELN312" s="1716"/>
      <c r="ELO312" s="1716"/>
      <c r="ELP312" s="1716"/>
      <c r="ELQ312" s="1716"/>
      <c r="ELR312" s="244"/>
      <c r="ELS312" s="244" t="s">
        <v>68</v>
      </c>
      <c r="ELT312" s="245" t="s">
        <v>68</v>
      </c>
      <c r="ELU312" s="1715" t="s">
        <v>0</v>
      </c>
      <c r="ELV312" s="1716"/>
      <c r="ELW312" s="1716"/>
      <c r="ELX312" s="1716"/>
      <c r="ELY312" s="1716"/>
      <c r="ELZ312" s="244"/>
      <c r="EMA312" s="244" t="s">
        <v>68</v>
      </c>
      <c r="EMB312" s="245" t="s">
        <v>68</v>
      </c>
      <c r="EMC312" s="1715" t="s">
        <v>0</v>
      </c>
      <c r="EMD312" s="1716"/>
      <c r="EME312" s="1716"/>
      <c r="EMF312" s="1716"/>
      <c r="EMG312" s="1716"/>
      <c r="EMH312" s="244"/>
      <c r="EMI312" s="244" t="s">
        <v>68</v>
      </c>
      <c r="EMJ312" s="245" t="s">
        <v>68</v>
      </c>
      <c r="EMK312" s="1715" t="s">
        <v>0</v>
      </c>
      <c r="EML312" s="1716"/>
      <c r="EMM312" s="1716"/>
      <c r="EMN312" s="1716"/>
      <c r="EMO312" s="1716"/>
      <c r="EMP312" s="244"/>
      <c r="EMQ312" s="244" t="s">
        <v>68</v>
      </c>
      <c r="EMR312" s="245" t="s">
        <v>68</v>
      </c>
      <c r="EMS312" s="1715" t="s">
        <v>0</v>
      </c>
      <c r="EMT312" s="1716"/>
      <c r="EMU312" s="1716"/>
      <c r="EMV312" s="1716"/>
      <c r="EMW312" s="1716"/>
      <c r="EMX312" s="244"/>
      <c r="EMY312" s="244" t="s">
        <v>68</v>
      </c>
      <c r="EMZ312" s="245" t="s">
        <v>68</v>
      </c>
      <c r="ENA312" s="1715" t="s">
        <v>0</v>
      </c>
      <c r="ENB312" s="1716"/>
      <c r="ENC312" s="1716"/>
      <c r="END312" s="1716"/>
      <c r="ENE312" s="1716"/>
      <c r="ENF312" s="244"/>
      <c r="ENG312" s="244" t="s">
        <v>68</v>
      </c>
      <c r="ENH312" s="245" t="s">
        <v>68</v>
      </c>
      <c r="ENI312" s="1715" t="s">
        <v>0</v>
      </c>
      <c r="ENJ312" s="1716"/>
      <c r="ENK312" s="1716"/>
      <c r="ENL312" s="1716"/>
      <c r="ENM312" s="1716"/>
      <c r="ENN312" s="244"/>
      <c r="ENO312" s="244" t="s">
        <v>68</v>
      </c>
      <c r="ENP312" s="245" t="s">
        <v>68</v>
      </c>
      <c r="ENQ312" s="1715" t="s">
        <v>0</v>
      </c>
      <c r="ENR312" s="1716"/>
      <c r="ENS312" s="1716"/>
      <c r="ENT312" s="1716"/>
      <c r="ENU312" s="1716"/>
      <c r="ENV312" s="244"/>
      <c r="ENW312" s="244" t="s">
        <v>68</v>
      </c>
      <c r="ENX312" s="245" t="s">
        <v>68</v>
      </c>
      <c r="ENY312" s="1715" t="s">
        <v>0</v>
      </c>
      <c r="ENZ312" s="1716"/>
      <c r="EOA312" s="1716"/>
      <c r="EOB312" s="1716"/>
      <c r="EOC312" s="1716"/>
      <c r="EOD312" s="244"/>
      <c r="EOE312" s="244" t="s">
        <v>68</v>
      </c>
      <c r="EOF312" s="245" t="s">
        <v>68</v>
      </c>
      <c r="EOG312" s="1715" t="s">
        <v>0</v>
      </c>
      <c r="EOH312" s="1716"/>
      <c r="EOI312" s="1716"/>
      <c r="EOJ312" s="1716"/>
      <c r="EOK312" s="1716"/>
      <c r="EOL312" s="244"/>
      <c r="EOM312" s="244" t="s">
        <v>68</v>
      </c>
      <c r="EON312" s="245" t="s">
        <v>68</v>
      </c>
      <c r="EOO312" s="1715" t="s">
        <v>0</v>
      </c>
      <c r="EOP312" s="1716"/>
      <c r="EOQ312" s="1716"/>
      <c r="EOR312" s="1716"/>
      <c r="EOS312" s="1716"/>
      <c r="EOT312" s="244"/>
      <c r="EOU312" s="244" t="s">
        <v>68</v>
      </c>
      <c r="EOV312" s="245" t="s">
        <v>68</v>
      </c>
      <c r="EOW312" s="1715" t="s">
        <v>0</v>
      </c>
      <c r="EOX312" s="1716"/>
      <c r="EOY312" s="1716"/>
      <c r="EOZ312" s="1716"/>
      <c r="EPA312" s="1716"/>
      <c r="EPB312" s="244"/>
      <c r="EPC312" s="244" t="s">
        <v>68</v>
      </c>
      <c r="EPD312" s="245" t="s">
        <v>68</v>
      </c>
      <c r="EPE312" s="1715" t="s">
        <v>0</v>
      </c>
      <c r="EPF312" s="1716"/>
      <c r="EPG312" s="1716"/>
      <c r="EPH312" s="1716"/>
      <c r="EPI312" s="1716"/>
      <c r="EPJ312" s="244"/>
      <c r="EPK312" s="244" t="s">
        <v>68</v>
      </c>
      <c r="EPL312" s="245" t="s">
        <v>68</v>
      </c>
      <c r="EPM312" s="1715" t="s">
        <v>0</v>
      </c>
      <c r="EPN312" s="1716"/>
      <c r="EPO312" s="1716"/>
      <c r="EPP312" s="1716"/>
      <c r="EPQ312" s="1716"/>
      <c r="EPR312" s="244"/>
      <c r="EPS312" s="244" t="s">
        <v>68</v>
      </c>
      <c r="EPT312" s="245" t="s">
        <v>68</v>
      </c>
      <c r="EPU312" s="1715" t="s">
        <v>0</v>
      </c>
      <c r="EPV312" s="1716"/>
      <c r="EPW312" s="1716"/>
      <c r="EPX312" s="1716"/>
      <c r="EPY312" s="1716"/>
      <c r="EPZ312" s="244"/>
      <c r="EQA312" s="244" t="s">
        <v>68</v>
      </c>
      <c r="EQB312" s="245" t="s">
        <v>68</v>
      </c>
      <c r="EQC312" s="1715" t="s">
        <v>0</v>
      </c>
      <c r="EQD312" s="1716"/>
      <c r="EQE312" s="1716"/>
      <c r="EQF312" s="1716"/>
      <c r="EQG312" s="1716"/>
      <c r="EQH312" s="244"/>
      <c r="EQI312" s="244" t="s">
        <v>68</v>
      </c>
      <c r="EQJ312" s="245" t="s">
        <v>68</v>
      </c>
      <c r="EQK312" s="1715" t="s">
        <v>0</v>
      </c>
      <c r="EQL312" s="1716"/>
      <c r="EQM312" s="1716"/>
      <c r="EQN312" s="1716"/>
      <c r="EQO312" s="1716"/>
      <c r="EQP312" s="244"/>
      <c r="EQQ312" s="244" t="s">
        <v>68</v>
      </c>
      <c r="EQR312" s="245" t="s">
        <v>68</v>
      </c>
      <c r="EQS312" s="1715" t="s">
        <v>0</v>
      </c>
      <c r="EQT312" s="1716"/>
      <c r="EQU312" s="1716"/>
      <c r="EQV312" s="1716"/>
      <c r="EQW312" s="1716"/>
      <c r="EQX312" s="244"/>
      <c r="EQY312" s="244" t="s">
        <v>68</v>
      </c>
      <c r="EQZ312" s="245" t="s">
        <v>68</v>
      </c>
      <c r="ERA312" s="1715" t="s">
        <v>0</v>
      </c>
      <c r="ERB312" s="1716"/>
      <c r="ERC312" s="1716"/>
      <c r="ERD312" s="1716"/>
      <c r="ERE312" s="1716"/>
      <c r="ERF312" s="244"/>
      <c r="ERG312" s="244" t="s">
        <v>68</v>
      </c>
      <c r="ERH312" s="245" t="s">
        <v>68</v>
      </c>
      <c r="ERI312" s="1715" t="s">
        <v>0</v>
      </c>
      <c r="ERJ312" s="1716"/>
      <c r="ERK312" s="1716"/>
      <c r="ERL312" s="1716"/>
      <c r="ERM312" s="1716"/>
      <c r="ERN312" s="244"/>
      <c r="ERO312" s="244" t="s">
        <v>68</v>
      </c>
      <c r="ERP312" s="245" t="s">
        <v>68</v>
      </c>
      <c r="ERQ312" s="1715" t="s">
        <v>0</v>
      </c>
      <c r="ERR312" s="1716"/>
      <c r="ERS312" s="1716"/>
      <c r="ERT312" s="1716"/>
      <c r="ERU312" s="1716"/>
      <c r="ERV312" s="244"/>
      <c r="ERW312" s="244" t="s">
        <v>68</v>
      </c>
      <c r="ERX312" s="245" t="s">
        <v>68</v>
      </c>
      <c r="ERY312" s="1715" t="s">
        <v>0</v>
      </c>
      <c r="ERZ312" s="1716"/>
      <c r="ESA312" s="1716"/>
      <c r="ESB312" s="1716"/>
      <c r="ESC312" s="1716"/>
      <c r="ESD312" s="244"/>
      <c r="ESE312" s="244" t="s">
        <v>68</v>
      </c>
      <c r="ESF312" s="245" t="s">
        <v>68</v>
      </c>
      <c r="ESG312" s="1715" t="s">
        <v>0</v>
      </c>
      <c r="ESH312" s="1716"/>
      <c r="ESI312" s="1716"/>
      <c r="ESJ312" s="1716"/>
      <c r="ESK312" s="1716"/>
      <c r="ESL312" s="244"/>
      <c r="ESM312" s="244" t="s">
        <v>68</v>
      </c>
      <c r="ESN312" s="245" t="s">
        <v>68</v>
      </c>
      <c r="ESO312" s="1715" t="s">
        <v>0</v>
      </c>
      <c r="ESP312" s="1716"/>
      <c r="ESQ312" s="1716"/>
      <c r="ESR312" s="1716"/>
      <c r="ESS312" s="1716"/>
      <c r="EST312" s="244"/>
      <c r="ESU312" s="244" t="s">
        <v>68</v>
      </c>
      <c r="ESV312" s="245" t="s">
        <v>68</v>
      </c>
      <c r="ESW312" s="1715" t="s">
        <v>0</v>
      </c>
      <c r="ESX312" s="1716"/>
      <c r="ESY312" s="1716"/>
      <c r="ESZ312" s="1716"/>
      <c r="ETA312" s="1716"/>
      <c r="ETB312" s="244"/>
      <c r="ETC312" s="244" t="s">
        <v>68</v>
      </c>
      <c r="ETD312" s="245" t="s">
        <v>68</v>
      </c>
      <c r="ETE312" s="1715" t="s">
        <v>0</v>
      </c>
      <c r="ETF312" s="1716"/>
      <c r="ETG312" s="1716"/>
      <c r="ETH312" s="1716"/>
      <c r="ETI312" s="1716"/>
      <c r="ETJ312" s="244"/>
      <c r="ETK312" s="244" t="s">
        <v>68</v>
      </c>
      <c r="ETL312" s="245" t="s">
        <v>68</v>
      </c>
      <c r="ETM312" s="1715" t="s">
        <v>0</v>
      </c>
      <c r="ETN312" s="1716"/>
      <c r="ETO312" s="1716"/>
      <c r="ETP312" s="1716"/>
      <c r="ETQ312" s="1716"/>
      <c r="ETR312" s="244"/>
      <c r="ETS312" s="244" t="s">
        <v>68</v>
      </c>
      <c r="ETT312" s="245" t="s">
        <v>68</v>
      </c>
      <c r="ETU312" s="1715" t="s">
        <v>0</v>
      </c>
      <c r="ETV312" s="1716"/>
      <c r="ETW312" s="1716"/>
      <c r="ETX312" s="1716"/>
      <c r="ETY312" s="1716"/>
      <c r="ETZ312" s="244"/>
      <c r="EUA312" s="244" t="s">
        <v>68</v>
      </c>
      <c r="EUB312" s="245" t="s">
        <v>68</v>
      </c>
      <c r="EUC312" s="1715" t="s">
        <v>0</v>
      </c>
      <c r="EUD312" s="1716"/>
      <c r="EUE312" s="1716"/>
      <c r="EUF312" s="1716"/>
      <c r="EUG312" s="1716"/>
      <c r="EUH312" s="244"/>
      <c r="EUI312" s="244" t="s">
        <v>68</v>
      </c>
      <c r="EUJ312" s="245" t="s">
        <v>68</v>
      </c>
      <c r="EUK312" s="1715" t="s">
        <v>0</v>
      </c>
      <c r="EUL312" s="1716"/>
      <c r="EUM312" s="1716"/>
      <c r="EUN312" s="1716"/>
      <c r="EUO312" s="1716"/>
      <c r="EUP312" s="244"/>
      <c r="EUQ312" s="244" t="s">
        <v>68</v>
      </c>
      <c r="EUR312" s="245" t="s">
        <v>68</v>
      </c>
      <c r="EUS312" s="1715" t="s">
        <v>0</v>
      </c>
      <c r="EUT312" s="1716"/>
      <c r="EUU312" s="1716"/>
      <c r="EUV312" s="1716"/>
      <c r="EUW312" s="1716"/>
      <c r="EUX312" s="244"/>
      <c r="EUY312" s="244" t="s">
        <v>68</v>
      </c>
      <c r="EUZ312" s="245" t="s">
        <v>68</v>
      </c>
      <c r="EVA312" s="1715" t="s">
        <v>0</v>
      </c>
      <c r="EVB312" s="1716"/>
      <c r="EVC312" s="1716"/>
      <c r="EVD312" s="1716"/>
      <c r="EVE312" s="1716"/>
      <c r="EVF312" s="244"/>
      <c r="EVG312" s="244" t="s">
        <v>68</v>
      </c>
      <c r="EVH312" s="245" t="s">
        <v>68</v>
      </c>
      <c r="EVI312" s="1715" t="s">
        <v>0</v>
      </c>
      <c r="EVJ312" s="1716"/>
      <c r="EVK312" s="1716"/>
      <c r="EVL312" s="1716"/>
      <c r="EVM312" s="1716"/>
      <c r="EVN312" s="244"/>
      <c r="EVO312" s="244" t="s">
        <v>68</v>
      </c>
      <c r="EVP312" s="245" t="s">
        <v>68</v>
      </c>
      <c r="EVQ312" s="1715" t="s">
        <v>0</v>
      </c>
      <c r="EVR312" s="1716"/>
      <c r="EVS312" s="1716"/>
      <c r="EVT312" s="1716"/>
      <c r="EVU312" s="1716"/>
      <c r="EVV312" s="244"/>
      <c r="EVW312" s="244" t="s">
        <v>68</v>
      </c>
      <c r="EVX312" s="245" t="s">
        <v>68</v>
      </c>
      <c r="EVY312" s="1715" t="s">
        <v>0</v>
      </c>
      <c r="EVZ312" s="1716"/>
      <c r="EWA312" s="1716"/>
      <c r="EWB312" s="1716"/>
      <c r="EWC312" s="1716"/>
      <c r="EWD312" s="244"/>
      <c r="EWE312" s="244" t="s">
        <v>68</v>
      </c>
      <c r="EWF312" s="245" t="s">
        <v>68</v>
      </c>
      <c r="EWG312" s="1715" t="s">
        <v>0</v>
      </c>
      <c r="EWH312" s="1716"/>
      <c r="EWI312" s="1716"/>
      <c r="EWJ312" s="1716"/>
      <c r="EWK312" s="1716"/>
      <c r="EWL312" s="244"/>
      <c r="EWM312" s="244" t="s">
        <v>68</v>
      </c>
      <c r="EWN312" s="245" t="s">
        <v>68</v>
      </c>
      <c r="EWO312" s="1715" t="s">
        <v>0</v>
      </c>
      <c r="EWP312" s="1716"/>
      <c r="EWQ312" s="1716"/>
      <c r="EWR312" s="1716"/>
      <c r="EWS312" s="1716"/>
      <c r="EWT312" s="244"/>
      <c r="EWU312" s="244" t="s">
        <v>68</v>
      </c>
      <c r="EWV312" s="245" t="s">
        <v>68</v>
      </c>
      <c r="EWW312" s="1715" t="s">
        <v>0</v>
      </c>
      <c r="EWX312" s="1716"/>
      <c r="EWY312" s="1716"/>
      <c r="EWZ312" s="1716"/>
      <c r="EXA312" s="1716"/>
      <c r="EXB312" s="244"/>
      <c r="EXC312" s="244" t="s">
        <v>68</v>
      </c>
      <c r="EXD312" s="245" t="s">
        <v>68</v>
      </c>
      <c r="EXE312" s="1715" t="s">
        <v>0</v>
      </c>
      <c r="EXF312" s="1716"/>
      <c r="EXG312" s="1716"/>
      <c r="EXH312" s="1716"/>
      <c r="EXI312" s="1716"/>
      <c r="EXJ312" s="244"/>
      <c r="EXK312" s="244" t="s">
        <v>68</v>
      </c>
      <c r="EXL312" s="245" t="s">
        <v>68</v>
      </c>
      <c r="EXM312" s="1715" t="s">
        <v>0</v>
      </c>
      <c r="EXN312" s="1716"/>
      <c r="EXO312" s="1716"/>
      <c r="EXP312" s="1716"/>
      <c r="EXQ312" s="1716"/>
      <c r="EXR312" s="244"/>
      <c r="EXS312" s="244" t="s">
        <v>68</v>
      </c>
      <c r="EXT312" s="245" t="s">
        <v>68</v>
      </c>
      <c r="EXU312" s="1715" t="s">
        <v>0</v>
      </c>
      <c r="EXV312" s="1716"/>
      <c r="EXW312" s="1716"/>
      <c r="EXX312" s="1716"/>
      <c r="EXY312" s="1716"/>
      <c r="EXZ312" s="244"/>
      <c r="EYA312" s="244" t="s">
        <v>68</v>
      </c>
      <c r="EYB312" s="245" t="s">
        <v>68</v>
      </c>
      <c r="EYC312" s="1715" t="s">
        <v>0</v>
      </c>
      <c r="EYD312" s="1716"/>
      <c r="EYE312" s="1716"/>
      <c r="EYF312" s="1716"/>
      <c r="EYG312" s="1716"/>
      <c r="EYH312" s="244"/>
      <c r="EYI312" s="244" t="s">
        <v>68</v>
      </c>
      <c r="EYJ312" s="245" t="s">
        <v>68</v>
      </c>
      <c r="EYK312" s="1715" t="s">
        <v>0</v>
      </c>
      <c r="EYL312" s="1716"/>
      <c r="EYM312" s="1716"/>
      <c r="EYN312" s="1716"/>
      <c r="EYO312" s="1716"/>
      <c r="EYP312" s="244"/>
      <c r="EYQ312" s="244" t="s">
        <v>68</v>
      </c>
      <c r="EYR312" s="245" t="s">
        <v>68</v>
      </c>
      <c r="EYS312" s="1715" t="s">
        <v>0</v>
      </c>
      <c r="EYT312" s="1716"/>
      <c r="EYU312" s="1716"/>
      <c r="EYV312" s="1716"/>
      <c r="EYW312" s="1716"/>
      <c r="EYX312" s="244"/>
      <c r="EYY312" s="244" t="s">
        <v>68</v>
      </c>
      <c r="EYZ312" s="245" t="s">
        <v>68</v>
      </c>
      <c r="EZA312" s="1715" t="s">
        <v>0</v>
      </c>
      <c r="EZB312" s="1716"/>
      <c r="EZC312" s="1716"/>
      <c r="EZD312" s="1716"/>
      <c r="EZE312" s="1716"/>
      <c r="EZF312" s="244"/>
      <c r="EZG312" s="244" t="s">
        <v>68</v>
      </c>
      <c r="EZH312" s="245" t="s">
        <v>68</v>
      </c>
      <c r="EZI312" s="1715" t="s">
        <v>0</v>
      </c>
      <c r="EZJ312" s="1716"/>
      <c r="EZK312" s="1716"/>
      <c r="EZL312" s="1716"/>
      <c r="EZM312" s="1716"/>
      <c r="EZN312" s="244"/>
      <c r="EZO312" s="244" t="s">
        <v>68</v>
      </c>
      <c r="EZP312" s="245" t="s">
        <v>68</v>
      </c>
      <c r="EZQ312" s="1715" t="s">
        <v>0</v>
      </c>
      <c r="EZR312" s="1716"/>
      <c r="EZS312" s="1716"/>
      <c r="EZT312" s="1716"/>
      <c r="EZU312" s="1716"/>
      <c r="EZV312" s="244"/>
      <c r="EZW312" s="244" t="s">
        <v>68</v>
      </c>
      <c r="EZX312" s="245" t="s">
        <v>68</v>
      </c>
      <c r="EZY312" s="1715" t="s">
        <v>0</v>
      </c>
      <c r="EZZ312" s="1716"/>
      <c r="FAA312" s="1716"/>
      <c r="FAB312" s="1716"/>
      <c r="FAC312" s="1716"/>
      <c r="FAD312" s="244"/>
      <c r="FAE312" s="244" t="s">
        <v>68</v>
      </c>
      <c r="FAF312" s="245" t="s">
        <v>68</v>
      </c>
      <c r="FAG312" s="1715" t="s">
        <v>0</v>
      </c>
      <c r="FAH312" s="1716"/>
      <c r="FAI312" s="1716"/>
      <c r="FAJ312" s="1716"/>
      <c r="FAK312" s="1716"/>
      <c r="FAL312" s="244"/>
      <c r="FAM312" s="244" t="s">
        <v>68</v>
      </c>
      <c r="FAN312" s="245" t="s">
        <v>68</v>
      </c>
      <c r="FAO312" s="1715" t="s">
        <v>0</v>
      </c>
      <c r="FAP312" s="1716"/>
      <c r="FAQ312" s="1716"/>
      <c r="FAR312" s="1716"/>
      <c r="FAS312" s="1716"/>
      <c r="FAT312" s="244"/>
      <c r="FAU312" s="244" t="s">
        <v>68</v>
      </c>
      <c r="FAV312" s="245" t="s">
        <v>68</v>
      </c>
      <c r="FAW312" s="1715" t="s">
        <v>0</v>
      </c>
      <c r="FAX312" s="1716"/>
      <c r="FAY312" s="1716"/>
      <c r="FAZ312" s="1716"/>
      <c r="FBA312" s="1716"/>
      <c r="FBB312" s="244"/>
      <c r="FBC312" s="244" t="s">
        <v>68</v>
      </c>
      <c r="FBD312" s="245" t="s">
        <v>68</v>
      </c>
      <c r="FBE312" s="1715" t="s">
        <v>0</v>
      </c>
      <c r="FBF312" s="1716"/>
      <c r="FBG312" s="1716"/>
      <c r="FBH312" s="1716"/>
      <c r="FBI312" s="1716"/>
      <c r="FBJ312" s="244"/>
      <c r="FBK312" s="244" t="s">
        <v>68</v>
      </c>
      <c r="FBL312" s="245" t="s">
        <v>68</v>
      </c>
      <c r="FBM312" s="1715" t="s">
        <v>0</v>
      </c>
      <c r="FBN312" s="1716"/>
      <c r="FBO312" s="1716"/>
      <c r="FBP312" s="1716"/>
      <c r="FBQ312" s="1716"/>
      <c r="FBR312" s="244"/>
      <c r="FBS312" s="244" t="s">
        <v>68</v>
      </c>
      <c r="FBT312" s="245" t="s">
        <v>68</v>
      </c>
      <c r="FBU312" s="1715" t="s">
        <v>0</v>
      </c>
      <c r="FBV312" s="1716"/>
      <c r="FBW312" s="1716"/>
      <c r="FBX312" s="1716"/>
      <c r="FBY312" s="1716"/>
      <c r="FBZ312" s="244"/>
      <c r="FCA312" s="244" t="s">
        <v>68</v>
      </c>
      <c r="FCB312" s="245" t="s">
        <v>68</v>
      </c>
      <c r="FCC312" s="1715" t="s">
        <v>0</v>
      </c>
      <c r="FCD312" s="1716"/>
      <c r="FCE312" s="1716"/>
      <c r="FCF312" s="1716"/>
      <c r="FCG312" s="1716"/>
      <c r="FCH312" s="244"/>
      <c r="FCI312" s="244" t="s">
        <v>68</v>
      </c>
      <c r="FCJ312" s="245" t="s">
        <v>68</v>
      </c>
      <c r="FCK312" s="1715" t="s">
        <v>0</v>
      </c>
      <c r="FCL312" s="1716"/>
      <c r="FCM312" s="1716"/>
      <c r="FCN312" s="1716"/>
      <c r="FCO312" s="1716"/>
      <c r="FCP312" s="244"/>
      <c r="FCQ312" s="244" t="s">
        <v>68</v>
      </c>
      <c r="FCR312" s="245" t="s">
        <v>68</v>
      </c>
      <c r="FCS312" s="1715" t="s">
        <v>0</v>
      </c>
      <c r="FCT312" s="1716"/>
      <c r="FCU312" s="1716"/>
      <c r="FCV312" s="1716"/>
      <c r="FCW312" s="1716"/>
      <c r="FCX312" s="244"/>
      <c r="FCY312" s="244" t="s">
        <v>68</v>
      </c>
      <c r="FCZ312" s="245" t="s">
        <v>68</v>
      </c>
      <c r="FDA312" s="1715" t="s">
        <v>0</v>
      </c>
      <c r="FDB312" s="1716"/>
      <c r="FDC312" s="1716"/>
      <c r="FDD312" s="1716"/>
      <c r="FDE312" s="1716"/>
      <c r="FDF312" s="244"/>
      <c r="FDG312" s="244" t="s">
        <v>68</v>
      </c>
      <c r="FDH312" s="245" t="s">
        <v>68</v>
      </c>
      <c r="FDI312" s="1715" t="s">
        <v>0</v>
      </c>
      <c r="FDJ312" s="1716"/>
      <c r="FDK312" s="1716"/>
      <c r="FDL312" s="1716"/>
      <c r="FDM312" s="1716"/>
      <c r="FDN312" s="244"/>
      <c r="FDO312" s="244" t="s">
        <v>68</v>
      </c>
      <c r="FDP312" s="245" t="s">
        <v>68</v>
      </c>
      <c r="FDQ312" s="1715" t="s">
        <v>0</v>
      </c>
      <c r="FDR312" s="1716"/>
      <c r="FDS312" s="1716"/>
      <c r="FDT312" s="1716"/>
      <c r="FDU312" s="1716"/>
      <c r="FDV312" s="244"/>
      <c r="FDW312" s="244" t="s">
        <v>68</v>
      </c>
      <c r="FDX312" s="245" t="s">
        <v>68</v>
      </c>
      <c r="FDY312" s="1715" t="s">
        <v>0</v>
      </c>
      <c r="FDZ312" s="1716"/>
      <c r="FEA312" s="1716"/>
      <c r="FEB312" s="1716"/>
      <c r="FEC312" s="1716"/>
      <c r="FED312" s="244"/>
      <c r="FEE312" s="244" t="s">
        <v>68</v>
      </c>
      <c r="FEF312" s="245" t="s">
        <v>68</v>
      </c>
      <c r="FEG312" s="1715" t="s">
        <v>0</v>
      </c>
      <c r="FEH312" s="1716"/>
      <c r="FEI312" s="1716"/>
      <c r="FEJ312" s="1716"/>
      <c r="FEK312" s="1716"/>
      <c r="FEL312" s="244"/>
      <c r="FEM312" s="244" t="s">
        <v>68</v>
      </c>
      <c r="FEN312" s="245" t="s">
        <v>68</v>
      </c>
      <c r="FEO312" s="1715" t="s">
        <v>0</v>
      </c>
      <c r="FEP312" s="1716"/>
      <c r="FEQ312" s="1716"/>
      <c r="FER312" s="1716"/>
      <c r="FES312" s="1716"/>
      <c r="FET312" s="244"/>
      <c r="FEU312" s="244" t="s">
        <v>68</v>
      </c>
      <c r="FEV312" s="245" t="s">
        <v>68</v>
      </c>
      <c r="FEW312" s="1715" t="s">
        <v>0</v>
      </c>
      <c r="FEX312" s="1716"/>
      <c r="FEY312" s="1716"/>
      <c r="FEZ312" s="1716"/>
      <c r="FFA312" s="1716"/>
      <c r="FFB312" s="244"/>
      <c r="FFC312" s="244" t="s">
        <v>68</v>
      </c>
      <c r="FFD312" s="245" t="s">
        <v>68</v>
      </c>
      <c r="FFE312" s="1715" t="s">
        <v>0</v>
      </c>
      <c r="FFF312" s="1716"/>
      <c r="FFG312" s="1716"/>
      <c r="FFH312" s="1716"/>
      <c r="FFI312" s="1716"/>
      <c r="FFJ312" s="244"/>
      <c r="FFK312" s="244" t="s">
        <v>68</v>
      </c>
      <c r="FFL312" s="245" t="s">
        <v>68</v>
      </c>
      <c r="FFM312" s="1715" t="s">
        <v>0</v>
      </c>
      <c r="FFN312" s="1716"/>
      <c r="FFO312" s="1716"/>
      <c r="FFP312" s="1716"/>
      <c r="FFQ312" s="1716"/>
      <c r="FFR312" s="244"/>
      <c r="FFS312" s="244" t="s">
        <v>68</v>
      </c>
      <c r="FFT312" s="245" t="s">
        <v>68</v>
      </c>
      <c r="FFU312" s="1715" t="s">
        <v>0</v>
      </c>
      <c r="FFV312" s="1716"/>
      <c r="FFW312" s="1716"/>
      <c r="FFX312" s="1716"/>
      <c r="FFY312" s="1716"/>
      <c r="FFZ312" s="244"/>
      <c r="FGA312" s="244" t="s">
        <v>68</v>
      </c>
      <c r="FGB312" s="245" t="s">
        <v>68</v>
      </c>
      <c r="FGC312" s="1715" t="s">
        <v>0</v>
      </c>
      <c r="FGD312" s="1716"/>
      <c r="FGE312" s="1716"/>
      <c r="FGF312" s="1716"/>
      <c r="FGG312" s="1716"/>
      <c r="FGH312" s="244"/>
      <c r="FGI312" s="244" t="s">
        <v>68</v>
      </c>
      <c r="FGJ312" s="245" t="s">
        <v>68</v>
      </c>
      <c r="FGK312" s="1715" t="s">
        <v>0</v>
      </c>
      <c r="FGL312" s="1716"/>
      <c r="FGM312" s="1716"/>
      <c r="FGN312" s="1716"/>
      <c r="FGO312" s="1716"/>
      <c r="FGP312" s="244"/>
      <c r="FGQ312" s="244" t="s">
        <v>68</v>
      </c>
      <c r="FGR312" s="245" t="s">
        <v>68</v>
      </c>
      <c r="FGS312" s="1715" t="s">
        <v>0</v>
      </c>
      <c r="FGT312" s="1716"/>
      <c r="FGU312" s="1716"/>
      <c r="FGV312" s="1716"/>
      <c r="FGW312" s="1716"/>
      <c r="FGX312" s="244"/>
      <c r="FGY312" s="244" t="s">
        <v>68</v>
      </c>
      <c r="FGZ312" s="245" t="s">
        <v>68</v>
      </c>
      <c r="FHA312" s="1715" t="s">
        <v>0</v>
      </c>
      <c r="FHB312" s="1716"/>
      <c r="FHC312" s="1716"/>
      <c r="FHD312" s="1716"/>
      <c r="FHE312" s="1716"/>
      <c r="FHF312" s="244"/>
      <c r="FHG312" s="244" t="s">
        <v>68</v>
      </c>
      <c r="FHH312" s="245" t="s">
        <v>68</v>
      </c>
      <c r="FHI312" s="1715" t="s">
        <v>0</v>
      </c>
      <c r="FHJ312" s="1716"/>
      <c r="FHK312" s="1716"/>
      <c r="FHL312" s="1716"/>
      <c r="FHM312" s="1716"/>
      <c r="FHN312" s="244"/>
      <c r="FHO312" s="244" t="s">
        <v>68</v>
      </c>
      <c r="FHP312" s="245" t="s">
        <v>68</v>
      </c>
      <c r="FHQ312" s="1715" t="s">
        <v>0</v>
      </c>
      <c r="FHR312" s="1716"/>
      <c r="FHS312" s="1716"/>
      <c r="FHT312" s="1716"/>
      <c r="FHU312" s="1716"/>
      <c r="FHV312" s="244"/>
      <c r="FHW312" s="244" t="s">
        <v>68</v>
      </c>
      <c r="FHX312" s="245" t="s">
        <v>68</v>
      </c>
      <c r="FHY312" s="1715" t="s">
        <v>0</v>
      </c>
      <c r="FHZ312" s="1716"/>
      <c r="FIA312" s="1716"/>
      <c r="FIB312" s="1716"/>
      <c r="FIC312" s="1716"/>
      <c r="FID312" s="244"/>
      <c r="FIE312" s="244" t="s">
        <v>68</v>
      </c>
      <c r="FIF312" s="245" t="s">
        <v>68</v>
      </c>
      <c r="FIG312" s="1715" t="s">
        <v>0</v>
      </c>
      <c r="FIH312" s="1716"/>
      <c r="FII312" s="1716"/>
      <c r="FIJ312" s="1716"/>
      <c r="FIK312" s="1716"/>
      <c r="FIL312" s="244"/>
      <c r="FIM312" s="244" t="s">
        <v>68</v>
      </c>
      <c r="FIN312" s="245" t="s">
        <v>68</v>
      </c>
      <c r="FIO312" s="1715" t="s">
        <v>0</v>
      </c>
      <c r="FIP312" s="1716"/>
      <c r="FIQ312" s="1716"/>
      <c r="FIR312" s="1716"/>
      <c r="FIS312" s="1716"/>
      <c r="FIT312" s="244"/>
      <c r="FIU312" s="244" t="s">
        <v>68</v>
      </c>
      <c r="FIV312" s="245" t="s">
        <v>68</v>
      </c>
      <c r="FIW312" s="1715" t="s">
        <v>0</v>
      </c>
      <c r="FIX312" s="1716"/>
      <c r="FIY312" s="1716"/>
      <c r="FIZ312" s="1716"/>
      <c r="FJA312" s="1716"/>
      <c r="FJB312" s="244"/>
      <c r="FJC312" s="244" t="s">
        <v>68</v>
      </c>
      <c r="FJD312" s="245" t="s">
        <v>68</v>
      </c>
      <c r="FJE312" s="1715" t="s">
        <v>0</v>
      </c>
      <c r="FJF312" s="1716"/>
      <c r="FJG312" s="1716"/>
      <c r="FJH312" s="1716"/>
      <c r="FJI312" s="1716"/>
      <c r="FJJ312" s="244"/>
      <c r="FJK312" s="244" t="s">
        <v>68</v>
      </c>
      <c r="FJL312" s="245" t="s">
        <v>68</v>
      </c>
      <c r="FJM312" s="1715" t="s">
        <v>0</v>
      </c>
      <c r="FJN312" s="1716"/>
      <c r="FJO312" s="1716"/>
      <c r="FJP312" s="1716"/>
      <c r="FJQ312" s="1716"/>
      <c r="FJR312" s="244"/>
      <c r="FJS312" s="244" t="s">
        <v>68</v>
      </c>
      <c r="FJT312" s="245" t="s">
        <v>68</v>
      </c>
      <c r="FJU312" s="1715" t="s">
        <v>0</v>
      </c>
      <c r="FJV312" s="1716"/>
      <c r="FJW312" s="1716"/>
      <c r="FJX312" s="1716"/>
      <c r="FJY312" s="1716"/>
      <c r="FJZ312" s="244"/>
      <c r="FKA312" s="244" t="s">
        <v>68</v>
      </c>
      <c r="FKB312" s="245" t="s">
        <v>68</v>
      </c>
      <c r="FKC312" s="1715" t="s">
        <v>0</v>
      </c>
      <c r="FKD312" s="1716"/>
      <c r="FKE312" s="1716"/>
      <c r="FKF312" s="1716"/>
      <c r="FKG312" s="1716"/>
      <c r="FKH312" s="244"/>
      <c r="FKI312" s="244" t="s">
        <v>68</v>
      </c>
      <c r="FKJ312" s="245" t="s">
        <v>68</v>
      </c>
      <c r="FKK312" s="1715" t="s">
        <v>0</v>
      </c>
      <c r="FKL312" s="1716"/>
      <c r="FKM312" s="1716"/>
      <c r="FKN312" s="1716"/>
      <c r="FKO312" s="1716"/>
      <c r="FKP312" s="244"/>
      <c r="FKQ312" s="244" t="s">
        <v>68</v>
      </c>
      <c r="FKR312" s="245" t="s">
        <v>68</v>
      </c>
      <c r="FKS312" s="1715" t="s">
        <v>0</v>
      </c>
      <c r="FKT312" s="1716"/>
      <c r="FKU312" s="1716"/>
      <c r="FKV312" s="1716"/>
      <c r="FKW312" s="1716"/>
      <c r="FKX312" s="244"/>
      <c r="FKY312" s="244" t="s">
        <v>68</v>
      </c>
      <c r="FKZ312" s="245" t="s">
        <v>68</v>
      </c>
      <c r="FLA312" s="1715" t="s">
        <v>0</v>
      </c>
      <c r="FLB312" s="1716"/>
      <c r="FLC312" s="1716"/>
      <c r="FLD312" s="1716"/>
      <c r="FLE312" s="1716"/>
      <c r="FLF312" s="244"/>
      <c r="FLG312" s="244" t="s">
        <v>68</v>
      </c>
      <c r="FLH312" s="245" t="s">
        <v>68</v>
      </c>
      <c r="FLI312" s="1715" t="s">
        <v>0</v>
      </c>
      <c r="FLJ312" s="1716"/>
      <c r="FLK312" s="1716"/>
      <c r="FLL312" s="1716"/>
      <c r="FLM312" s="1716"/>
      <c r="FLN312" s="244"/>
      <c r="FLO312" s="244" t="s">
        <v>68</v>
      </c>
      <c r="FLP312" s="245" t="s">
        <v>68</v>
      </c>
      <c r="FLQ312" s="1715" t="s">
        <v>0</v>
      </c>
      <c r="FLR312" s="1716"/>
      <c r="FLS312" s="1716"/>
      <c r="FLT312" s="1716"/>
      <c r="FLU312" s="1716"/>
      <c r="FLV312" s="244"/>
      <c r="FLW312" s="244" t="s">
        <v>68</v>
      </c>
      <c r="FLX312" s="245" t="s">
        <v>68</v>
      </c>
      <c r="FLY312" s="1715" t="s">
        <v>0</v>
      </c>
      <c r="FLZ312" s="1716"/>
      <c r="FMA312" s="1716"/>
      <c r="FMB312" s="1716"/>
      <c r="FMC312" s="1716"/>
      <c r="FMD312" s="244"/>
      <c r="FME312" s="244" t="s">
        <v>68</v>
      </c>
      <c r="FMF312" s="245" t="s">
        <v>68</v>
      </c>
      <c r="FMG312" s="1715" t="s">
        <v>0</v>
      </c>
      <c r="FMH312" s="1716"/>
      <c r="FMI312" s="1716"/>
      <c r="FMJ312" s="1716"/>
      <c r="FMK312" s="1716"/>
      <c r="FML312" s="244"/>
      <c r="FMM312" s="244" t="s">
        <v>68</v>
      </c>
      <c r="FMN312" s="245" t="s">
        <v>68</v>
      </c>
      <c r="FMO312" s="1715" t="s">
        <v>0</v>
      </c>
      <c r="FMP312" s="1716"/>
      <c r="FMQ312" s="1716"/>
      <c r="FMR312" s="1716"/>
      <c r="FMS312" s="1716"/>
      <c r="FMT312" s="244"/>
      <c r="FMU312" s="244" t="s">
        <v>68</v>
      </c>
      <c r="FMV312" s="245" t="s">
        <v>68</v>
      </c>
      <c r="FMW312" s="1715" t="s">
        <v>0</v>
      </c>
      <c r="FMX312" s="1716"/>
      <c r="FMY312" s="1716"/>
      <c r="FMZ312" s="1716"/>
      <c r="FNA312" s="1716"/>
      <c r="FNB312" s="244"/>
      <c r="FNC312" s="244" t="s">
        <v>68</v>
      </c>
      <c r="FND312" s="245" t="s">
        <v>68</v>
      </c>
      <c r="FNE312" s="1715" t="s">
        <v>0</v>
      </c>
      <c r="FNF312" s="1716"/>
      <c r="FNG312" s="1716"/>
      <c r="FNH312" s="1716"/>
      <c r="FNI312" s="1716"/>
      <c r="FNJ312" s="244"/>
      <c r="FNK312" s="244" t="s">
        <v>68</v>
      </c>
      <c r="FNL312" s="245" t="s">
        <v>68</v>
      </c>
      <c r="FNM312" s="1715" t="s">
        <v>0</v>
      </c>
      <c r="FNN312" s="1716"/>
      <c r="FNO312" s="1716"/>
      <c r="FNP312" s="1716"/>
      <c r="FNQ312" s="1716"/>
      <c r="FNR312" s="244"/>
      <c r="FNS312" s="244" t="s">
        <v>68</v>
      </c>
      <c r="FNT312" s="245" t="s">
        <v>68</v>
      </c>
      <c r="FNU312" s="1715" t="s">
        <v>0</v>
      </c>
      <c r="FNV312" s="1716"/>
      <c r="FNW312" s="1716"/>
      <c r="FNX312" s="1716"/>
      <c r="FNY312" s="1716"/>
      <c r="FNZ312" s="244"/>
      <c r="FOA312" s="244" t="s">
        <v>68</v>
      </c>
      <c r="FOB312" s="245" t="s">
        <v>68</v>
      </c>
      <c r="FOC312" s="1715" t="s">
        <v>0</v>
      </c>
      <c r="FOD312" s="1716"/>
      <c r="FOE312" s="1716"/>
      <c r="FOF312" s="1716"/>
      <c r="FOG312" s="1716"/>
      <c r="FOH312" s="244"/>
      <c r="FOI312" s="244" t="s">
        <v>68</v>
      </c>
      <c r="FOJ312" s="245" t="s">
        <v>68</v>
      </c>
      <c r="FOK312" s="1715" t="s">
        <v>0</v>
      </c>
      <c r="FOL312" s="1716"/>
      <c r="FOM312" s="1716"/>
      <c r="FON312" s="1716"/>
      <c r="FOO312" s="1716"/>
      <c r="FOP312" s="244"/>
      <c r="FOQ312" s="244" t="s">
        <v>68</v>
      </c>
      <c r="FOR312" s="245" t="s">
        <v>68</v>
      </c>
      <c r="FOS312" s="1715" t="s">
        <v>0</v>
      </c>
      <c r="FOT312" s="1716"/>
      <c r="FOU312" s="1716"/>
      <c r="FOV312" s="1716"/>
      <c r="FOW312" s="1716"/>
      <c r="FOX312" s="244"/>
      <c r="FOY312" s="244" t="s">
        <v>68</v>
      </c>
      <c r="FOZ312" s="245" t="s">
        <v>68</v>
      </c>
      <c r="FPA312" s="1715" t="s">
        <v>0</v>
      </c>
      <c r="FPB312" s="1716"/>
      <c r="FPC312" s="1716"/>
      <c r="FPD312" s="1716"/>
      <c r="FPE312" s="1716"/>
      <c r="FPF312" s="244"/>
      <c r="FPG312" s="244" t="s">
        <v>68</v>
      </c>
      <c r="FPH312" s="245" t="s">
        <v>68</v>
      </c>
      <c r="FPI312" s="1715" t="s">
        <v>0</v>
      </c>
      <c r="FPJ312" s="1716"/>
      <c r="FPK312" s="1716"/>
      <c r="FPL312" s="1716"/>
      <c r="FPM312" s="1716"/>
      <c r="FPN312" s="244"/>
      <c r="FPO312" s="244" t="s">
        <v>68</v>
      </c>
      <c r="FPP312" s="245" t="s">
        <v>68</v>
      </c>
      <c r="FPQ312" s="1715" t="s">
        <v>0</v>
      </c>
      <c r="FPR312" s="1716"/>
      <c r="FPS312" s="1716"/>
      <c r="FPT312" s="1716"/>
      <c r="FPU312" s="1716"/>
      <c r="FPV312" s="244"/>
      <c r="FPW312" s="244" t="s">
        <v>68</v>
      </c>
      <c r="FPX312" s="245" t="s">
        <v>68</v>
      </c>
      <c r="FPY312" s="1715" t="s">
        <v>0</v>
      </c>
      <c r="FPZ312" s="1716"/>
      <c r="FQA312" s="1716"/>
      <c r="FQB312" s="1716"/>
      <c r="FQC312" s="1716"/>
      <c r="FQD312" s="244"/>
      <c r="FQE312" s="244" t="s">
        <v>68</v>
      </c>
      <c r="FQF312" s="245" t="s">
        <v>68</v>
      </c>
      <c r="FQG312" s="1715" t="s">
        <v>0</v>
      </c>
      <c r="FQH312" s="1716"/>
      <c r="FQI312" s="1716"/>
      <c r="FQJ312" s="1716"/>
      <c r="FQK312" s="1716"/>
      <c r="FQL312" s="244"/>
      <c r="FQM312" s="244" t="s">
        <v>68</v>
      </c>
      <c r="FQN312" s="245" t="s">
        <v>68</v>
      </c>
      <c r="FQO312" s="1715" t="s">
        <v>0</v>
      </c>
      <c r="FQP312" s="1716"/>
      <c r="FQQ312" s="1716"/>
      <c r="FQR312" s="1716"/>
      <c r="FQS312" s="1716"/>
      <c r="FQT312" s="244"/>
      <c r="FQU312" s="244" t="s">
        <v>68</v>
      </c>
      <c r="FQV312" s="245" t="s">
        <v>68</v>
      </c>
      <c r="FQW312" s="1715" t="s">
        <v>0</v>
      </c>
      <c r="FQX312" s="1716"/>
      <c r="FQY312" s="1716"/>
      <c r="FQZ312" s="1716"/>
      <c r="FRA312" s="1716"/>
      <c r="FRB312" s="244"/>
      <c r="FRC312" s="244" t="s">
        <v>68</v>
      </c>
      <c r="FRD312" s="245" t="s">
        <v>68</v>
      </c>
      <c r="FRE312" s="1715" t="s">
        <v>0</v>
      </c>
      <c r="FRF312" s="1716"/>
      <c r="FRG312" s="1716"/>
      <c r="FRH312" s="1716"/>
      <c r="FRI312" s="1716"/>
      <c r="FRJ312" s="244"/>
      <c r="FRK312" s="244" t="s">
        <v>68</v>
      </c>
      <c r="FRL312" s="245" t="s">
        <v>68</v>
      </c>
      <c r="FRM312" s="1715" t="s">
        <v>0</v>
      </c>
      <c r="FRN312" s="1716"/>
      <c r="FRO312" s="1716"/>
      <c r="FRP312" s="1716"/>
      <c r="FRQ312" s="1716"/>
      <c r="FRR312" s="244"/>
      <c r="FRS312" s="244" t="s">
        <v>68</v>
      </c>
      <c r="FRT312" s="245" t="s">
        <v>68</v>
      </c>
      <c r="FRU312" s="1715" t="s">
        <v>0</v>
      </c>
      <c r="FRV312" s="1716"/>
      <c r="FRW312" s="1716"/>
      <c r="FRX312" s="1716"/>
      <c r="FRY312" s="1716"/>
      <c r="FRZ312" s="244"/>
      <c r="FSA312" s="244" t="s">
        <v>68</v>
      </c>
      <c r="FSB312" s="245" t="s">
        <v>68</v>
      </c>
      <c r="FSC312" s="1715" t="s">
        <v>0</v>
      </c>
      <c r="FSD312" s="1716"/>
      <c r="FSE312" s="1716"/>
      <c r="FSF312" s="1716"/>
      <c r="FSG312" s="1716"/>
      <c r="FSH312" s="244"/>
      <c r="FSI312" s="244" t="s">
        <v>68</v>
      </c>
      <c r="FSJ312" s="245" t="s">
        <v>68</v>
      </c>
      <c r="FSK312" s="1715" t="s">
        <v>0</v>
      </c>
      <c r="FSL312" s="1716"/>
      <c r="FSM312" s="1716"/>
      <c r="FSN312" s="1716"/>
      <c r="FSO312" s="1716"/>
      <c r="FSP312" s="244"/>
      <c r="FSQ312" s="244" t="s">
        <v>68</v>
      </c>
      <c r="FSR312" s="245" t="s">
        <v>68</v>
      </c>
      <c r="FSS312" s="1715" t="s">
        <v>0</v>
      </c>
      <c r="FST312" s="1716"/>
      <c r="FSU312" s="1716"/>
      <c r="FSV312" s="1716"/>
      <c r="FSW312" s="1716"/>
      <c r="FSX312" s="244"/>
      <c r="FSY312" s="244" t="s">
        <v>68</v>
      </c>
      <c r="FSZ312" s="245" t="s">
        <v>68</v>
      </c>
      <c r="FTA312" s="1715" t="s">
        <v>0</v>
      </c>
      <c r="FTB312" s="1716"/>
      <c r="FTC312" s="1716"/>
      <c r="FTD312" s="1716"/>
      <c r="FTE312" s="1716"/>
      <c r="FTF312" s="244"/>
      <c r="FTG312" s="244" t="s">
        <v>68</v>
      </c>
      <c r="FTH312" s="245" t="s">
        <v>68</v>
      </c>
      <c r="FTI312" s="1715" t="s">
        <v>0</v>
      </c>
      <c r="FTJ312" s="1716"/>
      <c r="FTK312" s="1716"/>
      <c r="FTL312" s="1716"/>
      <c r="FTM312" s="1716"/>
      <c r="FTN312" s="244"/>
      <c r="FTO312" s="244" t="s">
        <v>68</v>
      </c>
      <c r="FTP312" s="245" t="s">
        <v>68</v>
      </c>
      <c r="FTQ312" s="1715" t="s">
        <v>0</v>
      </c>
      <c r="FTR312" s="1716"/>
      <c r="FTS312" s="1716"/>
      <c r="FTT312" s="1716"/>
      <c r="FTU312" s="1716"/>
      <c r="FTV312" s="244"/>
      <c r="FTW312" s="244" t="s">
        <v>68</v>
      </c>
      <c r="FTX312" s="245" t="s">
        <v>68</v>
      </c>
      <c r="FTY312" s="1715" t="s">
        <v>0</v>
      </c>
      <c r="FTZ312" s="1716"/>
      <c r="FUA312" s="1716"/>
      <c r="FUB312" s="1716"/>
      <c r="FUC312" s="1716"/>
      <c r="FUD312" s="244"/>
      <c r="FUE312" s="244" t="s">
        <v>68</v>
      </c>
      <c r="FUF312" s="245" t="s">
        <v>68</v>
      </c>
      <c r="FUG312" s="1715" t="s">
        <v>0</v>
      </c>
      <c r="FUH312" s="1716"/>
      <c r="FUI312" s="1716"/>
      <c r="FUJ312" s="1716"/>
      <c r="FUK312" s="1716"/>
      <c r="FUL312" s="244"/>
      <c r="FUM312" s="244" t="s">
        <v>68</v>
      </c>
      <c r="FUN312" s="245" t="s">
        <v>68</v>
      </c>
      <c r="FUO312" s="1715" t="s">
        <v>0</v>
      </c>
      <c r="FUP312" s="1716"/>
      <c r="FUQ312" s="1716"/>
      <c r="FUR312" s="1716"/>
      <c r="FUS312" s="1716"/>
      <c r="FUT312" s="244"/>
      <c r="FUU312" s="244" t="s">
        <v>68</v>
      </c>
      <c r="FUV312" s="245" t="s">
        <v>68</v>
      </c>
      <c r="FUW312" s="1715" t="s">
        <v>0</v>
      </c>
      <c r="FUX312" s="1716"/>
      <c r="FUY312" s="1716"/>
      <c r="FUZ312" s="1716"/>
      <c r="FVA312" s="1716"/>
      <c r="FVB312" s="244"/>
      <c r="FVC312" s="244" t="s">
        <v>68</v>
      </c>
      <c r="FVD312" s="245" t="s">
        <v>68</v>
      </c>
      <c r="FVE312" s="1715" t="s">
        <v>0</v>
      </c>
      <c r="FVF312" s="1716"/>
      <c r="FVG312" s="1716"/>
      <c r="FVH312" s="1716"/>
      <c r="FVI312" s="1716"/>
      <c r="FVJ312" s="244"/>
      <c r="FVK312" s="244" t="s">
        <v>68</v>
      </c>
      <c r="FVL312" s="245" t="s">
        <v>68</v>
      </c>
      <c r="FVM312" s="1715" t="s">
        <v>0</v>
      </c>
      <c r="FVN312" s="1716"/>
      <c r="FVO312" s="1716"/>
      <c r="FVP312" s="1716"/>
      <c r="FVQ312" s="1716"/>
      <c r="FVR312" s="244"/>
      <c r="FVS312" s="244" t="s">
        <v>68</v>
      </c>
      <c r="FVT312" s="245" t="s">
        <v>68</v>
      </c>
      <c r="FVU312" s="1715" t="s">
        <v>0</v>
      </c>
      <c r="FVV312" s="1716"/>
      <c r="FVW312" s="1716"/>
      <c r="FVX312" s="1716"/>
      <c r="FVY312" s="1716"/>
      <c r="FVZ312" s="244"/>
      <c r="FWA312" s="244" t="s">
        <v>68</v>
      </c>
      <c r="FWB312" s="245" t="s">
        <v>68</v>
      </c>
      <c r="FWC312" s="1715" t="s">
        <v>0</v>
      </c>
      <c r="FWD312" s="1716"/>
      <c r="FWE312" s="1716"/>
      <c r="FWF312" s="1716"/>
      <c r="FWG312" s="1716"/>
      <c r="FWH312" s="244"/>
      <c r="FWI312" s="244" t="s">
        <v>68</v>
      </c>
      <c r="FWJ312" s="245" t="s">
        <v>68</v>
      </c>
      <c r="FWK312" s="1715" t="s">
        <v>0</v>
      </c>
      <c r="FWL312" s="1716"/>
      <c r="FWM312" s="1716"/>
      <c r="FWN312" s="1716"/>
      <c r="FWO312" s="1716"/>
      <c r="FWP312" s="244"/>
      <c r="FWQ312" s="244" t="s">
        <v>68</v>
      </c>
      <c r="FWR312" s="245" t="s">
        <v>68</v>
      </c>
      <c r="FWS312" s="1715" t="s">
        <v>0</v>
      </c>
      <c r="FWT312" s="1716"/>
      <c r="FWU312" s="1716"/>
      <c r="FWV312" s="1716"/>
      <c r="FWW312" s="1716"/>
      <c r="FWX312" s="244"/>
      <c r="FWY312" s="244" t="s">
        <v>68</v>
      </c>
      <c r="FWZ312" s="245" t="s">
        <v>68</v>
      </c>
      <c r="FXA312" s="1715" t="s">
        <v>0</v>
      </c>
      <c r="FXB312" s="1716"/>
      <c r="FXC312" s="1716"/>
      <c r="FXD312" s="1716"/>
      <c r="FXE312" s="1716"/>
      <c r="FXF312" s="244"/>
      <c r="FXG312" s="244" t="s">
        <v>68</v>
      </c>
      <c r="FXH312" s="245" t="s">
        <v>68</v>
      </c>
      <c r="FXI312" s="1715" t="s">
        <v>0</v>
      </c>
      <c r="FXJ312" s="1716"/>
      <c r="FXK312" s="1716"/>
      <c r="FXL312" s="1716"/>
      <c r="FXM312" s="1716"/>
      <c r="FXN312" s="244"/>
      <c r="FXO312" s="244" t="s">
        <v>68</v>
      </c>
      <c r="FXP312" s="245" t="s">
        <v>68</v>
      </c>
      <c r="FXQ312" s="1715" t="s">
        <v>0</v>
      </c>
      <c r="FXR312" s="1716"/>
      <c r="FXS312" s="1716"/>
      <c r="FXT312" s="1716"/>
      <c r="FXU312" s="1716"/>
      <c r="FXV312" s="244"/>
      <c r="FXW312" s="244" t="s">
        <v>68</v>
      </c>
      <c r="FXX312" s="245" t="s">
        <v>68</v>
      </c>
      <c r="FXY312" s="1715" t="s">
        <v>0</v>
      </c>
      <c r="FXZ312" s="1716"/>
      <c r="FYA312" s="1716"/>
      <c r="FYB312" s="1716"/>
      <c r="FYC312" s="1716"/>
      <c r="FYD312" s="244"/>
      <c r="FYE312" s="244" t="s">
        <v>68</v>
      </c>
      <c r="FYF312" s="245" t="s">
        <v>68</v>
      </c>
      <c r="FYG312" s="1715" t="s">
        <v>0</v>
      </c>
      <c r="FYH312" s="1716"/>
      <c r="FYI312" s="1716"/>
      <c r="FYJ312" s="1716"/>
      <c r="FYK312" s="1716"/>
      <c r="FYL312" s="244"/>
      <c r="FYM312" s="244" t="s">
        <v>68</v>
      </c>
      <c r="FYN312" s="245" t="s">
        <v>68</v>
      </c>
      <c r="FYO312" s="1715" t="s">
        <v>0</v>
      </c>
      <c r="FYP312" s="1716"/>
      <c r="FYQ312" s="1716"/>
      <c r="FYR312" s="1716"/>
      <c r="FYS312" s="1716"/>
      <c r="FYT312" s="244"/>
      <c r="FYU312" s="244" t="s">
        <v>68</v>
      </c>
      <c r="FYV312" s="245" t="s">
        <v>68</v>
      </c>
      <c r="FYW312" s="1715" t="s">
        <v>0</v>
      </c>
      <c r="FYX312" s="1716"/>
      <c r="FYY312" s="1716"/>
      <c r="FYZ312" s="1716"/>
      <c r="FZA312" s="1716"/>
      <c r="FZB312" s="244"/>
      <c r="FZC312" s="244" t="s">
        <v>68</v>
      </c>
      <c r="FZD312" s="245" t="s">
        <v>68</v>
      </c>
      <c r="FZE312" s="1715" t="s">
        <v>0</v>
      </c>
      <c r="FZF312" s="1716"/>
      <c r="FZG312" s="1716"/>
      <c r="FZH312" s="1716"/>
      <c r="FZI312" s="1716"/>
      <c r="FZJ312" s="244"/>
      <c r="FZK312" s="244" t="s">
        <v>68</v>
      </c>
      <c r="FZL312" s="245" t="s">
        <v>68</v>
      </c>
      <c r="FZM312" s="1715" t="s">
        <v>0</v>
      </c>
      <c r="FZN312" s="1716"/>
      <c r="FZO312" s="1716"/>
      <c r="FZP312" s="1716"/>
      <c r="FZQ312" s="1716"/>
      <c r="FZR312" s="244"/>
      <c r="FZS312" s="244" t="s">
        <v>68</v>
      </c>
      <c r="FZT312" s="245" t="s">
        <v>68</v>
      </c>
      <c r="FZU312" s="1715" t="s">
        <v>0</v>
      </c>
      <c r="FZV312" s="1716"/>
      <c r="FZW312" s="1716"/>
      <c r="FZX312" s="1716"/>
      <c r="FZY312" s="1716"/>
      <c r="FZZ312" s="244"/>
      <c r="GAA312" s="244" t="s">
        <v>68</v>
      </c>
      <c r="GAB312" s="245" t="s">
        <v>68</v>
      </c>
      <c r="GAC312" s="1715" t="s">
        <v>0</v>
      </c>
      <c r="GAD312" s="1716"/>
      <c r="GAE312" s="1716"/>
      <c r="GAF312" s="1716"/>
      <c r="GAG312" s="1716"/>
      <c r="GAH312" s="244"/>
      <c r="GAI312" s="244" t="s">
        <v>68</v>
      </c>
      <c r="GAJ312" s="245" t="s">
        <v>68</v>
      </c>
      <c r="GAK312" s="1715" t="s">
        <v>0</v>
      </c>
      <c r="GAL312" s="1716"/>
      <c r="GAM312" s="1716"/>
      <c r="GAN312" s="1716"/>
      <c r="GAO312" s="1716"/>
      <c r="GAP312" s="244"/>
      <c r="GAQ312" s="244" t="s">
        <v>68</v>
      </c>
      <c r="GAR312" s="245" t="s">
        <v>68</v>
      </c>
      <c r="GAS312" s="1715" t="s">
        <v>0</v>
      </c>
      <c r="GAT312" s="1716"/>
      <c r="GAU312" s="1716"/>
      <c r="GAV312" s="1716"/>
      <c r="GAW312" s="1716"/>
      <c r="GAX312" s="244"/>
      <c r="GAY312" s="244" t="s">
        <v>68</v>
      </c>
      <c r="GAZ312" s="245" t="s">
        <v>68</v>
      </c>
      <c r="GBA312" s="1715" t="s">
        <v>0</v>
      </c>
      <c r="GBB312" s="1716"/>
      <c r="GBC312" s="1716"/>
      <c r="GBD312" s="1716"/>
      <c r="GBE312" s="1716"/>
      <c r="GBF312" s="244"/>
      <c r="GBG312" s="244" t="s">
        <v>68</v>
      </c>
      <c r="GBH312" s="245" t="s">
        <v>68</v>
      </c>
      <c r="GBI312" s="1715" t="s">
        <v>0</v>
      </c>
      <c r="GBJ312" s="1716"/>
      <c r="GBK312" s="1716"/>
      <c r="GBL312" s="1716"/>
      <c r="GBM312" s="1716"/>
      <c r="GBN312" s="244"/>
      <c r="GBO312" s="244" t="s">
        <v>68</v>
      </c>
      <c r="GBP312" s="245" t="s">
        <v>68</v>
      </c>
      <c r="GBQ312" s="1715" t="s">
        <v>0</v>
      </c>
      <c r="GBR312" s="1716"/>
      <c r="GBS312" s="1716"/>
      <c r="GBT312" s="1716"/>
      <c r="GBU312" s="1716"/>
      <c r="GBV312" s="244"/>
      <c r="GBW312" s="244" t="s">
        <v>68</v>
      </c>
      <c r="GBX312" s="245" t="s">
        <v>68</v>
      </c>
      <c r="GBY312" s="1715" t="s">
        <v>0</v>
      </c>
      <c r="GBZ312" s="1716"/>
      <c r="GCA312" s="1716"/>
      <c r="GCB312" s="1716"/>
      <c r="GCC312" s="1716"/>
      <c r="GCD312" s="244"/>
      <c r="GCE312" s="244" t="s">
        <v>68</v>
      </c>
      <c r="GCF312" s="245" t="s">
        <v>68</v>
      </c>
      <c r="GCG312" s="1715" t="s">
        <v>0</v>
      </c>
      <c r="GCH312" s="1716"/>
      <c r="GCI312" s="1716"/>
      <c r="GCJ312" s="1716"/>
      <c r="GCK312" s="1716"/>
      <c r="GCL312" s="244"/>
      <c r="GCM312" s="244" t="s">
        <v>68</v>
      </c>
      <c r="GCN312" s="245" t="s">
        <v>68</v>
      </c>
      <c r="GCO312" s="1715" t="s">
        <v>0</v>
      </c>
      <c r="GCP312" s="1716"/>
      <c r="GCQ312" s="1716"/>
      <c r="GCR312" s="1716"/>
      <c r="GCS312" s="1716"/>
      <c r="GCT312" s="244"/>
      <c r="GCU312" s="244" t="s">
        <v>68</v>
      </c>
      <c r="GCV312" s="245" t="s">
        <v>68</v>
      </c>
      <c r="GCW312" s="1715" t="s">
        <v>0</v>
      </c>
      <c r="GCX312" s="1716"/>
      <c r="GCY312" s="1716"/>
      <c r="GCZ312" s="1716"/>
      <c r="GDA312" s="1716"/>
      <c r="GDB312" s="244"/>
      <c r="GDC312" s="244" t="s">
        <v>68</v>
      </c>
      <c r="GDD312" s="245" t="s">
        <v>68</v>
      </c>
      <c r="GDE312" s="1715" t="s">
        <v>0</v>
      </c>
      <c r="GDF312" s="1716"/>
      <c r="GDG312" s="1716"/>
      <c r="GDH312" s="1716"/>
      <c r="GDI312" s="1716"/>
      <c r="GDJ312" s="244"/>
      <c r="GDK312" s="244" t="s">
        <v>68</v>
      </c>
      <c r="GDL312" s="245" t="s">
        <v>68</v>
      </c>
      <c r="GDM312" s="1715" t="s">
        <v>0</v>
      </c>
      <c r="GDN312" s="1716"/>
      <c r="GDO312" s="1716"/>
      <c r="GDP312" s="1716"/>
      <c r="GDQ312" s="1716"/>
      <c r="GDR312" s="244"/>
      <c r="GDS312" s="244" t="s">
        <v>68</v>
      </c>
      <c r="GDT312" s="245" t="s">
        <v>68</v>
      </c>
      <c r="GDU312" s="1715" t="s">
        <v>0</v>
      </c>
      <c r="GDV312" s="1716"/>
      <c r="GDW312" s="1716"/>
      <c r="GDX312" s="1716"/>
      <c r="GDY312" s="1716"/>
      <c r="GDZ312" s="244"/>
      <c r="GEA312" s="244" t="s">
        <v>68</v>
      </c>
      <c r="GEB312" s="245" t="s">
        <v>68</v>
      </c>
      <c r="GEC312" s="1715" t="s">
        <v>0</v>
      </c>
      <c r="GED312" s="1716"/>
      <c r="GEE312" s="1716"/>
      <c r="GEF312" s="1716"/>
      <c r="GEG312" s="1716"/>
      <c r="GEH312" s="244"/>
      <c r="GEI312" s="244" t="s">
        <v>68</v>
      </c>
      <c r="GEJ312" s="245" t="s">
        <v>68</v>
      </c>
      <c r="GEK312" s="1715" t="s">
        <v>0</v>
      </c>
      <c r="GEL312" s="1716"/>
      <c r="GEM312" s="1716"/>
      <c r="GEN312" s="1716"/>
      <c r="GEO312" s="1716"/>
      <c r="GEP312" s="244"/>
      <c r="GEQ312" s="244" t="s">
        <v>68</v>
      </c>
      <c r="GER312" s="245" t="s">
        <v>68</v>
      </c>
      <c r="GES312" s="1715" t="s">
        <v>0</v>
      </c>
      <c r="GET312" s="1716"/>
      <c r="GEU312" s="1716"/>
      <c r="GEV312" s="1716"/>
      <c r="GEW312" s="1716"/>
      <c r="GEX312" s="244"/>
      <c r="GEY312" s="244" t="s">
        <v>68</v>
      </c>
      <c r="GEZ312" s="245" t="s">
        <v>68</v>
      </c>
      <c r="GFA312" s="1715" t="s">
        <v>0</v>
      </c>
      <c r="GFB312" s="1716"/>
      <c r="GFC312" s="1716"/>
      <c r="GFD312" s="1716"/>
      <c r="GFE312" s="1716"/>
      <c r="GFF312" s="244"/>
      <c r="GFG312" s="244" t="s">
        <v>68</v>
      </c>
      <c r="GFH312" s="245" t="s">
        <v>68</v>
      </c>
      <c r="GFI312" s="1715" t="s">
        <v>0</v>
      </c>
      <c r="GFJ312" s="1716"/>
      <c r="GFK312" s="1716"/>
      <c r="GFL312" s="1716"/>
      <c r="GFM312" s="1716"/>
      <c r="GFN312" s="244"/>
      <c r="GFO312" s="244" t="s">
        <v>68</v>
      </c>
      <c r="GFP312" s="245" t="s">
        <v>68</v>
      </c>
      <c r="GFQ312" s="1715" t="s">
        <v>0</v>
      </c>
      <c r="GFR312" s="1716"/>
      <c r="GFS312" s="1716"/>
      <c r="GFT312" s="1716"/>
      <c r="GFU312" s="1716"/>
      <c r="GFV312" s="244"/>
      <c r="GFW312" s="244" t="s">
        <v>68</v>
      </c>
      <c r="GFX312" s="245" t="s">
        <v>68</v>
      </c>
      <c r="GFY312" s="1715" t="s">
        <v>0</v>
      </c>
      <c r="GFZ312" s="1716"/>
      <c r="GGA312" s="1716"/>
      <c r="GGB312" s="1716"/>
      <c r="GGC312" s="1716"/>
      <c r="GGD312" s="244"/>
      <c r="GGE312" s="244" t="s">
        <v>68</v>
      </c>
      <c r="GGF312" s="245" t="s">
        <v>68</v>
      </c>
      <c r="GGG312" s="1715" t="s">
        <v>0</v>
      </c>
      <c r="GGH312" s="1716"/>
      <c r="GGI312" s="1716"/>
      <c r="GGJ312" s="1716"/>
      <c r="GGK312" s="1716"/>
      <c r="GGL312" s="244"/>
      <c r="GGM312" s="244" t="s">
        <v>68</v>
      </c>
      <c r="GGN312" s="245" t="s">
        <v>68</v>
      </c>
      <c r="GGO312" s="1715" t="s">
        <v>0</v>
      </c>
      <c r="GGP312" s="1716"/>
      <c r="GGQ312" s="1716"/>
      <c r="GGR312" s="1716"/>
      <c r="GGS312" s="1716"/>
      <c r="GGT312" s="244"/>
      <c r="GGU312" s="244" t="s">
        <v>68</v>
      </c>
      <c r="GGV312" s="245" t="s">
        <v>68</v>
      </c>
      <c r="GGW312" s="1715" t="s">
        <v>0</v>
      </c>
      <c r="GGX312" s="1716"/>
      <c r="GGY312" s="1716"/>
      <c r="GGZ312" s="1716"/>
      <c r="GHA312" s="1716"/>
      <c r="GHB312" s="244"/>
      <c r="GHC312" s="244" t="s">
        <v>68</v>
      </c>
      <c r="GHD312" s="245" t="s">
        <v>68</v>
      </c>
      <c r="GHE312" s="1715" t="s">
        <v>0</v>
      </c>
      <c r="GHF312" s="1716"/>
      <c r="GHG312" s="1716"/>
      <c r="GHH312" s="1716"/>
      <c r="GHI312" s="1716"/>
      <c r="GHJ312" s="244"/>
      <c r="GHK312" s="244" t="s">
        <v>68</v>
      </c>
      <c r="GHL312" s="245" t="s">
        <v>68</v>
      </c>
      <c r="GHM312" s="1715" t="s">
        <v>0</v>
      </c>
      <c r="GHN312" s="1716"/>
      <c r="GHO312" s="1716"/>
      <c r="GHP312" s="1716"/>
      <c r="GHQ312" s="1716"/>
      <c r="GHR312" s="244"/>
      <c r="GHS312" s="244" t="s">
        <v>68</v>
      </c>
      <c r="GHT312" s="245" t="s">
        <v>68</v>
      </c>
      <c r="GHU312" s="1715" t="s">
        <v>0</v>
      </c>
      <c r="GHV312" s="1716"/>
      <c r="GHW312" s="1716"/>
      <c r="GHX312" s="1716"/>
      <c r="GHY312" s="1716"/>
      <c r="GHZ312" s="244"/>
      <c r="GIA312" s="244" t="s">
        <v>68</v>
      </c>
      <c r="GIB312" s="245" t="s">
        <v>68</v>
      </c>
      <c r="GIC312" s="1715" t="s">
        <v>0</v>
      </c>
      <c r="GID312" s="1716"/>
      <c r="GIE312" s="1716"/>
      <c r="GIF312" s="1716"/>
      <c r="GIG312" s="1716"/>
      <c r="GIH312" s="244"/>
      <c r="GII312" s="244" t="s">
        <v>68</v>
      </c>
      <c r="GIJ312" s="245" t="s">
        <v>68</v>
      </c>
      <c r="GIK312" s="1715" t="s">
        <v>0</v>
      </c>
      <c r="GIL312" s="1716"/>
      <c r="GIM312" s="1716"/>
      <c r="GIN312" s="1716"/>
      <c r="GIO312" s="1716"/>
      <c r="GIP312" s="244"/>
      <c r="GIQ312" s="244" t="s">
        <v>68</v>
      </c>
      <c r="GIR312" s="245" t="s">
        <v>68</v>
      </c>
      <c r="GIS312" s="1715" t="s">
        <v>0</v>
      </c>
      <c r="GIT312" s="1716"/>
      <c r="GIU312" s="1716"/>
      <c r="GIV312" s="1716"/>
      <c r="GIW312" s="1716"/>
      <c r="GIX312" s="244"/>
      <c r="GIY312" s="244" t="s">
        <v>68</v>
      </c>
      <c r="GIZ312" s="245" t="s">
        <v>68</v>
      </c>
      <c r="GJA312" s="1715" t="s">
        <v>0</v>
      </c>
      <c r="GJB312" s="1716"/>
      <c r="GJC312" s="1716"/>
      <c r="GJD312" s="1716"/>
      <c r="GJE312" s="1716"/>
      <c r="GJF312" s="244"/>
      <c r="GJG312" s="244" t="s">
        <v>68</v>
      </c>
      <c r="GJH312" s="245" t="s">
        <v>68</v>
      </c>
      <c r="GJI312" s="1715" t="s">
        <v>0</v>
      </c>
      <c r="GJJ312" s="1716"/>
      <c r="GJK312" s="1716"/>
      <c r="GJL312" s="1716"/>
      <c r="GJM312" s="1716"/>
      <c r="GJN312" s="244"/>
      <c r="GJO312" s="244" t="s">
        <v>68</v>
      </c>
      <c r="GJP312" s="245" t="s">
        <v>68</v>
      </c>
      <c r="GJQ312" s="1715" t="s">
        <v>0</v>
      </c>
      <c r="GJR312" s="1716"/>
      <c r="GJS312" s="1716"/>
      <c r="GJT312" s="1716"/>
      <c r="GJU312" s="1716"/>
      <c r="GJV312" s="244"/>
      <c r="GJW312" s="244" t="s">
        <v>68</v>
      </c>
      <c r="GJX312" s="245" t="s">
        <v>68</v>
      </c>
      <c r="GJY312" s="1715" t="s">
        <v>0</v>
      </c>
      <c r="GJZ312" s="1716"/>
      <c r="GKA312" s="1716"/>
      <c r="GKB312" s="1716"/>
      <c r="GKC312" s="1716"/>
      <c r="GKD312" s="244"/>
      <c r="GKE312" s="244" t="s">
        <v>68</v>
      </c>
      <c r="GKF312" s="245" t="s">
        <v>68</v>
      </c>
      <c r="GKG312" s="1715" t="s">
        <v>0</v>
      </c>
      <c r="GKH312" s="1716"/>
      <c r="GKI312" s="1716"/>
      <c r="GKJ312" s="1716"/>
      <c r="GKK312" s="1716"/>
      <c r="GKL312" s="244"/>
      <c r="GKM312" s="244" t="s">
        <v>68</v>
      </c>
      <c r="GKN312" s="245" t="s">
        <v>68</v>
      </c>
      <c r="GKO312" s="1715" t="s">
        <v>0</v>
      </c>
      <c r="GKP312" s="1716"/>
      <c r="GKQ312" s="1716"/>
      <c r="GKR312" s="1716"/>
      <c r="GKS312" s="1716"/>
      <c r="GKT312" s="244"/>
      <c r="GKU312" s="244" t="s">
        <v>68</v>
      </c>
      <c r="GKV312" s="245" t="s">
        <v>68</v>
      </c>
      <c r="GKW312" s="1715" t="s">
        <v>0</v>
      </c>
      <c r="GKX312" s="1716"/>
      <c r="GKY312" s="1716"/>
      <c r="GKZ312" s="1716"/>
      <c r="GLA312" s="1716"/>
      <c r="GLB312" s="244"/>
      <c r="GLC312" s="244" t="s">
        <v>68</v>
      </c>
      <c r="GLD312" s="245" t="s">
        <v>68</v>
      </c>
      <c r="GLE312" s="1715" t="s">
        <v>0</v>
      </c>
      <c r="GLF312" s="1716"/>
      <c r="GLG312" s="1716"/>
      <c r="GLH312" s="1716"/>
      <c r="GLI312" s="1716"/>
      <c r="GLJ312" s="244"/>
      <c r="GLK312" s="244" t="s">
        <v>68</v>
      </c>
      <c r="GLL312" s="245" t="s">
        <v>68</v>
      </c>
      <c r="GLM312" s="1715" t="s">
        <v>0</v>
      </c>
      <c r="GLN312" s="1716"/>
      <c r="GLO312" s="1716"/>
      <c r="GLP312" s="1716"/>
      <c r="GLQ312" s="1716"/>
      <c r="GLR312" s="244"/>
      <c r="GLS312" s="244" t="s">
        <v>68</v>
      </c>
      <c r="GLT312" s="245" t="s">
        <v>68</v>
      </c>
      <c r="GLU312" s="1715" t="s">
        <v>0</v>
      </c>
      <c r="GLV312" s="1716"/>
      <c r="GLW312" s="1716"/>
      <c r="GLX312" s="1716"/>
      <c r="GLY312" s="1716"/>
      <c r="GLZ312" s="244"/>
      <c r="GMA312" s="244" t="s">
        <v>68</v>
      </c>
      <c r="GMB312" s="245" t="s">
        <v>68</v>
      </c>
      <c r="GMC312" s="1715" t="s">
        <v>0</v>
      </c>
      <c r="GMD312" s="1716"/>
      <c r="GME312" s="1716"/>
      <c r="GMF312" s="1716"/>
      <c r="GMG312" s="1716"/>
      <c r="GMH312" s="244"/>
      <c r="GMI312" s="244" t="s">
        <v>68</v>
      </c>
      <c r="GMJ312" s="245" t="s">
        <v>68</v>
      </c>
      <c r="GMK312" s="1715" t="s">
        <v>0</v>
      </c>
      <c r="GML312" s="1716"/>
      <c r="GMM312" s="1716"/>
      <c r="GMN312" s="1716"/>
      <c r="GMO312" s="1716"/>
      <c r="GMP312" s="244"/>
      <c r="GMQ312" s="244" t="s">
        <v>68</v>
      </c>
      <c r="GMR312" s="245" t="s">
        <v>68</v>
      </c>
      <c r="GMS312" s="1715" t="s">
        <v>0</v>
      </c>
      <c r="GMT312" s="1716"/>
      <c r="GMU312" s="1716"/>
      <c r="GMV312" s="1716"/>
      <c r="GMW312" s="1716"/>
      <c r="GMX312" s="244"/>
      <c r="GMY312" s="244" t="s">
        <v>68</v>
      </c>
      <c r="GMZ312" s="245" t="s">
        <v>68</v>
      </c>
      <c r="GNA312" s="1715" t="s">
        <v>0</v>
      </c>
      <c r="GNB312" s="1716"/>
      <c r="GNC312" s="1716"/>
      <c r="GND312" s="1716"/>
      <c r="GNE312" s="1716"/>
      <c r="GNF312" s="244"/>
      <c r="GNG312" s="244" t="s">
        <v>68</v>
      </c>
      <c r="GNH312" s="245" t="s">
        <v>68</v>
      </c>
      <c r="GNI312" s="1715" t="s">
        <v>0</v>
      </c>
      <c r="GNJ312" s="1716"/>
      <c r="GNK312" s="1716"/>
      <c r="GNL312" s="1716"/>
      <c r="GNM312" s="1716"/>
      <c r="GNN312" s="244"/>
      <c r="GNO312" s="244" t="s">
        <v>68</v>
      </c>
      <c r="GNP312" s="245" t="s">
        <v>68</v>
      </c>
      <c r="GNQ312" s="1715" t="s">
        <v>0</v>
      </c>
      <c r="GNR312" s="1716"/>
      <c r="GNS312" s="1716"/>
      <c r="GNT312" s="1716"/>
      <c r="GNU312" s="1716"/>
      <c r="GNV312" s="244"/>
      <c r="GNW312" s="244" t="s">
        <v>68</v>
      </c>
      <c r="GNX312" s="245" t="s">
        <v>68</v>
      </c>
      <c r="GNY312" s="1715" t="s">
        <v>0</v>
      </c>
      <c r="GNZ312" s="1716"/>
      <c r="GOA312" s="1716"/>
      <c r="GOB312" s="1716"/>
      <c r="GOC312" s="1716"/>
      <c r="GOD312" s="244"/>
      <c r="GOE312" s="244" t="s">
        <v>68</v>
      </c>
      <c r="GOF312" s="245" t="s">
        <v>68</v>
      </c>
      <c r="GOG312" s="1715" t="s">
        <v>0</v>
      </c>
      <c r="GOH312" s="1716"/>
      <c r="GOI312" s="1716"/>
      <c r="GOJ312" s="1716"/>
      <c r="GOK312" s="1716"/>
      <c r="GOL312" s="244"/>
      <c r="GOM312" s="244" t="s">
        <v>68</v>
      </c>
      <c r="GON312" s="245" t="s">
        <v>68</v>
      </c>
      <c r="GOO312" s="1715" t="s">
        <v>0</v>
      </c>
      <c r="GOP312" s="1716"/>
      <c r="GOQ312" s="1716"/>
      <c r="GOR312" s="1716"/>
      <c r="GOS312" s="1716"/>
      <c r="GOT312" s="244"/>
      <c r="GOU312" s="244" t="s">
        <v>68</v>
      </c>
      <c r="GOV312" s="245" t="s">
        <v>68</v>
      </c>
      <c r="GOW312" s="1715" t="s">
        <v>0</v>
      </c>
      <c r="GOX312" s="1716"/>
      <c r="GOY312" s="1716"/>
      <c r="GOZ312" s="1716"/>
      <c r="GPA312" s="1716"/>
      <c r="GPB312" s="244"/>
      <c r="GPC312" s="244" t="s">
        <v>68</v>
      </c>
      <c r="GPD312" s="245" t="s">
        <v>68</v>
      </c>
      <c r="GPE312" s="1715" t="s">
        <v>0</v>
      </c>
      <c r="GPF312" s="1716"/>
      <c r="GPG312" s="1716"/>
      <c r="GPH312" s="1716"/>
      <c r="GPI312" s="1716"/>
      <c r="GPJ312" s="244"/>
      <c r="GPK312" s="244" t="s">
        <v>68</v>
      </c>
      <c r="GPL312" s="245" t="s">
        <v>68</v>
      </c>
      <c r="GPM312" s="1715" t="s">
        <v>0</v>
      </c>
      <c r="GPN312" s="1716"/>
      <c r="GPO312" s="1716"/>
      <c r="GPP312" s="1716"/>
      <c r="GPQ312" s="1716"/>
      <c r="GPR312" s="244"/>
      <c r="GPS312" s="244" t="s">
        <v>68</v>
      </c>
      <c r="GPT312" s="245" t="s">
        <v>68</v>
      </c>
      <c r="GPU312" s="1715" t="s">
        <v>0</v>
      </c>
      <c r="GPV312" s="1716"/>
      <c r="GPW312" s="1716"/>
      <c r="GPX312" s="1716"/>
      <c r="GPY312" s="1716"/>
      <c r="GPZ312" s="244"/>
      <c r="GQA312" s="244" t="s">
        <v>68</v>
      </c>
      <c r="GQB312" s="245" t="s">
        <v>68</v>
      </c>
      <c r="GQC312" s="1715" t="s">
        <v>0</v>
      </c>
      <c r="GQD312" s="1716"/>
      <c r="GQE312" s="1716"/>
      <c r="GQF312" s="1716"/>
      <c r="GQG312" s="1716"/>
      <c r="GQH312" s="244"/>
      <c r="GQI312" s="244" t="s">
        <v>68</v>
      </c>
      <c r="GQJ312" s="245" t="s">
        <v>68</v>
      </c>
      <c r="GQK312" s="1715" t="s">
        <v>0</v>
      </c>
      <c r="GQL312" s="1716"/>
      <c r="GQM312" s="1716"/>
      <c r="GQN312" s="1716"/>
      <c r="GQO312" s="1716"/>
      <c r="GQP312" s="244"/>
      <c r="GQQ312" s="244" t="s">
        <v>68</v>
      </c>
      <c r="GQR312" s="245" t="s">
        <v>68</v>
      </c>
      <c r="GQS312" s="1715" t="s">
        <v>0</v>
      </c>
      <c r="GQT312" s="1716"/>
      <c r="GQU312" s="1716"/>
      <c r="GQV312" s="1716"/>
      <c r="GQW312" s="1716"/>
      <c r="GQX312" s="244"/>
      <c r="GQY312" s="244" t="s">
        <v>68</v>
      </c>
      <c r="GQZ312" s="245" t="s">
        <v>68</v>
      </c>
      <c r="GRA312" s="1715" t="s">
        <v>0</v>
      </c>
      <c r="GRB312" s="1716"/>
      <c r="GRC312" s="1716"/>
      <c r="GRD312" s="1716"/>
      <c r="GRE312" s="1716"/>
      <c r="GRF312" s="244"/>
      <c r="GRG312" s="244" t="s">
        <v>68</v>
      </c>
      <c r="GRH312" s="245" t="s">
        <v>68</v>
      </c>
      <c r="GRI312" s="1715" t="s">
        <v>0</v>
      </c>
      <c r="GRJ312" s="1716"/>
      <c r="GRK312" s="1716"/>
      <c r="GRL312" s="1716"/>
      <c r="GRM312" s="1716"/>
      <c r="GRN312" s="244"/>
      <c r="GRO312" s="244" t="s">
        <v>68</v>
      </c>
      <c r="GRP312" s="245" t="s">
        <v>68</v>
      </c>
      <c r="GRQ312" s="1715" t="s">
        <v>0</v>
      </c>
      <c r="GRR312" s="1716"/>
      <c r="GRS312" s="1716"/>
      <c r="GRT312" s="1716"/>
      <c r="GRU312" s="1716"/>
      <c r="GRV312" s="244"/>
      <c r="GRW312" s="244" t="s">
        <v>68</v>
      </c>
      <c r="GRX312" s="245" t="s">
        <v>68</v>
      </c>
      <c r="GRY312" s="1715" t="s">
        <v>0</v>
      </c>
      <c r="GRZ312" s="1716"/>
      <c r="GSA312" s="1716"/>
      <c r="GSB312" s="1716"/>
      <c r="GSC312" s="1716"/>
      <c r="GSD312" s="244"/>
      <c r="GSE312" s="244" t="s">
        <v>68</v>
      </c>
      <c r="GSF312" s="245" t="s">
        <v>68</v>
      </c>
      <c r="GSG312" s="1715" t="s">
        <v>0</v>
      </c>
      <c r="GSH312" s="1716"/>
      <c r="GSI312" s="1716"/>
      <c r="GSJ312" s="1716"/>
      <c r="GSK312" s="1716"/>
      <c r="GSL312" s="244"/>
      <c r="GSM312" s="244" t="s">
        <v>68</v>
      </c>
      <c r="GSN312" s="245" t="s">
        <v>68</v>
      </c>
      <c r="GSO312" s="1715" t="s">
        <v>0</v>
      </c>
      <c r="GSP312" s="1716"/>
      <c r="GSQ312" s="1716"/>
      <c r="GSR312" s="1716"/>
      <c r="GSS312" s="1716"/>
      <c r="GST312" s="244"/>
      <c r="GSU312" s="244" t="s">
        <v>68</v>
      </c>
      <c r="GSV312" s="245" t="s">
        <v>68</v>
      </c>
      <c r="GSW312" s="1715" t="s">
        <v>0</v>
      </c>
      <c r="GSX312" s="1716"/>
      <c r="GSY312" s="1716"/>
      <c r="GSZ312" s="1716"/>
      <c r="GTA312" s="1716"/>
      <c r="GTB312" s="244"/>
      <c r="GTC312" s="244" t="s">
        <v>68</v>
      </c>
      <c r="GTD312" s="245" t="s">
        <v>68</v>
      </c>
      <c r="GTE312" s="1715" t="s">
        <v>0</v>
      </c>
      <c r="GTF312" s="1716"/>
      <c r="GTG312" s="1716"/>
      <c r="GTH312" s="1716"/>
      <c r="GTI312" s="1716"/>
      <c r="GTJ312" s="244"/>
      <c r="GTK312" s="244" t="s">
        <v>68</v>
      </c>
      <c r="GTL312" s="245" t="s">
        <v>68</v>
      </c>
      <c r="GTM312" s="1715" t="s">
        <v>0</v>
      </c>
      <c r="GTN312" s="1716"/>
      <c r="GTO312" s="1716"/>
      <c r="GTP312" s="1716"/>
      <c r="GTQ312" s="1716"/>
      <c r="GTR312" s="244"/>
      <c r="GTS312" s="244" t="s">
        <v>68</v>
      </c>
      <c r="GTT312" s="245" t="s">
        <v>68</v>
      </c>
      <c r="GTU312" s="1715" t="s">
        <v>0</v>
      </c>
      <c r="GTV312" s="1716"/>
      <c r="GTW312" s="1716"/>
      <c r="GTX312" s="1716"/>
      <c r="GTY312" s="1716"/>
      <c r="GTZ312" s="244"/>
      <c r="GUA312" s="244" t="s">
        <v>68</v>
      </c>
      <c r="GUB312" s="245" t="s">
        <v>68</v>
      </c>
      <c r="GUC312" s="1715" t="s">
        <v>0</v>
      </c>
      <c r="GUD312" s="1716"/>
      <c r="GUE312" s="1716"/>
      <c r="GUF312" s="1716"/>
      <c r="GUG312" s="1716"/>
      <c r="GUH312" s="244"/>
      <c r="GUI312" s="244" t="s">
        <v>68</v>
      </c>
      <c r="GUJ312" s="245" t="s">
        <v>68</v>
      </c>
      <c r="GUK312" s="1715" t="s">
        <v>0</v>
      </c>
      <c r="GUL312" s="1716"/>
      <c r="GUM312" s="1716"/>
      <c r="GUN312" s="1716"/>
      <c r="GUO312" s="1716"/>
      <c r="GUP312" s="244"/>
      <c r="GUQ312" s="244" t="s">
        <v>68</v>
      </c>
      <c r="GUR312" s="245" t="s">
        <v>68</v>
      </c>
      <c r="GUS312" s="1715" t="s">
        <v>0</v>
      </c>
      <c r="GUT312" s="1716"/>
      <c r="GUU312" s="1716"/>
      <c r="GUV312" s="1716"/>
      <c r="GUW312" s="1716"/>
      <c r="GUX312" s="244"/>
      <c r="GUY312" s="244" t="s">
        <v>68</v>
      </c>
      <c r="GUZ312" s="245" t="s">
        <v>68</v>
      </c>
      <c r="GVA312" s="1715" t="s">
        <v>0</v>
      </c>
      <c r="GVB312" s="1716"/>
      <c r="GVC312" s="1716"/>
      <c r="GVD312" s="1716"/>
      <c r="GVE312" s="1716"/>
      <c r="GVF312" s="244"/>
      <c r="GVG312" s="244" t="s">
        <v>68</v>
      </c>
      <c r="GVH312" s="245" t="s">
        <v>68</v>
      </c>
      <c r="GVI312" s="1715" t="s">
        <v>0</v>
      </c>
      <c r="GVJ312" s="1716"/>
      <c r="GVK312" s="1716"/>
      <c r="GVL312" s="1716"/>
      <c r="GVM312" s="1716"/>
      <c r="GVN312" s="244"/>
      <c r="GVO312" s="244" t="s">
        <v>68</v>
      </c>
      <c r="GVP312" s="245" t="s">
        <v>68</v>
      </c>
      <c r="GVQ312" s="1715" t="s">
        <v>0</v>
      </c>
      <c r="GVR312" s="1716"/>
      <c r="GVS312" s="1716"/>
      <c r="GVT312" s="1716"/>
      <c r="GVU312" s="1716"/>
      <c r="GVV312" s="244"/>
      <c r="GVW312" s="244" t="s">
        <v>68</v>
      </c>
      <c r="GVX312" s="245" t="s">
        <v>68</v>
      </c>
      <c r="GVY312" s="1715" t="s">
        <v>0</v>
      </c>
      <c r="GVZ312" s="1716"/>
      <c r="GWA312" s="1716"/>
      <c r="GWB312" s="1716"/>
      <c r="GWC312" s="1716"/>
      <c r="GWD312" s="244"/>
      <c r="GWE312" s="244" t="s">
        <v>68</v>
      </c>
      <c r="GWF312" s="245" t="s">
        <v>68</v>
      </c>
      <c r="GWG312" s="1715" t="s">
        <v>0</v>
      </c>
      <c r="GWH312" s="1716"/>
      <c r="GWI312" s="1716"/>
      <c r="GWJ312" s="1716"/>
      <c r="GWK312" s="1716"/>
      <c r="GWL312" s="244"/>
      <c r="GWM312" s="244" t="s">
        <v>68</v>
      </c>
      <c r="GWN312" s="245" t="s">
        <v>68</v>
      </c>
      <c r="GWO312" s="1715" t="s">
        <v>0</v>
      </c>
      <c r="GWP312" s="1716"/>
      <c r="GWQ312" s="1716"/>
      <c r="GWR312" s="1716"/>
      <c r="GWS312" s="1716"/>
      <c r="GWT312" s="244"/>
      <c r="GWU312" s="244" t="s">
        <v>68</v>
      </c>
      <c r="GWV312" s="245" t="s">
        <v>68</v>
      </c>
      <c r="GWW312" s="1715" t="s">
        <v>0</v>
      </c>
      <c r="GWX312" s="1716"/>
      <c r="GWY312" s="1716"/>
      <c r="GWZ312" s="1716"/>
      <c r="GXA312" s="1716"/>
      <c r="GXB312" s="244"/>
      <c r="GXC312" s="244" t="s">
        <v>68</v>
      </c>
      <c r="GXD312" s="245" t="s">
        <v>68</v>
      </c>
      <c r="GXE312" s="1715" t="s">
        <v>0</v>
      </c>
      <c r="GXF312" s="1716"/>
      <c r="GXG312" s="1716"/>
      <c r="GXH312" s="1716"/>
      <c r="GXI312" s="1716"/>
      <c r="GXJ312" s="244"/>
      <c r="GXK312" s="244" t="s">
        <v>68</v>
      </c>
      <c r="GXL312" s="245" t="s">
        <v>68</v>
      </c>
      <c r="GXM312" s="1715" t="s">
        <v>0</v>
      </c>
      <c r="GXN312" s="1716"/>
      <c r="GXO312" s="1716"/>
      <c r="GXP312" s="1716"/>
      <c r="GXQ312" s="1716"/>
      <c r="GXR312" s="244"/>
      <c r="GXS312" s="244" t="s">
        <v>68</v>
      </c>
      <c r="GXT312" s="245" t="s">
        <v>68</v>
      </c>
      <c r="GXU312" s="1715" t="s">
        <v>0</v>
      </c>
      <c r="GXV312" s="1716"/>
      <c r="GXW312" s="1716"/>
      <c r="GXX312" s="1716"/>
      <c r="GXY312" s="1716"/>
      <c r="GXZ312" s="244"/>
      <c r="GYA312" s="244" t="s">
        <v>68</v>
      </c>
      <c r="GYB312" s="245" t="s">
        <v>68</v>
      </c>
      <c r="GYC312" s="1715" t="s">
        <v>0</v>
      </c>
      <c r="GYD312" s="1716"/>
      <c r="GYE312" s="1716"/>
      <c r="GYF312" s="1716"/>
      <c r="GYG312" s="1716"/>
      <c r="GYH312" s="244"/>
      <c r="GYI312" s="244" t="s">
        <v>68</v>
      </c>
      <c r="GYJ312" s="245" t="s">
        <v>68</v>
      </c>
      <c r="GYK312" s="1715" t="s">
        <v>0</v>
      </c>
      <c r="GYL312" s="1716"/>
      <c r="GYM312" s="1716"/>
      <c r="GYN312" s="1716"/>
      <c r="GYO312" s="1716"/>
      <c r="GYP312" s="244"/>
      <c r="GYQ312" s="244" t="s">
        <v>68</v>
      </c>
      <c r="GYR312" s="245" t="s">
        <v>68</v>
      </c>
      <c r="GYS312" s="1715" t="s">
        <v>0</v>
      </c>
      <c r="GYT312" s="1716"/>
      <c r="GYU312" s="1716"/>
      <c r="GYV312" s="1716"/>
      <c r="GYW312" s="1716"/>
      <c r="GYX312" s="244"/>
      <c r="GYY312" s="244" t="s">
        <v>68</v>
      </c>
      <c r="GYZ312" s="245" t="s">
        <v>68</v>
      </c>
      <c r="GZA312" s="1715" t="s">
        <v>0</v>
      </c>
      <c r="GZB312" s="1716"/>
      <c r="GZC312" s="1716"/>
      <c r="GZD312" s="1716"/>
      <c r="GZE312" s="1716"/>
      <c r="GZF312" s="244"/>
      <c r="GZG312" s="244" t="s">
        <v>68</v>
      </c>
      <c r="GZH312" s="245" t="s">
        <v>68</v>
      </c>
      <c r="GZI312" s="1715" t="s">
        <v>0</v>
      </c>
      <c r="GZJ312" s="1716"/>
      <c r="GZK312" s="1716"/>
      <c r="GZL312" s="1716"/>
      <c r="GZM312" s="1716"/>
      <c r="GZN312" s="244"/>
      <c r="GZO312" s="244" t="s">
        <v>68</v>
      </c>
      <c r="GZP312" s="245" t="s">
        <v>68</v>
      </c>
      <c r="GZQ312" s="1715" t="s">
        <v>0</v>
      </c>
      <c r="GZR312" s="1716"/>
      <c r="GZS312" s="1716"/>
      <c r="GZT312" s="1716"/>
      <c r="GZU312" s="1716"/>
      <c r="GZV312" s="244"/>
      <c r="GZW312" s="244" t="s">
        <v>68</v>
      </c>
      <c r="GZX312" s="245" t="s">
        <v>68</v>
      </c>
      <c r="GZY312" s="1715" t="s">
        <v>0</v>
      </c>
      <c r="GZZ312" s="1716"/>
      <c r="HAA312" s="1716"/>
      <c r="HAB312" s="1716"/>
      <c r="HAC312" s="1716"/>
      <c r="HAD312" s="244"/>
      <c r="HAE312" s="244" t="s">
        <v>68</v>
      </c>
      <c r="HAF312" s="245" t="s">
        <v>68</v>
      </c>
      <c r="HAG312" s="1715" t="s">
        <v>0</v>
      </c>
      <c r="HAH312" s="1716"/>
      <c r="HAI312" s="1716"/>
      <c r="HAJ312" s="1716"/>
      <c r="HAK312" s="1716"/>
      <c r="HAL312" s="244"/>
      <c r="HAM312" s="244" t="s">
        <v>68</v>
      </c>
      <c r="HAN312" s="245" t="s">
        <v>68</v>
      </c>
      <c r="HAO312" s="1715" t="s">
        <v>0</v>
      </c>
      <c r="HAP312" s="1716"/>
      <c r="HAQ312" s="1716"/>
      <c r="HAR312" s="1716"/>
      <c r="HAS312" s="1716"/>
      <c r="HAT312" s="244"/>
      <c r="HAU312" s="244" t="s">
        <v>68</v>
      </c>
      <c r="HAV312" s="245" t="s">
        <v>68</v>
      </c>
      <c r="HAW312" s="1715" t="s">
        <v>0</v>
      </c>
      <c r="HAX312" s="1716"/>
      <c r="HAY312" s="1716"/>
      <c r="HAZ312" s="1716"/>
      <c r="HBA312" s="1716"/>
      <c r="HBB312" s="244"/>
      <c r="HBC312" s="244" t="s">
        <v>68</v>
      </c>
      <c r="HBD312" s="245" t="s">
        <v>68</v>
      </c>
      <c r="HBE312" s="1715" t="s">
        <v>0</v>
      </c>
      <c r="HBF312" s="1716"/>
      <c r="HBG312" s="1716"/>
      <c r="HBH312" s="1716"/>
      <c r="HBI312" s="1716"/>
      <c r="HBJ312" s="244"/>
      <c r="HBK312" s="244" t="s">
        <v>68</v>
      </c>
      <c r="HBL312" s="245" t="s">
        <v>68</v>
      </c>
      <c r="HBM312" s="1715" t="s">
        <v>0</v>
      </c>
      <c r="HBN312" s="1716"/>
      <c r="HBO312" s="1716"/>
      <c r="HBP312" s="1716"/>
      <c r="HBQ312" s="1716"/>
      <c r="HBR312" s="244"/>
      <c r="HBS312" s="244" t="s">
        <v>68</v>
      </c>
      <c r="HBT312" s="245" t="s">
        <v>68</v>
      </c>
      <c r="HBU312" s="1715" t="s">
        <v>0</v>
      </c>
      <c r="HBV312" s="1716"/>
      <c r="HBW312" s="1716"/>
      <c r="HBX312" s="1716"/>
      <c r="HBY312" s="1716"/>
      <c r="HBZ312" s="244"/>
      <c r="HCA312" s="244" t="s">
        <v>68</v>
      </c>
      <c r="HCB312" s="245" t="s">
        <v>68</v>
      </c>
      <c r="HCC312" s="1715" t="s">
        <v>0</v>
      </c>
      <c r="HCD312" s="1716"/>
      <c r="HCE312" s="1716"/>
      <c r="HCF312" s="1716"/>
      <c r="HCG312" s="1716"/>
      <c r="HCH312" s="244"/>
      <c r="HCI312" s="244" t="s">
        <v>68</v>
      </c>
      <c r="HCJ312" s="245" t="s">
        <v>68</v>
      </c>
      <c r="HCK312" s="1715" t="s">
        <v>0</v>
      </c>
      <c r="HCL312" s="1716"/>
      <c r="HCM312" s="1716"/>
      <c r="HCN312" s="1716"/>
      <c r="HCO312" s="1716"/>
      <c r="HCP312" s="244"/>
      <c r="HCQ312" s="244" t="s">
        <v>68</v>
      </c>
      <c r="HCR312" s="245" t="s">
        <v>68</v>
      </c>
      <c r="HCS312" s="1715" t="s">
        <v>0</v>
      </c>
      <c r="HCT312" s="1716"/>
      <c r="HCU312" s="1716"/>
      <c r="HCV312" s="1716"/>
      <c r="HCW312" s="1716"/>
      <c r="HCX312" s="244"/>
      <c r="HCY312" s="244" t="s">
        <v>68</v>
      </c>
      <c r="HCZ312" s="245" t="s">
        <v>68</v>
      </c>
      <c r="HDA312" s="1715" t="s">
        <v>0</v>
      </c>
      <c r="HDB312" s="1716"/>
      <c r="HDC312" s="1716"/>
      <c r="HDD312" s="1716"/>
      <c r="HDE312" s="1716"/>
      <c r="HDF312" s="244"/>
      <c r="HDG312" s="244" t="s">
        <v>68</v>
      </c>
      <c r="HDH312" s="245" t="s">
        <v>68</v>
      </c>
      <c r="HDI312" s="1715" t="s">
        <v>0</v>
      </c>
      <c r="HDJ312" s="1716"/>
      <c r="HDK312" s="1716"/>
      <c r="HDL312" s="1716"/>
      <c r="HDM312" s="1716"/>
      <c r="HDN312" s="244"/>
      <c r="HDO312" s="244" t="s">
        <v>68</v>
      </c>
      <c r="HDP312" s="245" t="s">
        <v>68</v>
      </c>
      <c r="HDQ312" s="1715" t="s">
        <v>0</v>
      </c>
      <c r="HDR312" s="1716"/>
      <c r="HDS312" s="1716"/>
      <c r="HDT312" s="1716"/>
      <c r="HDU312" s="1716"/>
      <c r="HDV312" s="244"/>
      <c r="HDW312" s="244" t="s">
        <v>68</v>
      </c>
      <c r="HDX312" s="245" t="s">
        <v>68</v>
      </c>
      <c r="HDY312" s="1715" t="s">
        <v>0</v>
      </c>
      <c r="HDZ312" s="1716"/>
      <c r="HEA312" s="1716"/>
      <c r="HEB312" s="1716"/>
      <c r="HEC312" s="1716"/>
      <c r="HED312" s="244"/>
      <c r="HEE312" s="244" t="s">
        <v>68</v>
      </c>
      <c r="HEF312" s="245" t="s">
        <v>68</v>
      </c>
      <c r="HEG312" s="1715" t="s">
        <v>0</v>
      </c>
      <c r="HEH312" s="1716"/>
      <c r="HEI312" s="1716"/>
      <c r="HEJ312" s="1716"/>
      <c r="HEK312" s="1716"/>
      <c r="HEL312" s="244"/>
      <c r="HEM312" s="244" t="s">
        <v>68</v>
      </c>
      <c r="HEN312" s="245" t="s">
        <v>68</v>
      </c>
      <c r="HEO312" s="1715" t="s">
        <v>0</v>
      </c>
      <c r="HEP312" s="1716"/>
      <c r="HEQ312" s="1716"/>
      <c r="HER312" s="1716"/>
      <c r="HES312" s="1716"/>
      <c r="HET312" s="244"/>
      <c r="HEU312" s="244" t="s">
        <v>68</v>
      </c>
      <c r="HEV312" s="245" t="s">
        <v>68</v>
      </c>
      <c r="HEW312" s="1715" t="s">
        <v>0</v>
      </c>
      <c r="HEX312" s="1716"/>
      <c r="HEY312" s="1716"/>
      <c r="HEZ312" s="1716"/>
      <c r="HFA312" s="1716"/>
      <c r="HFB312" s="244"/>
      <c r="HFC312" s="244" t="s">
        <v>68</v>
      </c>
      <c r="HFD312" s="245" t="s">
        <v>68</v>
      </c>
      <c r="HFE312" s="1715" t="s">
        <v>0</v>
      </c>
      <c r="HFF312" s="1716"/>
      <c r="HFG312" s="1716"/>
      <c r="HFH312" s="1716"/>
      <c r="HFI312" s="1716"/>
      <c r="HFJ312" s="244"/>
      <c r="HFK312" s="244" t="s">
        <v>68</v>
      </c>
      <c r="HFL312" s="245" t="s">
        <v>68</v>
      </c>
      <c r="HFM312" s="1715" t="s">
        <v>0</v>
      </c>
      <c r="HFN312" s="1716"/>
      <c r="HFO312" s="1716"/>
      <c r="HFP312" s="1716"/>
      <c r="HFQ312" s="1716"/>
      <c r="HFR312" s="244"/>
      <c r="HFS312" s="244" t="s">
        <v>68</v>
      </c>
      <c r="HFT312" s="245" t="s">
        <v>68</v>
      </c>
      <c r="HFU312" s="1715" t="s">
        <v>0</v>
      </c>
      <c r="HFV312" s="1716"/>
      <c r="HFW312" s="1716"/>
      <c r="HFX312" s="1716"/>
      <c r="HFY312" s="1716"/>
      <c r="HFZ312" s="244"/>
      <c r="HGA312" s="244" t="s">
        <v>68</v>
      </c>
      <c r="HGB312" s="245" t="s">
        <v>68</v>
      </c>
      <c r="HGC312" s="1715" t="s">
        <v>0</v>
      </c>
      <c r="HGD312" s="1716"/>
      <c r="HGE312" s="1716"/>
      <c r="HGF312" s="1716"/>
      <c r="HGG312" s="1716"/>
      <c r="HGH312" s="244"/>
      <c r="HGI312" s="244" t="s">
        <v>68</v>
      </c>
      <c r="HGJ312" s="245" t="s">
        <v>68</v>
      </c>
      <c r="HGK312" s="1715" t="s">
        <v>0</v>
      </c>
      <c r="HGL312" s="1716"/>
      <c r="HGM312" s="1716"/>
      <c r="HGN312" s="1716"/>
      <c r="HGO312" s="1716"/>
      <c r="HGP312" s="244"/>
      <c r="HGQ312" s="244" t="s">
        <v>68</v>
      </c>
      <c r="HGR312" s="245" t="s">
        <v>68</v>
      </c>
      <c r="HGS312" s="1715" t="s">
        <v>0</v>
      </c>
      <c r="HGT312" s="1716"/>
      <c r="HGU312" s="1716"/>
      <c r="HGV312" s="1716"/>
      <c r="HGW312" s="1716"/>
      <c r="HGX312" s="244"/>
      <c r="HGY312" s="244" t="s">
        <v>68</v>
      </c>
      <c r="HGZ312" s="245" t="s">
        <v>68</v>
      </c>
      <c r="HHA312" s="1715" t="s">
        <v>0</v>
      </c>
      <c r="HHB312" s="1716"/>
      <c r="HHC312" s="1716"/>
      <c r="HHD312" s="1716"/>
      <c r="HHE312" s="1716"/>
      <c r="HHF312" s="244"/>
      <c r="HHG312" s="244" t="s">
        <v>68</v>
      </c>
      <c r="HHH312" s="245" t="s">
        <v>68</v>
      </c>
      <c r="HHI312" s="1715" t="s">
        <v>0</v>
      </c>
      <c r="HHJ312" s="1716"/>
      <c r="HHK312" s="1716"/>
      <c r="HHL312" s="1716"/>
      <c r="HHM312" s="1716"/>
      <c r="HHN312" s="244"/>
      <c r="HHO312" s="244" t="s">
        <v>68</v>
      </c>
      <c r="HHP312" s="245" t="s">
        <v>68</v>
      </c>
      <c r="HHQ312" s="1715" t="s">
        <v>0</v>
      </c>
      <c r="HHR312" s="1716"/>
      <c r="HHS312" s="1716"/>
      <c r="HHT312" s="1716"/>
      <c r="HHU312" s="1716"/>
      <c r="HHV312" s="244"/>
      <c r="HHW312" s="244" t="s">
        <v>68</v>
      </c>
      <c r="HHX312" s="245" t="s">
        <v>68</v>
      </c>
      <c r="HHY312" s="1715" t="s">
        <v>0</v>
      </c>
      <c r="HHZ312" s="1716"/>
      <c r="HIA312" s="1716"/>
      <c r="HIB312" s="1716"/>
      <c r="HIC312" s="1716"/>
      <c r="HID312" s="244"/>
      <c r="HIE312" s="244" t="s">
        <v>68</v>
      </c>
      <c r="HIF312" s="245" t="s">
        <v>68</v>
      </c>
      <c r="HIG312" s="1715" t="s">
        <v>0</v>
      </c>
      <c r="HIH312" s="1716"/>
      <c r="HII312" s="1716"/>
      <c r="HIJ312" s="1716"/>
      <c r="HIK312" s="1716"/>
      <c r="HIL312" s="244"/>
      <c r="HIM312" s="244" t="s">
        <v>68</v>
      </c>
      <c r="HIN312" s="245" t="s">
        <v>68</v>
      </c>
      <c r="HIO312" s="1715" t="s">
        <v>0</v>
      </c>
      <c r="HIP312" s="1716"/>
      <c r="HIQ312" s="1716"/>
      <c r="HIR312" s="1716"/>
      <c r="HIS312" s="1716"/>
      <c r="HIT312" s="244"/>
      <c r="HIU312" s="244" t="s">
        <v>68</v>
      </c>
      <c r="HIV312" s="245" t="s">
        <v>68</v>
      </c>
      <c r="HIW312" s="1715" t="s">
        <v>0</v>
      </c>
      <c r="HIX312" s="1716"/>
      <c r="HIY312" s="1716"/>
      <c r="HIZ312" s="1716"/>
      <c r="HJA312" s="1716"/>
      <c r="HJB312" s="244"/>
      <c r="HJC312" s="244" t="s">
        <v>68</v>
      </c>
      <c r="HJD312" s="245" t="s">
        <v>68</v>
      </c>
      <c r="HJE312" s="1715" t="s">
        <v>0</v>
      </c>
      <c r="HJF312" s="1716"/>
      <c r="HJG312" s="1716"/>
      <c r="HJH312" s="1716"/>
      <c r="HJI312" s="1716"/>
      <c r="HJJ312" s="244"/>
      <c r="HJK312" s="244" t="s">
        <v>68</v>
      </c>
      <c r="HJL312" s="245" t="s">
        <v>68</v>
      </c>
      <c r="HJM312" s="1715" t="s">
        <v>0</v>
      </c>
      <c r="HJN312" s="1716"/>
      <c r="HJO312" s="1716"/>
      <c r="HJP312" s="1716"/>
      <c r="HJQ312" s="1716"/>
      <c r="HJR312" s="244"/>
      <c r="HJS312" s="244" t="s">
        <v>68</v>
      </c>
      <c r="HJT312" s="245" t="s">
        <v>68</v>
      </c>
      <c r="HJU312" s="1715" t="s">
        <v>0</v>
      </c>
      <c r="HJV312" s="1716"/>
      <c r="HJW312" s="1716"/>
      <c r="HJX312" s="1716"/>
      <c r="HJY312" s="1716"/>
      <c r="HJZ312" s="244"/>
      <c r="HKA312" s="244" t="s">
        <v>68</v>
      </c>
      <c r="HKB312" s="245" t="s">
        <v>68</v>
      </c>
      <c r="HKC312" s="1715" t="s">
        <v>0</v>
      </c>
      <c r="HKD312" s="1716"/>
      <c r="HKE312" s="1716"/>
      <c r="HKF312" s="1716"/>
      <c r="HKG312" s="1716"/>
      <c r="HKH312" s="244"/>
      <c r="HKI312" s="244" t="s">
        <v>68</v>
      </c>
      <c r="HKJ312" s="245" t="s">
        <v>68</v>
      </c>
      <c r="HKK312" s="1715" t="s">
        <v>0</v>
      </c>
      <c r="HKL312" s="1716"/>
      <c r="HKM312" s="1716"/>
      <c r="HKN312" s="1716"/>
      <c r="HKO312" s="1716"/>
      <c r="HKP312" s="244"/>
      <c r="HKQ312" s="244" t="s">
        <v>68</v>
      </c>
      <c r="HKR312" s="245" t="s">
        <v>68</v>
      </c>
      <c r="HKS312" s="1715" t="s">
        <v>0</v>
      </c>
      <c r="HKT312" s="1716"/>
      <c r="HKU312" s="1716"/>
      <c r="HKV312" s="1716"/>
      <c r="HKW312" s="1716"/>
      <c r="HKX312" s="244"/>
      <c r="HKY312" s="244" t="s">
        <v>68</v>
      </c>
      <c r="HKZ312" s="245" t="s">
        <v>68</v>
      </c>
      <c r="HLA312" s="1715" t="s">
        <v>0</v>
      </c>
      <c r="HLB312" s="1716"/>
      <c r="HLC312" s="1716"/>
      <c r="HLD312" s="1716"/>
      <c r="HLE312" s="1716"/>
      <c r="HLF312" s="244"/>
      <c r="HLG312" s="244" t="s">
        <v>68</v>
      </c>
      <c r="HLH312" s="245" t="s">
        <v>68</v>
      </c>
      <c r="HLI312" s="1715" t="s">
        <v>0</v>
      </c>
      <c r="HLJ312" s="1716"/>
      <c r="HLK312" s="1716"/>
      <c r="HLL312" s="1716"/>
      <c r="HLM312" s="1716"/>
      <c r="HLN312" s="244"/>
      <c r="HLO312" s="244" t="s">
        <v>68</v>
      </c>
      <c r="HLP312" s="245" t="s">
        <v>68</v>
      </c>
      <c r="HLQ312" s="1715" t="s">
        <v>0</v>
      </c>
      <c r="HLR312" s="1716"/>
      <c r="HLS312" s="1716"/>
      <c r="HLT312" s="1716"/>
      <c r="HLU312" s="1716"/>
      <c r="HLV312" s="244"/>
      <c r="HLW312" s="244" t="s">
        <v>68</v>
      </c>
      <c r="HLX312" s="245" t="s">
        <v>68</v>
      </c>
      <c r="HLY312" s="1715" t="s">
        <v>0</v>
      </c>
      <c r="HLZ312" s="1716"/>
      <c r="HMA312" s="1716"/>
      <c r="HMB312" s="1716"/>
      <c r="HMC312" s="1716"/>
      <c r="HMD312" s="244"/>
      <c r="HME312" s="244" t="s">
        <v>68</v>
      </c>
      <c r="HMF312" s="245" t="s">
        <v>68</v>
      </c>
      <c r="HMG312" s="1715" t="s">
        <v>0</v>
      </c>
      <c r="HMH312" s="1716"/>
      <c r="HMI312" s="1716"/>
      <c r="HMJ312" s="1716"/>
      <c r="HMK312" s="1716"/>
      <c r="HML312" s="244"/>
      <c r="HMM312" s="244" t="s">
        <v>68</v>
      </c>
      <c r="HMN312" s="245" t="s">
        <v>68</v>
      </c>
      <c r="HMO312" s="1715" t="s">
        <v>0</v>
      </c>
      <c r="HMP312" s="1716"/>
      <c r="HMQ312" s="1716"/>
      <c r="HMR312" s="1716"/>
      <c r="HMS312" s="1716"/>
      <c r="HMT312" s="244"/>
      <c r="HMU312" s="244" t="s">
        <v>68</v>
      </c>
      <c r="HMV312" s="245" t="s">
        <v>68</v>
      </c>
      <c r="HMW312" s="1715" t="s">
        <v>0</v>
      </c>
      <c r="HMX312" s="1716"/>
      <c r="HMY312" s="1716"/>
      <c r="HMZ312" s="1716"/>
      <c r="HNA312" s="1716"/>
      <c r="HNB312" s="244"/>
      <c r="HNC312" s="244" t="s">
        <v>68</v>
      </c>
      <c r="HND312" s="245" t="s">
        <v>68</v>
      </c>
      <c r="HNE312" s="1715" t="s">
        <v>0</v>
      </c>
      <c r="HNF312" s="1716"/>
      <c r="HNG312" s="1716"/>
      <c r="HNH312" s="1716"/>
      <c r="HNI312" s="1716"/>
      <c r="HNJ312" s="244"/>
      <c r="HNK312" s="244" t="s">
        <v>68</v>
      </c>
      <c r="HNL312" s="245" t="s">
        <v>68</v>
      </c>
      <c r="HNM312" s="1715" t="s">
        <v>0</v>
      </c>
      <c r="HNN312" s="1716"/>
      <c r="HNO312" s="1716"/>
      <c r="HNP312" s="1716"/>
      <c r="HNQ312" s="1716"/>
      <c r="HNR312" s="244"/>
      <c r="HNS312" s="244" t="s">
        <v>68</v>
      </c>
      <c r="HNT312" s="245" t="s">
        <v>68</v>
      </c>
      <c r="HNU312" s="1715" t="s">
        <v>0</v>
      </c>
      <c r="HNV312" s="1716"/>
      <c r="HNW312" s="1716"/>
      <c r="HNX312" s="1716"/>
      <c r="HNY312" s="1716"/>
      <c r="HNZ312" s="244"/>
      <c r="HOA312" s="244" t="s">
        <v>68</v>
      </c>
      <c r="HOB312" s="245" t="s">
        <v>68</v>
      </c>
      <c r="HOC312" s="1715" t="s">
        <v>0</v>
      </c>
      <c r="HOD312" s="1716"/>
      <c r="HOE312" s="1716"/>
      <c r="HOF312" s="1716"/>
      <c r="HOG312" s="1716"/>
      <c r="HOH312" s="244"/>
      <c r="HOI312" s="244" t="s">
        <v>68</v>
      </c>
      <c r="HOJ312" s="245" t="s">
        <v>68</v>
      </c>
      <c r="HOK312" s="1715" t="s">
        <v>0</v>
      </c>
      <c r="HOL312" s="1716"/>
      <c r="HOM312" s="1716"/>
      <c r="HON312" s="1716"/>
      <c r="HOO312" s="1716"/>
      <c r="HOP312" s="244"/>
      <c r="HOQ312" s="244" t="s">
        <v>68</v>
      </c>
      <c r="HOR312" s="245" t="s">
        <v>68</v>
      </c>
      <c r="HOS312" s="1715" t="s">
        <v>0</v>
      </c>
      <c r="HOT312" s="1716"/>
      <c r="HOU312" s="1716"/>
      <c r="HOV312" s="1716"/>
      <c r="HOW312" s="1716"/>
      <c r="HOX312" s="244"/>
      <c r="HOY312" s="244" t="s">
        <v>68</v>
      </c>
      <c r="HOZ312" s="245" t="s">
        <v>68</v>
      </c>
      <c r="HPA312" s="1715" t="s">
        <v>0</v>
      </c>
      <c r="HPB312" s="1716"/>
      <c r="HPC312" s="1716"/>
      <c r="HPD312" s="1716"/>
      <c r="HPE312" s="1716"/>
      <c r="HPF312" s="244"/>
      <c r="HPG312" s="244" t="s">
        <v>68</v>
      </c>
      <c r="HPH312" s="245" t="s">
        <v>68</v>
      </c>
      <c r="HPI312" s="1715" t="s">
        <v>0</v>
      </c>
      <c r="HPJ312" s="1716"/>
      <c r="HPK312" s="1716"/>
      <c r="HPL312" s="1716"/>
      <c r="HPM312" s="1716"/>
      <c r="HPN312" s="244"/>
      <c r="HPO312" s="244" t="s">
        <v>68</v>
      </c>
      <c r="HPP312" s="245" t="s">
        <v>68</v>
      </c>
      <c r="HPQ312" s="1715" t="s">
        <v>0</v>
      </c>
      <c r="HPR312" s="1716"/>
      <c r="HPS312" s="1716"/>
      <c r="HPT312" s="1716"/>
      <c r="HPU312" s="1716"/>
      <c r="HPV312" s="244"/>
      <c r="HPW312" s="244" t="s">
        <v>68</v>
      </c>
      <c r="HPX312" s="245" t="s">
        <v>68</v>
      </c>
      <c r="HPY312" s="1715" t="s">
        <v>0</v>
      </c>
      <c r="HPZ312" s="1716"/>
      <c r="HQA312" s="1716"/>
      <c r="HQB312" s="1716"/>
      <c r="HQC312" s="1716"/>
      <c r="HQD312" s="244"/>
      <c r="HQE312" s="244" t="s">
        <v>68</v>
      </c>
      <c r="HQF312" s="245" t="s">
        <v>68</v>
      </c>
      <c r="HQG312" s="1715" t="s">
        <v>0</v>
      </c>
      <c r="HQH312" s="1716"/>
      <c r="HQI312" s="1716"/>
      <c r="HQJ312" s="1716"/>
      <c r="HQK312" s="1716"/>
      <c r="HQL312" s="244"/>
      <c r="HQM312" s="244" t="s">
        <v>68</v>
      </c>
      <c r="HQN312" s="245" t="s">
        <v>68</v>
      </c>
      <c r="HQO312" s="1715" t="s">
        <v>0</v>
      </c>
      <c r="HQP312" s="1716"/>
      <c r="HQQ312" s="1716"/>
      <c r="HQR312" s="1716"/>
      <c r="HQS312" s="1716"/>
      <c r="HQT312" s="244"/>
      <c r="HQU312" s="244" t="s">
        <v>68</v>
      </c>
      <c r="HQV312" s="245" t="s">
        <v>68</v>
      </c>
      <c r="HQW312" s="1715" t="s">
        <v>0</v>
      </c>
      <c r="HQX312" s="1716"/>
      <c r="HQY312" s="1716"/>
      <c r="HQZ312" s="1716"/>
      <c r="HRA312" s="1716"/>
      <c r="HRB312" s="244"/>
      <c r="HRC312" s="244" t="s">
        <v>68</v>
      </c>
      <c r="HRD312" s="245" t="s">
        <v>68</v>
      </c>
      <c r="HRE312" s="1715" t="s">
        <v>0</v>
      </c>
      <c r="HRF312" s="1716"/>
      <c r="HRG312" s="1716"/>
      <c r="HRH312" s="1716"/>
      <c r="HRI312" s="1716"/>
      <c r="HRJ312" s="244"/>
      <c r="HRK312" s="244" t="s">
        <v>68</v>
      </c>
      <c r="HRL312" s="245" t="s">
        <v>68</v>
      </c>
      <c r="HRM312" s="1715" t="s">
        <v>0</v>
      </c>
      <c r="HRN312" s="1716"/>
      <c r="HRO312" s="1716"/>
      <c r="HRP312" s="1716"/>
      <c r="HRQ312" s="1716"/>
      <c r="HRR312" s="244"/>
      <c r="HRS312" s="244" t="s">
        <v>68</v>
      </c>
      <c r="HRT312" s="245" t="s">
        <v>68</v>
      </c>
      <c r="HRU312" s="1715" t="s">
        <v>0</v>
      </c>
      <c r="HRV312" s="1716"/>
      <c r="HRW312" s="1716"/>
      <c r="HRX312" s="1716"/>
      <c r="HRY312" s="1716"/>
      <c r="HRZ312" s="244"/>
      <c r="HSA312" s="244" t="s">
        <v>68</v>
      </c>
      <c r="HSB312" s="245" t="s">
        <v>68</v>
      </c>
      <c r="HSC312" s="1715" t="s">
        <v>0</v>
      </c>
      <c r="HSD312" s="1716"/>
      <c r="HSE312" s="1716"/>
      <c r="HSF312" s="1716"/>
      <c r="HSG312" s="1716"/>
      <c r="HSH312" s="244"/>
      <c r="HSI312" s="244" t="s">
        <v>68</v>
      </c>
      <c r="HSJ312" s="245" t="s">
        <v>68</v>
      </c>
      <c r="HSK312" s="1715" t="s">
        <v>0</v>
      </c>
      <c r="HSL312" s="1716"/>
      <c r="HSM312" s="1716"/>
      <c r="HSN312" s="1716"/>
      <c r="HSO312" s="1716"/>
      <c r="HSP312" s="244"/>
      <c r="HSQ312" s="244" t="s">
        <v>68</v>
      </c>
      <c r="HSR312" s="245" t="s">
        <v>68</v>
      </c>
      <c r="HSS312" s="1715" t="s">
        <v>0</v>
      </c>
      <c r="HST312" s="1716"/>
      <c r="HSU312" s="1716"/>
      <c r="HSV312" s="1716"/>
      <c r="HSW312" s="1716"/>
      <c r="HSX312" s="244"/>
      <c r="HSY312" s="244" t="s">
        <v>68</v>
      </c>
      <c r="HSZ312" s="245" t="s">
        <v>68</v>
      </c>
      <c r="HTA312" s="1715" t="s">
        <v>0</v>
      </c>
      <c r="HTB312" s="1716"/>
      <c r="HTC312" s="1716"/>
      <c r="HTD312" s="1716"/>
      <c r="HTE312" s="1716"/>
      <c r="HTF312" s="244"/>
      <c r="HTG312" s="244" t="s">
        <v>68</v>
      </c>
      <c r="HTH312" s="245" t="s">
        <v>68</v>
      </c>
      <c r="HTI312" s="1715" t="s">
        <v>0</v>
      </c>
      <c r="HTJ312" s="1716"/>
      <c r="HTK312" s="1716"/>
      <c r="HTL312" s="1716"/>
      <c r="HTM312" s="1716"/>
      <c r="HTN312" s="244"/>
      <c r="HTO312" s="244" t="s">
        <v>68</v>
      </c>
      <c r="HTP312" s="245" t="s">
        <v>68</v>
      </c>
      <c r="HTQ312" s="1715" t="s">
        <v>0</v>
      </c>
      <c r="HTR312" s="1716"/>
      <c r="HTS312" s="1716"/>
      <c r="HTT312" s="1716"/>
      <c r="HTU312" s="1716"/>
      <c r="HTV312" s="244"/>
      <c r="HTW312" s="244" t="s">
        <v>68</v>
      </c>
      <c r="HTX312" s="245" t="s">
        <v>68</v>
      </c>
      <c r="HTY312" s="1715" t="s">
        <v>0</v>
      </c>
      <c r="HTZ312" s="1716"/>
      <c r="HUA312" s="1716"/>
      <c r="HUB312" s="1716"/>
      <c r="HUC312" s="1716"/>
      <c r="HUD312" s="244"/>
      <c r="HUE312" s="244" t="s">
        <v>68</v>
      </c>
      <c r="HUF312" s="245" t="s">
        <v>68</v>
      </c>
      <c r="HUG312" s="1715" t="s">
        <v>0</v>
      </c>
      <c r="HUH312" s="1716"/>
      <c r="HUI312" s="1716"/>
      <c r="HUJ312" s="1716"/>
      <c r="HUK312" s="1716"/>
      <c r="HUL312" s="244"/>
      <c r="HUM312" s="244" t="s">
        <v>68</v>
      </c>
      <c r="HUN312" s="245" t="s">
        <v>68</v>
      </c>
      <c r="HUO312" s="1715" t="s">
        <v>0</v>
      </c>
      <c r="HUP312" s="1716"/>
      <c r="HUQ312" s="1716"/>
      <c r="HUR312" s="1716"/>
      <c r="HUS312" s="1716"/>
      <c r="HUT312" s="244"/>
      <c r="HUU312" s="244" t="s">
        <v>68</v>
      </c>
      <c r="HUV312" s="245" t="s">
        <v>68</v>
      </c>
      <c r="HUW312" s="1715" t="s">
        <v>0</v>
      </c>
      <c r="HUX312" s="1716"/>
      <c r="HUY312" s="1716"/>
      <c r="HUZ312" s="1716"/>
      <c r="HVA312" s="1716"/>
      <c r="HVB312" s="244"/>
      <c r="HVC312" s="244" t="s">
        <v>68</v>
      </c>
      <c r="HVD312" s="245" t="s">
        <v>68</v>
      </c>
      <c r="HVE312" s="1715" t="s">
        <v>0</v>
      </c>
      <c r="HVF312" s="1716"/>
      <c r="HVG312" s="1716"/>
      <c r="HVH312" s="1716"/>
      <c r="HVI312" s="1716"/>
      <c r="HVJ312" s="244"/>
      <c r="HVK312" s="244" t="s">
        <v>68</v>
      </c>
      <c r="HVL312" s="245" t="s">
        <v>68</v>
      </c>
      <c r="HVM312" s="1715" t="s">
        <v>0</v>
      </c>
      <c r="HVN312" s="1716"/>
      <c r="HVO312" s="1716"/>
      <c r="HVP312" s="1716"/>
      <c r="HVQ312" s="1716"/>
      <c r="HVR312" s="244"/>
      <c r="HVS312" s="244" t="s">
        <v>68</v>
      </c>
      <c r="HVT312" s="245" t="s">
        <v>68</v>
      </c>
      <c r="HVU312" s="1715" t="s">
        <v>0</v>
      </c>
      <c r="HVV312" s="1716"/>
      <c r="HVW312" s="1716"/>
      <c r="HVX312" s="1716"/>
      <c r="HVY312" s="1716"/>
      <c r="HVZ312" s="244"/>
      <c r="HWA312" s="244" t="s">
        <v>68</v>
      </c>
      <c r="HWB312" s="245" t="s">
        <v>68</v>
      </c>
      <c r="HWC312" s="1715" t="s">
        <v>0</v>
      </c>
      <c r="HWD312" s="1716"/>
      <c r="HWE312" s="1716"/>
      <c r="HWF312" s="1716"/>
      <c r="HWG312" s="1716"/>
      <c r="HWH312" s="244"/>
      <c r="HWI312" s="244" t="s">
        <v>68</v>
      </c>
      <c r="HWJ312" s="245" t="s">
        <v>68</v>
      </c>
      <c r="HWK312" s="1715" t="s">
        <v>0</v>
      </c>
      <c r="HWL312" s="1716"/>
      <c r="HWM312" s="1716"/>
      <c r="HWN312" s="1716"/>
      <c r="HWO312" s="1716"/>
      <c r="HWP312" s="244"/>
      <c r="HWQ312" s="244" t="s">
        <v>68</v>
      </c>
      <c r="HWR312" s="245" t="s">
        <v>68</v>
      </c>
      <c r="HWS312" s="1715" t="s">
        <v>0</v>
      </c>
      <c r="HWT312" s="1716"/>
      <c r="HWU312" s="1716"/>
      <c r="HWV312" s="1716"/>
      <c r="HWW312" s="1716"/>
      <c r="HWX312" s="244"/>
      <c r="HWY312" s="244" t="s">
        <v>68</v>
      </c>
      <c r="HWZ312" s="245" t="s">
        <v>68</v>
      </c>
      <c r="HXA312" s="1715" t="s">
        <v>0</v>
      </c>
      <c r="HXB312" s="1716"/>
      <c r="HXC312" s="1716"/>
      <c r="HXD312" s="1716"/>
      <c r="HXE312" s="1716"/>
      <c r="HXF312" s="244"/>
      <c r="HXG312" s="244" t="s">
        <v>68</v>
      </c>
      <c r="HXH312" s="245" t="s">
        <v>68</v>
      </c>
      <c r="HXI312" s="1715" t="s">
        <v>0</v>
      </c>
      <c r="HXJ312" s="1716"/>
      <c r="HXK312" s="1716"/>
      <c r="HXL312" s="1716"/>
      <c r="HXM312" s="1716"/>
      <c r="HXN312" s="244"/>
      <c r="HXO312" s="244" t="s">
        <v>68</v>
      </c>
      <c r="HXP312" s="245" t="s">
        <v>68</v>
      </c>
      <c r="HXQ312" s="1715" t="s">
        <v>0</v>
      </c>
      <c r="HXR312" s="1716"/>
      <c r="HXS312" s="1716"/>
      <c r="HXT312" s="1716"/>
      <c r="HXU312" s="1716"/>
      <c r="HXV312" s="244"/>
      <c r="HXW312" s="244" t="s">
        <v>68</v>
      </c>
      <c r="HXX312" s="245" t="s">
        <v>68</v>
      </c>
      <c r="HXY312" s="1715" t="s">
        <v>0</v>
      </c>
      <c r="HXZ312" s="1716"/>
      <c r="HYA312" s="1716"/>
      <c r="HYB312" s="1716"/>
      <c r="HYC312" s="1716"/>
      <c r="HYD312" s="244"/>
      <c r="HYE312" s="244" t="s">
        <v>68</v>
      </c>
      <c r="HYF312" s="245" t="s">
        <v>68</v>
      </c>
      <c r="HYG312" s="1715" t="s">
        <v>0</v>
      </c>
      <c r="HYH312" s="1716"/>
      <c r="HYI312" s="1716"/>
      <c r="HYJ312" s="1716"/>
      <c r="HYK312" s="1716"/>
      <c r="HYL312" s="244"/>
      <c r="HYM312" s="244" t="s">
        <v>68</v>
      </c>
      <c r="HYN312" s="245" t="s">
        <v>68</v>
      </c>
      <c r="HYO312" s="1715" t="s">
        <v>0</v>
      </c>
      <c r="HYP312" s="1716"/>
      <c r="HYQ312" s="1716"/>
      <c r="HYR312" s="1716"/>
      <c r="HYS312" s="1716"/>
      <c r="HYT312" s="244"/>
      <c r="HYU312" s="244" t="s">
        <v>68</v>
      </c>
      <c r="HYV312" s="245" t="s">
        <v>68</v>
      </c>
      <c r="HYW312" s="1715" t="s">
        <v>0</v>
      </c>
      <c r="HYX312" s="1716"/>
      <c r="HYY312" s="1716"/>
      <c r="HYZ312" s="1716"/>
      <c r="HZA312" s="1716"/>
      <c r="HZB312" s="244"/>
      <c r="HZC312" s="244" t="s">
        <v>68</v>
      </c>
      <c r="HZD312" s="245" t="s">
        <v>68</v>
      </c>
      <c r="HZE312" s="1715" t="s">
        <v>0</v>
      </c>
      <c r="HZF312" s="1716"/>
      <c r="HZG312" s="1716"/>
      <c r="HZH312" s="1716"/>
      <c r="HZI312" s="1716"/>
      <c r="HZJ312" s="244"/>
      <c r="HZK312" s="244" t="s">
        <v>68</v>
      </c>
      <c r="HZL312" s="245" t="s">
        <v>68</v>
      </c>
      <c r="HZM312" s="1715" t="s">
        <v>0</v>
      </c>
      <c r="HZN312" s="1716"/>
      <c r="HZO312" s="1716"/>
      <c r="HZP312" s="1716"/>
      <c r="HZQ312" s="1716"/>
      <c r="HZR312" s="244"/>
      <c r="HZS312" s="244" t="s">
        <v>68</v>
      </c>
      <c r="HZT312" s="245" t="s">
        <v>68</v>
      </c>
      <c r="HZU312" s="1715" t="s">
        <v>0</v>
      </c>
      <c r="HZV312" s="1716"/>
      <c r="HZW312" s="1716"/>
      <c r="HZX312" s="1716"/>
      <c r="HZY312" s="1716"/>
      <c r="HZZ312" s="244"/>
      <c r="IAA312" s="244" t="s">
        <v>68</v>
      </c>
      <c r="IAB312" s="245" t="s">
        <v>68</v>
      </c>
      <c r="IAC312" s="1715" t="s">
        <v>0</v>
      </c>
      <c r="IAD312" s="1716"/>
      <c r="IAE312" s="1716"/>
      <c r="IAF312" s="1716"/>
      <c r="IAG312" s="1716"/>
      <c r="IAH312" s="244"/>
      <c r="IAI312" s="244" t="s">
        <v>68</v>
      </c>
      <c r="IAJ312" s="245" t="s">
        <v>68</v>
      </c>
      <c r="IAK312" s="1715" t="s">
        <v>0</v>
      </c>
      <c r="IAL312" s="1716"/>
      <c r="IAM312" s="1716"/>
      <c r="IAN312" s="1716"/>
      <c r="IAO312" s="1716"/>
      <c r="IAP312" s="244"/>
      <c r="IAQ312" s="244" t="s">
        <v>68</v>
      </c>
      <c r="IAR312" s="245" t="s">
        <v>68</v>
      </c>
      <c r="IAS312" s="1715" t="s">
        <v>0</v>
      </c>
      <c r="IAT312" s="1716"/>
      <c r="IAU312" s="1716"/>
      <c r="IAV312" s="1716"/>
      <c r="IAW312" s="1716"/>
      <c r="IAX312" s="244"/>
      <c r="IAY312" s="244" t="s">
        <v>68</v>
      </c>
      <c r="IAZ312" s="245" t="s">
        <v>68</v>
      </c>
      <c r="IBA312" s="1715" t="s">
        <v>0</v>
      </c>
      <c r="IBB312" s="1716"/>
      <c r="IBC312" s="1716"/>
      <c r="IBD312" s="1716"/>
      <c r="IBE312" s="1716"/>
      <c r="IBF312" s="244"/>
      <c r="IBG312" s="244" t="s">
        <v>68</v>
      </c>
      <c r="IBH312" s="245" t="s">
        <v>68</v>
      </c>
      <c r="IBI312" s="1715" t="s">
        <v>0</v>
      </c>
      <c r="IBJ312" s="1716"/>
      <c r="IBK312" s="1716"/>
      <c r="IBL312" s="1716"/>
      <c r="IBM312" s="1716"/>
      <c r="IBN312" s="244"/>
      <c r="IBO312" s="244" t="s">
        <v>68</v>
      </c>
      <c r="IBP312" s="245" t="s">
        <v>68</v>
      </c>
      <c r="IBQ312" s="1715" t="s">
        <v>0</v>
      </c>
      <c r="IBR312" s="1716"/>
      <c r="IBS312" s="1716"/>
      <c r="IBT312" s="1716"/>
      <c r="IBU312" s="1716"/>
      <c r="IBV312" s="244"/>
      <c r="IBW312" s="244" t="s">
        <v>68</v>
      </c>
      <c r="IBX312" s="245" t="s">
        <v>68</v>
      </c>
      <c r="IBY312" s="1715" t="s">
        <v>0</v>
      </c>
      <c r="IBZ312" s="1716"/>
      <c r="ICA312" s="1716"/>
      <c r="ICB312" s="1716"/>
      <c r="ICC312" s="1716"/>
      <c r="ICD312" s="244"/>
      <c r="ICE312" s="244" t="s">
        <v>68</v>
      </c>
      <c r="ICF312" s="245" t="s">
        <v>68</v>
      </c>
      <c r="ICG312" s="1715" t="s">
        <v>0</v>
      </c>
      <c r="ICH312" s="1716"/>
      <c r="ICI312" s="1716"/>
      <c r="ICJ312" s="1716"/>
      <c r="ICK312" s="1716"/>
      <c r="ICL312" s="244"/>
      <c r="ICM312" s="244" t="s">
        <v>68</v>
      </c>
      <c r="ICN312" s="245" t="s">
        <v>68</v>
      </c>
      <c r="ICO312" s="1715" t="s">
        <v>0</v>
      </c>
      <c r="ICP312" s="1716"/>
      <c r="ICQ312" s="1716"/>
      <c r="ICR312" s="1716"/>
      <c r="ICS312" s="1716"/>
      <c r="ICT312" s="244"/>
      <c r="ICU312" s="244" t="s">
        <v>68</v>
      </c>
      <c r="ICV312" s="245" t="s">
        <v>68</v>
      </c>
      <c r="ICW312" s="1715" t="s">
        <v>0</v>
      </c>
      <c r="ICX312" s="1716"/>
      <c r="ICY312" s="1716"/>
      <c r="ICZ312" s="1716"/>
      <c r="IDA312" s="1716"/>
      <c r="IDB312" s="244"/>
      <c r="IDC312" s="244" t="s">
        <v>68</v>
      </c>
      <c r="IDD312" s="245" t="s">
        <v>68</v>
      </c>
      <c r="IDE312" s="1715" t="s">
        <v>0</v>
      </c>
      <c r="IDF312" s="1716"/>
      <c r="IDG312" s="1716"/>
      <c r="IDH312" s="1716"/>
      <c r="IDI312" s="1716"/>
      <c r="IDJ312" s="244"/>
      <c r="IDK312" s="244" t="s">
        <v>68</v>
      </c>
      <c r="IDL312" s="245" t="s">
        <v>68</v>
      </c>
      <c r="IDM312" s="1715" t="s">
        <v>0</v>
      </c>
      <c r="IDN312" s="1716"/>
      <c r="IDO312" s="1716"/>
      <c r="IDP312" s="1716"/>
      <c r="IDQ312" s="1716"/>
      <c r="IDR312" s="244"/>
      <c r="IDS312" s="244" t="s">
        <v>68</v>
      </c>
      <c r="IDT312" s="245" t="s">
        <v>68</v>
      </c>
      <c r="IDU312" s="1715" t="s">
        <v>0</v>
      </c>
      <c r="IDV312" s="1716"/>
      <c r="IDW312" s="1716"/>
      <c r="IDX312" s="1716"/>
      <c r="IDY312" s="1716"/>
      <c r="IDZ312" s="244"/>
      <c r="IEA312" s="244" t="s">
        <v>68</v>
      </c>
      <c r="IEB312" s="245" t="s">
        <v>68</v>
      </c>
      <c r="IEC312" s="1715" t="s">
        <v>0</v>
      </c>
      <c r="IED312" s="1716"/>
      <c r="IEE312" s="1716"/>
      <c r="IEF312" s="1716"/>
      <c r="IEG312" s="1716"/>
      <c r="IEH312" s="244"/>
      <c r="IEI312" s="244" t="s">
        <v>68</v>
      </c>
      <c r="IEJ312" s="245" t="s">
        <v>68</v>
      </c>
      <c r="IEK312" s="1715" t="s">
        <v>0</v>
      </c>
      <c r="IEL312" s="1716"/>
      <c r="IEM312" s="1716"/>
      <c r="IEN312" s="1716"/>
      <c r="IEO312" s="1716"/>
      <c r="IEP312" s="244"/>
      <c r="IEQ312" s="244" t="s">
        <v>68</v>
      </c>
      <c r="IER312" s="245" t="s">
        <v>68</v>
      </c>
      <c r="IES312" s="1715" t="s">
        <v>0</v>
      </c>
      <c r="IET312" s="1716"/>
      <c r="IEU312" s="1716"/>
      <c r="IEV312" s="1716"/>
      <c r="IEW312" s="1716"/>
      <c r="IEX312" s="244"/>
      <c r="IEY312" s="244" t="s">
        <v>68</v>
      </c>
      <c r="IEZ312" s="245" t="s">
        <v>68</v>
      </c>
      <c r="IFA312" s="1715" t="s">
        <v>0</v>
      </c>
      <c r="IFB312" s="1716"/>
      <c r="IFC312" s="1716"/>
      <c r="IFD312" s="1716"/>
      <c r="IFE312" s="1716"/>
      <c r="IFF312" s="244"/>
      <c r="IFG312" s="244" t="s">
        <v>68</v>
      </c>
      <c r="IFH312" s="245" t="s">
        <v>68</v>
      </c>
      <c r="IFI312" s="1715" t="s">
        <v>0</v>
      </c>
      <c r="IFJ312" s="1716"/>
      <c r="IFK312" s="1716"/>
      <c r="IFL312" s="1716"/>
      <c r="IFM312" s="1716"/>
      <c r="IFN312" s="244"/>
      <c r="IFO312" s="244" t="s">
        <v>68</v>
      </c>
      <c r="IFP312" s="245" t="s">
        <v>68</v>
      </c>
      <c r="IFQ312" s="1715" t="s">
        <v>0</v>
      </c>
      <c r="IFR312" s="1716"/>
      <c r="IFS312" s="1716"/>
      <c r="IFT312" s="1716"/>
      <c r="IFU312" s="1716"/>
      <c r="IFV312" s="244"/>
      <c r="IFW312" s="244" t="s">
        <v>68</v>
      </c>
      <c r="IFX312" s="245" t="s">
        <v>68</v>
      </c>
      <c r="IFY312" s="1715" t="s">
        <v>0</v>
      </c>
      <c r="IFZ312" s="1716"/>
      <c r="IGA312" s="1716"/>
      <c r="IGB312" s="1716"/>
      <c r="IGC312" s="1716"/>
      <c r="IGD312" s="244"/>
      <c r="IGE312" s="244" t="s">
        <v>68</v>
      </c>
      <c r="IGF312" s="245" t="s">
        <v>68</v>
      </c>
      <c r="IGG312" s="1715" t="s">
        <v>0</v>
      </c>
      <c r="IGH312" s="1716"/>
      <c r="IGI312" s="1716"/>
      <c r="IGJ312" s="1716"/>
      <c r="IGK312" s="1716"/>
      <c r="IGL312" s="244"/>
      <c r="IGM312" s="244" t="s">
        <v>68</v>
      </c>
      <c r="IGN312" s="245" t="s">
        <v>68</v>
      </c>
      <c r="IGO312" s="1715" t="s">
        <v>0</v>
      </c>
      <c r="IGP312" s="1716"/>
      <c r="IGQ312" s="1716"/>
      <c r="IGR312" s="1716"/>
      <c r="IGS312" s="1716"/>
      <c r="IGT312" s="244"/>
      <c r="IGU312" s="244" t="s">
        <v>68</v>
      </c>
      <c r="IGV312" s="245" t="s">
        <v>68</v>
      </c>
      <c r="IGW312" s="1715" t="s">
        <v>0</v>
      </c>
      <c r="IGX312" s="1716"/>
      <c r="IGY312" s="1716"/>
      <c r="IGZ312" s="1716"/>
      <c r="IHA312" s="1716"/>
      <c r="IHB312" s="244"/>
      <c r="IHC312" s="244" t="s">
        <v>68</v>
      </c>
      <c r="IHD312" s="245" t="s">
        <v>68</v>
      </c>
      <c r="IHE312" s="1715" t="s">
        <v>0</v>
      </c>
      <c r="IHF312" s="1716"/>
      <c r="IHG312" s="1716"/>
      <c r="IHH312" s="1716"/>
      <c r="IHI312" s="1716"/>
      <c r="IHJ312" s="244"/>
      <c r="IHK312" s="244" t="s">
        <v>68</v>
      </c>
      <c r="IHL312" s="245" t="s">
        <v>68</v>
      </c>
      <c r="IHM312" s="1715" t="s">
        <v>0</v>
      </c>
      <c r="IHN312" s="1716"/>
      <c r="IHO312" s="1716"/>
      <c r="IHP312" s="1716"/>
      <c r="IHQ312" s="1716"/>
      <c r="IHR312" s="244"/>
      <c r="IHS312" s="244" t="s">
        <v>68</v>
      </c>
      <c r="IHT312" s="245" t="s">
        <v>68</v>
      </c>
      <c r="IHU312" s="1715" t="s">
        <v>0</v>
      </c>
      <c r="IHV312" s="1716"/>
      <c r="IHW312" s="1716"/>
      <c r="IHX312" s="1716"/>
      <c r="IHY312" s="1716"/>
      <c r="IHZ312" s="244"/>
      <c r="IIA312" s="244" t="s">
        <v>68</v>
      </c>
      <c r="IIB312" s="245" t="s">
        <v>68</v>
      </c>
      <c r="IIC312" s="1715" t="s">
        <v>0</v>
      </c>
      <c r="IID312" s="1716"/>
      <c r="IIE312" s="1716"/>
      <c r="IIF312" s="1716"/>
      <c r="IIG312" s="1716"/>
      <c r="IIH312" s="244"/>
      <c r="III312" s="244" t="s">
        <v>68</v>
      </c>
      <c r="IIJ312" s="245" t="s">
        <v>68</v>
      </c>
      <c r="IIK312" s="1715" t="s">
        <v>0</v>
      </c>
      <c r="IIL312" s="1716"/>
      <c r="IIM312" s="1716"/>
      <c r="IIN312" s="1716"/>
      <c r="IIO312" s="1716"/>
      <c r="IIP312" s="244"/>
      <c r="IIQ312" s="244" t="s">
        <v>68</v>
      </c>
      <c r="IIR312" s="245" t="s">
        <v>68</v>
      </c>
      <c r="IIS312" s="1715" t="s">
        <v>0</v>
      </c>
      <c r="IIT312" s="1716"/>
      <c r="IIU312" s="1716"/>
      <c r="IIV312" s="1716"/>
      <c r="IIW312" s="1716"/>
      <c r="IIX312" s="244"/>
      <c r="IIY312" s="244" t="s">
        <v>68</v>
      </c>
      <c r="IIZ312" s="245" t="s">
        <v>68</v>
      </c>
      <c r="IJA312" s="1715" t="s">
        <v>0</v>
      </c>
      <c r="IJB312" s="1716"/>
      <c r="IJC312" s="1716"/>
      <c r="IJD312" s="1716"/>
      <c r="IJE312" s="1716"/>
      <c r="IJF312" s="244"/>
      <c r="IJG312" s="244" t="s">
        <v>68</v>
      </c>
      <c r="IJH312" s="245" t="s">
        <v>68</v>
      </c>
      <c r="IJI312" s="1715" t="s">
        <v>0</v>
      </c>
      <c r="IJJ312" s="1716"/>
      <c r="IJK312" s="1716"/>
      <c r="IJL312" s="1716"/>
      <c r="IJM312" s="1716"/>
      <c r="IJN312" s="244"/>
      <c r="IJO312" s="244" t="s">
        <v>68</v>
      </c>
      <c r="IJP312" s="245" t="s">
        <v>68</v>
      </c>
      <c r="IJQ312" s="1715" t="s">
        <v>0</v>
      </c>
      <c r="IJR312" s="1716"/>
      <c r="IJS312" s="1716"/>
      <c r="IJT312" s="1716"/>
      <c r="IJU312" s="1716"/>
      <c r="IJV312" s="244"/>
      <c r="IJW312" s="244" t="s">
        <v>68</v>
      </c>
      <c r="IJX312" s="245" t="s">
        <v>68</v>
      </c>
      <c r="IJY312" s="1715" t="s">
        <v>0</v>
      </c>
      <c r="IJZ312" s="1716"/>
      <c r="IKA312" s="1716"/>
      <c r="IKB312" s="1716"/>
      <c r="IKC312" s="1716"/>
      <c r="IKD312" s="244"/>
      <c r="IKE312" s="244" t="s">
        <v>68</v>
      </c>
      <c r="IKF312" s="245" t="s">
        <v>68</v>
      </c>
      <c r="IKG312" s="1715" t="s">
        <v>0</v>
      </c>
      <c r="IKH312" s="1716"/>
      <c r="IKI312" s="1716"/>
      <c r="IKJ312" s="1716"/>
      <c r="IKK312" s="1716"/>
      <c r="IKL312" s="244"/>
      <c r="IKM312" s="244" t="s">
        <v>68</v>
      </c>
      <c r="IKN312" s="245" t="s">
        <v>68</v>
      </c>
      <c r="IKO312" s="1715" t="s">
        <v>0</v>
      </c>
      <c r="IKP312" s="1716"/>
      <c r="IKQ312" s="1716"/>
      <c r="IKR312" s="1716"/>
      <c r="IKS312" s="1716"/>
      <c r="IKT312" s="244"/>
      <c r="IKU312" s="244" t="s">
        <v>68</v>
      </c>
      <c r="IKV312" s="245" t="s">
        <v>68</v>
      </c>
      <c r="IKW312" s="1715" t="s">
        <v>0</v>
      </c>
      <c r="IKX312" s="1716"/>
      <c r="IKY312" s="1716"/>
      <c r="IKZ312" s="1716"/>
      <c r="ILA312" s="1716"/>
      <c r="ILB312" s="244"/>
      <c r="ILC312" s="244" t="s">
        <v>68</v>
      </c>
      <c r="ILD312" s="245" t="s">
        <v>68</v>
      </c>
      <c r="ILE312" s="1715" t="s">
        <v>0</v>
      </c>
      <c r="ILF312" s="1716"/>
      <c r="ILG312" s="1716"/>
      <c r="ILH312" s="1716"/>
      <c r="ILI312" s="1716"/>
      <c r="ILJ312" s="244"/>
      <c r="ILK312" s="244" t="s">
        <v>68</v>
      </c>
      <c r="ILL312" s="245" t="s">
        <v>68</v>
      </c>
      <c r="ILM312" s="1715" t="s">
        <v>0</v>
      </c>
      <c r="ILN312" s="1716"/>
      <c r="ILO312" s="1716"/>
      <c r="ILP312" s="1716"/>
      <c r="ILQ312" s="1716"/>
      <c r="ILR312" s="244"/>
      <c r="ILS312" s="244" t="s">
        <v>68</v>
      </c>
      <c r="ILT312" s="245" t="s">
        <v>68</v>
      </c>
      <c r="ILU312" s="1715" t="s">
        <v>0</v>
      </c>
      <c r="ILV312" s="1716"/>
      <c r="ILW312" s="1716"/>
      <c r="ILX312" s="1716"/>
      <c r="ILY312" s="1716"/>
      <c r="ILZ312" s="244"/>
      <c r="IMA312" s="244" t="s">
        <v>68</v>
      </c>
      <c r="IMB312" s="245" t="s">
        <v>68</v>
      </c>
      <c r="IMC312" s="1715" t="s">
        <v>0</v>
      </c>
      <c r="IMD312" s="1716"/>
      <c r="IME312" s="1716"/>
      <c r="IMF312" s="1716"/>
      <c r="IMG312" s="1716"/>
      <c r="IMH312" s="244"/>
      <c r="IMI312" s="244" t="s">
        <v>68</v>
      </c>
      <c r="IMJ312" s="245" t="s">
        <v>68</v>
      </c>
      <c r="IMK312" s="1715" t="s">
        <v>0</v>
      </c>
      <c r="IML312" s="1716"/>
      <c r="IMM312" s="1716"/>
      <c r="IMN312" s="1716"/>
      <c r="IMO312" s="1716"/>
      <c r="IMP312" s="244"/>
      <c r="IMQ312" s="244" t="s">
        <v>68</v>
      </c>
      <c r="IMR312" s="245" t="s">
        <v>68</v>
      </c>
      <c r="IMS312" s="1715" t="s">
        <v>0</v>
      </c>
      <c r="IMT312" s="1716"/>
      <c r="IMU312" s="1716"/>
      <c r="IMV312" s="1716"/>
      <c r="IMW312" s="1716"/>
      <c r="IMX312" s="244"/>
      <c r="IMY312" s="244" t="s">
        <v>68</v>
      </c>
      <c r="IMZ312" s="245" t="s">
        <v>68</v>
      </c>
      <c r="INA312" s="1715" t="s">
        <v>0</v>
      </c>
      <c r="INB312" s="1716"/>
      <c r="INC312" s="1716"/>
      <c r="IND312" s="1716"/>
      <c r="INE312" s="1716"/>
      <c r="INF312" s="244"/>
      <c r="ING312" s="244" t="s">
        <v>68</v>
      </c>
      <c r="INH312" s="245" t="s">
        <v>68</v>
      </c>
      <c r="INI312" s="1715" t="s">
        <v>0</v>
      </c>
      <c r="INJ312" s="1716"/>
      <c r="INK312" s="1716"/>
      <c r="INL312" s="1716"/>
      <c r="INM312" s="1716"/>
      <c r="INN312" s="244"/>
      <c r="INO312" s="244" t="s">
        <v>68</v>
      </c>
      <c r="INP312" s="245" t="s">
        <v>68</v>
      </c>
      <c r="INQ312" s="1715" t="s">
        <v>0</v>
      </c>
      <c r="INR312" s="1716"/>
      <c r="INS312" s="1716"/>
      <c r="INT312" s="1716"/>
      <c r="INU312" s="1716"/>
      <c r="INV312" s="244"/>
      <c r="INW312" s="244" t="s">
        <v>68</v>
      </c>
      <c r="INX312" s="245" t="s">
        <v>68</v>
      </c>
      <c r="INY312" s="1715" t="s">
        <v>0</v>
      </c>
      <c r="INZ312" s="1716"/>
      <c r="IOA312" s="1716"/>
      <c r="IOB312" s="1716"/>
      <c r="IOC312" s="1716"/>
      <c r="IOD312" s="244"/>
      <c r="IOE312" s="244" t="s">
        <v>68</v>
      </c>
      <c r="IOF312" s="245" t="s">
        <v>68</v>
      </c>
      <c r="IOG312" s="1715" t="s">
        <v>0</v>
      </c>
      <c r="IOH312" s="1716"/>
      <c r="IOI312" s="1716"/>
      <c r="IOJ312" s="1716"/>
      <c r="IOK312" s="1716"/>
      <c r="IOL312" s="244"/>
      <c r="IOM312" s="244" t="s">
        <v>68</v>
      </c>
      <c r="ION312" s="245" t="s">
        <v>68</v>
      </c>
      <c r="IOO312" s="1715" t="s">
        <v>0</v>
      </c>
      <c r="IOP312" s="1716"/>
      <c r="IOQ312" s="1716"/>
      <c r="IOR312" s="1716"/>
      <c r="IOS312" s="1716"/>
      <c r="IOT312" s="244"/>
      <c r="IOU312" s="244" t="s">
        <v>68</v>
      </c>
      <c r="IOV312" s="245" t="s">
        <v>68</v>
      </c>
      <c r="IOW312" s="1715" t="s">
        <v>0</v>
      </c>
      <c r="IOX312" s="1716"/>
      <c r="IOY312" s="1716"/>
      <c r="IOZ312" s="1716"/>
      <c r="IPA312" s="1716"/>
      <c r="IPB312" s="244"/>
      <c r="IPC312" s="244" t="s">
        <v>68</v>
      </c>
      <c r="IPD312" s="245" t="s">
        <v>68</v>
      </c>
      <c r="IPE312" s="1715" t="s">
        <v>0</v>
      </c>
      <c r="IPF312" s="1716"/>
      <c r="IPG312" s="1716"/>
      <c r="IPH312" s="1716"/>
      <c r="IPI312" s="1716"/>
      <c r="IPJ312" s="244"/>
      <c r="IPK312" s="244" t="s">
        <v>68</v>
      </c>
      <c r="IPL312" s="245" t="s">
        <v>68</v>
      </c>
      <c r="IPM312" s="1715" t="s">
        <v>0</v>
      </c>
      <c r="IPN312" s="1716"/>
      <c r="IPO312" s="1716"/>
      <c r="IPP312" s="1716"/>
      <c r="IPQ312" s="1716"/>
      <c r="IPR312" s="244"/>
      <c r="IPS312" s="244" t="s">
        <v>68</v>
      </c>
      <c r="IPT312" s="245" t="s">
        <v>68</v>
      </c>
      <c r="IPU312" s="1715" t="s">
        <v>0</v>
      </c>
      <c r="IPV312" s="1716"/>
      <c r="IPW312" s="1716"/>
      <c r="IPX312" s="1716"/>
      <c r="IPY312" s="1716"/>
      <c r="IPZ312" s="244"/>
      <c r="IQA312" s="244" t="s">
        <v>68</v>
      </c>
      <c r="IQB312" s="245" t="s">
        <v>68</v>
      </c>
      <c r="IQC312" s="1715" t="s">
        <v>0</v>
      </c>
      <c r="IQD312" s="1716"/>
      <c r="IQE312" s="1716"/>
      <c r="IQF312" s="1716"/>
      <c r="IQG312" s="1716"/>
      <c r="IQH312" s="244"/>
      <c r="IQI312" s="244" t="s">
        <v>68</v>
      </c>
      <c r="IQJ312" s="245" t="s">
        <v>68</v>
      </c>
      <c r="IQK312" s="1715" t="s">
        <v>0</v>
      </c>
      <c r="IQL312" s="1716"/>
      <c r="IQM312" s="1716"/>
      <c r="IQN312" s="1716"/>
      <c r="IQO312" s="1716"/>
      <c r="IQP312" s="244"/>
      <c r="IQQ312" s="244" t="s">
        <v>68</v>
      </c>
      <c r="IQR312" s="245" t="s">
        <v>68</v>
      </c>
      <c r="IQS312" s="1715" t="s">
        <v>0</v>
      </c>
      <c r="IQT312" s="1716"/>
      <c r="IQU312" s="1716"/>
      <c r="IQV312" s="1716"/>
      <c r="IQW312" s="1716"/>
      <c r="IQX312" s="244"/>
      <c r="IQY312" s="244" t="s">
        <v>68</v>
      </c>
      <c r="IQZ312" s="245" t="s">
        <v>68</v>
      </c>
      <c r="IRA312" s="1715" t="s">
        <v>0</v>
      </c>
      <c r="IRB312" s="1716"/>
      <c r="IRC312" s="1716"/>
      <c r="IRD312" s="1716"/>
      <c r="IRE312" s="1716"/>
      <c r="IRF312" s="244"/>
      <c r="IRG312" s="244" t="s">
        <v>68</v>
      </c>
      <c r="IRH312" s="245" t="s">
        <v>68</v>
      </c>
      <c r="IRI312" s="1715" t="s">
        <v>0</v>
      </c>
      <c r="IRJ312" s="1716"/>
      <c r="IRK312" s="1716"/>
      <c r="IRL312" s="1716"/>
      <c r="IRM312" s="1716"/>
      <c r="IRN312" s="244"/>
      <c r="IRO312" s="244" t="s">
        <v>68</v>
      </c>
      <c r="IRP312" s="245" t="s">
        <v>68</v>
      </c>
      <c r="IRQ312" s="1715" t="s">
        <v>0</v>
      </c>
      <c r="IRR312" s="1716"/>
      <c r="IRS312" s="1716"/>
      <c r="IRT312" s="1716"/>
      <c r="IRU312" s="1716"/>
      <c r="IRV312" s="244"/>
      <c r="IRW312" s="244" t="s">
        <v>68</v>
      </c>
      <c r="IRX312" s="245" t="s">
        <v>68</v>
      </c>
      <c r="IRY312" s="1715" t="s">
        <v>0</v>
      </c>
      <c r="IRZ312" s="1716"/>
      <c r="ISA312" s="1716"/>
      <c r="ISB312" s="1716"/>
      <c r="ISC312" s="1716"/>
      <c r="ISD312" s="244"/>
      <c r="ISE312" s="244" t="s">
        <v>68</v>
      </c>
      <c r="ISF312" s="245" t="s">
        <v>68</v>
      </c>
      <c r="ISG312" s="1715" t="s">
        <v>0</v>
      </c>
      <c r="ISH312" s="1716"/>
      <c r="ISI312" s="1716"/>
      <c r="ISJ312" s="1716"/>
      <c r="ISK312" s="1716"/>
      <c r="ISL312" s="244"/>
      <c r="ISM312" s="244" t="s">
        <v>68</v>
      </c>
      <c r="ISN312" s="245" t="s">
        <v>68</v>
      </c>
      <c r="ISO312" s="1715" t="s">
        <v>0</v>
      </c>
      <c r="ISP312" s="1716"/>
      <c r="ISQ312" s="1716"/>
      <c r="ISR312" s="1716"/>
      <c r="ISS312" s="1716"/>
      <c r="IST312" s="244"/>
      <c r="ISU312" s="244" t="s">
        <v>68</v>
      </c>
      <c r="ISV312" s="245" t="s">
        <v>68</v>
      </c>
      <c r="ISW312" s="1715" t="s">
        <v>0</v>
      </c>
      <c r="ISX312" s="1716"/>
      <c r="ISY312" s="1716"/>
      <c r="ISZ312" s="1716"/>
      <c r="ITA312" s="1716"/>
      <c r="ITB312" s="244"/>
      <c r="ITC312" s="244" t="s">
        <v>68</v>
      </c>
      <c r="ITD312" s="245" t="s">
        <v>68</v>
      </c>
      <c r="ITE312" s="1715" t="s">
        <v>0</v>
      </c>
      <c r="ITF312" s="1716"/>
      <c r="ITG312" s="1716"/>
      <c r="ITH312" s="1716"/>
      <c r="ITI312" s="1716"/>
      <c r="ITJ312" s="244"/>
      <c r="ITK312" s="244" t="s">
        <v>68</v>
      </c>
      <c r="ITL312" s="245" t="s">
        <v>68</v>
      </c>
      <c r="ITM312" s="1715" t="s">
        <v>0</v>
      </c>
      <c r="ITN312" s="1716"/>
      <c r="ITO312" s="1716"/>
      <c r="ITP312" s="1716"/>
      <c r="ITQ312" s="1716"/>
      <c r="ITR312" s="244"/>
      <c r="ITS312" s="244" t="s">
        <v>68</v>
      </c>
      <c r="ITT312" s="245" t="s">
        <v>68</v>
      </c>
      <c r="ITU312" s="1715" t="s">
        <v>0</v>
      </c>
      <c r="ITV312" s="1716"/>
      <c r="ITW312" s="1716"/>
      <c r="ITX312" s="1716"/>
      <c r="ITY312" s="1716"/>
      <c r="ITZ312" s="244"/>
      <c r="IUA312" s="244" t="s">
        <v>68</v>
      </c>
      <c r="IUB312" s="245" t="s">
        <v>68</v>
      </c>
      <c r="IUC312" s="1715" t="s">
        <v>0</v>
      </c>
      <c r="IUD312" s="1716"/>
      <c r="IUE312" s="1716"/>
      <c r="IUF312" s="1716"/>
      <c r="IUG312" s="1716"/>
      <c r="IUH312" s="244"/>
      <c r="IUI312" s="244" t="s">
        <v>68</v>
      </c>
      <c r="IUJ312" s="245" t="s">
        <v>68</v>
      </c>
      <c r="IUK312" s="1715" t="s">
        <v>0</v>
      </c>
      <c r="IUL312" s="1716"/>
      <c r="IUM312" s="1716"/>
      <c r="IUN312" s="1716"/>
      <c r="IUO312" s="1716"/>
      <c r="IUP312" s="244"/>
      <c r="IUQ312" s="244" t="s">
        <v>68</v>
      </c>
      <c r="IUR312" s="245" t="s">
        <v>68</v>
      </c>
      <c r="IUS312" s="1715" t="s">
        <v>0</v>
      </c>
      <c r="IUT312" s="1716"/>
      <c r="IUU312" s="1716"/>
      <c r="IUV312" s="1716"/>
      <c r="IUW312" s="1716"/>
      <c r="IUX312" s="244"/>
      <c r="IUY312" s="244" t="s">
        <v>68</v>
      </c>
      <c r="IUZ312" s="245" t="s">
        <v>68</v>
      </c>
      <c r="IVA312" s="1715" t="s">
        <v>0</v>
      </c>
      <c r="IVB312" s="1716"/>
      <c r="IVC312" s="1716"/>
      <c r="IVD312" s="1716"/>
      <c r="IVE312" s="1716"/>
      <c r="IVF312" s="244"/>
      <c r="IVG312" s="244" t="s">
        <v>68</v>
      </c>
      <c r="IVH312" s="245" t="s">
        <v>68</v>
      </c>
      <c r="IVI312" s="1715" t="s">
        <v>0</v>
      </c>
      <c r="IVJ312" s="1716"/>
      <c r="IVK312" s="1716"/>
      <c r="IVL312" s="1716"/>
      <c r="IVM312" s="1716"/>
      <c r="IVN312" s="244"/>
      <c r="IVO312" s="244" t="s">
        <v>68</v>
      </c>
      <c r="IVP312" s="245" t="s">
        <v>68</v>
      </c>
      <c r="IVQ312" s="1715" t="s">
        <v>0</v>
      </c>
      <c r="IVR312" s="1716"/>
      <c r="IVS312" s="1716"/>
      <c r="IVT312" s="1716"/>
      <c r="IVU312" s="1716"/>
      <c r="IVV312" s="244"/>
      <c r="IVW312" s="244" t="s">
        <v>68</v>
      </c>
      <c r="IVX312" s="245" t="s">
        <v>68</v>
      </c>
      <c r="IVY312" s="1715" t="s">
        <v>0</v>
      </c>
      <c r="IVZ312" s="1716"/>
      <c r="IWA312" s="1716"/>
      <c r="IWB312" s="1716"/>
      <c r="IWC312" s="1716"/>
      <c r="IWD312" s="244"/>
      <c r="IWE312" s="244" t="s">
        <v>68</v>
      </c>
      <c r="IWF312" s="245" t="s">
        <v>68</v>
      </c>
      <c r="IWG312" s="1715" t="s">
        <v>0</v>
      </c>
      <c r="IWH312" s="1716"/>
      <c r="IWI312" s="1716"/>
      <c r="IWJ312" s="1716"/>
      <c r="IWK312" s="1716"/>
      <c r="IWL312" s="244"/>
      <c r="IWM312" s="244" t="s">
        <v>68</v>
      </c>
      <c r="IWN312" s="245" t="s">
        <v>68</v>
      </c>
      <c r="IWO312" s="1715" t="s">
        <v>0</v>
      </c>
      <c r="IWP312" s="1716"/>
      <c r="IWQ312" s="1716"/>
      <c r="IWR312" s="1716"/>
      <c r="IWS312" s="1716"/>
      <c r="IWT312" s="244"/>
      <c r="IWU312" s="244" t="s">
        <v>68</v>
      </c>
      <c r="IWV312" s="245" t="s">
        <v>68</v>
      </c>
      <c r="IWW312" s="1715" t="s">
        <v>0</v>
      </c>
      <c r="IWX312" s="1716"/>
      <c r="IWY312" s="1716"/>
      <c r="IWZ312" s="1716"/>
      <c r="IXA312" s="1716"/>
      <c r="IXB312" s="244"/>
      <c r="IXC312" s="244" t="s">
        <v>68</v>
      </c>
      <c r="IXD312" s="245" t="s">
        <v>68</v>
      </c>
      <c r="IXE312" s="1715" t="s">
        <v>0</v>
      </c>
      <c r="IXF312" s="1716"/>
      <c r="IXG312" s="1716"/>
      <c r="IXH312" s="1716"/>
      <c r="IXI312" s="1716"/>
      <c r="IXJ312" s="244"/>
      <c r="IXK312" s="244" t="s">
        <v>68</v>
      </c>
      <c r="IXL312" s="245" t="s">
        <v>68</v>
      </c>
      <c r="IXM312" s="1715" t="s">
        <v>0</v>
      </c>
      <c r="IXN312" s="1716"/>
      <c r="IXO312" s="1716"/>
      <c r="IXP312" s="1716"/>
      <c r="IXQ312" s="1716"/>
      <c r="IXR312" s="244"/>
      <c r="IXS312" s="244" t="s">
        <v>68</v>
      </c>
      <c r="IXT312" s="245" t="s">
        <v>68</v>
      </c>
      <c r="IXU312" s="1715" t="s">
        <v>0</v>
      </c>
      <c r="IXV312" s="1716"/>
      <c r="IXW312" s="1716"/>
      <c r="IXX312" s="1716"/>
      <c r="IXY312" s="1716"/>
      <c r="IXZ312" s="244"/>
      <c r="IYA312" s="244" t="s">
        <v>68</v>
      </c>
      <c r="IYB312" s="245" t="s">
        <v>68</v>
      </c>
      <c r="IYC312" s="1715" t="s">
        <v>0</v>
      </c>
      <c r="IYD312" s="1716"/>
      <c r="IYE312" s="1716"/>
      <c r="IYF312" s="1716"/>
      <c r="IYG312" s="1716"/>
      <c r="IYH312" s="244"/>
      <c r="IYI312" s="244" t="s">
        <v>68</v>
      </c>
      <c r="IYJ312" s="245" t="s">
        <v>68</v>
      </c>
      <c r="IYK312" s="1715" t="s">
        <v>0</v>
      </c>
      <c r="IYL312" s="1716"/>
      <c r="IYM312" s="1716"/>
      <c r="IYN312" s="1716"/>
      <c r="IYO312" s="1716"/>
      <c r="IYP312" s="244"/>
      <c r="IYQ312" s="244" t="s">
        <v>68</v>
      </c>
      <c r="IYR312" s="245" t="s">
        <v>68</v>
      </c>
      <c r="IYS312" s="1715" t="s">
        <v>0</v>
      </c>
      <c r="IYT312" s="1716"/>
      <c r="IYU312" s="1716"/>
      <c r="IYV312" s="1716"/>
      <c r="IYW312" s="1716"/>
      <c r="IYX312" s="244"/>
      <c r="IYY312" s="244" t="s">
        <v>68</v>
      </c>
      <c r="IYZ312" s="245" t="s">
        <v>68</v>
      </c>
      <c r="IZA312" s="1715" t="s">
        <v>0</v>
      </c>
      <c r="IZB312" s="1716"/>
      <c r="IZC312" s="1716"/>
      <c r="IZD312" s="1716"/>
      <c r="IZE312" s="1716"/>
      <c r="IZF312" s="244"/>
      <c r="IZG312" s="244" t="s">
        <v>68</v>
      </c>
      <c r="IZH312" s="245" t="s">
        <v>68</v>
      </c>
      <c r="IZI312" s="1715" t="s">
        <v>0</v>
      </c>
      <c r="IZJ312" s="1716"/>
      <c r="IZK312" s="1716"/>
      <c r="IZL312" s="1716"/>
      <c r="IZM312" s="1716"/>
      <c r="IZN312" s="244"/>
      <c r="IZO312" s="244" t="s">
        <v>68</v>
      </c>
      <c r="IZP312" s="245" t="s">
        <v>68</v>
      </c>
      <c r="IZQ312" s="1715" t="s">
        <v>0</v>
      </c>
      <c r="IZR312" s="1716"/>
      <c r="IZS312" s="1716"/>
      <c r="IZT312" s="1716"/>
      <c r="IZU312" s="1716"/>
      <c r="IZV312" s="244"/>
      <c r="IZW312" s="244" t="s">
        <v>68</v>
      </c>
      <c r="IZX312" s="245" t="s">
        <v>68</v>
      </c>
      <c r="IZY312" s="1715" t="s">
        <v>0</v>
      </c>
      <c r="IZZ312" s="1716"/>
      <c r="JAA312" s="1716"/>
      <c r="JAB312" s="1716"/>
      <c r="JAC312" s="1716"/>
      <c r="JAD312" s="244"/>
      <c r="JAE312" s="244" t="s">
        <v>68</v>
      </c>
      <c r="JAF312" s="245" t="s">
        <v>68</v>
      </c>
      <c r="JAG312" s="1715" t="s">
        <v>0</v>
      </c>
      <c r="JAH312" s="1716"/>
      <c r="JAI312" s="1716"/>
      <c r="JAJ312" s="1716"/>
      <c r="JAK312" s="1716"/>
      <c r="JAL312" s="244"/>
      <c r="JAM312" s="244" t="s">
        <v>68</v>
      </c>
      <c r="JAN312" s="245" t="s">
        <v>68</v>
      </c>
      <c r="JAO312" s="1715" t="s">
        <v>0</v>
      </c>
      <c r="JAP312" s="1716"/>
      <c r="JAQ312" s="1716"/>
      <c r="JAR312" s="1716"/>
      <c r="JAS312" s="1716"/>
      <c r="JAT312" s="244"/>
      <c r="JAU312" s="244" t="s">
        <v>68</v>
      </c>
      <c r="JAV312" s="245" t="s">
        <v>68</v>
      </c>
      <c r="JAW312" s="1715" t="s">
        <v>0</v>
      </c>
      <c r="JAX312" s="1716"/>
      <c r="JAY312" s="1716"/>
      <c r="JAZ312" s="1716"/>
      <c r="JBA312" s="1716"/>
      <c r="JBB312" s="244"/>
      <c r="JBC312" s="244" t="s">
        <v>68</v>
      </c>
      <c r="JBD312" s="245" t="s">
        <v>68</v>
      </c>
      <c r="JBE312" s="1715" t="s">
        <v>0</v>
      </c>
      <c r="JBF312" s="1716"/>
      <c r="JBG312" s="1716"/>
      <c r="JBH312" s="1716"/>
      <c r="JBI312" s="1716"/>
      <c r="JBJ312" s="244"/>
      <c r="JBK312" s="244" t="s">
        <v>68</v>
      </c>
      <c r="JBL312" s="245" t="s">
        <v>68</v>
      </c>
      <c r="JBM312" s="1715" t="s">
        <v>0</v>
      </c>
      <c r="JBN312" s="1716"/>
      <c r="JBO312" s="1716"/>
      <c r="JBP312" s="1716"/>
      <c r="JBQ312" s="1716"/>
      <c r="JBR312" s="244"/>
      <c r="JBS312" s="244" t="s">
        <v>68</v>
      </c>
      <c r="JBT312" s="245" t="s">
        <v>68</v>
      </c>
      <c r="JBU312" s="1715" t="s">
        <v>0</v>
      </c>
      <c r="JBV312" s="1716"/>
      <c r="JBW312" s="1716"/>
      <c r="JBX312" s="1716"/>
      <c r="JBY312" s="1716"/>
      <c r="JBZ312" s="244"/>
      <c r="JCA312" s="244" t="s">
        <v>68</v>
      </c>
      <c r="JCB312" s="245" t="s">
        <v>68</v>
      </c>
      <c r="JCC312" s="1715" t="s">
        <v>0</v>
      </c>
      <c r="JCD312" s="1716"/>
      <c r="JCE312" s="1716"/>
      <c r="JCF312" s="1716"/>
      <c r="JCG312" s="1716"/>
      <c r="JCH312" s="244"/>
      <c r="JCI312" s="244" t="s">
        <v>68</v>
      </c>
      <c r="JCJ312" s="245" t="s">
        <v>68</v>
      </c>
      <c r="JCK312" s="1715" t="s">
        <v>0</v>
      </c>
      <c r="JCL312" s="1716"/>
      <c r="JCM312" s="1716"/>
      <c r="JCN312" s="1716"/>
      <c r="JCO312" s="1716"/>
      <c r="JCP312" s="244"/>
      <c r="JCQ312" s="244" t="s">
        <v>68</v>
      </c>
      <c r="JCR312" s="245" t="s">
        <v>68</v>
      </c>
      <c r="JCS312" s="1715" t="s">
        <v>0</v>
      </c>
      <c r="JCT312" s="1716"/>
      <c r="JCU312" s="1716"/>
      <c r="JCV312" s="1716"/>
      <c r="JCW312" s="1716"/>
      <c r="JCX312" s="244"/>
      <c r="JCY312" s="244" t="s">
        <v>68</v>
      </c>
      <c r="JCZ312" s="245" t="s">
        <v>68</v>
      </c>
      <c r="JDA312" s="1715" t="s">
        <v>0</v>
      </c>
      <c r="JDB312" s="1716"/>
      <c r="JDC312" s="1716"/>
      <c r="JDD312" s="1716"/>
      <c r="JDE312" s="1716"/>
      <c r="JDF312" s="244"/>
      <c r="JDG312" s="244" t="s">
        <v>68</v>
      </c>
      <c r="JDH312" s="245" t="s">
        <v>68</v>
      </c>
      <c r="JDI312" s="1715" t="s">
        <v>0</v>
      </c>
      <c r="JDJ312" s="1716"/>
      <c r="JDK312" s="1716"/>
      <c r="JDL312" s="1716"/>
      <c r="JDM312" s="1716"/>
      <c r="JDN312" s="244"/>
      <c r="JDO312" s="244" t="s">
        <v>68</v>
      </c>
      <c r="JDP312" s="245" t="s">
        <v>68</v>
      </c>
      <c r="JDQ312" s="1715" t="s">
        <v>0</v>
      </c>
      <c r="JDR312" s="1716"/>
      <c r="JDS312" s="1716"/>
      <c r="JDT312" s="1716"/>
      <c r="JDU312" s="1716"/>
      <c r="JDV312" s="244"/>
      <c r="JDW312" s="244" t="s">
        <v>68</v>
      </c>
      <c r="JDX312" s="245" t="s">
        <v>68</v>
      </c>
      <c r="JDY312" s="1715" t="s">
        <v>0</v>
      </c>
      <c r="JDZ312" s="1716"/>
      <c r="JEA312" s="1716"/>
      <c r="JEB312" s="1716"/>
      <c r="JEC312" s="1716"/>
      <c r="JED312" s="244"/>
      <c r="JEE312" s="244" t="s">
        <v>68</v>
      </c>
      <c r="JEF312" s="245" t="s">
        <v>68</v>
      </c>
      <c r="JEG312" s="1715" t="s">
        <v>0</v>
      </c>
      <c r="JEH312" s="1716"/>
      <c r="JEI312" s="1716"/>
      <c r="JEJ312" s="1716"/>
      <c r="JEK312" s="1716"/>
      <c r="JEL312" s="244"/>
      <c r="JEM312" s="244" t="s">
        <v>68</v>
      </c>
      <c r="JEN312" s="245" t="s">
        <v>68</v>
      </c>
      <c r="JEO312" s="1715" t="s">
        <v>0</v>
      </c>
      <c r="JEP312" s="1716"/>
      <c r="JEQ312" s="1716"/>
      <c r="JER312" s="1716"/>
      <c r="JES312" s="1716"/>
      <c r="JET312" s="244"/>
      <c r="JEU312" s="244" t="s">
        <v>68</v>
      </c>
      <c r="JEV312" s="245" t="s">
        <v>68</v>
      </c>
      <c r="JEW312" s="1715" t="s">
        <v>0</v>
      </c>
      <c r="JEX312" s="1716"/>
      <c r="JEY312" s="1716"/>
      <c r="JEZ312" s="1716"/>
      <c r="JFA312" s="1716"/>
      <c r="JFB312" s="244"/>
      <c r="JFC312" s="244" t="s">
        <v>68</v>
      </c>
      <c r="JFD312" s="245" t="s">
        <v>68</v>
      </c>
      <c r="JFE312" s="1715" t="s">
        <v>0</v>
      </c>
      <c r="JFF312" s="1716"/>
      <c r="JFG312" s="1716"/>
      <c r="JFH312" s="1716"/>
      <c r="JFI312" s="1716"/>
      <c r="JFJ312" s="244"/>
      <c r="JFK312" s="244" t="s">
        <v>68</v>
      </c>
      <c r="JFL312" s="245" t="s">
        <v>68</v>
      </c>
      <c r="JFM312" s="1715" t="s">
        <v>0</v>
      </c>
      <c r="JFN312" s="1716"/>
      <c r="JFO312" s="1716"/>
      <c r="JFP312" s="1716"/>
      <c r="JFQ312" s="1716"/>
      <c r="JFR312" s="244"/>
      <c r="JFS312" s="244" t="s">
        <v>68</v>
      </c>
      <c r="JFT312" s="245" t="s">
        <v>68</v>
      </c>
      <c r="JFU312" s="1715" t="s">
        <v>0</v>
      </c>
      <c r="JFV312" s="1716"/>
      <c r="JFW312" s="1716"/>
      <c r="JFX312" s="1716"/>
      <c r="JFY312" s="1716"/>
      <c r="JFZ312" s="244"/>
      <c r="JGA312" s="244" t="s">
        <v>68</v>
      </c>
      <c r="JGB312" s="245" t="s">
        <v>68</v>
      </c>
      <c r="JGC312" s="1715" t="s">
        <v>0</v>
      </c>
      <c r="JGD312" s="1716"/>
      <c r="JGE312" s="1716"/>
      <c r="JGF312" s="1716"/>
      <c r="JGG312" s="1716"/>
      <c r="JGH312" s="244"/>
      <c r="JGI312" s="244" t="s">
        <v>68</v>
      </c>
      <c r="JGJ312" s="245" t="s">
        <v>68</v>
      </c>
      <c r="JGK312" s="1715" t="s">
        <v>0</v>
      </c>
      <c r="JGL312" s="1716"/>
      <c r="JGM312" s="1716"/>
      <c r="JGN312" s="1716"/>
      <c r="JGO312" s="1716"/>
      <c r="JGP312" s="244"/>
      <c r="JGQ312" s="244" t="s">
        <v>68</v>
      </c>
      <c r="JGR312" s="245" t="s">
        <v>68</v>
      </c>
      <c r="JGS312" s="1715" t="s">
        <v>0</v>
      </c>
      <c r="JGT312" s="1716"/>
      <c r="JGU312" s="1716"/>
      <c r="JGV312" s="1716"/>
      <c r="JGW312" s="1716"/>
      <c r="JGX312" s="244"/>
      <c r="JGY312" s="244" t="s">
        <v>68</v>
      </c>
      <c r="JGZ312" s="245" t="s">
        <v>68</v>
      </c>
      <c r="JHA312" s="1715" t="s">
        <v>0</v>
      </c>
      <c r="JHB312" s="1716"/>
      <c r="JHC312" s="1716"/>
      <c r="JHD312" s="1716"/>
      <c r="JHE312" s="1716"/>
      <c r="JHF312" s="244"/>
      <c r="JHG312" s="244" t="s">
        <v>68</v>
      </c>
      <c r="JHH312" s="245" t="s">
        <v>68</v>
      </c>
      <c r="JHI312" s="1715" t="s">
        <v>0</v>
      </c>
      <c r="JHJ312" s="1716"/>
      <c r="JHK312" s="1716"/>
      <c r="JHL312" s="1716"/>
      <c r="JHM312" s="1716"/>
      <c r="JHN312" s="244"/>
      <c r="JHO312" s="244" t="s">
        <v>68</v>
      </c>
      <c r="JHP312" s="245" t="s">
        <v>68</v>
      </c>
      <c r="JHQ312" s="1715" t="s">
        <v>0</v>
      </c>
      <c r="JHR312" s="1716"/>
      <c r="JHS312" s="1716"/>
      <c r="JHT312" s="1716"/>
      <c r="JHU312" s="1716"/>
      <c r="JHV312" s="244"/>
      <c r="JHW312" s="244" t="s">
        <v>68</v>
      </c>
      <c r="JHX312" s="245" t="s">
        <v>68</v>
      </c>
      <c r="JHY312" s="1715" t="s">
        <v>0</v>
      </c>
      <c r="JHZ312" s="1716"/>
      <c r="JIA312" s="1716"/>
      <c r="JIB312" s="1716"/>
      <c r="JIC312" s="1716"/>
      <c r="JID312" s="244"/>
      <c r="JIE312" s="244" t="s">
        <v>68</v>
      </c>
      <c r="JIF312" s="245" t="s">
        <v>68</v>
      </c>
      <c r="JIG312" s="1715" t="s">
        <v>0</v>
      </c>
      <c r="JIH312" s="1716"/>
      <c r="JII312" s="1716"/>
      <c r="JIJ312" s="1716"/>
      <c r="JIK312" s="1716"/>
      <c r="JIL312" s="244"/>
      <c r="JIM312" s="244" t="s">
        <v>68</v>
      </c>
      <c r="JIN312" s="245" t="s">
        <v>68</v>
      </c>
      <c r="JIO312" s="1715" t="s">
        <v>0</v>
      </c>
      <c r="JIP312" s="1716"/>
      <c r="JIQ312" s="1716"/>
      <c r="JIR312" s="1716"/>
      <c r="JIS312" s="1716"/>
      <c r="JIT312" s="244"/>
      <c r="JIU312" s="244" t="s">
        <v>68</v>
      </c>
      <c r="JIV312" s="245" t="s">
        <v>68</v>
      </c>
      <c r="JIW312" s="1715" t="s">
        <v>0</v>
      </c>
      <c r="JIX312" s="1716"/>
      <c r="JIY312" s="1716"/>
      <c r="JIZ312" s="1716"/>
      <c r="JJA312" s="1716"/>
      <c r="JJB312" s="244"/>
      <c r="JJC312" s="244" t="s">
        <v>68</v>
      </c>
      <c r="JJD312" s="245" t="s">
        <v>68</v>
      </c>
      <c r="JJE312" s="1715" t="s">
        <v>0</v>
      </c>
      <c r="JJF312" s="1716"/>
      <c r="JJG312" s="1716"/>
      <c r="JJH312" s="1716"/>
      <c r="JJI312" s="1716"/>
      <c r="JJJ312" s="244"/>
      <c r="JJK312" s="244" t="s">
        <v>68</v>
      </c>
      <c r="JJL312" s="245" t="s">
        <v>68</v>
      </c>
      <c r="JJM312" s="1715" t="s">
        <v>0</v>
      </c>
      <c r="JJN312" s="1716"/>
      <c r="JJO312" s="1716"/>
      <c r="JJP312" s="1716"/>
      <c r="JJQ312" s="1716"/>
      <c r="JJR312" s="244"/>
      <c r="JJS312" s="244" t="s">
        <v>68</v>
      </c>
      <c r="JJT312" s="245" t="s">
        <v>68</v>
      </c>
      <c r="JJU312" s="1715" t="s">
        <v>0</v>
      </c>
      <c r="JJV312" s="1716"/>
      <c r="JJW312" s="1716"/>
      <c r="JJX312" s="1716"/>
      <c r="JJY312" s="1716"/>
      <c r="JJZ312" s="244"/>
      <c r="JKA312" s="244" t="s">
        <v>68</v>
      </c>
      <c r="JKB312" s="245" t="s">
        <v>68</v>
      </c>
      <c r="JKC312" s="1715" t="s">
        <v>0</v>
      </c>
      <c r="JKD312" s="1716"/>
      <c r="JKE312" s="1716"/>
      <c r="JKF312" s="1716"/>
      <c r="JKG312" s="1716"/>
      <c r="JKH312" s="244"/>
      <c r="JKI312" s="244" t="s">
        <v>68</v>
      </c>
      <c r="JKJ312" s="245" t="s">
        <v>68</v>
      </c>
      <c r="JKK312" s="1715" t="s">
        <v>0</v>
      </c>
      <c r="JKL312" s="1716"/>
      <c r="JKM312" s="1716"/>
      <c r="JKN312" s="1716"/>
      <c r="JKO312" s="1716"/>
      <c r="JKP312" s="244"/>
      <c r="JKQ312" s="244" t="s">
        <v>68</v>
      </c>
      <c r="JKR312" s="245" t="s">
        <v>68</v>
      </c>
      <c r="JKS312" s="1715" t="s">
        <v>0</v>
      </c>
      <c r="JKT312" s="1716"/>
      <c r="JKU312" s="1716"/>
      <c r="JKV312" s="1716"/>
      <c r="JKW312" s="1716"/>
      <c r="JKX312" s="244"/>
      <c r="JKY312" s="244" t="s">
        <v>68</v>
      </c>
      <c r="JKZ312" s="245" t="s">
        <v>68</v>
      </c>
      <c r="JLA312" s="1715" t="s">
        <v>0</v>
      </c>
      <c r="JLB312" s="1716"/>
      <c r="JLC312" s="1716"/>
      <c r="JLD312" s="1716"/>
      <c r="JLE312" s="1716"/>
      <c r="JLF312" s="244"/>
      <c r="JLG312" s="244" t="s">
        <v>68</v>
      </c>
      <c r="JLH312" s="245" t="s">
        <v>68</v>
      </c>
      <c r="JLI312" s="1715" t="s">
        <v>0</v>
      </c>
      <c r="JLJ312" s="1716"/>
      <c r="JLK312" s="1716"/>
      <c r="JLL312" s="1716"/>
      <c r="JLM312" s="1716"/>
      <c r="JLN312" s="244"/>
      <c r="JLO312" s="244" t="s">
        <v>68</v>
      </c>
      <c r="JLP312" s="245" t="s">
        <v>68</v>
      </c>
      <c r="JLQ312" s="1715" t="s">
        <v>0</v>
      </c>
      <c r="JLR312" s="1716"/>
      <c r="JLS312" s="1716"/>
      <c r="JLT312" s="1716"/>
      <c r="JLU312" s="1716"/>
      <c r="JLV312" s="244"/>
      <c r="JLW312" s="244" t="s">
        <v>68</v>
      </c>
      <c r="JLX312" s="245" t="s">
        <v>68</v>
      </c>
      <c r="JLY312" s="1715" t="s">
        <v>0</v>
      </c>
      <c r="JLZ312" s="1716"/>
      <c r="JMA312" s="1716"/>
      <c r="JMB312" s="1716"/>
      <c r="JMC312" s="1716"/>
      <c r="JMD312" s="244"/>
      <c r="JME312" s="244" t="s">
        <v>68</v>
      </c>
      <c r="JMF312" s="245" t="s">
        <v>68</v>
      </c>
      <c r="JMG312" s="1715" t="s">
        <v>0</v>
      </c>
      <c r="JMH312" s="1716"/>
      <c r="JMI312" s="1716"/>
      <c r="JMJ312" s="1716"/>
      <c r="JMK312" s="1716"/>
      <c r="JML312" s="244"/>
      <c r="JMM312" s="244" t="s">
        <v>68</v>
      </c>
      <c r="JMN312" s="245" t="s">
        <v>68</v>
      </c>
      <c r="JMO312" s="1715" t="s">
        <v>0</v>
      </c>
      <c r="JMP312" s="1716"/>
      <c r="JMQ312" s="1716"/>
      <c r="JMR312" s="1716"/>
      <c r="JMS312" s="1716"/>
      <c r="JMT312" s="244"/>
      <c r="JMU312" s="244" t="s">
        <v>68</v>
      </c>
      <c r="JMV312" s="245" t="s">
        <v>68</v>
      </c>
      <c r="JMW312" s="1715" t="s">
        <v>0</v>
      </c>
      <c r="JMX312" s="1716"/>
      <c r="JMY312" s="1716"/>
      <c r="JMZ312" s="1716"/>
      <c r="JNA312" s="1716"/>
      <c r="JNB312" s="244"/>
      <c r="JNC312" s="244" t="s">
        <v>68</v>
      </c>
      <c r="JND312" s="245" t="s">
        <v>68</v>
      </c>
      <c r="JNE312" s="1715" t="s">
        <v>0</v>
      </c>
      <c r="JNF312" s="1716"/>
      <c r="JNG312" s="1716"/>
      <c r="JNH312" s="1716"/>
      <c r="JNI312" s="1716"/>
      <c r="JNJ312" s="244"/>
      <c r="JNK312" s="244" t="s">
        <v>68</v>
      </c>
      <c r="JNL312" s="245" t="s">
        <v>68</v>
      </c>
      <c r="JNM312" s="1715" t="s">
        <v>0</v>
      </c>
      <c r="JNN312" s="1716"/>
      <c r="JNO312" s="1716"/>
      <c r="JNP312" s="1716"/>
      <c r="JNQ312" s="1716"/>
      <c r="JNR312" s="244"/>
      <c r="JNS312" s="244" t="s">
        <v>68</v>
      </c>
      <c r="JNT312" s="245" t="s">
        <v>68</v>
      </c>
      <c r="JNU312" s="1715" t="s">
        <v>0</v>
      </c>
      <c r="JNV312" s="1716"/>
      <c r="JNW312" s="1716"/>
      <c r="JNX312" s="1716"/>
      <c r="JNY312" s="1716"/>
      <c r="JNZ312" s="244"/>
      <c r="JOA312" s="244" t="s">
        <v>68</v>
      </c>
      <c r="JOB312" s="245" t="s">
        <v>68</v>
      </c>
      <c r="JOC312" s="1715" t="s">
        <v>0</v>
      </c>
      <c r="JOD312" s="1716"/>
      <c r="JOE312" s="1716"/>
      <c r="JOF312" s="1716"/>
      <c r="JOG312" s="1716"/>
      <c r="JOH312" s="244"/>
      <c r="JOI312" s="244" t="s">
        <v>68</v>
      </c>
      <c r="JOJ312" s="245" t="s">
        <v>68</v>
      </c>
      <c r="JOK312" s="1715" t="s">
        <v>0</v>
      </c>
      <c r="JOL312" s="1716"/>
      <c r="JOM312" s="1716"/>
      <c r="JON312" s="1716"/>
      <c r="JOO312" s="1716"/>
      <c r="JOP312" s="244"/>
      <c r="JOQ312" s="244" t="s">
        <v>68</v>
      </c>
      <c r="JOR312" s="245" t="s">
        <v>68</v>
      </c>
      <c r="JOS312" s="1715" t="s">
        <v>0</v>
      </c>
      <c r="JOT312" s="1716"/>
      <c r="JOU312" s="1716"/>
      <c r="JOV312" s="1716"/>
      <c r="JOW312" s="1716"/>
      <c r="JOX312" s="244"/>
      <c r="JOY312" s="244" t="s">
        <v>68</v>
      </c>
      <c r="JOZ312" s="245" t="s">
        <v>68</v>
      </c>
      <c r="JPA312" s="1715" t="s">
        <v>0</v>
      </c>
      <c r="JPB312" s="1716"/>
      <c r="JPC312" s="1716"/>
      <c r="JPD312" s="1716"/>
      <c r="JPE312" s="1716"/>
      <c r="JPF312" s="244"/>
      <c r="JPG312" s="244" t="s">
        <v>68</v>
      </c>
      <c r="JPH312" s="245" t="s">
        <v>68</v>
      </c>
      <c r="JPI312" s="1715" t="s">
        <v>0</v>
      </c>
      <c r="JPJ312" s="1716"/>
      <c r="JPK312" s="1716"/>
      <c r="JPL312" s="1716"/>
      <c r="JPM312" s="1716"/>
      <c r="JPN312" s="244"/>
      <c r="JPO312" s="244" t="s">
        <v>68</v>
      </c>
      <c r="JPP312" s="245" t="s">
        <v>68</v>
      </c>
      <c r="JPQ312" s="1715" t="s">
        <v>0</v>
      </c>
      <c r="JPR312" s="1716"/>
      <c r="JPS312" s="1716"/>
      <c r="JPT312" s="1716"/>
      <c r="JPU312" s="1716"/>
      <c r="JPV312" s="244"/>
      <c r="JPW312" s="244" t="s">
        <v>68</v>
      </c>
      <c r="JPX312" s="245" t="s">
        <v>68</v>
      </c>
      <c r="JPY312" s="1715" t="s">
        <v>0</v>
      </c>
      <c r="JPZ312" s="1716"/>
      <c r="JQA312" s="1716"/>
      <c r="JQB312" s="1716"/>
      <c r="JQC312" s="1716"/>
      <c r="JQD312" s="244"/>
      <c r="JQE312" s="244" t="s">
        <v>68</v>
      </c>
      <c r="JQF312" s="245" t="s">
        <v>68</v>
      </c>
      <c r="JQG312" s="1715" t="s">
        <v>0</v>
      </c>
      <c r="JQH312" s="1716"/>
      <c r="JQI312" s="1716"/>
      <c r="JQJ312" s="1716"/>
      <c r="JQK312" s="1716"/>
      <c r="JQL312" s="244"/>
      <c r="JQM312" s="244" t="s">
        <v>68</v>
      </c>
      <c r="JQN312" s="245" t="s">
        <v>68</v>
      </c>
      <c r="JQO312" s="1715" t="s">
        <v>0</v>
      </c>
      <c r="JQP312" s="1716"/>
      <c r="JQQ312" s="1716"/>
      <c r="JQR312" s="1716"/>
      <c r="JQS312" s="1716"/>
      <c r="JQT312" s="244"/>
      <c r="JQU312" s="244" t="s">
        <v>68</v>
      </c>
      <c r="JQV312" s="245" t="s">
        <v>68</v>
      </c>
      <c r="JQW312" s="1715" t="s">
        <v>0</v>
      </c>
      <c r="JQX312" s="1716"/>
      <c r="JQY312" s="1716"/>
      <c r="JQZ312" s="1716"/>
      <c r="JRA312" s="1716"/>
      <c r="JRB312" s="244"/>
      <c r="JRC312" s="244" t="s">
        <v>68</v>
      </c>
      <c r="JRD312" s="245" t="s">
        <v>68</v>
      </c>
      <c r="JRE312" s="1715" t="s">
        <v>0</v>
      </c>
      <c r="JRF312" s="1716"/>
      <c r="JRG312" s="1716"/>
      <c r="JRH312" s="1716"/>
      <c r="JRI312" s="1716"/>
      <c r="JRJ312" s="244"/>
      <c r="JRK312" s="244" t="s">
        <v>68</v>
      </c>
      <c r="JRL312" s="245" t="s">
        <v>68</v>
      </c>
      <c r="JRM312" s="1715" t="s">
        <v>0</v>
      </c>
      <c r="JRN312" s="1716"/>
      <c r="JRO312" s="1716"/>
      <c r="JRP312" s="1716"/>
      <c r="JRQ312" s="1716"/>
      <c r="JRR312" s="244"/>
      <c r="JRS312" s="244" t="s">
        <v>68</v>
      </c>
      <c r="JRT312" s="245" t="s">
        <v>68</v>
      </c>
      <c r="JRU312" s="1715" t="s">
        <v>0</v>
      </c>
      <c r="JRV312" s="1716"/>
      <c r="JRW312" s="1716"/>
      <c r="JRX312" s="1716"/>
      <c r="JRY312" s="1716"/>
      <c r="JRZ312" s="244"/>
      <c r="JSA312" s="244" t="s">
        <v>68</v>
      </c>
      <c r="JSB312" s="245" t="s">
        <v>68</v>
      </c>
      <c r="JSC312" s="1715" t="s">
        <v>0</v>
      </c>
      <c r="JSD312" s="1716"/>
      <c r="JSE312" s="1716"/>
      <c r="JSF312" s="1716"/>
      <c r="JSG312" s="1716"/>
      <c r="JSH312" s="244"/>
      <c r="JSI312" s="244" t="s">
        <v>68</v>
      </c>
      <c r="JSJ312" s="245" t="s">
        <v>68</v>
      </c>
      <c r="JSK312" s="1715" t="s">
        <v>0</v>
      </c>
      <c r="JSL312" s="1716"/>
      <c r="JSM312" s="1716"/>
      <c r="JSN312" s="1716"/>
      <c r="JSO312" s="1716"/>
      <c r="JSP312" s="244"/>
      <c r="JSQ312" s="244" t="s">
        <v>68</v>
      </c>
      <c r="JSR312" s="245" t="s">
        <v>68</v>
      </c>
      <c r="JSS312" s="1715" t="s">
        <v>0</v>
      </c>
      <c r="JST312" s="1716"/>
      <c r="JSU312" s="1716"/>
      <c r="JSV312" s="1716"/>
      <c r="JSW312" s="1716"/>
      <c r="JSX312" s="244"/>
      <c r="JSY312" s="244" t="s">
        <v>68</v>
      </c>
      <c r="JSZ312" s="245" t="s">
        <v>68</v>
      </c>
      <c r="JTA312" s="1715" t="s">
        <v>0</v>
      </c>
      <c r="JTB312" s="1716"/>
      <c r="JTC312" s="1716"/>
      <c r="JTD312" s="1716"/>
      <c r="JTE312" s="1716"/>
      <c r="JTF312" s="244"/>
      <c r="JTG312" s="244" t="s">
        <v>68</v>
      </c>
      <c r="JTH312" s="245" t="s">
        <v>68</v>
      </c>
      <c r="JTI312" s="1715" t="s">
        <v>0</v>
      </c>
      <c r="JTJ312" s="1716"/>
      <c r="JTK312" s="1716"/>
      <c r="JTL312" s="1716"/>
      <c r="JTM312" s="1716"/>
      <c r="JTN312" s="244"/>
      <c r="JTO312" s="244" t="s">
        <v>68</v>
      </c>
      <c r="JTP312" s="245" t="s">
        <v>68</v>
      </c>
      <c r="JTQ312" s="1715" t="s">
        <v>0</v>
      </c>
      <c r="JTR312" s="1716"/>
      <c r="JTS312" s="1716"/>
      <c r="JTT312" s="1716"/>
      <c r="JTU312" s="1716"/>
      <c r="JTV312" s="244"/>
      <c r="JTW312" s="244" t="s">
        <v>68</v>
      </c>
      <c r="JTX312" s="245" t="s">
        <v>68</v>
      </c>
      <c r="JTY312" s="1715" t="s">
        <v>0</v>
      </c>
      <c r="JTZ312" s="1716"/>
      <c r="JUA312" s="1716"/>
      <c r="JUB312" s="1716"/>
      <c r="JUC312" s="1716"/>
      <c r="JUD312" s="244"/>
      <c r="JUE312" s="244" t="s">
        <v>68</v>
      </c>
      <c r="JUF312" s="245" t="s">
        <v>68</v>
      </c>
      <c r="JUG312" s="1715" t="s">
        <v>0</v>
      </c>
      <c r="JUH312" s="1716"/>
      <c r="JUI312" s="1716"/>
      <c r="JUJ312" s="1716"/>
      <c r="JUK312" s="1716"/>
      <c r="JUL312" s="244"/>
      <c r="JUM312" s="244" t="s">
        <v>68</v>
      </c>
      <c r="JUN312" s="245" t="s">
        <v>68</v>
      </c>
      <c r="JUO312" s="1715" t="s">
        <v>0</v>
      </c>
      <c r="JUP312" s="1716"/>
      <c r="JUQ312" s="1716"/>
      <c r="JUR312" s="1716"/>
      <c r="JUS312" s="1716"/>
      <c r="JUT312" s="244"/>
      <c r="JUU312" s="244" t="s">
        <v>68</v>
      </c>
      <c r="JUV312" s="245" t="s">
        <v>68</v>
      </c>
      <c r="JUW312" s="1715" t="s">
        <v>0</v>
      </c>
      <c r="JUX312" s="1716"/>
      <c r="JUY312" s="1716"/>
      <c r="JUZ312" s="1716"/>
      <c r="JVA312" s="1716"/>
      <c r="JVB312" s="244"/>
      <c r="JVC312" s="244" t="s">
        <v>68</v>
      </c>
      <c r="JVD312" s="245" t="s">
        <v>68</v>
      </c>
      <c r="JVE312" s="1715" t="s">
        <v>0</v>
      </c>
      <c r="JVF312" s="1716"/>
      <c r="JVG312" s="1716"/>
      <c r="JVH312" s="1716"/>
      <c r="JVI312" s="1716"/>
      <c r="JVJ312" s="244"/>
      <c r="JVK312" s="244" t="s">
        <v>68</v>
      </c>
      <c r="JVL312" s="245" t="s">
        <v>68</v>
      </c>
      <c r="JVM312" s="1715" t="s">
        <v>0</v>
      </c>
      <c r="JVN312" s="1716"/>
      <c r="JVO312" s="1716"/>
      <c r="JVP312" s="1716"/>
      <c r="JVQ312" s="1716"/>
      <c r="JVR312" s="244"/>
      <c r="JVS312" s="244" t="s">
        <v>68</v>
      </c>
      <c r="JVT312" s="245" t="s">
        <v>68</v>
      </c>
      <c r="JVU312" s="1715" t="s">
        <v>0</v>
      </c>
      <c r="JVV312" s="1716"/>
      <c r="JVW312" s="1716"/>
      <c r="JVX312" s="1716"/>
      <c r="JVY312" s="1716"/>
      <c r="JVZ312" s="244"/>
      <c r="JWA312" s="244" t="s">
        <v>68</v>
      </c>
      <c r="JWB312" s="245" t="s">
        <v>68</v>
      </c>
      <c r="JWC312" s="1715" t="s">
        <v>0</v>
      </c>
      <c r="JWD312" s="1716"/>
      <c r="JWE312" s="1716"/>
      <c r="JWF312" s="1716"/>
      <c r="JWG312" s="1716"/>
      <c r="JWH312" s="244"/>
      <c r="JWI312" s="244" t="s">
        <v>68</v>
      </c>
      <c r="JWJ312" s="245" t="s">
        <v>68</v>
      </c>
      <c r="JWK312" s="1715" t="s">
        <v>0</v>
      </c>
      <c r="JWL312" s="1716"/>
      <c r="JWM312" s="1716"/>
      <c r="JWN312" s="1716"/>
      <c r="JWO312" s="1716"/>
      <c r="JWP312" s="244"/>
      <c r="JWQ312" s="244" t="s">
        <v>68</v>
      </c>
      <c r="JWR312" s="245" t="s">
        <v>68</v>
      </c>
      <c r="JWS312" s="1715" t="s">
        <v>0</v>
      </c>
      <c r="JWT312" s="1716"/>
      <c r="JWU312" s="1716"/>
      <c r="JWV312" s="1716"/>
      <c r="JWW312" s="1716"/>
      <c r="JWX312" s="244"/>
      <c r="JWY312" s="244" t="s">
        <v>68</v>
      </c>
      <c r="JWZ312" s="245" t="s">
        <v>68</v>
      </c>
      <c r="JXA312" s="1715" t="s">
        <v>0</v>
      </c>
      <c r="JXB312" s="1716"/>
      <c r="JXC312" s="1716"/>
      <c r="JXD312" s="1716"/>
      <c r="JXE312" s="1716"/>
      <c r="JXF312" s="244"/>
      <c r="JXG312" s="244" t="s">
        <v>68</v>
      </c>
      <c r="JXH312" s="245" t="s">
        <v>68</v>
      </c>
      <c r="JXI312" s="1715" t="s">
        <v>0</v>
      </c>
      <c r="JXJ312" s="1716"/>
      <c r="JXK312" s="1716"/>
      <c r="JXL312" s="1716"/>
      <c r="JXM312" s="1716"/>
      <c r="JXN312" s="244"/>
      <c r="JXO312" s="244" t="s">
        <v>68</v>
      </c>
      <c r="JXP312" s="245" t="s">
        <v>68</v>
      </c>
      <c r="JXQ312" s="1715" t="s">
        <v>0</v>
      </c>
      <c r="JXR312" s="1716"/>
      <c r="JXS312" s="1716"/>
      <c r="JXT312" s="1716"/>
      <c r="JXU312" s="1716"/>
      <c r="JXV312" s="244"/>
      <c r="JXW312" s="244" t="s">
        <v>68</v>
      </c>
      <c r="JXX312" s="245" t="s">
        <v>68</v>
      </c>
      <c r="JXY312" s="1715" t="s">
        <v>0</v>
      </c>
      <c r="JXZ312" s="1716"/>
      <c r="JYA312" s="1716"/>
      <c r="JYB312" s="1716"/>
      <c r="JYC312" s="1716"/>
      <c r="JYD312" s="244"/>
      <c r="JYE312" s="244" t="s">
        <v>68</v>
      </c>
      <c r="JYF312" s="245" t="s">
        <v>68</v>
      </c>
      <c r="JYG312" s="1715" t="s">
        <v>0</v>
      </c>
      <c r="JYH312" s="1716"/>
      <c r="JYI312" s="1716"/>
      <c r="JYJ312" s="1716"/>
      <c r="JYK312" s="1716"/>
      <c r="JYL312" s="244"/>
      <c r="JYM312" s="244" t="s">
        <v>68</v>
      </c>
      <c r="JYN312" s="245" t="s">
        <v>68</v>
      </c>
      <c r="JYO312" s="1715" t="s">
        <v>0</v>
      </c>
      <c r="JYP312" s="1716"/>
      <c r="JYQ312" s="1716"/>
      <c r="JYR312" s="1716"/>
      <c r="JYS312" s="1716"/>
      <c r="JYT312" s="244"/>
      <c r="JYU312" s="244" t="s">
        <v>68</v>
      </c>
      <c r="JYV312" s="245" t="s">
        <v>68</v>
      </c>
      <c r="JYW312" s="1715" t="s">
        <v>0</v>
      </c>
      <c r="JYX312" s="1716"/>
      <c r="JYY312" s="1716"/>
      <c r="JYZ312" s="1716"/>
      <c r="JZA312" s="1716"/>
      <c r="JZB312" s="244"/>
      <c r="JZC312" s="244" t="s">
        <v>68</v>
      </c>
      <c r="JZD312" s="245" t="s">
        <v>68</v>
      </c>
      <c r="JZE312" s="1715" t="s">
        <v>0</v>
      </c>
      <c r="JZF312" s="1716"/>
      <c r="JZG312" s="1716"/>
      <c r="JZH312" s="1716"/>
      <c r="JZI312" s="1716"/>
      <c r="JZJ312" s="244"/>
      <c r="JZK312" s="244" t="s">
        <v>68</v>
      </c>
      <c r="JZL312" s="245" t="s">
        <v>68</v>
      </c>
      <c r="JZM312" s="1715" t="s">
        <v>0</v>
      </c>
      <c r="JZN312" s="1716"/>
      <c r="JZO312" s="1716"/>
      <c r="JZP312" s="1716"/>
      <c r="JZQ312" s="1716"/>
      <c r="JZR312" s="244"/>
      <c r="JZS312" s="244" t="s">
        <v>68</v>
      </c>
      <c r="JZT312" s="245" t="s">
        <v>68</v>
      </c>
      <c r="JZU312" s="1715" t="s">
        <v>0</v>
      </c>
      <c r="JZV312" s="1716"/>
      <c r="JZW312" s="1716"/>
      <c r="JZX312" s="1716"/>
      <c r="JZY312" s="1716"/>
      <c r="JZZ312" s="244"/>
      <c r="KAA312" s="244" t="s">
        <v>68</v>
      </c>
      <c r="KAB312" s="245" t="s">
        <v>68</v>
      </c>
      <c r="KAC312" s="1715" t="s">
        <v>0</v>
      </c>
      <c r="KAD312" s="1716"/>
      <c r="KAE312" s="1716"/>
      <c r="KAF312" s="1716"/>
      <c r="KAG312" s="1716"/>
      <c r="KAH312" s="244"/>
      <c r="KAI312" s="244" t="s">
        <v>68</v>
      </c>
      <c r="KAJ312" s="245" t="s">
        <v>68</v>
      </c>
      <c r="KAK312" s="1715" t="s">
        <v>0</v>
      </c>
      <c r="KAL312" s="1716"/>
      <c r="KAM312" s="1716"/>
      <c r="KAN312" s="1716"/>
      <c r="KAO312" s="1716"/>
      <c r="KAP312" s="244"/>
      <c r="KAQ312" s="244" t="s">
        <v>68</v>
      </c>
      <c r="KAR312" s="245" t="s">
        <v>68</v>
      </c>
      <c r="KAS312" s="1715" t="s">
        <v>0</v>
      </c>
      <c r="KAT312" s="1716"/>
      <c r="KAU312" s="1716"/>
      <c r="KAV312" s="1716"/>
      <c r="KAW312" s="1716"/>
      <c r="KAX312" s="244"/>
      <c r="KAY312" s="244" t="s">
        <v>68</v>
      </c>
      <c r="KAZ312" s="245" t="s">
        <v>68</v>
      </c>
      <c r="KBA312" s="1715" t="s">
        <v>0</v>
      </c>
      <c r="KBB312" s="1716"/>
      <c r="KBC312" s="1716"/>
      <c r="KBD312" s="1716"/>
      <c r="KBE312" s="1716"/>
      <c r="KBF312" s="244"/>
      <c r="KBG312" s="244" t="s">
        <v>68</v>
      </c>
      <c r="KBH312" s="245" t="s">
        <v>68</v>
      </c>
      <c r="KBI312" s="1715" t="s">
        <v>0</v>
      </c>
      <c r="KBJ312" s="1716"/>
      <c r="KBK312" s="1716"/>
      <c r="KBL312" s="1716"/>
      <c r="KBM312" s="1716"/>
      <c r="KBN312" s="244"/>
      <c r="KBO312" s="244" t="s">
        <v>68</v>
      </c>
      <c r="KBP312" s="245" t="s">
        <v>68</v>
      </c>
      <c r="KBQ312" s="1715" t="s">
        <v>0</v>
      </c>
      <c r="KBR312" s="1716"/>
      <c r="KBS312" s="1716"/>
      <c r="KBT312" s="1716"/>
      <c r="KBU312" s="1716"/>
      <c r="KBV312" s="244"/>
      <c r="KBW312" s="244" t="s">
        <v>68</v>
      </c>
      <c r="KBX312" s="245" t="s">
        <v>68</v>
      </c>
      <c r="KBY312" s="1715" t="s">
        <v>0</v>
      </c>
      <c r="KBZ312" s="1716"/>
      <c r="KCA312" s="1716"/>
      <c r="KCB312" s="1716"/>
      <c r="KCC312" s="1716"/>
      <c r="KCD312" s="244"/>
      <c r="KCE312" s="244" t="s">
        <v>68</v>
      </c>
      <c r="KCF312" s="245" t="s">
        <v>68</v>
      </c>
      <c r="KCG312" s="1715" t="s">
        <v>0</v>
      </c>
      <c r="KCH312" s="1716"/>
      <c r="KCI312" s="1716"/>
      <c r="KCJ312" s="1716"/>
      <c r="KCK312" s="1716"/>
      <c r="KCL312" s="244"/>
      <c r="KCM312" s="244" t="s">
        <v>68</v>
      </c>
      <c r="KCN312" s="245" t="s">
        <v>68</v>
      </c>
      <c r="KCO312" s="1715" t="s">
        <v>0</v>
      </c>
      <c r="KCP312" s="1716"/>
      <c r="KCQ312" s="1716"/>
      <c r="KCR312" s="1716"/>
      <c r="KCS312" s="1716"/>
      <c r="KCT312" s="244"/>
      <c r="KCU312" s="244" t="s">
        <v>68</v>
      </c>
      <c r="KCV312" s="245" t="s">
        <v>68</v>
      </c>
      <c r="KCW312" s="1715" t="s">
        <v>0</v>
      </c>
      <c r="KCX312" s="1716"/>
      <c r="KCY312" s="1716"/>
      <c r="KCZ312" s="1716"/>
      <c r="KDA312" s="1716"/>
      <c r="KDB312" s="244"/>
      <c r="KDC312" s="244" t="s">
        <v>68</v>
      </c>
      <c r="KDD312" s="245" t="s">
        <v>68</v>
      </c>
      <c r="KDE312" s="1715" t="s">
        <v>0</v>
      </c>
      <c r="KDF312" s="1716"/>
      <c r="KDG312" s="1716"/>
      <c r="KDH312" s="1716"/>
      <c r="KDI312" s="1716"/>
      <c r="KDJ312" s="244"/>
      <c r="KDK312" s="244" t="s">
        <v>68</v>
      </c>
      <c r="KDL312" s="245" t="s">
        <v>68</v>
      </c>
      <c r="KDM312" s="1715" t="s">
        <v>0</v>
      </c>
      <c r="KDN312" s="1716"/>
      <c r="KDO312" s="1716"/>
      <c r="KDP312" s="1716"/>
      <c r="KDQ312" s="1716"/>
      <c r="KDR312" s="244"/>
      <c r="KDS312" s="244" t="s">
        <v>68</v>
      </c>
      <c r="KDT312" s="245" t="s">
        <v>68</v>
      </c>
      <c r="KDU312" s="1715" t="s">
        <v>0</v>
      </c>
      <c r="KDV312" s="1716"/>
      <c r="KDW312" s="1716"/>
      <c r="KDX312" s="1716"/>
      <c r="KDY312" s="1716"/>
      <c r="KDZ312" s="244"/>
      <c r="KEA312" s="244" t="s">
        <v>68</v>
      </c>
      <c r="KEB312" s="245" t="s">
        <v>68</v>
      </c>
      <c r="KEC312" s="1715" t="s">
        <v>0</v>
      </c>
      <c r="KED312" s="1716"/>
      <c r="KEE312" s="1716"/>
      <c r="KEF312" s="1716"/>
      <c r="KEG312" s="1716"/>
      <c r="KEH312" s="244"/>
      <c r="KEI312" s="244" t="s">
        <v>68</v>
      </c>
      <c r="KEJ312" s="245" t="s">
        <v>68</v>
      </c>
      <c r="KEK312" s="1715" t="s">
        <v>0</v>
      </c>
      <c r="KEL312" s="1716"/>
      <c r="KEM312" s="1716"/>
      <c r="KEN312" s="1716"/>
      <c r="KEO312" s="1716"/>
      <c r="KEP312" s="244"/>
      <c r="KEQ312" s="244" t="s">
        <v>68</v>
      </c>
      <c r="KER312" s="245" t="s">
        <v>68</v>
      </c>
      <c r="KES312" s="1715" t="s">
        <v>0</v>
      </c>
      <c r="KET312" s="1716"/>
      <c r="KEU312" s="1716"/>
      <c r="KEV312" s="1716"/>
      <c r="KEW312" s="1716"/>
      <c r="KEX312" s="244"/>
      <c r="KEY312" s="244" t="s">
        <v>68</v>
      </c>
      <c r="KEZ312" s="245" t="s">
        <v>68</v>
      </c>
      <c r="KFA312" s="1715" t="s">
        <v>0</v>
      </c>
      <c r="KFB312" s="1716"/>
      <c r="KFC312" s="1716"/>
      <c r="KFD312" s="1716"/>
      <c r="KFE312" s="1716"/>
      <c r="KFF312" s="244"/>
      <c r="KFG312" s="244" t="s">
        <v>68</v>
      </c>
      <c r="KFH312" s="245" t="s">
        <v>68</v>
      </c>
      <c r="KFI312" s="1715" t="s">
        <v>0</v>
      </c>
      <c r="KFJ312" s="1716"/>
      <c r="KFK312" s="1716"/>
      <c r="KFL312" s="1716"/>
      <c r="KFM312" s="1716"/>
      <c r="KFN312" s="244"/>
      <c r="KFO312" s="244" t="s">
        <v>68</v>
      </c>
      <c r="KFP312" s="245" t="s">
        <v>68</v>
      </c>
      <c r="KFQ312" s="1715" t="s">
        <v>0</v>
      </c>
      <c r="KFR312" s="1716"/>
      <c r="KFS312" s="1716"/>
      <c r="KFT312" s="1716"/>
      <c r="KFU312" s="1716"/>
      <c r="KFV312" s="244"/>
      <c r="KFW312" s="244" t="s">
        <v>68</v>
      </c>
      <c r="KFX312" s="245" t="s">
        <v>68</v>
      </c>
      <c r="KFY312" s="1715" t="s">
        <v>0</v>
      </c>
      <c r="KFZ312" s="1716"/>
      <c r="KGA312" s="1716"/>
      <c r="KGB312" s="1716"/>
      <c r="KGC312" s="1716"/>
      <c r="KGD312" s="244"/>
      <c r="KGE312" s="244" t="s">
        <v>68</v>
      </c>
      <c r="KGF312" s="245" t="s">
        <v>68</v>
      </c>
      <c r="KGG312" s="1715" t="s">
        <v>0</v>
      </c>
      <c r="KGH312" s="1716"/>
      <c r="KGI312" s="1716"/>
      <c r="KGJ312" s="1716"/>
      <c r="KGK312" s="1716"/>
      <c r="KGL312" s="244"/>
      <c r="KGM312" s="244" t="s">
        <v>68</v>
      </c>
      <c r="KGN312" s="245" t="s">
        <v>68</v>
      </c>
      <c r="KGO312" s="1715" t="s">
        <v>0</v>
      </c>
      <c r="KGP312" s="1716"/>
      <c r="KGQ312" s="1716"/>
      <c r="KGR312" s="1716"/>
      <c r="KGS312" s="1716"/>
      <c r="KGT312" s="244"/>
      <c r="KGU312" s="244" t="s">
        <v>68</v>
      </c>
      <c r="KGV312" s="245" t="s">
        <v>68</v>
      </c>
      <c r="KGW312" s="1715" t="s">
        <v>0</v>
      </c>
      <c r="KGX312" s="1716"/>
      <c r="KGY312" s="1716"/>
      <c r="KGZ312" s="1716"/>
      <c r="KHA312" s="1716"/>
      <c r="KHB312" s="244"/>
      <c r="KHC312" s="244" t="s">
        <v>68</v>
      </c>
      <c r="KHD312" s="245" t="s">
        <v>68</v>
      </c>
      <c r="KHE312" s="1715" t="s">
        <v>0</v>
      </c>
      <c r="KHF312" s="1716"/>
      <c r="KHG312" s="1716"/>
      <c r="KHH312" s="1716"/>
      <c r="KHI312" s="1716"/>
      <c r="KHJ312" s="244"/>
      <c r="KHK312" s="244" t="s">
        <v>68</v>
      </c>
      <c r="KHL312" s="245" t="s">
        <v>68</v>
      </c>
      <c r="KHM312" s="1715" t="s">
        <v>0</v>
      </c>
      <c r="KHN312" s="1716"/>
      <c r="KHO312" s="1716"/>
      <c r="KHP312" s="1716"/>
      <c r="KHQ312" s="1716"/>
      <c r="KHR312" s="244"/>
      <c r="KHS312" s="244" t="s">
        <v>68</v>
      </c>
      <c r="KHT312" s="245" t="s">
        <v>68</v>
      </c>
      <c r="KHU312" s="1715" t="s">
        <v>0</v>
      </c>
      <c r="KHV312" s="1716"/>
      <c r="KHW312" s="1716"/>
      <c r="KHX312" s="1716"/>
      <c r="KHY312" s="1716"/>
      <c r="KHZ312" s="244"/>
      <c r="KIA312" s="244" t="s">
        <v>68</v>
      </c>
      <c r="KIB312" s="245" t="s">
        <v>68</v>
      </c>
      <c r="KIC312" s="1715" t="s">
        <v>0</v>
      </c>
      <c r="KID312" s="1716"/>
      <c r="KIE312" s="1716"/>
      <c r="KIF312" s="1716"/>
      <c r="KIG312" s="1716"/>
      <c r="KIH312" s="244"/>
      <c r="KII312" s="244" t="s">
        <v>68</v>
      </c>
      <c r="KIJ312" s="245" t="s">
        <v>68</v>
      </c>
      <c r="KIK312" s="1715" t="s">
        <v>0</v>
      </c>
      <c r="KIL312" s="1716"/>
      <c r="KIM312" s="1716"/>
      <c r="KIN312" s="1716"/>
      <c r="KIO312" s="1716"/>
      <c r="KIP312" s="244"/>
      <c r="KIQ312" s="244" t="s">
        <v>68</v>
      </c>
      <c r="KIR312" s="245" t="s">
        <v>68</v>
      </c>
      <c r="KIS312" s="1715" t="s">
        <v>0</v>
      </c>
      <c r="KIT312" s="1716"/>
      <c r="KIU312" s="1716"/>
      <c r="KIV312" s="1716"/>
      <c r="KIW312" s="1716"/>
      <c r="KIX312" s="244"/>
      <c r="KIY312" s="244" t="s">
        <v>68</v>
      </c>
      <c r="KIZ312" s="245" t="s">
        <v>68</v>
      </c>
      <c r="KJA312" s="1715" t="s">
        <v>0</v>
      </c>
      <c r="KJB312" s="1716"/>
      <c r="KJC312" s="1716"/>
      <c r="KJD312" s="1716"/>
      <c r="KJE312" s="1716"/>
      <c r="KJF312" s="244"/>
      <c r="KJG312" s="244" t="s">
        <v>68</v>
      </c>
      <c r="KJH312" s="245" t="s">
        <v>68</v>
      </c>
      <c r="KJI312" s="1715" t="s">
        <v>0</v>
      </c>
      <c r="KJJ312" s="1716"/>
      <c r="KJK312" s="1716"/>
      <c r="KJL312" s="1716"/>
      <c r="KJM312" s="1716"/>
      <c r="KJN312" s="244"/>
      <c r="KJO312" s="244" t="s">
        <v>68</v>
      </c>
      <c r="KJP312" s="245" t="s">
        <v>68</v>
      </c>
      <c r="KJQ312" s="1715" t="s">
        <v>0</v>
      </c>
      <c r="KJR312" s="1716"/>
      <c r="KJS312" s="1716"/>
      <c r="KJT312" s="1716"/>
      <c r="KJU312" s="1716"/>
      <c r="KJV312" s="244"/>
      <c r="KJW312" s="244" t="s">
        <v>68</v>
      </c>
      <c r="KJX312" s="245" t="s">
        <v>68</v>
      </c>
      <c r="KJY312" s="1715" t="s">
        <v>0</v>
      </c>
      <c r="KJZ312" s="1716"/>
      <c r="KKA312" s="1716"/>
      <c r="KKB312" s="1716"/>
      <c r="KKC312" s="1716"/>
      <c r="KKD312" s="244"/>
      <c r="KKE312" s="244" t="s">
        <v>68</v>
      </c>
      <c r="KKF312" s="245" t="s">
        <v>68</v>
      </c>
      <c r="KKG312" s="1715" t="s">
        <v>0</v>
      </c>
      <c r="KKH312" s="1716"/>
      <c r="KKI312" s="1716"/>
      <c r="KKJ312" s="1716"/>
      <c r="KKK312" s="1716"/>
      <c r="KKL312" s="244"/>
      <c r="KKM312" s="244" t="s">
        <v>68</v>
      </c>
      <c r="KKN312" s="245" t="s">
        <v>68</v>
      </c>
      <c r="KKO312" s="1715" t="s">
        <v>0</v>
      </c>
      <c r="KKP312" s="1716"/>
      <c r="KKQ312" s="1716"/>
      <c r="KKR312" s="1716"/>
      <c r="KKS312" s="1716"/>
      <c r="KKT312" s="244"/>
      <c r="KKU312" s="244" t="s">
        <v>68</v>
      </c>
      <c r="KKV312" s="245" t="s">
        <v>68</v>
      </c>
      <c r="KKW312" s="1715" t="s">
        <v>0</v>
      </c>
      <c r="KKX312" s="1716"/>
      <c r="KKY312" s="1716"/>
      <c r="KKZ312" s="1716"/>
      <c r="KLA312" s="1716"/>
      <c r="KLB312" s="244"/>
      <c r="KLC312" s="244" t="s">
        <v>68</v>
      </c>
      <c r="KLD312" s="245" t="s">
        <v>68</v>
      </c>
      <c r="KLE312" s="1715" t="s">
        <v>0</v>
      </c>
      <c r="KLF312" s="1716"/>
      <c r="KLG312" s="1716"/>
      <c r="KLH312" s="1716"/>
      <c r="KLI312" s="1716"/>
      <c r="KLJ312" s="244"/>
      <c r="KLK312" s="244" t="s">
        <v>68</v>
      </c>
      <c r="KLL312" s="245" t="s">
        <v>68</v>
      </c>
      <c r="KLM312" s="1715" t="s">
        <v>0</v>
      </c>
      <c r="KLN312" s="1716"/>
      <c r="KLO312" s="1716"/>
      <c r="KLP312" s="1716"/>
      <c r="KLQ312" s="1716"/>
      <c r="KLR312" s="244"/>
      <c r="KLS312" s="244" t="s">
        <v>68</v>
      </c>
      <c r="KLT312" s="245" t="s">
        <v>68</v>
      </c>
      <c r="KLU312" s="1715" t="s">
        <v>0</v>
      </c>
      <c r="KLV312" s="1716"/>
      <c r="KLW312" s="1716"/>
      <c r="KLX312" s="1716"/>
      <c r="KLY312" s="1716"/>
      <c r="KLZ312" s="244"/>
      <c r="KMA312" s="244" t="s">
        <v>68</v>
      </c>
      <c r="KMB312" s="245" t="s">
        <v>68</v>
      </c>
      <c r="KMC312" s="1715" t="s">
        <v>0</v>
      </c>
      <c r="KMD312" s="1716"/>
      <c r="KME312" s="1716"/>
      <c r="KMF312" s="1716"/>
      <c r="KMG312" s="1716"/>
      <c r="KMH312" s="244"/>
      <c r="KMI312" s="244" t="s">
        <v>68</v>
      </c>
      <c r="KMJ312" s="245" t="s">
        <v>68</v>
      </c>
      <c r="KMK312" s="1715" t="s">
        <v>0</v>
      </c>
      <c r="KML312" s="1716"/>
      <c r="KMM312" s="1716"/>
      <c r="KMN312" s="1716"/>
      <c r="KMO312" s="1716"/>
      <c r="KMP312" s="244"/>
      <c r="KMQ312" s="244" t="s">
        <v>68</v>
      </c>
      <c r="KMR312" s="245" t="s">
        <v>68</v>
      </c>
      <c r="KMS312" s="1715" t="s">
        <v>0</v>
      </c>
      <c r="KMT312" s="1716"/>
      <c r="KMU312" s="1716"/>
      <c r="KMV312" s="1716"/>
      <c r="KMW312" s="1716"/>
      <c r="KMX312" s="244"/>
      <c r="KMY312" s="244" t="s">
        <v>68</v>
      </c>
      <c r="KMZ312" s="245" t="s">
        <v>68</v>
      </c>
      <c r="KNA312" s="1715" t="s">
        <v>0</v>
      </c>
      <c r="KNB312" s="1716"/>
      <c r="KNC312" s="1716"/>
      <c r="KND312" s="1716"/>
      <c r="KNE312" s="1716"/>
      <c r="KNF312" s="244"/>
      <c r="KNG312" s="244" t="s">
        <v>68</v>
      </c>
      <c r="KNH312" s="245" t="s">
        <v>68</v>
      </c>
      <c r="KNI312" s="1715" t="s">
        <v>0</v>
      </c>
      <c r="KNJ312" s="1716"/>
      <c r="KNK312" s="1716"/>
      <c r="KNL312" s="1716"/>
      <c r="KNM312" s="1716"/>
      <c r="KNN312" s="244"/>
      <c r="KNO312" s="244" t="s">
        <v>68</v>
      </c>
      <c r="KNP312" s="245" t="s">
        <v>68</v>
      </c>
      <c r="KNQ312" s="1715" t="s">
        <v>0</v>
      </c>
      <c r="KNR312" s="1716"/>
      <c r="KNS312" s="1716"/>
      <c r="KNT312" s="1716"/>
      <c r="KNU312" s="1716"/>
      <c r="KNV312" s="244"/>
      <c r="KNW312" s="244" t="s">
        <v>68</v>
      </c>
      <c r="KNX312" s="245" t="s">
        <v>68</v>
      </c>
      <c r="KNY312" s="1715" t="s">
        <v>0</v>
      </c>
      <c r="KNZ312" s="1716"/>
      <c r="KOA312" s="1716"/>
      <c r="KOB312" s="1716"/>
      <c r="KOC312" s="1716"/>
      <c r="KOD312" s="244"/>
      <c r="KOE312" s="244" t="s">
        <v>68</v>
      </c>
      <c r="KOF312" s="245" t="s">
        <v>68</v>
      </c>
      <c r="KOG312" s="1715" t="s">
        <v>0</v>
      </c>
      <c r="KOH312" s="1716"/>
      <c r="KOI312" s="1716"/>
      <c r="KOJ312" s="1716"/>
      <c r="KOK312" s="1716"/>
      <c r="KOL312" s="244"/>
      <c r="KOM312" s="244" t="s">
        <v>68</v>
      </c>
      <c r="KON312" s="245" t="s">
        <v>68</v>
      </c>
      <c r="KOO312" s="1715" t="s">
        <v>0</v>
      </c>
      <c r="KOP312" s="1716"/>
      <c r="KOQ312" s="1716"/>
      <c r="KOR312" s="1716"/>
      <c r="KOS312" s="1716"/>
      <c r="KOT312" s="244"/>
      <c r="KOU312" s="244" t="s">
        <v>68</v>
      </c>
      <c r="KOV312" s="245" t="s">
        <v>68</v>
      </c>
      <c r="KOW312" s="1715" t="s">
        <v>0</v>
      </c>
      <c r="KOX312" s="1716"/>
      <c r="KOY312" s="1716"/>
      <c r="KOZ312" s="1716"/>
      <c r="KPA312" s="1716"/>
      <c r="KPB312" s="244"/>
      <c r="KPC312" s="244" t="s">
        <v>68</v>
      </c>
      <c r="KPD312" s="245" t="s">
        <v>68</v>
      </c>
      <c r="KPE312" s="1715" t="s">
        <v>0</v>
      </c>
      <c r="KPF312" s="1716"/>
      <c r="KPG312" s="1716"/>
      <c r="KPH312" s="1716"/>
      <c r="KPI312" s="1716"/>
      <c r="KPJ312" s="244"/>
      <c r="KPK312" s="244" t="s">
        <v>68</v>
      </c>
      <c r="KPL312" s="245" t="s">
        <v>68</v>
      </c>
      <c r="KPM312" s="1715" t="s">
        <v>0</v>
      </c>
      <c r="KPN312" s="1716"/>
      <c r="KPO312" s="1716"/>
      <c r="KPP312" s="1716"/>
      <c r="KPQ312" s="1716"/>
      <c r="KPR312" s="244"/>
      <c r="KPS312" s="244" t="s">
        <v>68</v>
      </c>
      <c r="KPT312" s="245" t="s">
        <v>68</v>
      </c>
      <c r="KPU312" s="1715" t="s">
        <v>0</v>
      </c>
      <c r="KPV312" s="1716"/>
      <c r="KPW312" s="1716"/>
      <c r="KPX312" s="1716"/>
      <c r="KPY312" s="1716"/>
      <c r="KPZ312" s="244"/>
      <c r="KQA312" s="244" t="s">
        <v>68</v>
      </c>
      <c r="KQB312" s="245" t="s">
        <v>68</v>
      </c>
      <c r="KQC312" s="1715" t="s">
        <v>0</v>
      </c>
      <c r="KQD312" s="1716"/>
      <c r="KQE312" s="1716"/>
      <c r="KQF312" s="1716"/>
      <c r="KQG312" s="1716"/>
      <c r="KQH312" s="244"/>
      <c r="KQI312" s="244" t="s">
        <v>68</v>
      </c>
      <c r="KQJ312" s="245" t="s">
        <v>68</v>
      </c>
      <c r="KQK312" s="1715" t="s">
        <v>0</v>
      </c>
      <c r="KQL312" s="1716"/>
      <c r="KQM312" s="1716"/>
      <c r="KQN312" s="1716"/>
      <c r="KQO312" s="1716"/>
      <c r="KQP312" s="244"/>
      <c r="KQQ312" s="244" t="s">
        <v>68</v>
      </c>
      <c r="KQR312" s="245" t="s">
        <v>68</v>
      </c>
      <c r="KQS312" s="1715" t="s">
        <v>0</v>
      </c>
      <c r="KQT312" s="1716"/>
      <c r="KQU312" s="1716"/>
      <c r="KQV312" s="1716"/>
      <c r="KQW312" s="1716"/>
      <c r="KQX312" s="244"/>
      <c r="KQY312" s="244" t="s">
        <v>68</v>
      </c>
      <c r="KQZ312" s="245" t="s">
        <v>68</v>
      </c>
      <c r="KRA312" s="1715" t="s">
        <v>0</v>
      </c>
      <c r="KRB312" s="1716"/>
      <c r="KRC312" s="1716"/>
      <c r="KRD312" s="1716"/>
      <c r="KRE312" s="1716"/>
      <c r="KRF312" s="244"/>
      <c r="KRG312" s="244" t="s">
        <v>68</v>
      </c>
      <c r="KRH312" s="245" t="s">
        <v>68</v>
      </c>
      <c r="KRI312" s="1715" t="s">
        <v>0</v>
      </c>
      <c r="KRJ312" s="1716"/>
      <c r="KRK312" s="1716"/>
      <c r="KRL312" s="1716"/>
      <c r="KRM312" s="1716"/>
      <c r="KRN312" s="244"/>
      <c r="KRO312" s="244" t="s">
        <v>68</v>
      </c>
      <c r="KRP312" s="245" t="s">
        <v>68</v>
      </c>
      <c r="KRQ312" s="1715" t="s">
        <v>0</v>
      </c>
      <c r="KRR312" s="1716"/>
      <c r="KRS312" s="1716"/>
      <c r="KRT312" s="1716"/>
      <c r="KRU312" s="1716"/>
      <c r="KRV312" s="244"/>
      <c r="KRW312" s="244" t="s">
        <v>68</v>
      </c>
      <c r="KRX312" s="245" t="s">
        <v>68</v>
      </c>
      <c r="KRY312" s="1715" t="s">
        <v>0</v>
      </c>
      <c r="KRZ312" s="1716"/>
      <c r="KSA312" s="1716"/>
      <c r="KSB312" s="1716"/>
      <c r="KSC312" s="1716"/>
      <c r="KSD312" s="244"/>
      <c r="KSE312" s="244" t="s">
        <v>68</v>
      </c>
      <c r="KSF312" s="245" t="s">
        <v>68</v>
      </c>
      <c r="KSG312" s="1715" t="s">
        <v>0</v>
      </c>
      <c r="KSH312" s="1716"/>
      <c r="KSI312" s="1716"/>
      <c r="KSJ312" s="1716"/>
      <c r="KSK312" s="1716"/>
      <c r="KSL312" s="244"/>
      <c r="KSM312" s="244" t="s">
        <v>68</v>
      </c>
      <c r="KSN312" s="245" t="s">
        <v>68</v>
      </c>
      <c r="KSO312" s="1715" t="s">
        <v>0</v>
      </c>
      <c r="KSP312" s="1716"/>
      <c r="KSQ312" s="1716"/>
      <c r="KSR312" s="1716"/>
      <c r="KSS312" s="1716"/>
      <c r="KST312" s="244"/>
      <c r="KSU312" s="244" t="s">
        <v>68</v>
      </c>
      <c r="KSV312" s="245" t="s">
        <v>68</v>
      </c>
      <c r="KSW312" s="1715" t="s">
        <v>0</v>
      </c>
      <c r="KSX312" s="1716"/>
      <c r="KSY312" s="1716"/>
      <c r="KSZ312" s="1716"/>
      <c r="KTA312" s="1716"/>
      <c r="KTB312" s="244"/>
      <c r="KTC312" s="244" t="s">
        <v>68</v>
      </c>
      <c r="KTD312" s="245" t="s">
        <v>68</v>
      </c>
      <c r="KTE312" s="1715" t="s">
        <v>0</v>
      </c>
      <c r="KTF312" s="1716"/>
      <c r="KTG312" s="1716"/>
      <c r="KTH312" s="1716"/>
      <c r="KTI312" s="1716"/>
      <c r="KTJ312" s="244"/>
      <c r="KTK312" s="244" t="s">
        <v>68</v>
      </c>
      <c r="KTL312" s="245" t="s">
        <v>68</v>
      </c>
      <c r="KTM312" s="1715" t="s">
        <v>0</v>
      </c>
      <c r="KTN312" s="1716"/>
      <c r="KTO312" s="1716"/>
      <c r="KTP312" s="1716"/>
      <c r="KTQ312" s="1716"/>
      <c r="KTR312" s="244"/>
      <c r="KTS312" s="244" t="s">
        <v>68</v>
      </c>
      <c r="KTT312" s="245" t="s">
        <v>68</v>
      </c>
      <c r="KTU312" s="1715" t="s">
        <v>0</v>
      </c>
      <c r="KTV312" s="1716"/>
      <c r="KTW312" s="1716"/>
      <c r="KTX312" s="1716"/>
      <c r="KTY312" s="1716"/>
      <c r="KTZ312" s="244"/>
      <c r="KUA312" s="244" t="s">
        <v>68</v>
      </c>
      <c r="KUB312" s="245" t="s">
        <v>68</v>
      </c>
      <c r="KUC312" s="1715" t="s">
        <v>0</v>
      </c>
      <c r="KUD312" s="1716"/>
      <c r="KUE312" s="1716"/>
      <c r="KUF312" s="1716"/>
      <c r="KUG312" s="1716"/>
      <c r="KUH312" s="244"/>
      <c r="KUI312" s="244" t="s">
        <v>68</v>
      </c>
      <c r="KUJ312" s="245" t="s">
        <v>68</v>
      </c>
      <c r="KUK312" s="1715" t="s">
        <v>0</v>
      </c>
      <c r="KUL312" s="1716"/>
      <c r="KUM312" s="1716"/>
      <c r="KUN312" s="1716"/>
      <c r="KUO312" s="1716"/>
      <c r="KUP312" s="244"/>
      <c r="KUQ312" s="244" t="s">
        <v>68</v>
      </c>
      <c r="KUR312" s="245" t="s">
        <v>68</v>
      </c>
      <c r="KUS312" s="1715" t="s">
        <v>0</v>
      </c>
      <c r="KUT312" s="1716"/>
      <c r="KUU312" s="1716"/>
      <c r="KUV312" s="1716"/>
      <c r="KUW312" s="1716"/>
      <c r="KUX312" s="244"/>
      <c r="KUY312" s="244" t="s">
        <v>68</v>
      </c>
      <c r="KUZ312" s="245" t="s">
        <v>68</v>
      </c>
      <c r="KVA312" s="1715" t="s">
        <v>0</v>
      </c>
      <c r="KVB312" s="1716"/>
      <c r="KVC312" s="1716"/>
      <c r="KVD312" s="1716"/>
      <c r="KVE312" s="1716"/>
      <c r="KVF312" s="244"/>
      <c r="KVG312" s="244" t="s">
        <v>68</v>
      </c>
      <c r="KVH312" s="245" t="s">
        <v>68</v>
      </c>
      <c r="KVI312" s="1715" t="s">
        <v>0</v>
      </c>
      <c r="KVJ312" s="1716"/>
      <c r="KVK312" s="1716"/>
      <c r="KVL312" s="1716"/>
      <c r="KVM312" s="1716"/>
      <c r="KVN312" s="244"/>
      <c r="KVO312" s="244" t="s">
        <v>68</v>
      </c>
      <c r="KVP312" s="245" t="s">
        <v>68</v>
      </c>
      <c r="KVQ312" s="1715" t="s">
        <v>0</v>
      </c>
      <c r="KVR312" s="1716"/>
      <c r="KVS312" s="1716"/>
      <c r="KVT312" s="1716"/>
      <c r="KVU312" s="1716"/>
      <c r="KVV312" s="244"/>
      <c r="KVW312" s="244" t="s">
        <v>68</v>
      </c>
      <c r="KVX312" s="245" t="s">
        <v>68</v>
      </c>
      <c r="KVY312" s="1715" t="s">
        <v>0</v>
      </c>
      <c r="KVZ312" s="1716"/>
      <c r="KWA312" s="1716"/>
      <c r="KWB312" s="1716"/>
      <c r="KWC312" s="1716"/>
      <c r="KWD312" s="244"/>
      <c r="KWE312" s="244" t="s">
        <v>68</v>
      </c>
      <c r="KWF312" s="245" t="s">
        <v>68</v>
      </c>
      <c r="KWG312" s="1715" t="s">
        <v>0</v>
      </c>
      <c r="KWH312" s="1716"/>
      <c r="KWI312" s="1716"/>
      <c r="KWJ312" s="1716"/>
      <c r="KWK312" s="1716"/>
      <c r="KWL312" s="244"/>
      <c r="KWM312" s="244" t="s">
        <v>68</v>
      </c>
      <c r="KWN312" s="245" t="s">
        <v>68</v>
      </c>
      <c r="KWO312" s="1715" t="s">
        <v>0</v>
      </c>
      <c r="KWP312" s="1716"/>
      <c r="KWQ312" s="1716"/>
      <c r="KWR312" s="1716"/>
      <c r="KWS312" s="1716"/>
      <c r="KWT312" s="244"/>
      <c r="KWU312" s="244" t="s">
        <v>68</v>
      </c>
      <c r="KWV312" s="245" t="s">
        <v>68</v>
      </c>
      <c r="KWW312" s="1715" t="s">
        <v>0</v>
      </c>
      <c r="KWX312" s="1716"/>
      <c r="KWY312" s="1716"/>
      <c r="KWZ312" s="1716"/>
      <c r="KXA312" s="1716"/>
      <c r="KXB312" s="244"/>
      <c r="KXC312" s="244" t="s">
        <v>68</v>
      </c>
      <c r="KXD312" s="245" t="s">
        <v>68</v>
      </c>
      <c r="KXE312" s="1715" t="s">
        <v>0</v>
      </c>
      <c r="KXF312" s="1716"/>
      <c r="KXG312" s="1716"/>
      <c r="KXH312" s="1716"/>
      <c r="KXI312" s="1716"/>
      <c r="KXJ312" s="244"/>
      <c r="KXK312" s="244" t="s">
        <v>68</v>
      </c>
      <c r="KXL312" s="245" t="s">
        <v>68</v>
      </c>
      <c r="KXM312" s="1715" t="s">
        <v>0</v>
      </c>
      <c r="KXN312" s="1716"/>
      <c r="KXO312" s="1716"/>
      <c r="KXP312" s="1716"/>
      <c r="KXQ312" s="1716"/>
      <c r="KXR312" s="244"/>
      <c r="KXS312" s="244" t="s">
        <v>68</v>
      </c>
      <c r="KXT312" s="245" t="s">
        <v>68</v>
      </c>
      <c r="KXU312" s="1715" t="s">
        <v>0</v>
      </c>
      <c r="KXV312" s="1716"/>
      <c r="KXW312" s="1716"/>
      <c r="KXX312" s="1716"/>
      <c r="KXY312" s="1716"/>
      <c r="KXZ312" s="244"/>
      <c r="KYA312" s="244" t="s">
        <v>68</v>
      </c>
      <c r="KYB312" s="245" t="s">
        <v>68</v>
      </c>
      <c r="KYC312" s="1715" t="s">
        <v>0</v>
      </c>
      <c r="KYD312" s="1716"/>
      <c r="KYE312" s="1716"/>
      <c r="KYF312" s="1716"/>
      <c r="KYG312" s="1716"/>
      <c r="KYH312" s="244"/>
      <c r="KYI312" s="244" t="s">
        <v>68</v>
      </c>
      <c r="KYJ312" s="245" t="s">
        <v>68</v>
      </c>
      <c r="KYK312" s="1715" t="s">
        <v>0</v>
      </c>
      <c r="KYL312" s="1716"/>
      <c r="KYM312" s="1716"/>
      <c r="KYN312" s="1716"/>
      <c r="KYO312" s="1716"/>
      <c r="KYP312" s="244"/>
      <c r="KYQ312" s="244" t="s">
        <v>68</v>
      </c>
      <c r="KYR312" s="245" t="s">
        <v>68</v>
      </c>
      <c r="KYS312" s="1715" t="s">
        <v>0</v>
      </c>
      <c r="KYT312" s="1716"/>
      <c r="KYU312" s="1716"/>
      <c r="KYV312" s="1716"/>
      <c r="KYW312" s="1716"/>
      <c r="KYX312" s="244"/>
      <c r="KYY312" s="244" t="s">
        <v>68</v>
      </c>
      <c r="KYZ312" s="245" t="s">
        <v>68</v>
      </c>
      <c r="KZA312" s="1715" t="s">
        <v>0</v>
      </c>
      <c r="KZB312" s="1716"/>
      <c r="KZC312" s="1716"/>
      <c r="KZD312" s="1716"/>
      <c r="KZE312" s="1716"/>
      <c r="KZF312" s="244"/>
      <c r="KZG312" s="244" t="s">
        <v>68</v>
      </c>
      <c r="KZH312" s="245" t="s">
        <v>68</v>
      </c>
      <c r="KZI312" s="1715" t="s">
        <v>0</v>
      </c>
      <c r="KZJ312" s="1716"/>
      <c r="KZK312" s="1716"/>
      <c r="KZL312" s="1716"/>
      <c r="KZM312" s="1716"/>
      <c r="KZN312" s="244"/>
      <c r="KZO312" s="244" t="s">
        <v>68</v>
      </c>
      <c r="KZP312" s="245" t="s">
        <v>68</v>
      </c>
      <c r="KZQ312" s="1715" t="s">
        <v>0</v>
      </c>
      <c r="KZR312" s="1716"/>
      <c r="KZS312" s="1716"/>
      <c r="KZT312" s="1716"/>
      <c r="KZU312" s="1716"/>
      <c r="KZV312" s="244"/>
      <c r="KZW312" s="244" t="s">
        <v>68</v>
      </c>
      <c r="KZX312" s="245" t="s">
        <v>68</v>
      </c>
      <c r="KZY312" s="1715" t="s">
        <v>0</v>
      </c>
      <c r="KZZ312" s="1716"/>
      <c r="LAA312" s="1716"/>
      <c r="LAB312" s="1716"/>
      <c r="LAC312" s="1716"/>
      <c r="LAD312" s="244"/>
      <c r="LAE312" s="244" t="s">
        <v>68</v>
      </c>
      <c r="LAF312" s="245" t="s">
        <v>68</v>
      </c>
      <c r="LAG312" s="1715" t="s">
        <v>0</v>
      </c>
      <c r="LAH312" s="1716"/>
      <c r="LAI312" s="1716"/>
      <c r="LAJ312" s="1716"/>
      <c r="LAK312" s="1716"/>
      <c r="LAL312" s="244"/>
      <c r="LAM312" s="244" t="s">
        <v>68</v>
      </c>
      <c r="LAN312" s="245" t="s">
        <v>68</v>
      </c>
      <c r="LAO312" s="1715" t="s">
        <v>0</v>
      </c>
      <c r="LAP312" s="1716"/>
      <c r="LAQ312" s="1716"/>
      <c r="LAR312" s="1716"/>
      <c r="LAS312" s="1716"/>
      <c r="LAT312" s="244"/>
      <c r="LAU312" s="244" t="s">
        <v>68</v>
      </c>
      <c r="LAV312" s="245" t="s">
        <v>68</v>
      </c>
      <c r="LAW312" s="1715" t="s">
        <v>0</v>
      </c>
      <c r="LAX312" s="1716"/>
      <c r="LAY312" s="1716"/>
      <c r="LAZ312" s="1716"/>
      <c r="LBA312" s="1716"/>
      <c r="LBB312" s="244"/>
      <c r="LBC312" s="244" t="s">
        <v>68</v>
      </c>
      <c r="LBD312" s="245" t="s">
        <v>68</v>
      </c>
      <c r="LBE312" s="1715" t="s">
        <v>0</v>
      </c>
      <c r="LBF312" s="1716"/>
      <c r="LBG312" s="1716"/>
      <c r="LBH312" s="1716"/>
      <c r="LBI312" s="1716"/>
      <c r="LBJ312" s="244"/>
      <c r="LBK312" s="244" t="s">
        <v>68</v>
      </c>
      <c r="LBL312" s="245" t="s">
        <v>68</v>
      </c>
      <c r="LBM312" s="1715" t="s">
        <v>0</v>
      </c>
      <c r="LBN312" s="1716"/>
      <c r="LBO312" s="1716"/>
      <c r="LBP312" s="1716"/>
      <c r="LBQ312" s="1716"/>
      <c r="LBR312" s="244"/>
      <c r="LBS312" s="244" t="s">
        <v>68</v>
      </c>
      <c r="LBT312" s="245" t="s">
        <v>68</v>
      </c>
      <c r="LBU312" s="1715" t="s">
        <v>0</v>
      </c>
      <c r="LBV312" s="1716"/>
      <c r="LBW312" s="1716"/>
      <c r="LBX312" s="1716"/>
      <c r="LBY312" s="1716"/>
      <c r="LBZ312" s="244"/>
      <c r="LCA312" s="244" t="s">
        <v>68</v>
      </c>
      <c r="LCB312" s="245" t="s">
        <v>68</v>
      </c>
      <c r="LCC312" s="1715" t="s">
        <v>0</v>
      </c>
      <c r="LCD312" s="1716"/>
      <c r="LCE312" s="1716"/>
      <c r="LCF312" s="1716"/>
      <c r="LCG312" s="1716"/>
      <c r="LCH312" s="244"/>
      <c r="LCI312" s="244" t="s">
        <v>68</v>
      </c>
      <c r="LCJ312" s="245" t="s">
        <v>68</v>
      </c>
      <c r="LCK312" s="1715" t="s">
        <v>0</v>
      </c>
      <c r="LCL312" s="1716"/>
      <c r="LCM312" s="1716"/>
      <c r="LCN312" s="1716"/>
      <c r="LCO312" s="1716"/>
      <c r="LCP312" s="244"/>
      <c r="LCQ312" s="244" t="s">
        <v>68</v>
      </c>
      <c r="LCR312" s="245" t="s">
        <v>68</v>
      </c>
      <c r="LCS312" s="1715" t="s">
        <v>0</v>
      </c>
      <c r="LCT312" s="1716"/>
      <c r="LCU312" s="1716"/>
      <c r="LCV312" s="1716"/>
      <c r="LCW312" s="1716"/>
      <c r="LCX312" s="244"/>
      <c r="LCY312" s="244" t="s">
        <v>68</v>
      </c>
      <c r="LCZ312" s="245" t="s">
        <v>68</v>
      </c>
      <c r="LDA312" s="1715" t="s">
        <v>0</v>
      </c>
      <c r="LDB312" s="1716"/>
      <c r="LDC312" s="1716"/>
      <c r="LDD312" s="1716"/>
      <c r="LDE312" s="1716"/>
      <c r="LDF312" s="244"/>
      <c r="LDG312" s="244" t="s">
        <v>68</v>
      </c>
      <c r="LDH312" s="245" t="s">
        <v>68</v>
      </c>
      <c r="LDI312" s="1715" t="s">
        <v>0</v>
      </c>
      <c r="LDJ312" s="1716"/>
      <c r="LDK312" s="1716"/>
      <c r="LDL312" s="1716"/>
      <c r="LDM312" s="1716"/>
      <c r="LDN312" s="244"/>
      <c r="LDO312" s="244" t="s">
        <v>68</v>
      </c>
      <c r="LDP312" s="245" t="s">
        <v>68</v>
      </c>
      <c r="LDQ312" s="1715" t="s">
        <v>0</v>
      </c>
      <c r="LDR312" s="1716"/>
      <c r="LDS312" s="1716"/>
      <c r="LDT312" s="1716"/>
      <c r="LDU312" s="1716"/>
      <c r="LDV312" s="244"/>
      <c r="LDW312" s="244" t="s">
        <v>68</v>
      </c>
      <c r="LDX312" s="245" t="s">
        <v>68</v>
      </c>
      <c r="LDY312" s="1715" t="s">
        <v>0</v>
      </c>
      <c r="LDZ312" s="1716"/>
      <c r="LEA312" s="1716"/>
      <c r="LEB312" s="1716"/>
      <c r="LEC312" s="1716"/>
      <c r="LED312" s="244"/>
      <c r="LEE312" s="244" t="s">
        <v>68</v>
      </c>
      <c r="LEF312" s="245" t="s">
        <v>68</v>
      </c>
      <c r="LEG312" s="1715" t="s">
        <v>0</v>
      </c>
      <c r="LEH312" s="1716"/>
      <c r="LEI312" s="1716"/>
      <c r="LEJ312" s="1716"/>
      <c r="LEK312" s="1716"/>
      <c r="LEL312" s="244"/>
      <c r="LEM312" s="244" t="s">
        <v>68</v>
      </c>
      <c r="LEN312" s="245" t="s">
        <v>68</v>
      </c>
      <c r="LEO312" s="1715" t="s">
        <v>0</v>
      </c>
      <c r="LEP312" s="1716"/>
      <c r="LEQ312" s="1716"/>
      <c r="LER312" s="1716"/>
      <c r="LES312" s="1716"/>
      <c r="LET312" s="244"/>
      <c r="LEU312" s="244" t="s">
        <v>68</v>
      </c>
      <c r="LEV312" s="245" t="s">
        <v>68</v>
      </c>
      <c r="LEW312" s="1715" t="s">
        <v>0</v>
      </c>
      <c r="LEX312" s="1716"/>
      <c r="LEY312" s="1716"/>
      <c r="LEZ312" s="1716"/>
      <c r="LFA312" s="1716"/>
      <c r="LFB312" s="244"/>
      <c r="LFC312" s="244" t="s">
        <v>68</v>
      </c>
      <c r="LFD312" s="245" t="s">
        <v>68</v>
      </c>
      <c r="LFE312" s="1715" t="s">
        <v>0</v>
      </c>
      <c r="LFF312" s="1716"/>
      <c r="LFG312" s="1716"/>
      <c r="LFH312" s="1716"/>
      <c r="LFI312" s="1716"/>
      <c r="LFJ312" s="244"/>
      <c r="LFK312" s="244" t="s">
        <v>68</v>
      </c>
      <c r="LFL312" s="245" t="s">
        <v>68</v>
      </c>
      <c r="LFM312" s="1715" t="s">
        <v>0</v>
      </c>
      <c r="LFN312" s="1716"/>
      <c r="LFO312" s="1716"/>
      <c r="LFP312" s="1716"/>
      <c r="LFQ312" s="1716"/>
      <c r="LFR312" s="244"/>
      <c r="LFS312" s="244" t="s">
        <v>68</v>
      </c>
      <c r="LFT312" s="245" t="s">
        <v>68</v>
      </c>
      <c r="LFU312" s="1715" t="s">
        <v>0</v>
      </c>
      <c r="LFV312" s="1716"/>
      <c r="LFW312" s="1716"/>
      <c r="LFX312" s="1716"/>
      <c r="LFY312" s="1716"/>
      <c r="LFZ312" s="244"/>
      <c r="LGA312" s="244" t="s">
        <v>68</v>
      </c>
      <c r="LGB312" s="245" t="s">
        <v>68</v>
      </c>
      <c r="LGC312" s="1715" t="s">
        <v>0</v>
      </c>
      <c r="LGD312" s="1716"/>
      <c r="LGE312" s="1716"/>
      <c r="LGF312" s="1716"/>
      <c r="LGG312" s="1716"/>
      <c r="LGH312" s="244"/>
      <c r="LGI312" s="244" t="s">
        <v>68</v>
      </c>
      <c r="LGJ312" s="245" t="s">
        <v>68</v>
      </c>
      <c r="LGK312" s="1715" t="s">
        <v>0</v>
      </c>
      <c r="LGL312" s="1716"/>
      <c r="LGM312" s="1716"/>
      <c r="LGN312" s="1716"/>
      <c r="LGO312" s="1716"/>
      <c r="LGP312" s="244"/>
      <c r="LGQ312" s="244" t="s">
        <v>68</v>
      </c>
      <c r="LGR312" s="245" t="s">
        <v>68</v>
      </c>
      <c r="LGS312" s="1715" t="s">
        <v>0</v>
      </c>
      <c r="LGT312" s="1716"/>
      <c r="LGU312" s="1716"/>
      <c r="LGV312" s="1716"/>
      <c r="LGW312" s="1716"/>
      <c r="LGX312" s="244"/>
      <c r="LGY312" s="244" t="s">
        <v>68</v>
      </c>
      <c r="LGZ312" s="245" t="s">
        <v>68</v>
      </c>
      <c r="LHA312" s="1715" t="s">
        <v>0</v>
      </c>
      <c r="LHB312" s="1716"/>
      <c r="LHC312" s="1716"/>
      <c r="LHD312" s="1716"/>
      <c r="LHE312" s="1716"/>
      <c r="LHF312" s="244"/>
      <c r="LHG312" s="244" t="s">
        <v>68</v>
      </c>
      <c r="LHH312" s="245" t="s">
        <v>68</v>
      </c>
      <c r="LHI312" s="1715" t="s">
        <v>0</v>
      </c>
      <c r="LHJ312" s="1716"/>
      <c r="LHK312" s="1716"/>
      <c r="LHL312" s="1716"/>
      <c r="LHM312" s="1716"/>
      <c r="LHN312" s="244"/>
      <c r="LHO312" s="244" t="s">
        <v>68</v>
      </c>
      <c r="LHP312" s="245" t="s">
        <v>68</v>
      </c>
      <c r="LHQ312" s="1715" t="s">
        <v>0</v>
      </c>
      <c r="LHR312" s="1716"/>
      <c r="LHS312" s="1716"/>
      <c r="LHT312" s="1716"/>
      <c r="LHU312" s="1716"/>
      <c r="LHV312" s="244"/>
      <c r="LHW312" s="244" t="s">
        <v>68</v>
      </c>
      <c r="LHX312" s="245" t="s">
        <v>68</v>
      </c>
      <c r="LHY312" s="1715" t="s">
        <v>0</v>
      </c>
      <c r="LHZ312" s="1716"/>
      <c r="LIA312" s="1716"/>
      <c r="LIB312" s="1716"/>
      <c r="LIC312" s="1716"/>
      <c r="LID312" s="244"/>
      <c r="LIE312" s="244" t="s">
        <v>68</v>
      </c>
      <c r="LIF312" s="245" t="s">
        <v>68</v>
      </c>
      <c r="LIG312" s="1715" t="s">
        <v>0</v>
      </c>
      <c r="LIH312" s="1716"/>
      <c r="LII312" s="1716"/>
      <c r="LIJ312" s="1716"/>
      <c r="LIK312" s="1716"/>
      <c r="LIL312" s="244"/>
      <c r="LIM312" s="244" t="s">
        <v>68</v>
      </c>
      <c r="LIN312" s="245" t="s">
        <v>68</v>
      </c>
      <c r="LIO312" s="1715" t="s">
        <v>0</v>
      </c>
      <c r="LIP312" s="1716"/>
      <c r="LIQ312" s="1716"/>
      <c r="LIR312" s="1716"/>
      <c r="LIS312" s="1716"/>
      <c r="LIT312" s="244"/>
      <c r="LIU312" s="244" t="s">
        <v>68</v>
      </c>
      <c r="LIV312" s="245" t="s">
        <v>68</v>
      </c>
      <c r="LIW312" s="1715" t="s">
        <v>0</v>
      </c>
      <c r="LIX312" s="1716"/>
      <c r="LIY312" s="1716"/>
      <c r="LIZ312" s="1716"/>
      <c r="LJA312" s="1716"/>
      <c r="LJB312" s="244"/>
      <c r="LJC312" s="244" t="s">
        <v>68</v>
      </c>
      <c r="LJD312" s="245" t="s">
        <v>68</v>
      </c>
      <c r="LJE312" s="1715" t="s">
        <v>0</v>
      </c>
      <c r="LJF312" s="1716"/>
      <c r="LJG312" s="1716"/>
      <c r="LJH312" s="1716"/>
      <c r="LJI312" s="1716"/>
      <c r="LJJ312" s="244"/>
      <c r="LJK312" s="244" t="s">
        <v>68</v>
      </c>
      <c r="LJL312" s="245" t="s">
        <v>68</v>
      </c>
      <c r="LJM312" s="1715" t="s">
        <v>0</v>
      </c>
      <c r="LJN312" s="1716"/>
      <c r="LJO312" s="1716"/>
      <c r="LJP312" s="1716"/>
      <c r="LJQ312" s="1716"/>
      <c r="LJR312" s="244"/>
      <c r="LJS312" s="244" t="s">
        <v>68</v>
      </c>
      <c r="LJT312" s="245" t="s">
        <v>68</v>
      </c>
      <c r="LJU312" s="1715" t="s">
        <v>0</v>
      </c>
      <c r="LJV312" s="1716"/>
      <c r="LJW312" s="1716"/>
      <c r="LJX312" s="1716"/>
      <c r="LJY312" s="1716"/>
      <c r="LJZ312" s="244"/>
      <c r="LKA312" s="244" t="s">
        <v>68</v>
      </c>
      <c r="LKB312" s="245" t="s">
        <v>68</v>
      </c>
      <c r="LKC312" s="1715" t="s">
        <v>0</v>
      </c>
      <c r="LKD312" s="1716"/>
      <c r="LKE312" s="1716"/>
      <c r="LKF312" s="1716"/>
      <c r="LKG312" s="1716"/>
      <c r="LKH312" s="244"/>
      <c r="LKI312" s="244" t="s">
        <v>68</v>
      </c>
      <c r="LKJ312" s="245" t="s">
        <v>68</v>
      </c>
      <c r="LKK312" s="1715" t="s">
        <v>0</v>
      </c>
      <c r="LKL312" s="1716"/>
      <c r="LKM312" s="1716"/>
      <c r="LKN312" s="1716"/>
      <c r="LKO312" s="1716"/>
      <c r="LKP312" s="244"/>
      <c r="LKQ312" s="244" t="s">
        <v>68</v>
      </c>
      <c r="LKR312" s="245" t="s">
        <v>68</v>
      </c>
      <c r="LKS312" s="1715" t="s">
        <v>0</v>
      </c>
      <c r="LKT312" s="1716"/>
      <c r="LKU312" s="1716"/>
      <c r="LKV312" s="1716"/>
      <c r="LKW312" s="1716"/>
      <c r="LKX312" s="244"/>
      <c r="LKY312" s="244" t="s">
        <v>68</v>
      </c>
      <c r="LKZ312" s="245" t="s">
        <v>68</v>
      </c>
      <c r="LLA312" s="1715" t="s">
        <v>0</v>
      </c>
      <c r="LLB312" s="1716"/>
      <c r="LLC312" s="1716"/>
      <c r="LLD312" s="1716"/>
      <c r="LLE312" s="1716"/>
      <c r="LLF312" s="244"/>
      <c r="LLG312" s="244" t="s">
        <v>68</v>
      </c>
      <c r="LLH312" s="245" t="s">
        <v>68</v>
      </c>
      <c r="LLI312" s="1715" t="s">
        <v>0</v>
      </c>
      <c r="LLJ312" s="1716"/>
      <c r="LLK312" s="1716"/>
      <c r="LLL312" s="1716"/>
      <c r="LLM312" s="1716"/>
      <c r="LLN312" s="244"/>
      <c r="LLO312" s="244" t="s">
        <v>68</v>
      </c>
      <c r="LLP312" s="245" t="s">
        <v>68</v>
      </c>
      <c r="LLQ312" s="1715" t="s">
        <v>0</v>
      </c>
      <c r="LLR312" s="1716"/>
      <c r="LLS312" s="1716"/>
      <c r="LLT312" s="1716"/>
      <c r="LLU312" s="1716"/>
      <c r="LLV312" s="244"/>
      <c r="LLW312" s="244" t="s">
        <v>68</v>
      </c>
      <c r="LLX312" s="245" t="s">
        <v>68</v>
      </c>
      <c r="LLY312" s="1715" t="s">
        <v>0</v>
      </c>
      <c r="LLZ312" s="1716"/>
      <c r="LMA312" s="1716"/>
      <c r="LMB312" s="1716"/>
      <c r="LMC312" s="1716"/>
      <c r="LMD312" s="244"/>
      <c r="LME312" s="244" t="s">
        <v>68</v>
      </c>
      <c r="LMF312" s="245" t="s">
        <v>68</v>
      </c>
      <c r="LMG312" s="1715" t="s">
        <v>0</v>
      </c>
      <c r="LMH312" s="1716"/>
      <c r="LMI312" s="1716"/>
      <c r="LMJ312" s="1716"/>
      <c r="LMK312" s="1716"/>
      <c r="LML312" s="244"/>
      <c r="LMM312" s="244" t="s">
        <v>68</v>
      </c>
      <c r="LMN312" s="245" t="s">
        <v>68</v>
      </c>
      <c r="LMO312" s="1715" t="s">
        <v>0</v>
      </c>
      <c r="LMP312" s="1716"/>
      <c r="LMQ312" s="1716"/>
      <c r="LMR312" s="1716"/>
      <c r="LMS312" s="1716"/>
      <c r="LMT312" s="244"/>
      <c r="LMU312" s="244" t="s">
        <v>68</v>
      </c>
      <c r="LMV312" s="245" t="s">
        <v>68</v>
      </c>
      <c r="LMW312" s="1715" t="s">
        <v>0</v>
      </c>
      <c r="LMX312" s="1716"/>
      <c r="LMY312" s="1716"/>
      <c r="LMZ312" s="1716"/>
      <c r="LNA312" s="1716"/>
      <c r="LNB312" s="244"/>
      <c r="LNC312" s="244" t="s">
        <v>68</v>
      </c>
      <c r="LND312" s="245" t="s">
        <v>68</v>
      </c>
      <c r="LNE312" s="1715" t="s">
        <v>0</v>
      </c>
      <c r="LNF312" s="1716"/>
      <c r="LNG312" s="1716"/>
      <c r="LNH312" s="1716"/>
      <c r="LNI312" s="1716"/>
      <c r="LNJ312" s="244"/>
      <c r="LNK312" s="244" t="s">
        <v>68</v>
      </c>
      <c r="LNL312" s="245" t="s">
        <v>68</v>
      </c>
      <c r="LNM312" s="1715" t="s">
        <v>0</v>
      </c>
      <c r="LNN312" s="1716"/>
      <c r="LNO312" s="1716"/>
      <c r="LNP312" s="1716"/>
      <c r="LNQ312" s="1716"/>
      <c r="LNR312" s="244"/>
      <c r="LNS312" s="244" t="s">
        <v>68</v>
      </c>
      <c r="LNT312" s="245" t="s">
        <v>68</v>
      </c>
      <c r="LNU312" s="1715" t="s">
        <v>0</v>
      </c>
      <c r="LNV312" s="1716"/>
      <c r="LNW312" s="1716"/>
      <c r="LNX312" s="1716"/>
      <c r="LNY312" s="1716"/>
      <c r="LNZ312" s="244"/>
      <c r="LOA312" s="244" t="s">
        <v>68</v>
      </c>
      <c r="LOB312" s="245" t="s">
        <v>68</v>
      </c>
      <c r="LOC312" s="1715" t="s">
        <v>0</v>
      </c>
      <c r="LOD312" s="1716"/>
      <c r="LOE312" s="1716"/>
      <c r="LOF312" s="1716"/>
      <c r="LOG312" s="1716"/>
      <c r="LOH312" s="244"/>
      <c r="LOI312" s="244" t="s">
        <v>68</v>
      </c>
      <c r="LOJ312" s="245" t="s">
        <v>68</v>
      </c>
      <c r="LOK312" s="1715" t="s">
        <v>0</v>
      </c>
      <c r="LOL312" s="1716"/>
      <c r="LOM312" s="1716"/>
      <c r="LON312" s="1716"/>
      <c r="LOO312" s="1716"/>
      <c r="LOP312" s="244"/>
      <c r="LOQ312" s="244" t="s">
        <v>68</v>
      </c>
      <c r="LOR312" s="245" t="s">
        <v>68</v>
      </c>
      <c r="LOS312" s="1715" t="s">
        <v>0</v>
      </c>
      <c r="LOT312" s="1716"/>
      <c r="LOU312" s="1716"/>
      <c r="LOV312" s="1716"/>
      <c r="LOW312" s="1716"/>
      <c r="LOX312" s="244"/>
      <c r="LOY312" s="244" t="s">
        <v>68</v>
      </c>
      <c r="LOZ312" s="245" t="s">
        <v>68</v>
      </c>
      <c r="LPA312" s="1715" t="s">
        <v>0</v>
      </c>
      <c r="LPB312" s="1716"/>
      <c r="LPC312" s="1716"/>
      <c r="LPD312" s="1716"/>
      <c r="LPE312" s="1716"/>
      <c r="LPF312" s="244"/>
      <c r="LPG312" s="244" t="s">
        <v>68</v>
      </c>
      <c r="LPH312" s="245" t="s">
        <v>68</v>
      </c>
      <c r="LPI312" s="1715" t="s">
        <v>0</v>
      </c>
      <c r="LPJ312" s="1716"/>
      <c r="LPK312" s="1716"/>
      <c r="LPL312" s="1716"/>
      <c r="LPM312" s="1716"/>
      <c r="LPN312" s="244"/>
      <c r="LPO312" s="244" t="s">
        <v>68</v>
      </c>
      <c r="LPP312" s="245" t="s">
        <v>68</v>
      </c>
      <c r="LPQ312" s="1715" t="s">
        <v>0</v>
      </c>
      <c r="LPR312" s="1716"/>
      <c r="LPS312" s="1716"/>
      <c r="LPT312" s="1716"/>
      <c r="LPU312" s="1716"/>
      <c r="LPV312" s="244"/>
      <c r="LPW312" s="244" t="s">
        <v>68</v>
      </c>
      <c r="LPX312" s="245" t="s">
        <v>68</v>
      </c>
      <c r="LPY312" s="1715" t="s">
        <v>0</v>
      </c>
      <c r="LPZ312" s="1716"/>
      <c r="LQA312" s="1716"/>
      <c r="LQB312" s="1716"/>
      <c r="LQC312" s="1716"/>
      <c r="LQD312" s="244"/>
      <c r="LQE312" s="244" t="s">
        <v>68</v>
      </c>
      <c r="LQF312" s="245" t="s">
        <v>68</v>
      </c>
      <c r="LQG312" s="1715" t="s">
        <v>0</v>
      </c>
      <c r="LQH312" s="1716"/>
      <c r="LQI312" s="1716"/>
      <c r="LQJ312" s="1716"/>
      <c r="LQK312" s="1716"/>
      <c r="LQL312" s="244"/>
      <c r="LQM312" s="244" t="s">
        <v>68</v>
      </c>
      <c r="LQN312" s="245" t="s">
        <v>68</v>
      </c>
      <c r="LQO312" s="1715" t="s">
        <v>0</v>
      </c>
      <c r="LQP312" s="1716"/>
      <c r="LQQ312" s="1716"/>
      <c r="LQR312" s="1716"/>
      <c r="LQS312" s="1716"/>
      <c r="LQT312" s="244"/>
      <c r="LQU312" s="244" t="s">
        <v>68</v>
      </c>
      <c r="LQV312" s="245" t="s">
        <v>68</v>
      </c>
      <c r="LQW312" s="1715" t="s">
        <v>0</v>
      </c>
      <c r="LQX312" s="1716"/>
      <c r="LQY312" s="1716"/>
      <c r="LQZ312" s="1716"/>
      <c r="LRA312" s="1716"/>
      <c r="LRB312" s="244"/>
      <c r="LRC312" s="244" t="s">
        <v>68</v>
      </c>
      <c r="LRD312" s="245" t="s">
        <v>68</v>
      </c>
      <c r="LRE312" s="1715" t="s">
        <v>0</v>
      </c>
      <c r="LRF312" s="1716"/>
      <c r="LRG312" s="1716"/>
      <c r="LRH312" s="1716"/>
      <c r="LRI312" s="1716"/>
      <c r="LRJ312" s="244"/>
      <c r="LRK312" s="244" t="s">
        <v>68</v>
      </c>
      <c r="LRL312" s="245" t="s">
        <v>68</v>
      </c>
      <c r="LRM312" s="1715" t="s">
        <v>0</v>
      </c>
      <c r="LRN312" s="1716"/>
      <c r="LRO312" s="1716"/>
      <c r="LRP312" s="1716"/>
      <c r="LRQ312" s="1716"/>
      <c r="LRR312" s="244"/>
      <c r="LRS312" s="244" t="s">
        <v>68</v>
      </c>
      <c r="LRT312" s="245" t="s">
        <v>68</v>
      </c>
      <c r="LRU312" s="1715" t="s">
        <v>0</v>
      </c>
      <c r="LRV312" s="1716"/>
      <c r="LRW312" s="1716"/>
      <c r="LRX312" s="1716"/>
      <c r="LRY312" s="1716"/>
      <c r="LRZ312" s="244"/>
      <c r="LSA312" s="244" t="s">
        <v>68</v>
      </c>
      <c r="LSB312" s="245" t="s">
        <v>68</v>
      </c>
      <c r="LSC312" s="1715" t="s">
        <v>0</v>
      </c>
      <c r="LSD312" s="1716"/>
      <c r="LSE312" s="1716"/>
      <c r="LSF312" s="1716"/>
      <c r="LSG312" s="1716"/>
      <c r="LSH312" s="244"/>
      <c r="LSI312" s="244" t="s">
        <v>68</v>
      </c>
      <c r="LSJ312" s="245" t="s">
        <v>68</v>
      </c>
      <c r="LSK312" s="1715" t="s">
        <v>0</v>
      </c>
      <c r="LSL312" s="1716"/>
      <c r="LSM312" s="1716"/>
      <c r="LSN312" s="1716"/>
      <c r="LSO312" s="1716"/>
      <c r="LSP312" s="244"/>
      <c r="LSQ312" s="244" t="s">
        <v>68</v>
      </c>
      <c r="LSR312" s="245" t="s">
        <v>68</v>
      </c>
      <c r="LSS312" s="1715" t="s">
        <v>0</v>
      </c>
      <c r="LST312" s="1716"/>
      <c r="LSU312" s="1716"/>
      <c r="LSV312" s="1716"/>
      <c r="LSW312" s="1716"/>
      <c r="LSX312" s="244"/>
      <c r="LSY312" s="244" t="s">
        <v>68</v>
      </c>
      <c r="LSZ312" s="245" t="s">
        <v>68</v>
      </c>
      <c r="LTA312" s="1715" t="s">
        <v>0</v>
      </c>
      <c r="LTB312" s="1716"/>
      <c r="LTC312" s="1716"/>
      <c r="LTD312" s="1716"/>
      <c r="LTE312" s="1716"/>
      <c r="LTF312" s="244"/>
      <c r="LTG312" s="244" t="s">
        <v>68</v>
      </c>
      <c r="LTH312" s="245" t="s">
        <v>68</v>
      </c>
      <c r="LTI312" s="1715" t="s">
        <v>0</v>
      </c>
      <c r="LTJ312" s="1716"/>
      <c r="LTK312" s="1716"/>
      <c r="LTL312" s="1716"/>
      <c r="LTM312" s="1716"/>
      <c r="LTN312" s="244"/>
      <c r="LTO312" s="244" t="s">
        <v>68</v>
      </c>
      <c r="LTP312" s="245" t="s">
        <v>68</v>
      </c>
      <c r="LTQ312" s="1715" t="s">
        <v>0</v>
      </c>
      <c r="LTR312" s="1716"/>
      <c r="LTS312" s="1716"/>
      <c r="LTT312" s="1716"/>
      <c r="LTU312" s="1716"/>
      <c r="LTV312" s="244"/>
      <c r="LTW312" s="244" t="s">
        <v>68</v>
      </c>
      <c r="LTX312" s="245" t="s">
        <v>68</v>
      </c>
      <c r="LTY312" s="1715" t="s">
        <v>0</v>
      </c>
      <c r="LTZ312" s="1716"/>
      <c r="LUA312" s="1716"/>
      <c r="LUB312" s="1716"/>
      <c r="LUC312" s="1716"/>
      <c r="LUD312" s="244"/>
      <c r="LUE312" s="244" t="s">
        <v>68</v>
      </c>
      <c r="LUF312" s="245" t="s">
        <v>68</v>
      </c>
      <c r="LUG312" s="1715" t="s">
        <v>0</v>
      </c>
      <c r="LUH312" s="1716"/>
      <c r="LUI312" s="1716"/>
      <c r="LUJ312" s="1716"/>
      <c r="LUK312" s="1716"/>
      <c r="LUL312" s="244"/>
      <c r="LUM312" s="244" t="s">
        <v>68</v>
      </c>
      <c r="LUN312" s="245" t="s">
        <v>68</v>
      </c>
      <c r="LUO312" s="1715" t="s">
        <v>0</v>
      </c>
      <c r="LUP312" s="1716"/>
      <c r="LUQ312" s="1716"/>
      <c r="LUR312" s="1716"/>
      <c r="LUS312" s="1716"/>
      <c r="LUT312" s="244"/>
      <c r="LUU312" s="244" t="s">
        <v>68</v>
      </c>
      <c r="LUV312" s="245" t="s">
        <v>68</v>
      </c>
      <c r="LUW312" s="1715" t="s">
        <v>0</v>
      </c>
      <c r="LUX312" s="1716"/>
      <c r="LUY312" s="1716"/>
      <c r="LUZ312" s="1716"/>
      <c r="LVA312" s="1716"/>
      <c r="LVB312" s="244"/>
      <c r="LVC312" s="244" t="s">
        <v>68</v>
      </c>
      <c r="LVD312" s="245" t="s">
        <v>68</v>
      </c>
      <c r="LVE312" s="1715" t="s">
        <v>0</v>
      </c>
      <c r="LVF312" s="1716"/>
      <c r="LVG312" s="1716"/>
      <c r="LVH312" s="1716"/>
      <c r="LVI312" s="1716"/>
      <c r="LVJ312" s="244"/>
      <c r="LVK312" s="244" t="s">
        <v>68</v>
      </c>
      <c r="LVL312" s="245" t="s">
        <v>68</v>
      </c>
      <c r="LVM312" s="1715" t="s">
        <v>0</v>
      </c>
      <c r="LVN312" s="1716"/>
      <c r="LVO312" s="1716"/>
      <c r="LVP312" s="1716"/>
      <c r="LVQ312" s="1716"/>
      <c r="LVR312" s="244"/>
      <c r="LVS312" s="244" t="s">
        <v>68</v>
      </c>
      <c r="LVT312" s="245" t="s">
        <v>68</v>
      </c>
      <c r="LVU312" s="1715" t="s">
        <v>0</v>
      </c>
      <c r="LVV312" s="1716"/>
      <c r="LVW312" s="1716"/>
      <c r="LVX312" s="1716"/>
      <c r="LVY312" s="1716"/>
      <c r="LVZ312" s="244"/>
      <c r="LWA312" s="244" t="s">
        <v>68</v>
      </c>
      <c r="LWB312" s="245" t="s">
        <v>68</v>
      </c>
      <c r="LWC312" s="1715" t="s">
        <v>0</v>
      </c>
      <c r="LWD312" s="1716"/>
      <c r="LWE312" s="1716"/>
      <c r="LWF312" s="1716"/>
      <c r="LWG312" s="1716"/>
      <c r="LWH312" s="244"/>
      <c r="LWI312" s="244" t="s">
        <v>68</v>
      </c>
      <c r="LWJ312" s="245" t="s">
        <v>68</v>
      </c>
      <c r="LWK312" s="1715" t="s">
        <v>0</v>
      </c>
      <c r="LWL312" s="1716"/>
      <c r="LWM312" s="1716"/>
      <c r="LWN312" s="1716"/>
      <c r="LWO312" s="1716"/>
      <c r="LWP312" s="244"/>
      <c r="LWQ312" s="244" t="s">
        <v>68</v>
      </c>
      <c r="LWR312" s="245" t="s">
        <v>68</v>
      </c>
      <c r="LWS312" s="1715" t="s">
        <v>0</v>
      </c>
      <c r="LWT312" s="1716"/>
      <c r="LWU312" s="1716"/>
      <c r="LWV312" s="1716"/>
      <c r="LWW312" s="1716"/>
      <c r="LWX312" s="244"/>
      <c r="LWY312" s="244" t="s">
        <v>68</v>
      </c>
      <c r="LWZ312" s="245" t="s">
        <v>68</v>
      </c>
      <c r="LXA312" s="1715" t="s">
        <v>0</v>
      </c>
      <c r="LXB312" s="1716"/>
      <c r="LXC312" s="1716"/>
      <c r="LXD312" s="1716"/>
      <c r="LXE312" s="1716"/>
      <c r="LXF312" s="244"/>
      <c r="LXG312" s="244" t="s">
        <v>68</v>
      </c>
      <c r="LXH312" s="245" t="s">
        <v>68</v>
      </c>
      <c r="LXI312" s="1715" t="s">
        <v>0</v>
      </c>
      <c r="LXJ312" s="1716"/>
      <c r="LXK312" s="1716"/>
      <c r="LXL312" s="1716"/>
      <c r="LXM312" s="1716"/>
      <c r="LXN312" s="244"/>
      <c r="LXO312" s="244" t="s">
        <v>68</v>
      </c>
      <c r="LXP312" s="245" t="s">
        <v>68</v>
      </c>
      <c r="LXQ312" s="1715" t="s">
        <v>0</v>
      </c>
      <c r="LXR312" s="1716"/>
      <c r="LXS312" s="1716"/>
      <c r="LXT312" s="1716"/>
      <c r="LXU312" s="1716"/>
      <c r="LXV312" s="244"/>
      <c r="LXW312" s="244" t="s">
        <v>68</v>
      </c>
      <c r="LXX312" s="245" t="s">
        <v>68</v>
      </c>
      <c r="LXY312" s="1715" t="s">
        <v>0</v>
      </c>
      <c r="LXZ312" s="1716"/>
      <c r="LYA312" s="1716"/>
      <c r="LYB312" s="1716"/>
      <c r="LYC312" s="1716"/>
      <c r="LYD312" s="244"/>
      <c r="LYE312" s="244" t="s">
        <v>68</v>
      </c>
      <c r="LYF312" s="245" t="s">
        <v>68</v>
      </c>
      <c r="LYG312" s="1715" t="s">
        <v>0</v>
      </c>
      <c r="LYH312" s="1716"/>
      <c r="LYI312" s="1716"/>
      <c r="LYJ312" s="1716"/>
      <c r="LYK312" s="1716"/>
      <c r="LYL312" s="244"/>
      <c r="LYM312" s="244" t="s">
        <v>68</v>
      </c>
      <c r="LYN312" s="245" t="s">
        <v>68</v>
      </c>
      <c r="LYO312" s="1715" t="s">
        <v>0</v>
      </c>
      <c r="LYP312" s="1716"/>
      <c r="LYQ312" s="1716"/>
      <c r="LYR312" s="1716"/>
      <c r="LYS312" s="1716"/>
      <c r="LYT312" s="244"/>
      <c r="LYU312" s="244" t="s">
        <v>68</v>
      </c>
      <c r="LYV312" s="245" t="s">
        <v>68</v>
      </c>
      <c r="LYW312" s="1715" t="s">
        <v>0</v>
      </c>
      <c r="LYX312" s="1716"/>
      <c r="LYY312" s="1716"/>
      <c r="LYZ312" s="1716"/>
      <c r="LZA312" s="1716"/>
      <c r="LZB312" s="244"/>
      <c r="LZC312" s="244" t="s">
        <v>68</v>
      </c>
      <c r="LZD312" s="245" t="s">
        <v>68</v>
      </c>
      <c r="LZE312" s="1715" t="s">
        <v>0</v>
      </c>
      <c r="LZF312" s="1716"/>
      <c r="LZG312" s="1716"/>
      <c r="LZH312" s="1716"/>
      <c r="LZI312" s="1716"/>
      <c r="LZJ312" s="244"/>
      <c r="LZK312" s="244" t="s">
        <v>68</v>
      </c>
      <c r="LZL312" s="245" t="s">
        <v>68</v>
      </c>
      <c r="LZM312" s="1715" t="s">
        <v>0</v>
      </c>
      <c r="LZN312" s="1716"/>
      <c r="LZO312" s="1716"/>
      <c r="LZP312" s="1716"/>
      <c r="LZQ312" s="1716"/>
      <c r="LZR312" s="244"/>
      <c r="LZS312" s="244" t="s">
        <v>68</v>
      </c>
      <c r="LZT312" s="245" t="s">
        <v>68</v>
      </c>
      <c r="LZU312" s="1715" t="s">
        <v>0</v>
      </c>
      <c r="LZV312" s="1716"/>
      <c r="LZW312" s="1716"/>
      <c r="LZX312" s="1716"/>
      <c r="LZY312" s="1716"/>
      <c r="LZZ312" s="244"/>
      <c r="MAA312" s="244" t="s">
        <v>68</v>
      </c>
      <c r="MAB312" s="245" t="s">
        <v>68</v>
      </c>
      <c r="MAC312" s="1715" t="s">
        <v>0</v>
      </c>
      <c r="MAD312" s="1716"/>
      <c r="MAE312" s="1716"/>
      <c r="MAF312" s="1716"/>
      <c r="MAG312" s="1716"/>
      <c r="MAH312" s="244"/>
      <c r="MAI312" s="244" t="s">
        <v>68</v>
      </c>
      <c r="MAJ312" s="245" t="s">
        <v>68</v>
      </c>
      <c r="MAK312" s="1715" t="s">
        <v>0</v>
      </c>
      <c r="MAL312" s="1716"/>
      <c r="MAM312" s="1716"/>
      <c r="MAN312" s="1716"/>
      <c r="MAO312" s="1716"/>
      <c r="MAP312" s="244"/>
      <c r="MAQ312" s="244" t="s">
        <v>68</v>
      </c>
      <c r="MAR312" s="245" t="s">
        <v>68</v>
      </c>
      <c r="MAS312" s="1715" t="s">
        <v>0</v>
      </c>
      <c r="MAT312" s="1716"/>
      <c r="MAU312" s="1716"/>
      <c r="MAV312" s="1716"/>
      <c r="MAW312" s="1716"/>
      <c r="MAX312" s="244"/>
      <c r="MAY312" s="244" t="s">
        <v>68</v>
      </c>
      <c r="MAZ312" s="245" t="s">
        <v>68</v>
      </c>
      <c r="MBA312" s="1715" t="s">
        <v>0</v>
      </c>
      <c r="MBB312" s="1716"/>
      <c r="MBC312" s="1716"/>
      <c r="MBD312" s="1716"/>
      <c r="MBE312" s="1716"/>
      <c r="MBF312" s="244"/>
      <c r="MBG312" s="244" t="s">
        <v>68</v>
      </c>
      <c r="MBH312" s="245" t="s">
        <v>68</v>
      </c>
      <c r="MBI312" s="1715" t="s">
        <v>0</v>
      </c>
      <c r="MBJ312" s="1716"/>
      <c r="MBK312" s="1716"/>
      <c r="MBL312" s="1716"/>
      <c r="MBM312" s="1716"/>
      <c r="MBN312" s="244"/>
      <c r="MBO312" s="244" t="s">
        <v>68</v>
      </c>
      <c r="MBP312" s="245" t="s">
        <v>68</v>
      </c>
      <c r="MBQ312" s="1715" t="s">
        <v>0</v>
      </c>
      <c r="MBR312" s="1716"/>
      <c r="MBS312" s="1716"/>
      <c r="MBT312" s="1716"/>
      <c r="MBU312" s="1716"/>
      <c r="MBV312" s="244"/>
      <c r="MBW312" s="244" t="s">
        <v>68</v>
      </c>
      <c r="MBX312" s="245" t="s">
        <v>68</v>
      </c>
      <c r="MBY312" s="1715" t="s">
        <v>0</v>
      </c>
      <c r="MBZ312" s="1716"/>
      <c r="MCA312" s="1716"/>
      <c r="MCB312" s="1716"/>
      <c r="MCC312" s="1716"/>
      <c r="MCD312" s="244"/>
      <c r="MCE312" s="244" t="s">
        <v>68</v>
      </c>
      <c r="MCF312" s="245" t="s">
        <v>68</v>
      </c>
      <c r="MCG312" s="1715" t="s">
        <v>0</v>
      </c>
      <c r="MCH312" s="1716"/>
      <c r="MCI312" s="1716"/>
      <c r="MCJ312" s="1716"/>
      <c r="MCK312" s="1716"/>
      <c r="MCL312" s="244"/>
      <c r="MCM312" s="244" t="s">
        <v>68</v>
      </c>
      <c r="MCN312" s="245" t="s">
        <v>68</v>
      </c>
      <c r="MCO312" s="1715" t="s">
        <v>0</v>
      </c>
      <c r="MCP312" s="1716"/>
      <c r="MCQ312" s="1716"/>
      <c r="MCR312" s="1716"/>
      <c r="MCS312" s="1716"/>
      <c r="MCT312" s="244"/>
      <c r="MCU312" s="244" t="s">
        <v>68</v>
      </c>
      <c r="MCV312" s="245" t="s">
        <v>68</v>
      </c>
      <c r="MCW312" s="1715" t="s">
        <v>0</v>
      </c>
      <c r="MCX312" s="1716"/>
      <c r="MCY312" s="1716"/>
      <c r="MCZ312" s="1716"/>
      <c r="MDA312" s="1716"/>
      <c r="MDB312" s="244"/>
      <c r="MDC312" s="244" t="s">
        <v>68</v>
      </c>
      <c r="MDD312" s="245" t="s">
        <v>68</v>
      </c>
      <c r="MDE312" s="1715" t="s">
        <v>0</v>
      </c>
      <c r="MDF312" s="1716"/>
      <c r="MDG312" s="1716"/>
      <c r="MDH312" s="1716"/>
      <c r="MDI312" s="1716"/>
      <c r="MDJ312" s="244"/>
      <c r="MDK312" s="244" t="s">
        <v>68</v>
      </c>
      <c r="MDL312" s="245" t="s">
        <v>68</v>
      </c>
      <c r="MDM312" s="1715" t="s">
        <v>0</v>
      </c>
      <c r="MDN312" s="1716"/>
      <c r="MDO312" s="1716"/>
      <c r="MDP312" s="1716"/>
      <c r="MDQ312" s="1716"/>
      <c r="MDR312" s="244"/>
      <c r="MDS312" s="244" t="s">
        <v>68</v>
      </c>
      <c r="MDT312" s="245" t="s">
        <v>68</v>
      </c>
      <c r="MDU312" s="1715" t="s">
        <v>0</v>
      </c>
      <c r="MDV312" s="1716"/>
      <c r="MDW312" s="1716"/>
      <c r="MDX312" s="1716"/>
      <c r="MDY312" s="1716"/>
      <c r="MDZ312" s="244"/>
      <c r="MEA312" s="244" t="s">
        <v>68</v>
      </c>
      <c r="MEB312" s="245" t="s">
        <v>68</v>
      </c>
      <c r="MEC312" s="1715" t="s">
        <v>0</v>
      </c>
      <c r="MED312" s="1716"/>
      <c r="MEE312" s="1716"/>
      <c r="MEF312" s="1716"/>
      <c r="MEG312" s="1716"/>
      <c r="MEH312" s="244"/>
      <c r="MEI312" s="244" t="s">
        <v>68</v>
      </c>
      <c r="MEJ312" s="245" t="s">
        <v>68</v>
      </c>
      <c r="MEK312" s="1715" t="s">
        <v>0</v>
      </c>
      <c r="MEL312" s="1716"/>
      <c r="MEM312" s="1716"/>
      <c r="MEN312" s="1716"/>
      <c r="MEO312" s="1716"/>
      <c r="MEP312" s="244"/>
      <c r="MEQ312" s="244" t="s">
        <v>68</v>
      </c>
      <c r="MER312" s="245" t="s">
        <v>68</v>
      </c>
      <c r="MES312" s="1715" t="s">
        <v>0</v>
      </c>
      <c r="MET312" s="1716"/>
      <c r="MEU312" s="1716"/>
      <c r="MEV312" s="1716"/>
      <c r="MEW312" s="1716"/>
      <c r="MEX312" s="244"/>
      <c r="MEY312" s="244" t="s">
        <v>68</v>
      </c>
      <c r="MEZ312" s="245" t="s">
        <v>68</v>
      </c>
      <c r="MFA312" s="1715" t="s">
        <v>0</v>
      </c>
      <c r="MFB312" s="1716"/>
      <c r="MFC312" s="1716"/>
      <c r="MFD312" s="1716"/>
      <c r="MFE312" s="1716"/>
      <c r="MFF312" s="244"/>
      <c r="MFG312" s="244" t="s">
        <v>68</v>
      </c>
      <c r="MFH312" s="245" t="s">
        <v>68</v>
      </c>
      <c r="MFI312" s="1715" t="s">
        <v>0</v>
      </c>
      <c r="MFJ312" s="1716"/>
      <c r="MFK312" s="1716"/>
      <c r="MFL312" s="1716"/>
      <c r="MFM312" s="1716"/>
      <c r="MFN312" s="244"/>
      <c r="MFO312" s="244" t="s">
        <v>68</v>
      </c>
      <c r="MFP312" s="245" t="s">
        <v>68</v>
      </c>
      <c r="MFQ312" s="1715" t="s">
        <v>0</v>
      </c>
      <c r="MFR312" s="1716"/>
      <c r="MFS312" s="1716"/>
      <c r="MFT312" s="1716"/>
      <c r="MFU312" s="1716"/>
      <c r="MFV312" s="244"/>
      <c r="MFW312" s="244" t="s">
        <v>68</v>
      </c>
      <c r="MFX312" s="245" t="s">
        <v>68</v>
      </c>
      <c r="MFY312" s="1715" t="s">
        <v>0</v>
      </c>
      <c r="MFZ312" s="1716"/>
      <c r="MGA312" s="1716"/>
      <c r="MGB312" s="1716"/>
      <c r="MGC312" s="1716"/>
      <c r="MGD312" s="244"/>
      <c r="MGE312" s="244" t="s">
        <v>68</v>
      </c>
      <c r="MGF312" s="245" t="s">
        <v>68</v>
      </c>
      <c r="MGG312" s="1715" t="s">
        <v>0</v>
      </c>
      <c r="MGH312" s="1716"/>
      <c r="MGI312" s="1716"/>
      <c r="MGJ312" s="1716"/>
      <c r="MGK312" s="1716"/>
      <c r="MGL312" s="244"/>
      <c r="MGM312" s="244" t="s">
        <v>68</v>
      </c>
      <c r="MGN312" s="245" t="s">
        <v>68</v>
      </c>
      <c r="MGO312" s="1715" t="s">
        <v>0</v>
      </c>
      <c r="MGP312" s="1716"/>
      <c r="MGQ312" s="1716"/>
      <c r="MGR312" s="1716"/>
      <c r="MGS312" s="1716"/>
      <c r="MGT312" s="244"/>
      <c r="MGU312" s="244" t="s">
        <v>68</v>
      </c>
      <c r="MGV312" s="245" t="s">
        <v>68</v>
      </c>
      <c r="MGW312" s="1715" t="s">
        <v>0</v>
      </c>
      <c r="MGX312" s="1716"/>
      <c r="MGY312" s="1716"/>
      <c r="MGZ312" s="1716"/>
      <c r="MHA312" s="1716"/>
      <c r="MHB312" s="244"/>
      <c r="MHC312" s="244" t="s">
        <v>68</v>
      </c>
      <c r="MHD312" s="245" t="s">
        <v>68</v>
      </c>
      <c r="MHE312" s="1715" t="s">
        <v>0</v>
      </c>
      <c r="MHF312" s="1716"/>
      <c r="MHG312" s="1716"/>
      <c r="MHH312" s="1716"/>
      <c r="MHI312" s="1716"/>
      <c r="MHJ312" s="244"/>
      <c r="MHK312" s="244" t="s">
        <v>68</v>
      </c>
      <c r="MHL312" s="245" t="s">
        <v>68</v>
      </c>
      <c r="MHM312" s="1715" t="s">
        <v>0</v>
      </c>
      <c r="MHN312" s="1716"/>
      <c r="MHO312" s="1716"/>
      <c r="MHP312" s="1716"/>
      <c r="MHQ312" s="1716"/>
      <c r="MHR312" s="244"/>
      <c r="MHS312" s="244" t="s">
        <v>68</v>
      </c>
      <c r="MHT312" s="245" t="s">
        <v>68</v>
      </c>
      <c r="MHU312" s="1715" t="s">
        <v>0</v>
      </c>
      <c r="MHV312" s="1716"/>
      <c r="MHW312" s="1716"/>
      <c r="MHX312" s="1716"/>
      <c r="MHY312" s="1716"/>
      <c r="MHZ312" s="244"/>
      <c r="MIA312" s="244" t="s">
        <v>68</v>
      </c>
      <c r="MIB312" s="245" t="s">
        <v>68</v>
      </c>
      <c r="MIC312" s="1715" t="s">
        <v>0</v>
      </c>
      <c r="MID312" s="1716"/>
      <c r="MIE312" s="1716"/>
      <c r="MIF312" s="1716"/>
      <c r="MIG312" s="1716"/>
      <c r="MIH312" s="244"/>
      <c r="MII312" s="244" t="s">
        <v>68</v>
      </c>
      <c r="MIJ312" s="245" t="s">
        <v>68</v>
      </c>
      <c r="MIK312" s="1715" t="s">
        <v>0</v>
      </c>
      <c r="MIL312" s="1716"/>
      <c r="MIM312" s="1716"/>
      <c r="MIN312" s="1716"/>
      <c r="MIO312" s="1716"/>
      <c r="MIP312" s="244"/>
      <c r="MIQ312" s="244" t="s">
        <v>68</v>
      </c>
      <c r="MIR312" s="245" t="s">
        <v>68</v>
      </c>
      <c r="MIS312" s="1715" t="s">
        <v>0</v>
      </c>
      <c r="MIT312" s="1716"/>
      <c r="MIU312" s="1716"/>
      <c r="MIV312" s="1716"/>
      <c r="MIW312" s="1716"/>
      <c r="MIX312" s="244"/>
      <c r="MIY312" s="244" t="s">
        <v>68</v>
      </c>
      <c r="MIZ312" s="245" t="s">
        <v>68</v>
      </c>
      <c r="MJA312" s="1715" t="s">
        <v>0</v>
      </c>
      <c r="MJB312" s="1716"/>
      <c r="MJC312" s="1716"/>
      <c r="MJD312" s="1716"/>
      <c r="MJE312" s="1716"/>
      <c r="MJF312" s="244"/>
      <c r="MJG312" s="244" t="s">
        <v>68</v>
      </c>
      <c r="MJH312" s="245" t="s">
        <v>68</v>
      </c>
      <c r="MJI312" s="1715" t="s">
        <v>0</v>
      </c>
      <c r="MJJ312" s="1716"/>
      <c r="MJK312" s="1716"/>
      <c r="MJL312" s="1716"/>
      <c r="MJM312" s="1716"/>
      <c r="MJN312" s="244"/>
      <c r="MJO312" s="244" t="s">
        <v>68</v>
      </c>
      <c r="MJP312" s="245" t="s">
        <v>68</v>
      </c>
      <c r="MJQ312" s="1715" t="s">
        <v>0</v>
      </c>
      <c r="MJR312" s="1716"/>
      <c r="MJS312" s="1716"/>
      <c r="MJT312" s="1716"/>
      <c r="MJU312" s="1716"/>
      <c r="MJV312" s="244"/>
      <c r="MJW312" s="244" t="s">
        <v>68</v>
      </c>
      <c r="MJX312" s="245" t="s">
        <v>68</v>
      </c>
      <c r="MJY312" s="1715" t="s">
        <v>0</v>
      </c>
      <c r="MJZ312" s="1716"/>
      <c r="MKA312" s="1716"/>
      <c r="MKB312" s="1716"/>
      <c r="MKC312" s="1716"/>
      <c r="MKD312" s="244"/>
      <c r="MKE312" s="244" t="s">
        <v>68</v>
      </c>
      <c r="MKF312" s="245" t="s">
        <v>68</v>
      </c>
      <c r="MKG312" s="1715" t="s">
        <v>0</v>
      </c>
      <c r="MKH312" s="1716"/>
      <c r="MKI312" s="1716"/>
      <c r="MKJ312" s="1716"/>
      <c r="MKK312" s="1716"/>
      <c r="MKL312" s="244"/>
      <c r="MKM312" s="244" t="s">
        <v>68</v>
      </c>
      <c r="MKN312" s="245" t="s">
        <v>68</v>
      </c>
      <c r="MKO312" s="1715" t="s">
        <v>0</v>
      </c>
      <c r="MKP312" s="1716"/>
      <c r="MKQ312" s="1716"/>
      <c r="MKR312" s="1716"/>
      <c r="MKS312" s="1716"/>
      <c r="MKT312" s="244"/>
      <c r="MKU312" s="244" t="s">
        <v>68</v>
      </c>
      <c r="MKV312" s="245" t="s">
        <v>68</v>
      </c>
      <c r="MKW312" s="1715" t="s">
        <v>0</v>
      </c>
      <c r="MKX312" s="1716"/>
      <c r="MKY312" s="1716"/>
      <c r="MKZ312" s="1716"/>
      <c r="MLA312" s="1716"/>
      <c r="MLB312" s="244"/>
      <c r="MLC312" s="244" t="s">
        <v>68</v>
      </c>
      <c r="MLD312" s="245" t="s">
        <v>68</v>
      </c>
      <c r="MLE312" s="1715" t="s">
        <v>0</v>
      </c>
      <c r="MLF312" s="1716"/>
      <c r="MLG312" s="1716"/>
      <c r="MLH312" s="1716"/>
      <c r="MLI312" s="1716"/>
      <c r="MLJ312" s="244"/>
      <c r="MLK312" s="244" t="s">
        <v>68</v>
      </c>
      <c r="MLL312" s="245" t="s">
        <v>68</v>
      </c>
      <c r="MLM312" s="1715" t="s">
        <v>0</v>
      </c>
      <c r="MLN312" s="1716"/>
      <c r="MLO312" s="1716"/>
      <c r="MLP312" s="1716"/>
      <c r="MLQ312" s="1716"/>
      <c r="MLR312" s="244"/>
      <c r="MLS312" s="244" t="s">
        <v>68</v>
      </c>
      <c r="MLT312" s="245" t="s">
        <v>68</v>
      </c>
      <c r="MLU312" s="1715" t="s">
        <v>0</v>
      </c>
      <c r="MLV312" s="1716"/>
      <c r="MLW312" s="1716"/>
      <c r="MLX312" s="1716"/>
      <c r="MLY312" s="1716"/>
      <c r="MLZ312" s="244"/>
      <c r="MMA312" s="244" t="s">
        <v>68</v>
      </c>
      <c r="MMB312" s="245" t="s">
        <v>68</v>
      </c>
      <c r="MMC312" s="1715" t="s">
        <v>0</v>
      </c>
      <c r="MMD312" s="1716"/>
      <c r="MME312" s="1716"/>
      <c r="MMF312" s="1716"/>
      <c r="MMG312" s="1716"/>
      <c r="MMH312" s="244"/>
      <c r="MMI312" s="244" t="s">
        <v>68</v>
      </c>
      <c r="MMJ312" s="245" t="s">
        <v>68</v>
      </c>
      <c r="MMK312" s="1715" t="s">
        <v>0</v>
      </c>
      <c r="MML312" s="1716"/>
      <c r="MMM312" s="1716"/>
      <c r="MMN312" s="1716"/>
      <c r="MMO312" s="1716"/>
      <c r="MMP312" s="244"/>
      <c r="MMQ312" s="244" t="s">
        <v>68</v>
      </c>
      <c r="MMR312" s="245" t="s">
        <v>68</v>
      </c>
      <c r="MMS312" s="1715" t="s">
        <v>0</v>
      </c>
      <c r="MMT312" s="1716"/>
      <c r="MMU312" s="1716"/>
      <c r="MMV312" s="1716"/>
      <c r="MMW312" s="1716"/>
      <c r="MMX312" s="244"/>
      <c r="MMY312" s="244" t="s">
        <v>68</v>
      </c>
      <c r="MMZ312" s="245" t="s">
        <v>68</v>
      </c>
      <c r="MNA312" s="1715" t="s">
        <v>0</v>
      </c>
      <c r="MNB312" s="1716"/>
      <c r="MNC312" s="1716"/>
      <c r="MND312" s="1716"/>
      <c r="MNE312" s="1716"/>
      <c r="MNF312" s="244"/>
      <c r="MNG312" s="244" t="s">
        <v>68</v>
      </c>
      <c r="MNH312" s="245" t="s">
        <v>68</v>
      </c>
      <c r="MNI312" s="1715" t="s">
        <v>0</v>
      </c>
      <c r="MNJ312" s="1716"/>
      <c r="MNK312" s="1716"/>
      <c r="MNL312" s="1716"/>
      <c r="MNM312" s="1716"/>
      <c r="MNN312" s="244"/>
      <c r="MNO312" s="244" t="s">
        <v>68</v>
      </c>
      <c r="MNP312" s="245" t="s">
        <v>68</v>
      </c>
      <c r="MNQ312" s="1715" t="s">
        <v>0</v>
      </c>
      <c r="MNR312" s="1716"/>
      <c r="MNS312" s="1716"/>
      <c r="MNT312" s="1716"/>
      <c r="MNU312" s="1716"/>
      <c r="MNV312" s="244"/>
      <c r="MNW312" s="244" t="s">
        <v>68</v>
      </c>
      <c r="MNX312" s="245" t="s">
        <v>68</v>
      </c>
      <c r="MNY312" s="1715" t="s">
        <v>0</v>
      </c>
      <c r="MNZ312" s="1716"/>
      <c r="MOA312" s="1716"/>
      <c r="MOB312" s="1716"/>
      <c r="MOC312" s="1716"/>
      <c r="MOD312" s="244"/>
      <c r="MOE312" s="244" t="s">
        <v>68</v>
      </c>
      <c r="MOF312" s="245" t="s">
        <v>68</v>
      </c>
      <c r="MOG312" s="1715" t="s">
        <v>0</v>
      </c>
      <c r="MOH312" s="1716"/>
      <c r="MOI312" s="1716"/>
      <c r="MOJ312" s="1716"/>
      <c r="MOK312" s="1716"/>
      <c r="MOL312" s="244"/>
      <c r="MOM312" s="244" t="s">
        <v>68</v>
      </c>
      <c r="MON312" s="245" t="s">
        <v>68</v>
      </c>
      <c r="MOO312" s="1715" t="s">
        <v>0</v>
      </c>
      <c r="MOP312" s="1716"/>
      <c r="MOQ312" s="1716"/>
      <c r="MOR312" s="1716"/>
      <c r="MOS312" s="1716"/>
      <c r="MOT312" s="244"/>
      <c r="MOU312" s="244" t="s">
        <v>68</v>
      </c>
      <c r="MOV312" s="245" t="s">
        <v>68</v>
      </c>
      <c r="MOW312" s="1715" t="s">
        <v>0</v>
      </c>
      <c r="MOX312" s="1716"/>
      <c r="MOY312" s="1716"/>
      <c r="MOZ312" s="1716"/>
      <c r="MPA312" s="1716"/>
      <c r="MPB312" s="244"/>
      <c r="MPC312" s="244" t="s">
        <v>68</v>
      </c>
      <c r="MPD312" s="245" t="s">
        <v>68</v>
      </c>
      <c r="MPE312" s="1715" t="s">
        <v>0</v>
      </c>
      <c r="MPF312" s="1716"/>
      <c r="MPG312" s="1716"/>
      <c r="MPH312" s="1716"/>
      <c r="MPI312" s="1716"/>
      <c r="MPJ312" s="244"/>
      <c r="MPK312" s="244" t="s">
        <v>68</v>
      </c>
      <c r="MPL312" s="245" t="s">
        <v>68</v>
      </c>
      <c r="MPM312" s="1715" t="s">
        <v>0</v>
      </c>
      <c r="MPN312" s="1716"/>
      <c r="MPO312" s="1716"/>
      <c r="MPP312" s="1716"/>
      <c r="MPQ312" s="1716"/>
      <c r="MPR312" s="244"/>
      <c r="MPS312" s="244" t="s">
        <v>68</v>
      </c>
      <c r="MPT312" s="245" t="s">
        <v>68</v>
      </c>
      <c r="MPU312" s="1715" t="s">
        <v>0</v>
      </c>
      <c r="MPV312" s="1716"/>
      <c r="MPW312" s="1716"/>
      <c r="MPX312" s="1716"/>
      <c r="MPY312" s="1716"/>
      <c r="MPZ312" s="244"/>
      <c r="MQA312" s="244" t="s">
        <v>68</v>
      </c>
      <c r="MQB312" s="245" t="s">
        <v>68</v>
      </c>
      <c r="MQC312" s="1715" t="s">
        <v>0</v>
      </c>
      <c r="MQD312" s="1716"/>
      <c r="MQE312" s="1716"/>
      <c r="MQF312" s="1716"/>
      <c r="MQG312" s="1716"/>
      <c r="MQH312" s="244"/>
      <c r="MQI312" s="244" t="s">
        <v>68</v>
      </c>
      <c r="MQJ312" s="245" t="s">
        <v>68</v>
      </c>
      <c r="MQK312" s="1715" t="s">
        <v>0</v>
      </c>
      <c r="MQL312" s="1716"/>
      <c r="MQM312" s="1716"/>
      <c r="MQN312" s="1716"/>
      <c r="MQO312" s="1716"/>
      <c r="MQP312" s="244"/>
      <c r="MQQ312" s="244" t="s">
        <v>68</v>
      </c>
      <c r="MQR312" s="245" t="s">
        <v>68</v>
      </c>
      <c r="MQS312" s="1715" t="s">
        <v>0</v>
      </c>
      <c r="MQT312" s="1716"/>
      <c r="MQU312" s="1716"/>
      <c r="MQV312" s="1716"/>
      <c r="MQW312" s="1716"/>
      <c r="MQX312" s="244"/>
      <c r="MQY312" s="244" t="s">
        <v>68</v>
      </c>
      <c r="MQZ312" s="245" t="s">
        <v>68</v>
      </c>
      <c r="MRA312" s="1715" t="s">
        <v>0</v>
      </c>
      <c r="MRB312" s="1716"/>
      <c r="MRC312" s="1716"/>
      <c r="MRD312" s="1716"/>
      <c r="MRE312" s="1716"/>
      <c r="MRF312" s="244"/>
      <c r="MRG312" s="244" t="s">
        <v>68</v>
      </c>
      <c r="MRH312" s="245" t="s">
        <v>68</v>
      </c>
      <c r="MRI312" s="1715" t="s">
        <v>0</v>
      </c>
      <c r="MRJ312" s="1716"/>
      <c r="MRK312" s="1716"/>
      <c r="MRL312" s="1716"/>
      <c r="MRM312" s="1716"/>
      <c r="MRN312" s="244"/>
      <c r="MRO312" s="244" t="s">
        <v>68</v>
      </c>
      <c r="MRP312" s="245" t="s">
        <v>68</v>
      </c>
      <c r="MRQ312" s="1715" t="s">
        <v>0</v>
      </c>
      <c r="MRR312" s="1716"/>
      <c r="MRS312" s="1716"/>
      <c r="MRT312" s="1716"/>
      <c r="MRU312" s="1716"/>
      <c r="MRV312" s="244"/>
      <c r="MRW312" s="244" t="s">
        <v>68</v>
      </c>
      <c r="MRX312" s="245" t="s">
        <v>68</v>
      </c>
      <c r="MRY312" s="1715" t="s">
        <v>0</v>
      </c>
      <c r="MRZ312" s="1716"/>
      <c r="MSA312" s="1716"/>
      <c r="MSB312" s="1716"/>
      <c r="MSC312" s="1716"/>
      <c r="MSD312" s="244"/>
      <c r="MSE312" s="244" t="s">
        <v>68</v>
      </c>
      <c r="MSF312" s="245" t="s">
        <v>68</v>
      </c>
      <c r="MSG312" s="1715" t="s">
        <v>0</v>
      </c>
      <c r="MSH312" s="1716"/>
      <c r="MSI312" s="1716"/>
      <c r="MSJ312" s="1716"/>
      <c r="MSK312" s="1716"/>
      <c r="MSL312" s="244"/>
      <c r="MSM312" s="244" t="s">
        <v>68</v>
      </c>
      <c r="MSN312" s="245" t="s">
        <v>68</v>
      </c>
      <c r="MSO312" s="1715" t="s">
        <v>0</v>
      </c>
      <c r="MSP312" s="1716"/>
      <c r="MSQ312" s="1716"/>
      <c r="MSR312" s="1716"/>
      <c r="MSS312" s="1716"/>
      <c r="MST312" s="244"/>
      <c r="MSU312" s="244" t="s">
        <v>68</v>
      </c>
      <c r="MSV312" s="245" t="s">
        <v>68</v>
      </c>
      <c r="MSW312" s="1715" t="s">
        <v>0</v>
      </c>
      <c r="MSX312" s="1716"/>
      <c r="MSY312" s="1716"/>
      <c r="MSZ312" s="1716"/>
      <c r="MTA312" s="1716"/>
      <c r="MTB312" s="244"/>
      <c r="MTC312" s="244" t="s">
        <v>68</v>
      </c>
      <c r="MTD312" s="245" t="s">
        <v>68</v>
      </c>
      <c r="MTE312" s="1715" t="s">
        <v>0</v>
      </c>
      <c r="MTF312" s="1716"/>
      <c r="MTG312" s="1716"/>
      <c r="MTH312" s="1716"/>
      <c r="MTI312" s="1716"/>
      <c r="MTJ312" s="244"/>
      <c r="MTK312" s="244" t="s">
        <v>68</v>
      </c>
      <c r="MTL312" s="245" t="s">
        <v>68</v>
      </c>
      <c r="MTM312" s="1715" t="s">
        <v>0</v>
      </c>
      <c r="MTN312" s="1716"/>
      <c r="MTO312" s="1716"/>
      <c r="MTP312" s="1716"/>
      <c r="MTQ312" s="1716"/>
      <c r="MTR312" s="244"/>
      <c r="MTS312" s="244" t="s">
        <v>68</v>
      </c>
      <c r="MTT312" s="245" t="s">
        <v>68</v>
      </c>
      <c r="MTU312" s="1715" t="s">
        <v>0</v>
      </c>
      <c r="MTV312" s="1716"/>
      <c r="MTW312" s="1716"/>
      <c r="MTX312" s="1716"/>
      <c r="MTY312" s="1716"/>
      <c r="MTZ312" s="244"/>
      <c r="MUA312" s="244" t="s">
        <v>68</v>
      </c>
      <c r="MUB312" s="245" t="s">
        <v>68</v>
      </c>
      <c r="MUC312" s="1715" t="s">
        <v>0</v>
      </c>
      <c r="MUD312" s="1716"/>
      <c r="MUE312" s="1716"/>
      <c r="MUF312" s="1716"/>
      <c r="MUG312" s="1716"/>
      <c r="MUH312" s="244"/>
      <c r="MUI312" s="244" t="s">
        <v>68</v>
      </c>
      <c r="MUJ312" s="245" t="s">
        <v>68</v>
      </c>
      <c r="MUK312" s="1715" t="s">
        <v>0</v>
      </c>
      <c r="MUL312" s="1716"/>
      <c r="MUM312" s="1716"/>
      <c r="MUN312" s="1716"/>
      <c r="MUO312" s="1716"/>
      <c r="MUP312" s="244"/>
      <c r="MUQ312" s="244" t="s">
        <v>68</v>
      </c>
      <c r="MUR312" s="245" t="s">
        <v>68</v>
      </c>
      <c r="MUS312" s="1715" t="s">
        <v>0</v>
      </c>
      <c r="MUT312" s="1716"/>
      <c r="MUU312" s="1716"/>
      <c r="MUV312" s="1716"/>
      <c r="MUW312" s="1716"/>
      <c r="MUX312" s="244"/>
      <c r="MUY312" s="244" t="s">
        <v>68</v>
      </c>
      <c r="MUZ312" s="245" t="s">
        <v>68</v>
      </c>
      <c r="MVA312" s="1715" t="s">
        <v>0</v>
      </c>
      <c r="MVB312" s="1716"/>
      <c r="MVC312" s="1716"/>
      <c r="MVD312" s="1716"/>
      <c r="MVE312" s="1716"/>
      <c r="MVF312" s="244"/>
      <c r="MVG312" s="244" t="s">
        <v>68</v>
      </c>
      <c r="MVH312" s="245" t="s">
        <v>68</v>
      </c>
      <c r="MVI312" s="1715" t="s">
        <v>0</v>
      </c>
      <c r="MVJ312" s="1716"/>
      <c r="MVK312" s="1716"/>
      <c r="MVL312" s="1716"/>
      <c r="MVM312" s="1716"/>
      <c r="MVN312" s="244"/>
      <c r="MVO312" s="244" t="s">
        <v>68</v>
      </c>
      <c r="MVP312" s="245" t="s">
        <v>68</v>
      </c>
      <c r="MVQ312" s="1715" t="s">
        <v>0</v>
      </c>
      <c r="MVR312" s="1716"/>
      <c r="MVS312" s="1716"/>
      <c r="MVT312" s="1716"/>
      <c r="MVU312" s="1716"/>
      <c r="MVV312" s="244"/>
      <c r="MVW312" s="244" t="s">
        <v>68</v>
      </c>
      <c r="MVX312" s="245" t="s">
        <v>68</v>
      </c>
      <c r="MVY312" s="1715" t="s">
        <v>0</v>
      </c>
      <c r="MVZ312" s="1716"/>
      <c r="MWA312" s="1716"/>
      <c r="MWB312" s="1716"/>
      <c r="MWC312" s="1716"/>
      <c r="MWD312" s="244"/>
      <c r="MWE312" s="244" t="s">
        <v>68</v>
      </c>
      <c r="MWF312" s="245" t="s">
        <v>68</v>
      </c>
      <c r="MWG312" s="1715" t="s">
        <v>0</v>
      </c>
      <c r="MWH312" s="1716"/>
      <c r="MWI312" s="1716"/>
      <c r="MWJ312" s="1716"/>
      <c r="MWK312" s="1716"/>
      <c r="MWL312" s="244"/>
      <c r="MWM312" s="244" t="s">
        <v>68</v>
      </c>
      <c r="MWN312" s="245" t="s">
        <v>68</v>
      </c>
      <c r="MWO312" s="1715" t="s">
        <v>0</v>
      </c>
      <c r="MWP312" s="1716"/>
      <c r="MWQ312" s="1716"/>
      <c r="MWR312" s="1716"/>
      <c r="MWS312" s="1716"/>
      <c r="MWT312" s="244"/>
      <c r="MWU312" s="244" t="s">
        <v>68</v>
      </c>
      <c r="MWV312" s="245" t="s">
        <v>68</v>
      </c>
      <c r="MWW312" s="1715" t="s">
        <v>0</v>
      </c>
      <c r="MWX312" s="1716"/>
      <c r="MWY312" s="1716"/>
      <c r="MWZ312" s="1716"/>
      <c r="MXA312" s="1716"/>
      <c r="MXB312" s="244"/>
      <c r="MXC312" s="244" t="s">
        <v>68</v>
      </c>
      <c r="MXD312" s="245" t="s">
        <v>68</v>
      </c>
      <c r="MXE312" s="1715" t="s">
        <v>0</v>
      </c>
      <c r="MXF312" s="1716"/>
      <c r="MXG312" s="1716"/>
      <c r="MXH312" s="1716"/>
      <c r="MXI312" s="1716"/>
      <c r="MXJ312" s="244"/>
      <c r="MXK312" s="244" t="s">
        <v>68</v>
      </c>
      <c r="MXL312" s="245" t="s">
        <v>68</v>
      </c>
      <c r="MXM312" s="1715" t="s">
        <v>0</v>
      </c>
      <c r="MXN312" s="1716"/>
      <c r="MXO312" s="1716"/>
      <c r="MXP312" s="1716"/>
      <c r="MXQ312" s="1716"/>
      <c r="MXR312" s="244"/>
      <c r="MXS312" s="244" t="s">
        <v>68</v>
      </c>
      <c r="MXT312" s="245" t="s">
        <v>68</v>
      </c>
      <c r="MXU312" s="1715" t="s">
        <v>0</v>
      </c>
      <c r="MXV312" s="1716"/>
      <c r="MXW312" s="1716"/>
      <c r="MXX312" s="1716"/>
      <c r="MXY312" s="1716"/>
      <c r="MXZ312" s="244"/>
      <c r="MYA312" s="244" t="s">
        <v>68</v>
      </c>
      <c r="MYB312" s="245" t="s">
        <v>68</v>
      </c>
      <c r="MYC312" s="1715" t="s">
        <v>0</v>
      </c>
      <c r="MYD312" s="1716"/>
      <c r="MYE312" s="1716"/>
      <c r="MYF312" s="1716"/>
      <c r="MYG312" s="1716"/>
      <c r="MYH312" s="244"/>
      <c r="MYI312" s="244" t="s">
        <v>68</v>
      </c>
      <c r="MYJ312" s="245" t="s">
        <v>68</v>
      </c>
      <c r="MYK312" s="1715" t="s">
        <v>0</v>
      </c>
      <c r="MYL312" s="1716"/>
      <c r="MYM312" s="1716"/>
      <c r="MYN312" s="1716"/>
      <c r="MYO312" s="1716"/>
      <c r="MYP312" s="244"/>
      <c r="MYQ312" s="244" t="s">
        <v>68</v>
      </c>
      <c r="MYR312" s="245" t="s">
        <v>68</v>
      </c>
      <c r="MYS312" s="1715" t="s">
        <v>0</v>
      </c>
      <c r="MYT312" s="1716"/>
      <c r="MYU312" s="1716"/>
      <c r="MYV312" s="1716"/>
      <c r="MYW312" s="1716"/>
      <c r="MYX312" s="244"/>
      <c r="MYY312" s="244" t="s">
        <v>68</v>
      </c>
      <c r="MYZ312" s="245" t="s">
        <v>68</v>
      </c>
      <c r="MZA312" s="1715" t="s">
        <v>0</v>
      </c>
      <c r="MZB312" s="1716"/>
      <c r="MZC312" s="1716"/>
      <c r="MZD312" s="1716"/>
      <c r="MZE312" s="1716"/>
      <c r="MZF312" s="244"/>
      <c r="MZG312" s="244" t="s">
        <v>68</v>
      </c>
      <c r="MZH312" s="245" t="s">
        <v>68</v>
      </c>
      <c r="MZI312" s="1715" t="s">
        <v>0</v>
      </c>
      <c r="MZJ312" s="1716"/>
      <c r="MZK312" s="1716"/>
      <c r="MZL312" s="1716"/>
      <c r="MZM312" s="1716"/>
      <c r="MZN312" s="244"/>
      <c r="MZO312" s="244" t="s">
        <v>68</v>
      </c>
      <c r="MZP312" s="245" t="s">
        <v>68</v>
      </c>
      <c r="MZQ312" s="1715" t="s">
        <v>0</v>
      </c>
      <c r="MZR312" s="1716"/>
      <c r="MZS312" s="1716"/>
      <c r="MZT312" s="1716"/>
      <c r="MZU312" s="1716"/>
      <c r="MZV312" s="244"/>
      <c r="MZW312" s="244" t="s">
        <v>68</v>
      </c>
      <c r="MZX312" s="245" t="s">
        <v>68</v>
      </c>
      <c r="MZY312" s="1715" t="s">
        <v>0</v>
      </c>
      <c r="MZZ312" s="1716"/>
      <c r="NAA312" s="1716"/>
      <c r="NAB312" s="1716"/>
      <c r="NAC312" s="1716"/>
      <c r="NAD312" s="244"/>
      <c r="NAE312" s="244" t="s">
        <v>68</v>
      </c>
      <c r="NAF312" s="245" t="s">
        <v>68</v>
      </c>
      <c r="NAG312" s="1715" t="s">
        <v>0</v>
      </c>
      <c r="NAH312" s="1716"/>
      <c r="NAI312" s="1716"/>
      <c r="NAJ312" s="1716"/>
      <c r="NAK312" s="1716"/>
      <c r="NAL312" s="244"/>
      <c r="NAM312" s="244" t="s">
        <v>68</v>
      </c>
      <c r="NAN312" s="245" t="s">
        <v>68</v>
      </c>
      <c r="NAO312" s="1715" t="s">
        <v>0</v>
      </c>
      <c r="NAP312" s="1716"/>
      <c r="NAQ312" s="1716"/>
      <c r="NAR312" s="1716"/>
      <c r="NAS312" s="1716"/>
      <c r="NAT312" s="244"/>
      <c r="NAU312" s="244" t="s">
        <v>68</v>
      </c>
      <c r="NAV312" s="245" t="s">
        <v>68</v>
      </c>
      <c r="NAW312" s="1715" t="s">
        <v>0</v>
      </c>
      <c r="NAX312" s="1716"/>
      <c r="NAY312" s="1716"/>
      <c r="NAZ312" s="1716"/>
      <c r="NBA312" s="1716"/>
      <c r="NBB312" s="244"/>
      <c r="NBC312" s="244" t="s">
        <v>68</v>
      </c>
      <c r="NBD312" s="245" t="s">
        <v>68</v>
      </c>
      <c r="NBE312" s="1715" t="s">
        <v>0</v>
      </c>
      <c r="NBF312" s="1716"/>
      <c r="NBG312" s="1716"/>
      <c r="NBH312" s="1716"/>
      <c r="NBI312" s="1716"/>
      <c r="NBJ312" s="244"/>
      <c r="NBK312" s="244" t="s">
        <v>68</v>
      </c>
      <c r="NBL312" s="245" t="s">
        <v>68</v>
      </c>
      <c r="NBM312" s="1715" t="s">
        <v>0</v>
      </c>
      <c r="NBN312" s="1716"/>
      <c r="NBO312" s="1716"/>
      <c r="NBP312" s="1716"/>
      <c r="NBQ312" s="1716"/>
      <c r="NBR312" s="244"/>
      <c r="NBS312" s="244" t="s">
        <v>68</v>
      </c>
      <c r="NBT312" s="245" t="s">
        <v>68</v>
      </c>
      <c r="NBU312" s="1715" t="s">
        <v>0</v>
      </c>
      <c r="NBV312" s="1716"/>
      <c r="NBW312" s="1716"/>
      <c r="NBX312" s="1716"/>
      <c r="NBY312" s="1716"/>
      <c r="NBZ312" s="244"/>
      <c r="NCA312" s="244" t="s">
        <v>68</v>
      </c>
      <c r="NCB312" s="245" t="s">
        <v>68</v>
      </c>
      <c r="NCC312" s="1715" t="s">
        <v>0</v>
      </c>
      <c r="NCD312" s="1716"/>
      <c r="NCE312" s="1716"/>
      <c r="NCF312" s="1716"/>
      <c r="NCG312" s="1716"/>
      <c r="NCH312" s="244"/>
      <c r="NCI312" s="244" t="s">
        <v>68</v>
      </c>
      <c r="NCJ312" s="245" t="s">
        <v>68</v>
      </c>
      <c r="NCK312" s="1715" t="s">
        <v>0</v>
      </c>
      <c r="NCL312" s="1716"/>
      <c r="NCM312" s="1716"/>
      <c r="NCN312" s="1716"/>
      <c r="NCO312" s="1716"/>
      <c r="NCP312" s="244"/>
      <c r="NCQ312" s="244" t="s">
        <v>68</v>
      </c>
      <c r="NCR312" s="245" t="s">
        <v>68</v>
      </c>
      <c r="NCS312" s="1715" t="s">
        <v>0</v>
      </c>
      <c r="NCT312" s="1716"/>
      <c r="NCU312" s="1716"/>
      <c r="NCV312" s="1716"/>
      <c r="NCW312" s="1716"/>
      <c r="NCX312" s="244"/>
      <c r="NCY312" s="244" t="s">
        <v>68</v>
      </c>
      <c r="NCZ312" s="245" t="s">
        <v>68</v>
      </c>
      <c r="NDA312" s="1715" t="s">
        <v>0</v>
      </c>
      <c r="NDB312" s="1716"/>
      <c r="NDC312" s="1716"/>
      <c r="NDD312" s="1716"/>
      <c r="NDE312" s="1716"/>
      <c r="NDF312" s="244"/>
      <c r="NDG312" s="244" t="s">
        <v>68</v>
      </c>
      <c r="NDH312" s="245" t="s">
        <v>68</v>
      </c>
      <c r="NDI312" s="1715" t="s">
        <v>0</v>
      </c>
      <c r="NDJ312" s="1716"/>
      <c r="NDK312" s="1716"/>
      <c r="NDL312" s="1716"/>
      <c r="NDM312" s="1716"/>
      <c r="NDN312" s="244"/>
      <c r="NDO312" s="244" t="s">
        <v>68</v>
      </c>
      <c r="NDP312" s="245" t="s">
        <v>68</v>
      </c>
      <c r="NDQ312" s="1715" t="s">
        <v>0</v>
      </c>
      <c r="NDR312" s="1716"/>
      <c r="NDS312" s="1716"/>
      <c r="NDT312" s="1716"/>
      <c r="NDU312" s="1716"/>
      <c r="NDV312" s="244"/>
      <c r="NDW312" s="244" t="s">
        <v>68</v>
      </c>
      <c r="NDX312" s="245" t="s">
        <v>68</v>
      </c>
      <c r="NDY312" s="1715" t="s">
        <v>0</v>
      </c>
      <c r="NDZ312" s="1716"/>
      <c r="NEA312" s="1716"/>
      <c r="NEB312" s="1716"/>
      <c r="NEC312" s="1716"/>
      <c r="NED312" s="244"/>
      <c r="NEE312" s="244" t="s">
        <v>68</v>
      </c>
      <c r="NEF312" s="245" t="s">
        <v>68</v>
      </c>
      <c r="NEG312" s="1715" t="s">
        <v>0</v>
      </c>
      <c r="NEH312" s="1716"/>
      <c r="NEI312" s="1716"/>
      <c r="NEJ312" s="1716"/>
      <c r="NEK312" s="1716"/>
      <c r="NEL312" s="244"/>
      <c r="NEM312" s="244" t="s">
        <v>68</v>
      </c>
      <c r="NEN312" s="245" t="s">
        <v>68</v>
      </c>
      <c r="NEO312" s="1715" t="s">
        <v>0</v>
      </c>
      <c r="NEP312" s="1716"/>
      <c r="NEQ312" s="1716"/>
      <c r="NER312" s="1716"/>
      <c r="NES312" s="1716"/>
      <c r="NET312" s="244"/>
      <c r="NEU312" s="244" t="s">
        <v>68</v>
      </c>
      <c r="NEV312" s="245" t="s">
        <v>68</v>
      </c>
      <c r="NEW312" s="1715" t="s">
        <v>0</v>
      </c>
      <c r="NEX312" s="1716"/>
      <c r="NEY312" s="1716"/>
      <c r="NEZ312" s="1716"/>
      <c r="NFA312" s="1716"/>
      <c r="NFB312" s="244"/>
      <c r="NFC312" s="244" t="s">
        <v>68</v>
      </c>
      <c r="NFD312" s="245" t="s">
        <v>68</v>
      </c>
      <c r="NFE312" s="1715" t="s">
        <v>0</v>
      </c>
      <c r="NFF312" s="1716"/>
      <c r="NFG312" s="1716"/>
      <c r="NFH312" s="1716"/>
      <c r="NFI312" s="1716"/>
      <c r="NFJ312" s="244"/>
      <c r="NFK312" s="244" t="s">
        <v>68</v>
      </c>
      <c r="NFL312" s="245" t="s">
        <v>68</v>
      </c>
      <c r="NFM312" s="1715" t="s">
        <v>0</v>
      </c>
      <c r="NFN312" s="1716"/>
      <c r="NFO312" s="1716"/>
      <c r="NFP312" s="1716"/>
      <c r="NFQ312" s="1716"/>
      <c r="NFR312" s="244"/>
      <c r="NFS312" s="244" t="s">
        <v>68</v>
      </c>
      <c r="NFT312" s="245" t="s">
        <v>68</v>
      </c>
      <c r="NFU312" s="1715" t="s">
        <v>0</v>
      </c>
      <c r="NFV312" s="1716"/>
      <c r="NFW312" s="1716"/>
      <c r="NFX312" s="1716"/>
      <c r="NFY312" s="1716"/>
      <c r="NFZ312" s="244"/>
      <c r="NGA312" s="244" t="s">
        <v>68</v>
      </c>
      <c r="NGB312" s="245" t="s">
        <v>68</v>
      </c>
      <c r="NGC312" s="1715" t="s">
        <v>0</v>
      </c>
      <c r="NGD312" s="1716"/>
      <c r="NGE312" s="1716"/>
      <c r="NGF312" s="1716"/>
      <c r="NGG312" s="1716"/>
      <c r="NGH312" s="244"/>
      <c r="NGI312" s="244" t="s">
        <v>68</v>
      </c>
      <c r="NGJ312" s="245" t="s">
        <v>68</v>
      </c>
      <c r="NGK312" s="1715" t="s">
        <v>0</v>
      </c>
      <c r="NGL312" s="1716"/>
      <c r="NGM312" s="1716"/>
      <c r="NGN312" s="1716"/>
      <c r="NGO312" s="1716"/>
      <c r="NGP312" s="244"/>
      <c r="NGQ312" s="244" t="s">
        <v>68</v>
      </c>
      <c r="NGR312" s="245" t="s">
        <v>68</v>
      </c>
      <c r="NGS312" s="1715" t="s">
        <v>0</v>
      </c>
      <c r="NGT312" s="1716"/>
      <c r="NGU312" s="1716"/>
      <c r="NGV312" s="1716"/>
      <c r="NGW312" s="1716"/>
      <c r="NGX312" s="244"/>
      <c r="NGY312" s="244" t="s">
        <v>68</v>
      </c>
      <c r="NGZ312" s="245" t="s">
        <v>68</v>
      </c>
      <c r="NHA312" s="1715" t="s">
        <v>0</v>
      </c>
      <c r="NHB312" s="1716"/>
      <c r="NHC312" s="1716"/>
      <c r="NHD312" s="1716"/>
      <c r="NHE312" s="1716"/>
      <c r="NHF312" s="244"/>
      <c r="NHG312" s="244" t="s">
        <v>68</v>
      </c>
      <c r="NHH312" s="245" t="s">
        <v>68</v>
      </c>
      <c r="NHI312" s="1715" t="s">
        <v>0</v>
      </c>
      <c r="NHJ312" s="1716"/>
      <c r="NHK312" s="1716"/>
      <c r="NHL312" s="1716"/>
      <c r="NHM312" s="1716"/>
      <c r="NHN312" s="244"/>
      <c r="NHO312" s="244" t="s">
        <v>68</v>
      </c>
      <c r="NHP312" s="245" t="s">
        <v>68</v>
      </c>
      <c r="NHQ312" s="1715" t="s">
        <v>0</v>
      </c>
      <c r="NHR312" s="1716"/>
      <c r="NHS312" s="1716"/>
      <c r="NHT312" s="1716"/>
      <c r="NHU312" s="1716"/>
      <c r="NHV312" s="244"/>
      <c r="NHW312" s="244" t="s">
        <v>68</v>
      </c>
      <c r="NHX312" s="245" t="s">
        <v>68</v>
      </c>
      <c r="NHY312" s="1715" t="s">
        <v>0</v>
      </c>
      <c r="NHZ312" s="1716"/>
      <c r="NIA312" s="1716"/>
      <c r="NIB312" s="1716"/>
      <c r="NIC312" s="1716"/>
      <c r="NID312" s="244"/>
      <c r="NIE312" s="244" t="s">
        <v>68</v>
      </c>
      <c r="NIF312" s="245" t="s">
        <v>68</v>
      </c>
      <c r="NIG312" s="1715" t="s">
        <v>0</v>
      </c>
      <c r="NIH312" s="1716"/>
      <c r="NII312" s="1716"/>
      <c r="NIJ312" s="1716"/>
      <c r="NIK312" s="1716"/>
      <c r="NIL312" s="244"/>
      <c r="NIM312" s="244" t="s">
        <v>68</v>
      </c>
      <c r="NIN312" s="245" t="s">
        <v>68</v>
      </c>
      <c r="NIO312" s="1715" t="s">
        <v>0</v>
      </c>
      <c r="NIP312" s="1716"/>
      <c r="NIQ312" s="1716"/>
      <c r="NIR312" s="1716"/>
      <c r="NIS312" s="1716"/>
      <c r="NIT312" s="244"/>
      <c r="NIU312" s="244" t="s">
        <v>68</v>
      </c>
      <c r="NIV312" s="245" t="s">
        <v>68</v>
      </c>
      <c r="NIW312" s="1715" t="s">
        <v>0</v>
      </c>
      <c r="NIX312" s="1716"/>
      <c r="NIY312" s="1716"/>
      <c r="NIZ312" s="1716"/>
      <c r="NJA312" s="1716"/>
      <c r="NJB312" s="244"/>
      <c r="NJC312" s="244" t="s">
        <v>68</v>
      </c>
      <c r="NJD312" s="245" t="s">
        <v>68</v>
      </c>
      <c r="NJE312" s="1715" t="s">
        <v>0</v>
      </c>
      <c r="NJF312" s="1716"/>
      <c r="NJG312" s="1716"/>
      <c r="NJH312" s="1716"/>
      <c r="NJI312" s="1716"/>
      <c r="NJJ312" s="244"/>
      <c r="NJK312" s="244" t="s">
        <v>68</v>
      </c>
      <c r="NJL312" s="245" t="s">
        <v>68</v>
      </c>
      <c r="NJM312" s="1715" t="s">
        <v>0</v>
      </c>
      <c r="NJN312" s="1716"/>
      <c r="NJO312" s="1716"/>
      <c r="NJP312" s="1716"/>
      <c r="NJQ312" s="1716"/>
      <c r="NJR312" s="244"/>
      <c r="NJS312" s="244" t="s">
        <v>68</v>
      </c>
      <c r="NJT312" s="245" t="s">
        <v>68</v>
      </c>
      <c r="NJU312" s="1715" t="s">
        <v>0</v>
      </c>
      <c r="NJV312" s="1716"/>
      <c r="NJW312" s="1716"/>
      <c r="NJX312" s="1716"/>
      <c r="NJY312" s="1716"/>
      <c r="NJZ312" s="244"/>
      <c r="NKA312" s="244" t="s">
        <v>68</v>
      </c>
      <c r="NKB312" s="245" t="s">
        <v>68</v>
      </c>
      <c r="NKC312" s="1715" t="s">
        <v>0</v>
      </c>
      <c r="NKD312" s="1716"/>
      <c r="NKE312" s="1716"/>
      <c r="NKF312" s="1716"/>
      <c r="NKG312" s="1716"/>
      <c r="NKH312" s="244"/>
      <c r="NKI312" s="244" t="s">
        <v>68</v>
      </c>
      <c r="NKJ312" s="245" t="s">
        <v>68</v>
      </c>
      <c r="NKK312" s="1715" t="s">
        <v>0</v>
      </c>
      <c r="NKL312" s="1716"/>
      <c r="NKM312" s="1716"/>
      <c r="NKN312" s="1716"/>
      <c r="NKO312" s="1716"/>
      <c r="NKP312" s="244"/>
      <c r="NKQ312" s="244" t="s">
        <v>68</v>
      </c>
      <c r="NKR312" s="245" t="s">
        <v>68</v>
      </c>
      <c r="NKS312" s="1715" t="s">
        <v>0</v>
      </c>
      <c r="NKT312" s="1716"/>
      <c r="NKU312" s="1716"/>
      <c r="NKV312" s="1716"/>
      <c r="NKW312" s="1716"/>
      <c r="NKX312" s="244"/>
      <c r="NKY312" s="244" t="s">
        <v>68</v>
      </c>
      <c r="NKZ312" s="245" t="s">
        <v>68</v>
      </c>
      <c r="NLA312" s="1715" t="s">
        <v>0</v>
      </c>
      <c r="NLB312" s="1716"/>
      <c r="NLC312" s="1716"/>
      <c r="NLD312" s="1716"/>
      <c r="NLE312" s="1716"/>
      <c r="NLF312" s="244"/>
      <c r="NLG312" s="244" t="s">
        <v>68</v>
      </c>
      <c r="NLH312" s="245" t="s">
        <v>68</v>
      </c>
      <c r="NLI312" s="1715" t="s">
        <v>0</v>
      </c>
      <c r="NLJ312" s="1716"/>
      <c r="NLK312" s="1716"/>
      <c r="NLL312" s="1716"/>
      <c r="NLM312" s="1716"/>
      <c r="NLN312" s="244"/>
      <c r="NLO312" s="244" t="s">
        <v>68</v>
      </c>
      <c r="NLP312" s="245" t="s">
        <v>68</v>
      </c>
      <c r="NLQ312" s="1715" t="s">
        <v>0</v>
      </c>
      <c r="NLR312" s="1716"/>
      <c r="NLS312" s="1716"/>
      <c r="NLT312" s="1716"/>
      <c r="NLU312" s="1716"/>
      <c r="NLV312" s="244"/>
      <c r="NLW312" s="244" t="s">
        <v>68</v>
      </c>
      <c r="NLX312" s="245" t="s">
        <v>68</v>
      </c>
      <c r="NLY312" s="1715" t="s">
        <v>0</v>
      </c>
      <c r="NLZ312" s="1716"/>
      <c r="NMA312" s="1716"/>
      <c r="NMB312" s="1716"/>
      <c r="NMC312" s="1716"/>
      <c r="NMD312" s="244"/>
      <c r="NME312" s="244" t="s">
        <v>68</v>
      </c>
      <c r="NMF312" s="245" t="s">
        <v>68</v>
      </c>
      <c r="NMG312" s="1715" t="s">
        <v>0</v>
      </c>
      <c r="NMH312" s="1716"/>
      <c r="NMI312" s="1716"/>
      <c r="NMJ312" s="1716"/>
      <c r="NMK312" s="1716"/>
      <c r="NML312" s="244"/>
      <c r="NMM312" s="244" t="s">
        <v>68</v>
      </c>
      <c r="NMN312" s="245" t="s">
        <v>68</v>
      </c>
      <c r="NMO312" s="1715" t="s">
        <v>0</v>
      </c>
      <c r="NMP312" s="1716"/>
      <c r="NMQ312" s="1716"/>
      <c r="NMR312" s="1716"/>
      <c r="NMS312" s="1716"/>
      <c r="NMT312" s="244"/>
      <c r="NMU312" s="244" t="s">
        <v>68</v>
      </c>
      <c r="NMV312" s="245" t="s">
        <v>68</v>
      </c>
      <c r="NMW312" s="1715" t="s">
        <v>0</v>
      </c>
      <c r="NMX312" s="1716"/>
      <c r="NMY312" s="1716"/>
      <c r="NMZ312" s="1716"/>
      <c r="NNA312" s="1716"/>
      <c r="NNB312" s="244"/>
      <c r="NNC312" s="244" t="s">
        <v>68</v>
      </c>
      <c r="NND312" s="245" t="s">
        <v>68</v>
      </c>
      <c r="NNE312" s="1715" t="s">
        <v>0</v>
      </c>
      <c r="NNF312" s="1716"/>
      <c r="NNG312" s="1716"/>
      <c r="NNH312" s="1716"/>
      <c r="NNI312" s="1716"/>
      <c r="NNJ312" s="244"/>
      <c r="NNK312" s="244" t="s">
        <v>68</v>
      </c>
      <c r="NNL312" s="245" t="s">
        <v>68</v>
      </c>
      <c r="NNM312" s="1715" t="s">
        <v>0</v>
      </c>
      <c r="NNN312" s="1716"/>
      <c r="NNO312" s="1716"/>
      <c r="NNP312" s="1716"/>
      <c r="NNQ312" s="1716"/>
      <c r="NNR312" s="244"/>
      <c r="NNS312" s="244" t="s">
        <v>68</v>
      </c>
      <c r="NNT312" s="245" t="s">
        <v>68</v>
      </c>
      <c r="NNU312" s="1715" t="s">
        <v>0</v>
      </c>
      <c r="NNV312" s="1716"/>
      <c r="NNW312" s="1716"/>
      <c r="NNX312" s="1716"/>
      <c r="NNY312" s="1716"/>
      <c r="NNZ312" s="244"/>
      <c r="NOA312" s="244" t="s">
        <v>68</v>
      </c>
      <c r="NOB312" s="245" t="s">
        <v>68</v>
      </c>
      <c r="NOC312" s="1715" t="s">
        <v>0</v>
      </c>
      <c r="NOD312" s="1716"/>
      <c r="NOE312" s="1716"/>
      <c r="NOF312" s="1716"/>
      <c r="NOG312" s="1716"/>
      <c r="NOH312" s="244"/>
      <c r="NOI312" s="244" t="s">
        <v>68</v>
      </c>
      <c r="NOJ312" s="245" t="s">
        <v>68</v>
      </c>
      <c r="NOK312" s="1715" t="s">
        <v>0</v>
      </c>
      <c r="NOL312" s="1716"/>
      <c r="NOM312" s="1716"/>
      <c r="NON312" s="1716"/>
      <c r="NOO312" s="1716"/>
      <c r="NOP312" s="244"/>
      <c r="NOQ312" s="244" t="s">
        <v>68</v>
      </c>
      <c r="NOR312" s="245" t="s">
        <v>68</v>
      </c>
      <c r="NOS312" s="1715" t="s">
        <v>0</v>
      </c>
      <c r="NOT312" s="1716"/>
      <c r="NOU312" s="1716"/>
      <c r="NOV312" s="1716"/>
      <c r="NOW312" s="1716"/>
      <c r="NOX312" s="244"/>
      <c r="NOY312" s="244" t="s">
        <v>68</v>
      </c>
      <c r="NOZ312" s="245" t="s">
        <v>68</v>
      </c>
      <c r="NPA312" s="1715" t="s">
        <v>0</v>
      </c>
      <c r="NPB312" s="1716"/>
      <c r="NPC312" s="1716"/>
      <c r="NPD312" s="1716"/>
      <c r="NPE312" s="1716"/>
      <c r="NPF312" s="244"/>
      <c r="NPG312" s="244" t="s">
        <v>68</v>
      </c>
      <c r="NPH312" s="245" t="s">
        <v>68</v>
      </c>
      <c r="NPI312" s="1715" t="s">
        <v>0</v>
      </c>
      <c r="NPJ312" s="1716"/>
      <c r="NPK312" s="1716"/>
      <c r="NPL312" s="1716"/>
      <c r="NPM312" s="1716"/>
      <c r="NPN312" s="244"/>
      <c r="NPO312" s="244" t="s">
        <v>68</v>
      </c>
      <c r="NPP312" s="245" t="s">
        <v>68</v>
      </c>
      <c r="NPQ312" s="1715" t="s">
        <v>0</v>
      </c>
      <c r="NPR312" s="1716"/>
      <c r="NPS312" s="1716"/>
      <c r="NPT312" s="1716"/>
      <c r="NPU312" s="1716"/>
      <c r="NPV312" s="244"/>
      <c r="NPW312" s="244" t="s">
        <v>68</v>
      </c>
      <c r="NPX312" s="245" t="s">
        <v>68</v>
      </c>
      <c r="NPY312" s="1715" t="s">
        <v>0</v>
      </c>
      <c r="NPZ312" s="1716"/>
      <c r="NQA312" s="1716"/>
      <c r="NQB312" s="1716"/>
      <c r="NQC312" s="1716"/>
      <c r="NQD312" s="244"/>
      <c r="NQE312" s="244" t="s">
        <v>68</v>
      </c>
      <c r="NQF312" s="245" t="s">
        <v>68</v>
      </c>
      <c r="NQG312" s="1715" t="s">
        <v>0</v>
      </c>
      <c r="NQH312" s="1716"/>
      <c r="NQI312" s="1716"/>
      <c r="NQJ312" s="1716"/>
      <c r="NQK312" s="1716"/>
      <c r="NQL312" s="244"/>
      <c r="NQM312" s="244" t="s">
        <v>68</v>
      </c>
      <c r="NQN312" s="245" t="s">
        <v>68</v>
      </c>
      <c r="NQO312" s="1715" t="s">
        <v>0</v>
      </c>
      <c r="NQP312" s="1716"/>
      <c r="NQQ312" s="1716"/>
      <c r="NQR312" s="1716"/>
      <c r="NQS312" s="1716"/>
      <c r="NQT312" s="244"/>
      <c r="NQU312" s="244" t="s">
        <v>68</v>
      </c>
      <c r="NQV312" s="245" t="s">
        <v>68</v>
      </c>
      <c r="NQW312" s="1715" t="s">
        <v>0</v>
      </c>
      <c r="NQX312" s="1716"/>
      <c r="NQY312" s="1716"/>
      <c r="NQZ312" s="1716"/>
      <c r="NRA312" s="1716"/>
      <c r="NRB312" s="244"/>
      <c r="NRC312" s="244" t="s">
        <v>68</v>
      </c>
      <c r="NRD312" s="245" t="s">
        <v>68</v>
      </c>
      <c r="NRE312" s="1715" t="s">
        <v>0</v>
      </c>
      <c r="NRF312" s="1716"/>
      <c r="NRG312" s="1716"/>
      <c r="NRH312" s="1716"/>
      <c r="NRI312" s="1716"/>
      <c r="NRJ312" s="244"/>
      <c r="NRK312" s="244" t="s">
        <v>68</v>
      </c>
      <c r="NRL312" s="245" t="s">
        <v>68</v>
      </c>
      <c r="NRM312" s="1715" t="s">
        <v>0</v>
      </c>
      <c r="NRN312" s="1716"/>
      <c r="NRO312" s="1716"/>
      <c r="NRP312" s="1716"/>
      <c r="NRQ312" s="1716"/>
      <c r="NRR312" s="244"/>
      <c r="NRS312" s="244" t="s">
        <v>68</v>
      </c>
      <c r="NRT312" s="245" t="s">
        <v>68</v>
      </c>
      <c r="NRU312" s="1715" t="s">
        <v>0</v>
      </c>
      <c r="NRV312" s="1716"/>
      <c r="NRW312" s="1716"/>
      <c r="NRX312" s="1716"/>
      <c r="NRY312" s="1716"/>
      <c r="NRZ312" s="244"/>
      <c r="NSA312" s="244" t="s">
        <v>68</v>
      </c>
      <c r="NSB312" s="245" t="s">
        <v>68</v>
      </c>
      <c r="NSC312" s="1715" t="s">
        <v>0</v>
      </c>
      <c r="NSD312" s="1716"/>
      <c r="NSE312" s="1716"/>
      <c r="NSF312" s="1716"/>
      <c r="NSG312" s="1716"/>
      <c r="NSH312" s="244"/>
      <c r="NSI312" s="244" t="s">
        <v>68</v>
      </c>
      <c r="NSJ312" s="245" t="s">
        <v>68</v>
      </c>
      <c r="NSK312" s="1715" t="s">
        <v>0</v>
      </c>
      <c r="NSL312" s="1716"/>
      <c r="NSM312" s="1716"/>
      <c r="NSN312" s="1716"/>
      <c r="NSO312" s="1716"/>
      <c r="NSP312" s="244"/>
      <c r="NSQ312" s="244" t="s">
        <v>68</v>
      </c>
      <c r="NSR312" s="245" t="s">
        <v>68</v>
      </c>
      <c r="NSS312" s="1715" t="s">
        <v>0</v>
      </c>
      <c r="NST312" s="1716"/>
      <c r="NSU312" s="1716"/>
      <c r="NSV312" s="1716"/>
      <c r="NSW312" s="1716"/>
      <c r="NSX312" s="244"/>
      <c r="NSY312" s="244" t="s">
        <v>68</v>
      </c>
      <c r="NSZ312" s="245" t="s">
        <v>68</v>
      </c>
      <c r="NTA312" s="1715" t="s">
        <v>0</v>
      </c>
      <c r="NTB312" s="1716"/>
      <c r="NTC312" s="1716"/>
      <c r="NTD312" s="1716"/>
      <c r="NTE312" s="1716"/>
      <c r="NTF312" s="244"/>
      <c r="NTG312" s="244" t="s">
        <v>68</v>
      </c>
      <c r="NTH312" s="245" t="s">
        <v>68</v>
      </c>
      <c r="NTI312" s="1715" t="s">
        <v>0</v>
      </c>
      <c r="NTJ312" s="1716"/>
      <c r="NTK312" s="1716"/>
      <c r="NTL312" s="1716"/>
      <c r="NTM312" s="1716"/>
      <c r="NTN312" s="244"/>
      <c r="NTO312" s="244" t="s">
        <v>68</v>
      </c>
      <c r="NTP312" s="245" t="s">
        <v>68</v>
      </c>
      <c r="NTQ312" s="1715" t="s">
        <v>0</v>
      </c>
      <c r="NTR312" s="1716"/>
      <c r="NTS312" s="1716"/>
      <c r="NTT312" s="1716"/>
      <c r="NTU312" s="1716"/>
      <c r="NTV312" s="244"/>
      <c r="NTW312" s="244" t="s">
        <v>68</v>
      </c>
      <c r="NTX312" s="245" t="s">
        <v>68</v>
      </c>
      <c r="NTY312" s="1715" t="s">
        <v>0</v>
      </c>
      <c r="NTZ312" s="1716"/>
      <c r="NUA312" s="1716"/>
      <c r="NUB312" s="1716"/>
      <c r="NUC312" s="1716"/>
      <c r="NUD312" s="244"/>
      <c r="NUE312" s="244" t="s">
        <v>68</v>
      </c>
      <c r="NUF312" s="245" t="s">
        <v>68</v>
      </c>
      <c r="NUG312" s="1715" t="s">
        <v>0</v>
      </c>
      <c r="NUH312" s="1716"/>
      <c r="NUI312" s="1716"/>
      <c r="NUJ312" s="1716"/>
      <c r="NUK312" s="1716"/>
      <c r="NUL312" s="244"/>
      <c r="NUM312" s="244" t="s">
        <v>68</v>
      </c>
      <c r="NUN312" s="245" t="s">
        <v>68</v>
      </c>
      <c r="NUO312" s="1715" t="s">
        <v>0</v>
      </c>
      <c r="NUP312" s="1716"/>
      <c r="NUQ312" s="1716"/>
      <c r="NUR312" s="1716"/>
      <c r="NUS312" s="1716"/>
      <c r="NUT312" s="244"/>
      <c r="NUU312" s="244" t="s">
        <v>68</v>
      </c>
      <c r="NUV312" s="245" t="s">
        <v>68</v>
      </c>
      <c r="NUW312" s="1715" t="s">
        <v>0</v>
      </c>
      <c r="NUX312" s="1716"/>
      <c r="NUY312" s="1716"/>
      <c r="NUZ312" s="1716"/>
      <c r="NVA312" s="1716"/>
      <c r="NVB312" s="244"/>
      <c r="NVC312" s="244" t="s">
        <v>68</v>
      </c>
      <c r="NVD312" s="245" t="s">
        <v>68</v>
      </c>
      <c r="NVE312" s="1715" t="s">
        <v>0</v>
      </c>
      <c r="NVF312" s="1716"/>
      <c r="NVG312" s="1716"/>
      <c r="NVH312" s="1716"/>
      <c r="NVI312" s="1716"/>
      <c r="NVJ312" s="244"/>
      <c r="NVK312" s="244" t="s">
        <v>68</v>
      </c>
      <c r="NVL312" s="245" t="s">
        <v>68</v>
      </c>
      <c r="NVM312" s="1715" t="s">
        <v>0</v>
      </c>
      <c r="NVN312" s="1716"/>
      <c r="NVO312" s="1716"/>
      <c r="NVP312" s="1716"/>
      <c r="NVQ312" s="1716"/>
      <c r="NVR312" s="244"/>
      <c r="NVS312" s="244" t="s">
        <v>68</v>
      </c>
      <c r="NVT312" s="245" t="s">
        <v>68</v>
      </c>
      <c r="NVU312" s="1715" t="s">
        <v>0</v>
      </c>
      <c r="NVV312" s="1716"/>
      <c r="NVW312" s="1716"/>
      <c r="NVX312" s="1716"/>
      <c r="NVY312" s="1716"/>
      <c r="NVZ312" s="244"/>
      <c r="NWA312" s="244" t="s">
        <v>68</v>
      </c>
      <c r="NWB312" s="245" t="s">
        <v>68</v>
      </c>
      <c r="NWC312" s="1715" t="s">
        <v>0</v>
      </c>
      <c r="NWD312" s="1716"/>
      <c r="NWE312" s="1716"/>
      <c r="NWF312" s="1716"/>
      <c r="NWG312" s="1716"/>
      <c r="NWH312" s="244"/>
      <c r="NWI312" s="244" t="s">
        <v>68</v>
      </c>
      <c r="NWJ312" s="245" t="s">
        <v>68</v>
      </c>
      <c r="NWK312" s="1715" t="s">
        <v>0</v>
      </c>
      <c r="NWL312" s="1716"/>
      <c r="NWM312" s="1716"/>
      <c r="NWN312" s="1716"/>
      <c r="NWO312" s="1716"/>
      <c r="NWP312" s="244"/>
      <c r="NWQ312" s="244" t="s">
        <v>68</v>
      </c>
      <c r="NWR312" s="245" t="s">
        <v>68</v>
      </c>
      <c r="NWS312" s="1715" t="s">
        <v>0</v>
      </c>
      <c r="NWT312" s="1716"/>
      <c r="NWU312" s="1716"/>
      <c r="NWV312" s="1716"/>
      <c r="NWW312" s="1716"/>
      <c r="NWX312" s="244"/>
      <c r="NWY312" s="244" t="s">
        <v>68</v>
      </c>
      <c r="NWZ312" s="245" t="s">
        <v>68</v>
      </c>
      <c r="NXA312" s="1715" t="s">
        <v>0</v>
      </c>
      <c r="NXB312" s="1716"/>
      <c r="NXC312" s="1716"/>
      <c r="NXD312" s="1716"/>
      <c r="NXE312" s="1716"/>
      <c r="NXF312" s="244"/>
      <c r="NXG312" s="244" t="s">
        <v>68</v>
      </c>
      <c r="NXH312" s="245" t="s">
        <v>68</v>
      </c>
      <c r="NXI312" s="1715" t="s">
        <v>0</v>
      </c>
      <c r="NXJ312" s="1716"/>
      <c r="NXK312" s="1716"/>
      <c r="NXL312" s="1716"/>
      <c r="NXM312" s="1716"/>
      <c r="NXN312" s="244"/>
      <c r="NXO312" s="244" t="s">
        <v>68</v>
      </c>
      <c r="NXP312" s="245" t="s">
        <v>68</v>
      </c>
      <c r="NXQ312" s="1715" t="s">
        <v>0</v>
      </c>
      <c r="NXR312" s="1716"/>
      <c r="NXS312" s="1716"/>
      <c r="NXT312" s="1716"/>
      <c r="NXU312" s="1716"/>
      <c r="NXV312" s="244"/>
      <c r="NXW312" s="244" t="s">
        <v>68</v>
      </c>
      <c r="NXX312" s="245" t="s">
        <v>68</v>
      </c>
      <c r="NXY312" s="1715" t="s">
        <v>0</v>
      </c>
      <c r="NXZ312" s="1716"/>
      <c r="NYA312" s="1716"/>
      <c r="NYB312" s="1716"/>
      <c r="NYC312" s="1716"/>
      <c r="NYD312" s="244"/>
      <c r="NYE312" s="244" t="s">
        <v>68</v>
      </c>
      <c r="NYF312" s="245" t="s">
        <v>68</v>
      </c>
      <c r="NYG312" s="1715" t="s">
        <v>0</v>
      </c>
      <c r="NYH312" s="1716"/>
      <c r="NYI312" s="1716"/>
      <c r="NYJ312" s="1716"/>
      <c r="NYK312" s="1716"/>
      <c r="NYL312" s="244"/>
      <c r="NYM312" s="244" t="s">
        <v>68</v>
      </c>
      <c r="NYN312" s="245" t="s">
        <v>68</v>
      </c>
      <c r="NYO312" s="1715" t="s">
        <v>0</v>
      </c>
      <c r="NYP312" s="1716"/>
      <c r="NYQ312" s="1716"/>
      <c r="NYR312" s="1716"/>
      <c r="NYS312" s="1716"/>
      <c r="NYT312" s="244"/>
      <c r="NYU312" s="244" t="s">
        <v>68</v>
      </c>
      <c r="NYV312" s="245" t="s">
        <v>68</v>
      </c>
      <c r="NYW312" s="1715" t="s">
        <v>0</v>
      </c>
      <c r="NYX312" s="1716"/>
      <c r="NYY312" s="1716"/>
      <c r="NYZ312" s="1716"/>
      <c r="NZA312" s="1716"/>
      <c r="NZB312" s="244"/>
      <c r="NZC312" s="244" t="s">
        <v>68</v>
      </c>
      <c r="NZD312" s="245" t="s">
        <v>68</v>
      </c>
      <c r="NZE312" s="1715" t="s">
        <v>0</v>
      </c>
      <c r="NZF312" s="1716"/>
      <c r="NZG312" s="1716"/>
      <c r="NZH312" s="1716"/>
      <c r="NZI312" s="1716"/>
      <c r="NZJ312" s="244"/>
      <c r="NZK312" s="244" t="s">
        <v>68</v>
      </c>
      <c r="NZL312" s="245" t="s">
        <v>68</v>
      </c>
      <c r="NZM312" s="1715" t="s">
        <v>0</v>
      </c>
      <c r="NZN312" s="1716"/>
      <c r="NZO312" s="1716"/>
      <c r="NZP312" s="1716"/>
      <c r="NZQ312" s="1716"/>
      <c r="NZR312" s="244"/>
      <c r="NZS312" s="244" t="s">
        <v>68</v>
      </c>
      <c r="NZT312" s="245" t="s">
        <v>68</v>
      </c>
      <c r="NZU312" s="1715" t="s">
        <v>0</v>
      </c>
      <c r="NZV312" s="1716"/>
      <c r="NZW312" s="1716"/>
      <c r="NZX312" s="1716"/>
      <c r="NZY312" s="1716"/>
      <c r="NZZ312" s="244"/>
      <c r="OAA312" s="244" t="s">
        <v>68</v>
      </c>
      <c r="OAB312" s="245" t="s">
        <v>68</v>
      </c>
      <c r="OAC312" s="1715" t="s">
        <v>0</v>
      </c>
      <c r="OAD312" s="1716"/>
      <c r="OAE312" s="1716"/>
      <c r="OAF312" s="1716"/>
      <c r="OAG312" s="1716"/>
      <c r="OAH312" s="244"/>
      <c r="OAI312" s="244" t="s">
        <v>68</v>
      </c>
      <c r="OAJ312" s="245" t="s">
        <v>68</v>
      </c>
      <c r="OAK312" s="1715" t="s">
        <v>0</v>
      </c>
      <c r="OAL312" s="1716"/>
      <c r="OAM312" s="1716"/>
      <c r="OAN312" s="1716"/>
      <c r="OAO312" s="1716"/>
      <c r="OAP312" s="244"/>
      <c r="OAQ312" s="244" t="s">
        <v>68</v>
      </c>
      <c r="OAR312" s="245" t="s">
        <v>68</v>
      </c>
      <c r="OAS312" s="1715" t="s">
        <v>0</v>
      </c>
      <c r="OAT312" s="1716"/>
      <c r="OAU312" s="1716"/>
      <c r="OAV312" s="1716"/>
      <c r="OAW312" s="1716"/>
      <c r="OAX312" s="244"/>
      <c r="OAY312" s="244" t="s">
        <v>68</v>
      </c>
      <c r="OAZ312" s="245" t="s">
        <v>68</v>
      </c>
      <c r="OBA312" s="1715" t="s">
        <v>0</v>
      </c>
      <c r="OBB312" s="1716"/>
      <c r="OBC312" s="1716"/>
      <c r="OBD312" s="1716"/>
      <c r="OBE312" s="1716"/>
      <c r="OBF312" s="244"/>
      <c r="OBG312" s="244" t="s">
        <v>68</v>
      </c>
      <c r="OBH312" s="245" t="s">
        <v>68</v>
      </c>
      <c r="OBI312" s="1715" t="s">
        <v>0</v>
      </c>
      <c r="OBJ312" s="1716"/>
      <c r="OBK312" s="1716"/>
      <c r="OBL312" s="1716"/>
      <c r="OBM312" s="1716"/>
      <c r="OBN312" s="244"/>
      <c r="OBO312" s="244" t="s">
        <v>68</v>
      </c>
      <c r="OBP312" s="245" t="s">
        <v>68</v>
      </c>
      <c r="OBQ312" s="1715" t="s">
        <v>0</v>
      </c>
      <c r="OBR312" s="1716"/>
      <c r="OBS312" s="1716"/>
      <c r="OBT312" s="1716"/>
      <c r="OBU312" s="1716"/>
      <c r="OBV312" s="244"/>
      <c r="OBW312" s="244" t="s">
        <v>68</v>
      </c>
      <c r="OBX312" s="245" t="s">
        <v>68</v>
      </c>
      <c r="OBY312" s="1715" t="s">
        <v>0</v>
      </c>
      <c r="OBZ312" s="1716"/>
      <c r="OCA312" s="1716"/>
      <c r="OCB312" s="1716"/>
      <c r="OCC312" s="1716"/>
      <c r="OCD312" s="244"/>
      <c r="OCE312" s="244" t="s">
        <v>68</v>
      </c>
      <c r="OCF312" s="245" t="s">
        <v>68</v>
      </c>
      <c r="OCG312" s="1715" t="s">
        <v>0</v>
      </c>
      <c r="OCH312" s="1716"/>
      <c r="OCI312" s="1716"/>
      <c r="OCJ312" s="1716"/>
      <c r="OCK312" s="1716"/>
      <c r="OCL312" s="244"/>
      <c r="OCM312" s="244" t="s">
        <v>68</v>
      </c>
      <c r="OCN312" s="245" t="s">
        <v>68</v>
      </c>
      <c r="OCO312" s="1715" t="s">
        <v>0</v>
      </c>
      <c r="OCP312" s="1716"/>
      <c r="OCQ312" s="1716"/>
      <c r="OCR312" s="1716"/>
      <c r="OCS312" s="1716"/>
      <c r="OCT312" s="244"/>
      <c r="OCU312" s="244" t="s">
        <v>68</v>
      </c>
      <c r="OCV312" s="245" t="s">
        <v>68</v>
      </c>
      <c r="OCW312" s="1715" t="s">
        <v>0</v>
      </c>
      <c r="OCX312" s="1716"/>
      <c r="OCY312" s="1716"/>
      <c r="OCZ312" s="1716"/>
      <c r="ODA312" s="1716"/>
      <c r="ODB312" s="244"/>
      <c r="ODC312" s="244" t="s">
        <v>68</v>
      </c>
      <c r="ODD312" s="245" t="s">
        <v>68</v>
      </c>
      <c r="ODE312" s="1715" t="s">
        <v>0</v>
      </c>
      <c r="ODF312" s="1716"/>
      <c r="ODG312" s="1716"/>
      <c r="ODH312" s="1716"/>
      <c r="ODI312" s="1716"/>
      <c r="ODJ312" s="244"/>
      <c r="ODK312" s="244" t="s">
        <v>68</v>
      </c>
      <c r="ODL312" s="245" t="s">
        <v>68</v>
      </c>
      <c r="ODM312" s="1715" t="s">
        <v>0</v>
      </c>
      <c r="ODN312" s="1716"/>
      <c r="ODO312" s="1716"/>
      <c r="ODP312" s="1716"/>
      <c r="ODQ312" s="1716"/>
      <c r="ODR312" s="244"/>
      <c r="ODS312" s="244" t="s">
        <v>68</v>
      </c>
      <c r="ODT312" s="245" t="s">
        <v>68</v>
      </c>
      <c r="ODU312" s="1715" t="s">
        <v>0</v>
      </c>
      <c r="ODV312" s="1716"/>
      <c r="ODW312" s="1716"/>
      <c r="ODX312" s="1716"/>
      <c r="ODY312" s="1716"/>
      <c r="ODZ312" s="244"/>
      <c r="OEA312" s="244" t="s">
        <v>68</v>
      </c>
      <c r="OEB312" s="245" t="s">
        <v>68</v>
      </c>
      <c r="OEC312" s="1715" t="s">
        <v>0</v>
      </c>
      <c r="OED312" s="1716"/>
      <c r="OEE312" s="1716"/>
      <c r="OEF312" s="1716"/>
      <c r="OEG312" s="1716"/>
      <c r="OEH312" s="244"/>
      <c r="OEI312" s="244" t="s">
        <v>68</v>
      </c>
      <c r="OEJ312" s="245" t="s">
        <v>68</v>
      </c>
      <c r="OEK312" s="1715" t="s">
        <v>0</v>
      </c>
      <c r="OEL312" s="1716"/>
      <c r="OEM312" s="1716"/>
      <c r="OEN312" s="1716"/>
      <c r="OEO312" s="1716"/>
      <c r="OEP312" s="244"/>
      <c r="OEQ312" s="244" t="s">
        <v>68</v>
      </c>
      <c r="OER312" s="245" t="s">
        <v>68</v>
      </c>
      <c r="OES312" s="1715" t="s">
        <v>0</v>
      </c>
      <c r="OET312" s="1716"/>
      <c r="OEU312" s="1716"/>
      <c r="OEV312" s="1716"/>
      <c r="OEW312" s="1716"/>
      <c r="OEX312" s="244"/>
      <c r="OEY312" s="244" t="s">
        <v>68</v>
      </c>
      <c r="OEZ312" s="245" t="s">
        <v>68</v>
      </c>
      <c r="OFA312" s="1715" t="s">
        <v>0</v>
      </c>
      <c r="OFB312" s="1716"/>
      <c r="OFC312" s="1716"/>
      <c r="OFD312" s="1716"/>
      <c r="OFE312" s="1716"/>
      <c r="OFF312" s="244"/>
      <c r="OFG312" s="244" t="s">
        <v>68</v>
      </c>
      <c r="OFH312" s="245" t="s">
        <v>68</v>
      </c>
      <c r="OFI312" s="1715" t="s">
        <v>0</v>
      </c>
      <c r="OFJ312" s="1716"/>
      <c r="OFK312" s="1716"/>
      <c r="OFL312" s="1716"/>
      <c r="OFM312" s="1716"/>
      <c r="OFN312" s="244"/>
      <c r="OFO312" s="244" t="s">
        <v>68</v>
      </c>
      <c r="OFP312" s="245" t="s">
        <v>68</v>
      </c>
      <c r="OFQ312" s="1715" t="s">
        <v>0</v>
      </c>
      <c r="OFR312" s="1716"/>
      <c r="OFS312" s="1716"/>
      <c r="OFT312" s="1716"/>
      <c r="OFU312" s="1716"/>
      <c r="OFV312" s="244"/>
      <c r="OFW312" s="244" t="s">
        <v>68</v>
      </c>
      <c r="OFX312" s="245" t="s">
        <v>68</v>
      </c>
      <c r="OFY312" s="1715" t="s">
        <v>0</v>
      </c>
      <c r="OFZ312" s="1716"/>
      <c r="OGA312" s="1716"/>
      <c r="OGB312" s="1716"/>
      <c r="OGC312" s="1716"/>
      <c r="OGD312" s="244"/>
      <c r="OGE312" s="244" t="s">
        <v>68</v>
      </c>
      <c r="OGF312" s="245" t="s">
        <v>68</v>
      </c>
      <c r="OGG312" s="1715" t="s">
        <v>0</v>
      </c>
      <c r="OGH312" s="1716"/>
      <c r="OGI312" s="1716"/>
      <c r="OGJ312" s="1716"/>
      <c r="OGK312" s="1716"/>
      <c r="OGL312" s="244"/>
      <c r="OGM312" s="244" t="s">
        <v>68</v>
      </c>
      <c r="OGN312" s="245" t="s">
        <v>68</v>
      </c>
      <c r="OGO312" s="1715" t="s">
        <v>0</v>
      </c>
      <c r="OGP312" s="1716"/>
      <c r="OGQ312" s="1716"/>
      <c r="OGR312" s="1716"/>
      <c r="OGS312" s="1716"/>
      <c r="OGT312" s="244"/>
      <c r="OGU312" s="244" t="s">
        <v>68</v>
      </c>
      <c r="OGV312" s="245" t="s">
        <v>68</v>
      </c>
      <c r="OGW312" s="1715" t="s">
        <v>0</v>
      </c>
      <c r="OGX312" s="1716"/>
      <c r="OGY312" s="1716"/>
      <c r="OGZ312" s="1716"/>
      <c r="OHA312" s="1716"/>
      <c r="OHB312" s="244"/>
      <c r="OHC312" s="244" t="s">
        <v>68</v>
      </c>
      <c r="OHD312" s="245" t="s">
        <v>68</v>
      </c>
      <c r="OHE312" s="1715" t="s">
        <v>0</v>
      </c>
      <c r="OHF312" s="1716"/>
      <c r="OHG312" s="1716"/>
      <c r="OHH312" s="1716"/>
      <c r="OHI312" s="1716"/>
      <c r="OHJ312" s="244"/>
      <c r="OHK312" s="244" t="s">
        <v>68</v>
      </c>
      <c r="OHL312" s="245" t="s">
        <v>68</v>
      </c>
      <c r="OHM312" s="1715" t="s">
        <v>0</v>
      </c>
      <c r="OHN312" s="1716"/>
      <c r="OHO312" s="1716"/>
      <c r="OHP312" s="1716"/>
      <c r="OHQ312" s="1716"/>
      <c r="OHR312" s="244"/>
      <c r="OHS312" s="244" t="s">
        <v>68</v>
      </c>
      <c r="OHT312" s="245" t="s">
        <v>68</v>
      </c>
      <c r="OHU312" s="1715" t="s">
        <v>0</v>
      </c>
      <c r="OHV312" s="1716"/>
      <c r="OHW312" s="1716"/>
      <c r="OHX312" s="1716"/>
      <c r="OHY312" s="1716"/>
      <c r="OHZ312" s="244"/>
      <c r="OIA312" s="244" t="s">
        <v>68</v>
      </c>
      <c r="OIB312" s="245" t="s">
        <v>68</v>
      </c>
      <c r="OIC312" s="1715" t="s">
        <v>0</v>
      </c>
      <c r="OID312" s="1716"/>
      <c r="OIE312" s="1716"/>
      <c r="OIF312" s="1716"/>
      <c r="OIG312" s="1716"/>
      <c r="OIH312" s="244"/>
      <c r="OII312" s="244" t="s">
        <v>68</v>
      </c>
      <c r="OIJ312" s="245" t="s">
        <v>68</v>
      </c>
      <c r="OIK312" s="1715" t="s">
        <v>0</v>
      </c>
      <c r="OIL312" s="1716"/>
      <c r="OIM312" s="1716"/>
      <c r="OIN312" s="1716"/>
      <c r="OIO312" s="1716"/>
      <c r="OIP312" s="244"/>
      <c r="OIQ312" s="244" t="s">
        <v>68</v>
      </c>
      <c r="OIR312" s="245" t="s">
        <v>68</v>
      </c>
      <c r="OIS312" s="1715" t="s">
        <v>0</v>
      </c>
      <c r="OIT312" s="1716"/>
      <c r="OIU312" s="1716"/>
      <c r="OIV312" s="1716"/>
      <c r="OIW312" s="1716"/>
      <c r="OIX312" s="244"/>
      <c r="OIY312" s="244" t="s">
        <v>68</v>
      </c>
      <c r="OIZ312" s="245" t="s">
        <v>68</v>
      </c>
      <c r="OJA312" s="1715" t="s">
        <v>0</v>
      </c>
      <c r="OJB312" s="1716"/>
      <c r="OJC312" s="1716"/>
      <c r="OJD312" s="1716"/>
      <c r="OJE312" s="1716"/>
      <c r="OJF312" s="244"/>
      <c r="OJG312" s="244" t="s">
        <v>68</v>
      </c>
      <c r="OJH312" s="245" t="s">
        <v>68</v>
      </c>
      <c r="OJI312" s="1715" t="s">
        <v>0</v>
      </c>
      <c r="OJJ312" s="1716"/>
      <c r="OJK312" s="1716"/>
      <c r="OJL312" s="1716"/>
      <c r="OJM312" s="1716"/>
      <c r="OJN312" s="244"/>
      <c r="OJO312" s="244" t="s">
        <v>68</v>
      </c>
      <c r="OJP312" s="245" t="s">
        <v>68</v>
      </c>
      <c r="OJQ312" s="1715" t="s">
        <v>0</v>
      </c>
      <c r="OJR312" s="1716"/>
      <c r="OJS312" s="1716"/>
      <c r="OJT312" s="1716"/>
      <c r="OJU312" s="1716"/>
      <c r="OJV312" s="244"/>
      <c r="OJW312" s="244" t="s">
        <v>68</v>
      </c>
      <c r="OJX312" s="245" t="s">
        <v>68</v>
      </c>
      <c r="OJY312" s="1715" t="s">
        <v>0</v>
      </c>
      <c r="OJZ312" s="1716"/>
      <c r="OKA312" s="1716"/>
      <c r="OKB312" s="1716"/>
      <c r="OKC312" s="1716"/>
      <c r="OKD312" s="244"/>
      <c r="OKE312" s="244" t="s">
        <v>68</v>
      </c>
      <c r="OKF312" s="245" t="s">
        <v>68</v>
      </c>
      <c r="OKG312" s="1715" t="s">
        <v>0</v>
      </c>
      <c r="OKH312" s="1716"/>
      <c r="OKI312" s="1716"/>
      <c r="OKJ312" s="1716"/>
      <c r="OKK312" s="1716"/>
      <c r="OKL312" s="244"/>
      <c r="OKM312" s="244" t="s">
        <v>68</v>
      </c>
      <c r="OKN312" s="245" t="s">
        <v>68</v>
      </c>
      <c r="OKO312" s="1715" t="s">
        <v>0</v>
      </c>
      <c r="OKP312" s="1716"/>
      <c r="OKQ312" s="1716"/>
      <c r="OKR312" s="1716"/>
      <c r="OKS312" s="1716"/>
      <c r="OKT312" s="244"/>
      <c r="OKU312" s="244" t="s">
        <v>68</v>
      </c>
      <c r="OKV312" s="245" t="s">
        <v>68</v>
      </c>
      <c r="OKW312" s="1715" t="s">
        <v>0</v>
      </c>
      <c r="OKX312" s="1716"/>
      <c r="OKY312" s="1716"/>
      <c r="OKZ312" s="1716"/>
      <c r="OLA312" s="1716"/>
      <c r="OLB312" s="244"/>
      <c r="OLC312" s="244" t="s">
        <v>68</v>
      </c>
      <c r="OLD312" s="245" t="s">
        <v>68</v>
      </c>
      <c r="OLE312" s="1715" t="s">
        <v>0</v>
      </c>
      <c r="OLF312" s="1716"/>
      <c r="OLG312" s="1716"/>
      <c r="OLH312" s="1716"/>
      <c r="OLI312" s="1716"/>
      <c r="OLJ312" s="244"/>
      <c r="OLK312" s="244" t="s">
        <v>68</v>
      </c>
      <c r="OLL312" s="245" t="s">
        <v>68</v>
      </c>
      <c r="OLM312" s="1715" t="s">
        <v>0</v>
      </c>
      <c r="OLN312" s="1716"/>
      <c r="OLO312" s="1716"/>
      <c r="OLP312" s="1716"/>
      <c r="OLQ312" s="1716"/>
      <c r="OLR312" s="244"/>
      <c r="OLS312" s="244" t="s">
        <v>68</v>
      </c>
      <c r="OLT312" s="245" t="s">
        <v>68</v>
      </c>
      <c r="OLU312" s="1715" t="s">
        <v>0</v>
      </c>
      <c r="OLV312" s="1716"/>
      <c r="OLW312" s="1716"/>
      <c r="OLX312" s="1716"/>
      <c r="OLY312" s="1716"/>
      <c r="OLZ312" s="244"/>
      <c r="OMA312" s="244" t="s">
        <v>68</v>
      </c>
      <c r="OMB312" s="245" t="s">
        <v>68</v>
      </c>
      <c r="OMC312" s="1715" t="s">
        <v>0</v>
      </c>
      <c r="OMD312" s="1716"/>
      <c r="OME312" s="1716"/>
      <c r="OMF312" s="1716"/>
      <c r="OMG312" s="1716"/>
      <c r="OMH312" s="244"/>
      <c r="OMI312" s="244" t="s">
        <v>68</v>
      </c>
      <c r="OMJ312" s="245" t="s">
        <v>68</v>
      </c>
      <c r="OMK312" s="1715" t="s">
        <v>0</v>
      </c>
      <c r="OML312" s="1716"/>
      <c r="OMM312" s="1716"/>
      <c r="OMN312" s="1716"/>
      <c r="OMO312" s="1716"/>
      <c r="OMP312" s="244"/>
      <c r="OMQ312" s="244" t="s">
        <v>68</v>
      </c>
      <c r="OMR312" s="245" t="s">
        <v>68</v>
      </c>
      <c r="OMS312" s="1715" t="s">
        <v>0</v>
      </c>
      <c r="OMT312" s="1716"/>
      <c r="OMU312" s="1716"/>
      <c r="OMV312" s="1716"/>
      <c r="OMW312" s="1716"/>
      <c r="OMX312" s="244"/>
      <c r="OMY312" s="244" t="s">
        <v>68</v>
      </c>
      <c r="OMZ312" s="245" t="s">
        <v>68</v>
      </c>
      <c r="ONA312" s="1715" t="s">
        <v>0</v>
      </c>
      <c r="ONB312" s="1716"/>
      <c r="ONC312" s="1716"/>
      <c r="OND312" s="1716"/>
      <c r="ONE312" s="1716"/>
      <c r="ONF312" s="244"/>
      <c r="ONG312" s="244" t="s">
        <v>68</v>
      </c>
      <c r="ONH312" s="245" t="s">
        <v>68</v>
      </c>
      <c r="ONI312" s="1715" t="s">
        <v>0</v>
      </c>
      <c r="ONJ312" s="1716"/>
      <c r="ONK312" s="1716"/>
      <c r="ONL312" s="1716"/>
      <c r="ONM312" s="1716"/>
      <c r="ONN312" s="244"/>
      <c r="ONO312" s="244" t="s">
        <v>68</v>
      </c>
      <c r="ONP312" s="245" t="s">
        <v>68</v>
      </c>
      <c r="ONQ312" s="1715" t="s">
        <v>0</v>
      </c>
      <c r="ONR312" s="1716"/>
      <c r="ONS312" s="1716"/>
      <c r="ONT312" s="1716"/>
      <c r="ONU312" s="1716"/>
      <c r="ONV312" s="244"/>
      <c r="ONW312" s="244" t="s">
        <v>68</v>
      </c>
      <c r="ONX312" s="245" t="s">
        <v>68</v>
      </c>
      <c r="ONY312" s="1715" t="s">
        <v>0</v>
      </c>
      <c r="ONZ312" s="1716"/>
      <c r="OOA312" s="1716"/>
      <c r="OOB312" s="1716"/>
      <c r="OOC312" s="1716"/>
      <c r="OOD312" s="244"/>
      <c r="OOE312" s="244" t="s">
        <v>68</v>
      </c>
      <c r="OOF312" s="245" t="s">
        <v>68</v>
      </c>
      <c r="OOG312" s="1715" t="s">
        <v>0</v>
      </c>
      <c r="OOH312" s="1716"/>
      <c r="OOI312" s="1716"/>
      <c r="OOJ312" s="1716"/>
      <c r="OOK312" s="1716"/>
      <c r="OOL312" s="244"/>
      <c r="OOM312" s="244" t="s">
        <v>68</v>
      </c>
      <c r="OON312" s="245" t="s">
        <v>68</v>
      </c>
      <c r="OOO312" s="1715" t="s">
        <v>0</v>
      </c>
      <c r="OOP312" s="1716"/>
      <c r="OOQ312" s="1716"/>
      <c r="OOR312" s="1716"/>
      <c r="OOS312" s="1716"/>
      <c r="OOT312" s="244"/>
      <c r="OOU312" s="244" t="s">
        <v>68</v>
      </c>
      <c r="OOV312" s="245" t="s">
        <v>68</v>
      </c>
      <c r="OOW312" s="1715" t="s">
        <v>0</v>
      </c>
      <c r="OOX312" s="1716"/>
      <c r="OOY312" s="1716"/>
      <c r="OOZ312" s="1716"/>
      <c r="OPA312" s="1716"/>
      <c r="OPB312" s="244"/>
      <c r="OPC312" s="244" t="s">
        <v>68</v>
      </c>
      <c r="OPD312" s="245" t="s">
        <v>68</v>
      </c>
      <c r="OPE312" s="1715" t="s">
        <v>0</v>
      </c>
      <c r="OPF312" s="1716"/>
      <c r="OPG312" s="1716"/>
      <c r="OPH312" s="1716"/>
      <c r="OPI312" s="1716"/>
      <c r="OPJ312" s="244"/>
      <c r="OPK312" s="244" t="s">
        <v>68</v>
      </c>
      <c r="OPL312" s="245" t="s">
        <v>68</v>
      </c>
      <c r="OPM312" s="1715" t="s">
        <v>0</v>
      </c>
      <c r="OPN312" s="1716"/>
      <c r="OPO312" s="1716"/>
      <c r="OPP312" s="1716"/>
      <c r="OPQ312" s="1716"/>
      <c r="OPR312" s="244"/>
      <c r="OPS312" s="244" t="s">
        <v>68</v>
      </c>
      <c r="OPT312" s="245" t="s">
        <v>68</v>
      </c>
      <c r="OPU312" s="1715" t="s">
        <v>0</v>
      </c>
      <c r="OPV312" s="1716"/>
      <c r="OPW312" s="1716"/>
      <c r="OPX312" s="1716"/>
      <c r="OPY312" s="1716"/>
      <c r="OPZ312" s="244"/>
      <c r="OQA312" s="244" t="s">
        <v>68</v>
      </c>
      <c r="OQB312" s="245" t="s">
        <v>68</v>
      </c>
      <c r="OQC312" s="1715" t="s">
        <v>0</v>
      </c>
      <c r="OQD312" s="1716"/>
      <c r="OQE312" s="1716"/>
      <c r="OQF312" s="1716"/>
      <c r="OQG312" s="1716"/>
      <c r="OQH312" s="244"/>
      <c r="OQI312" s="244" t="s">
        <v>68</v>
      </c>
      <c r="OQJ312" s="245" t="s">
        <v>68</v>
      </c>
      <c r="OQK312" s="1715" t="s">
        <v>0</v>
      </c>
      <c r="OQL312" s="1716"/>
      <c r="OQM312" s="1716"/>
      <c r="OQN312" s="1716"/>
      <c r="OQO312" s="1716"/>
      <c r="OQP312" s="244"/>
      <c r="OQQ312" s="244" t="s">
        <v>68</v>
      </c>
      <c r="OQR312" s="245" t="s">
        <v>68</v>
      </c>
      <c r="OQS312" s="1715" t="s">
        <v>0</v>
      </c>
      <c r="OQT312" s="1716"/>
      <c r="OQU312" s="1716"/>
      <c r="OQV312" s="1716"/>
      <c r="OQW312" s="1716"/>
      <c r="OQX312" s="244"/>
      <c r="OQY312" s="244" t="s">
        <v>68</v>
      </c>
      <c r="OQZ312" s="245" t="s">
        <v>68</v>
      </c>
      <c r="ORA312" s="1715" t="s">
        <v>0</v>
      </c>
      <c r="ORB312" s="1716"/>
      <c r="ORC312" s="1716"/>
      <c r="ORD312" s="1716"/>
      <c r="ORE312" s="1716"/>
      <c r="ORF312" s="244"/>
      <c r="ORG312" s="244" t="s">
        <v>68</v>
      </c>
      <c r="ORH312" s="245" t="s">
        <v>68</v>
      </c>
      <c r="ORI312" s="1715" t="s">
        <v>0</v>
      </c>
      <c r="ORJ312" s="1716"/>
      <c r="ORK312" s="1716"/>
      <c r="ORL312" s="1716"/>
      <c r="ORM312" s="1716"/>
      <c r="ORN312" s="244"/>
      <c r="ORO312" s="244" t="s">
        <v>68</v>
      </c>
      <c r="ORP312" s="245" t="s">
        <v>68</v>
      </c>
      <c r="ORQ312" s="1715" t="s">
        <v>0</v>
      </c>
      <c r="ORR312" s="1716"/>
      <c r="ORS312" s="1716"/>
      <c r="ORT312" s="1716"/>
      <c r="ORU312" s="1716"/>
      <c r="ORV312" s="244"/>
      <c r="ORW312" s="244" t="s">
        <v>68</v>
      </c>
      <c r="ORX312" s="245" t="s">
        <v>68</v>
      </c>
      <c r="ORY312" s="1715" t="s">
        <v>0</v>
      </c>
      <c r="ORZ312" s="1716"/>
      <c r="OSA312" s="1716"/>
      <c r="OSB312" s="1716"/>
      <c r="OSC312" s="1716"/>
      <c r="OSD312" s="244"/>
      <c r="OSE312" s="244" t="s">
        <v>68</v>
      </c>
      <c r="OSF312" s="245" t="s">
        <v>68</v>
      </c>
      <c r="OSG312" s="1715" t="s">
        <v>0</v>
      </c>
      <c r="OSH312" s="1716"/>
      <c r="OSI312" s="1716"/>
      <c r="OSJ312" s="1716"/>
      <c r="OSK312" s="1716"/>
      <c r="OSL312" s="244"/>
      <c r="OSM312" s="244" t="s">
        <v>68</v>
      </c>
      <c r="OSN312" s="245" t="s">
        <v>68</v>
      </c>
      <c r="OSO312" s="1715" t="s">
        <v>0</v>
      </c>
      <c r="OSP312" s="1716"/>
      <c r="OSQ312" s="1716"/>
      <c r="OSR312" s="1716"/>
      <c r="OSS312" s="1716"/>
      <c r="OST312" s="244"/>
      <c r="OSU312" s="244" t="s">
        <v>68</v>
      </c>
      <c r="OSV312" s="245" t="s">
        <v>68</v>
      </c>
      <c r="OSW312" s="1715" t="s">
        <v>0</v>
      </c>
      <c r="OSX312" s="1716"/>
      <c r="OSY312" s="1716"/>
      <c r="OSZ312" s="1716"/>
      <c r="OTA312" s="1716"/>
      <c r="OTB312" s="244"/>
      <c r="OTC312" s="244" t="s">
        <v>68</v>
      </c>
      <c r="OTD312" s="245" t="s">
        <v>68</v>
      </c>
      <c r="OTE312" s="1715" t="s">
        <v>0</v>
      </c>
      <c r="OTF312" s="1716"/>
      <c r="OTG312" s="1716"/>
      <c r="OTH312" s="1716"/>
      <c r="OTI312" s="1716"/>
      <c r="OTJ312" s="244"/>
      <c r="OTK312" s="244" t="s">
        <v>68</v>
      </c>
      <c r="OTL312" s="245" t="s">
        <v>68</v>
      </c>
      <c r="OTM312" s="1715" t="s">
        <v>0</v>
      </c>
      <c r="OTN312" s="1716"/>
      <c r="OTO312" s="1716"/>
      <c r="OTP312" s="1716"/>
      <c r="OTQ312" s="1716"/>
      <c r="OTR312" s="244"/>
      <c r="OTS312" s="244" t="s">
        <v>68</v>
      </c>
      <c r="OTT312" s="245" t="s">
        <v>68</v>
      </c>
      <c r="OTU312" s="1715" t="s">
        <v>0</v>
      </c>
      <c r="OTV312" s="1716"/>
      <c r="OTW312" s="1716"/>
      <c r="OTX312" s="1716"/>
      <c r="OTY312" s="1716"/>
      <c r="OTZ312" s="244"/>
      <c r="OUA312" s="244" t="s">
        <v>68</v>
      </c>
      <c r="OUB312" s="245" t="s">
        <v>68</v>
      </c>
      <c r="OUC312" s="1715" t="s">
        <v>0</v>
      </c>
      <c r="OUD312" s="1716"/>
      <c r="OUE312" s="1716"/>
      <c r="OUF312" s="1716"/>
      <c r="OUG312" s="1716"/>
      <c r="OUH312" s="244"/>
      <c r="OUI312" s="244" t="s">
        <v>68</v>
      </c>
      <c r="OUJ312" s="245" t="s">
        <v>68</v>
      </c>
      <c r="OUK312" s="1715" t="s">
        <v>0</v>
      </c>
      <c r="OUL312" s="1716"/>
      <c r="OUM312" s="1716"/>
      <c r="OUN312" s="1716"/>
      <c r="OUO312" s="1716"/>
      <c r="OUP312" s="244"/>
      <c r="OUQ312" s="244" t="s">
        <v>68</v>
      </c>
      <c r="OUR312" s="245" t="s">
        <v>68</v>
      </c>
      <c r="OUS312" s="1715" t="s">
        <v>0</v>
      </c>
      <c r="OUT312" s="1716"/>
      <c r="OUU312" s="1716"/>
      <c r="OUV312" s="1716"/>
      <c r="OUW312" s="1716"/>
      <c r="OUX312" s="244"/>
      <c r="OUY312" s="244" t="s">
        <v>68</v>
      </c>
      <c r="OUZ312" s="245" t="s">
        <v>68</v>
      </c>
      <c r="OVA312" s="1715" t="s">
        <v>0</v>
      </c>
      <c r="OVB312" s="1716"/>
      <c r="OVC312" s="1716"/>
      <c r="OVD312" s="1716"/>
      <c r="OVE312" s="1716"/>
      <c r="OVF312" s="244"/>
      <c r="OVG312" s="244" t="s">
        <v>68</v>
      </c>
      <c r="OVH312" s="245" t="s">
        <v>68</v>
      </c>
      <c r="OVI312" s="1715" t="s">
        <v>0</v>
      </c>
      <c r="OVJ312" s="1716"/>
      <c r="OVK312" s="1716"/>
      <c r="OVL312" s="1716"/>
      <c r="OVM312" s="1716"/>
      <c r="OVN312" s="244"/>
      <c r="OVO312" s="244" t="s">
        <v>68</v>
      </c>
      <c r="OVP312" s="245" t="s">
        <v>68</v>
      </c>
      <c r="OVQ312" s="1715" t="s">
        <v>0</v>
      </c>
      <c r="OVR312" s="1716"/>
      <c r="OVS312" s="1716"/>
      <c r="OVT312" s="1716"/>
      <c r="OVU312" s="1716"/>
      <c r="OVV312" s="244"/>
      <c r="OVW312" s="244" t="s">
        <v>68</v>
      </c>
      <c r="OVX312" s="245" t="s">
        <v>68</v>
      </c>
      <c r="OVY312" s="1715" t="s">
        <v>0</v>
      </c>
      <c r="OVZ312" s="1716"/>
      <c r="OWA312" s="1716"/>
      <c r="OWB312" s="1716"/>
      <c r="OWC312" s="1716"/>
      <c r="OWD312" s="244"/>
      <c r="OWE312" s="244" t="s">
        <v>68</v>
      </c>
      <c r="OWF312" s="245" t="s">
        <v>68</v>
      </c>
      <c r="OWG312" s="1715" t="s">
        <v>0</v>
      </c>
      <c r="OWH312" s="1716"/>
      <c r="OWI312" s="1716"/>
      <c r="OWJ312" s="1716"/>
      <c r="OWK312" s="1716"/>
      <c r="OWL312" s="244"/>
      <c r="OWM312" s="244" t="s">
        <v>68</v>
      </c>
      <c r="OWN312" s="245" t="s">
        <v>68</v>
      </c>
      <c r="OWO312" s="1715" t="s">
        <v>0</v>
      </c>
      <c r="OWP312" s="1716"/>
      <c r="OWQ312" s="1716"/>
      <c r="OWR312" s="1716"/>
      <c r="OWS312" s="1716"/>
      <c r="OWT312" s="244"/>
      <c r="OWU312" s="244" t="s">
        <v>68</v>
      </c>
      <c r="OWV312" s="245" t="s">
        <v>68</v>
      </c>
      <c r="OWW312" s="1715" t="s">
        <v>0</v>
      </c>
      <c r="OWX312" s="1716"/>
      <c r="OWY312" s="1716"/>
      <c r="OWZ312" s="1716"/>
      <c r="OXA312" s="1716"/>
      <c r="OXB312" s="244"/>
      <c r="OXC312" s="244" t="s">
        <v>68</v>
      </c>
      <c r="OXD312" s="245" t="s">
        <v>68</v>
      </c>
      <c r="OXE312" s="1715" t="s">
        <v>0</v>
      </c>
      <c r="OXF312" s="1716"/>
      <c r="OXG312" s="1716"/>
      <c r="OXH312" s="1716"/>
      <c r="OXI312" s="1716"/>
      <c r="OXJ312" s="244"/>
      <c r="OXK312" s="244" t="s">
        <v>68</v>
      </c>
      <c r="OXL312" s="245" t="s">
        <v>68</v>
      </c>
      <c r="OXM312" s="1715" t="s">
        <v>0</v>
      </c>
      <c r="OXN312" s="1716"/>
      <c r="OXO312" s="1716"/>
      <c r="OXP312" s="1716"/>
      <c r="OXQ312" s="1716"/>
      <c r="OXR312" s="244"/>
      <c r="OXS312" s="244" t="s">
        <v>68</v>
      </c>
      <c r="OXT312" s="245" t="s">
        <v>68</v>
      </c>
      <c r="OXU312" s="1715" t="s">
        <v>0</v>
      </c>
      <c r="OXV312" s="1716"/>
      <c r="OXW312" s="1716"/>
      <c r="OXX312" s="1716"/>
      <c r="OXY312" s="1716"/>
      <c r="OXZ312" s="244"/>
      <c r="OYA312" s="244" t="s">
        <v>68</v>
      </c>
      <c r="OYB312" s="245" t="s">
        <v>68</v>
      </c>
      <c r="OYC312" s="1715" t="s">
        <v>0</v>
      </c>
      <c r="OYD312" s="1716"/>
      <c r="OYE312" s="1716"/>
      <c r="OYF312" s="1716"/>
      <c r="OYG312" s="1716"/>
      <c r="OYH312" s="244"/>
      <c r="OYI312" s="244" t="s">
        <v>68</v>
      </c>
      <c r="OYJ312" s="245" t="s">
        <v>68</v>
      </c>
      <c r="OYK312" s="1715" t="s">
        <v>0</v>
      </c>
      <c r="OYL312" s="1716"/>
      <c r="OYM312" s="1716"/>
      <c r="OYN312" s="1716"/>
      <c r="OYO312" s="1716"/>
      <c r="OYP312" s="244"/>
      <c r="OYQ312" s="244" t="s">
        <v>68</v>
      </c>
      <c r="OYR312" s="245" t="s">
        <v>68</v>
      </c>
      <c r="OYS312" s="1715" t="s">
        <v>0</v>
      </c>
      <c r="OYT312" s="1716"/>
      <c r="OYU312" s="1716"/>
      <c r="OYV312" s="1716"/>
      <c r="OYW312" s="1716"/>
      <c r="OYX312" s="244"/>
      <c r="OYY312" s="244" t="s">
        <v>68</v>
      </c>
      <c r="OYZ312" s="245" t="s">
        <v>68</v>
      </c>
      <c r="OZA312" s="1715" t="s">
        <v>0</v>
      </c>
      <c r="OZB312" s="1716"/>
      <c r="OZC312" s="1716"/>
      <c r="OZD312" s="1716"/>
      <c r="OZE312" s="1716"/>
      <c r="OZF312" s="244"/>
      <c r="OZG312" s="244" t="s">
        <v>68</v>
      </c>
      <c r="OZH312" s="245" t="s">
        <v>68</v>
      </c>
      <c r="OZI312" s="1715" t="s">
        <v>0</v>
      </c>
      <c r="OZJ312" s="1716"/>
      <c r="OZK312" s="1716"/>
      <c r="OZL312" s="1716"/>
      <c r="OZM312" s="1716"/>
      <c r="OZN312" s="244"/>
      <c r="OZO312" s="244" t="s">
        <v>68</v>
      </c>
      <c r="OZP312" s="245" t="s">
        <v>68</v>
      </c>
      <c r="OZQ312" s="1715" t="s">
        <v>0</v>
      </c>
      <c r="OZR312" s="1716"/>
      <c r="OZS312" s="1716"/>
      <c r="OZT312" s="1716"/>
      <c r="OZU312" s="1716"/>
      <c r="OZV312" s="244"/>
      <c r="OZW312" s="244" t="s">
        <v>68</v>
      </c>
      <c r="OZX312" s="245" t="s">
        <v>68</v>
      </c>
      <c r="OZY312" s="1715" t="s">
        <v>0</v>
      </c>
      <c r="OZZ312" s="1716"/>
      <c r="PAA312" s="1716"/>
      <c r="PAB312" s="1716"/>
      <c r="PAC312" s="1716"/>
      <c r="PAD312" s="244"/>
      <c r="PAE312" s="244" t="s">
        <v>68</v>
      </c>
      <c r="PAF312" s="245" t="s">
        <v>68</v>
      </c>
      <c r="PAG312" s="1715" t="s">
        <v>0</v>
      </c>
      <c r="PAH312" s="1716"/>
      <c r="PAI312" s="1716"/>
      <c r="PAJ312" s="1716"/>
      <c r="PAK312" s="1716"/>
      <c r="PAL312" s="244"/>
      <c r="PAM312" s="244" t="s">
        <v>68</v>
      </c>
      <c r="PAN312" s="245" t="s">
        <v>68</v>
      </c>
      <c r="PAO312" s="1715" t="s">
        <v>0</v>
      </c>
      <c r="PAP312" s="1716"/>
      <c r="PAQ312" s="1716"/>
      <c r="PAR312" s="1716"/>
      <c r="PAS312" s="1716"/>
      <c r="PAT312" s="244"/>
      <c r="PAU312" s="244" t="s">
        <v>68</v>
      </c>
      <c r="PAV312" s="245" t="s">
        <v>68</v>
      </c>
      <c r="PAW312" s="1715" t="s">
        <v>0</v>
      </c>
      <c r="PAX312" s="1716"/>
      <c r="PAY312" s="1716"/>
      <c r="PAZ312" s="1716"/>
      <c r="PBA312" s="1716"/>
      <c r="PBB312" s="244"/>
      <c r="PBC312" s="244" t="s">
        <v>68</v>
      </c>
      <c r="PBD312" s="245" t="s">
        <v>68</v>
      </c>
      <c r="PBE312" s="1715" t="s">
        <v>0</v>
      </c>
      <c r="PBF312" s="1716"/>
      <c r="PBG312" s="1716"/>
      <c r="PBH312" s="1716"/>
      <c r="PBI312" s="1716"/>
      <c r="PBJ312" s="244"/>
      <c r="PBK312" s="244" t="s">
        <v>68</v>
      </c>
      <c r="PBL312" s="245" t="s">
        <v>68</v>
      </c>
      <c r="PBM312" s="1715" t="s">
        <v>0</v>
      </c>
      <c r="PBN312" s="1716"/>
      <c r="PBO312" s="1716"/>
      <c r="PBP312" s="1716"/>
      <c r="PBQ312" s="1716"/>
      <c r="PBR312" s="244"/>
      <c r="PBS312" s="244" t="s">
        <v>68</v>
      </c>
      <c r="PBT312" s="245" t="s">
        <v>68</v>
      </c>
      <c r="PBU312" s="1715" t="s">
        <v>0</v>
      </c>
      <c r="PBV312" s="1716"/>
      <c r="PBW312" s="1716"/>
      <c r="PBX312" s="1716"/>
      <c r="PBY312" s="1716"/>
      <c r="PBZ312" s="244"/>
      <c r="PCA312" s="244" t="s">
        <v>68</v>
      </c>
      <c r="PCB312" s="245" t="s">
        <v>68</v>
      </c>
      <c r="PCC312" s="1715" t="s">
        <v>0</v>
      </c>
      <c r="PCD312" s="1716"/>
      <c r="PCE312" s="1716"/>
      <c r="PCF312" s="1716"/>
      <c r="PCG312" s="1716"/>
      <c r="PCH312" s="244"/>
      <c r="PCI312" s="244" t="s">
        <v>68</v>
      </c>
      <c r="PCJ312" s="245" t="s">
        <v>68</v>
      </c>
      <c r="PCK312" s="1715" t="s">
        <v>0</v>
      </c>
      <c r="PCL312" s="1716"/>
      <c r="PCM312" s="1716"/>
      <c r="PCN312" s="1716"/>
      <c r="PCO312" s="1716"/>
      <c r="PCP312" s="244"/>
      <c r="PCQ312" s="244" t="s">
        <v>68</v>
      </c>
      <c r="PCR312" s="245" t="s">
        <v>68</v>
      </c>
      <c r="PCS312" s="1715" t="s">
        <v>0</v>
      </c>
      <c r="PCT312" s="1716"/>
      <c r="PCU312" s="1716"/>
      <c r="PCV312" s="1716"/>
      <c r="PCW312" s="1716"/>
      <c r="PCX312" s="244"/>
      <c r="PCY312" s="244" t="s">
        <v>68</v>
      </c>
      <c r="PCZ312" s="245" t="s">
        <v>68</v>
      </c>
      <c r="PDA312" s="1715" t="s">
        <v>0</v>
      </c>
      <c r="PDB312" s="1716"/>
      <c r="PDC312" s="1716"/>
      <c r="PDD312" s="1716"/>
      <c r="PDE312" s="1716"/>
      <c r="PDF312" s="244"/>
      <c r="PDG312" s="244" t="s">
        <v>68</v>
      </c>
      <c r="PDH312" s="245" t="s">
        <v>68</v>
      </c>
      <c r="PDI312" s="1715" t="s">
        <v>0</v>
      </c>
      <c r="PDJ312" s="1716"/>
      <c r="PDK312" s="1716"/>
      <c r="PDL312" s="1716"/>
      <c r="PDM312" s="1716"/>
      <c r="PDN312" s="244"/>
      <c r="PDO312" s="244" t="s">
        <v>68</v>
      </c>
      <c r="PDP312" s="245" t="s">
        <v>68</v>
      </c>
      <c r="PDQ312" s="1715" t="s">
        <v>0</v>
      </c>
      <c r="PDR312" s="1716"/>
      <c r="PDS312" s="1716"/>
      <c r="PDT312" s="1716"/>
      <c r="PDU312" s="1716"/>
      <c r="PDV312" s="244"/>
      <c r="PDW312" s="244" t="s">
        <v>68</v>
      </c>
      <c r="PDX312" s="245" t="s">
        <v>68</v>
      </c>
      <c r="PDY312" s="1715" t="s">
        <v>0</v>
      </c>
      <c r="PDZ312" s="1716"/>
      <c r="PEA312" s="1716"/>
      <c r="PEB312" s="1716"/>
      <c r="PEC312" s="1716"/>
      <c r="PED312" s="244"/>
      <c r="PEE312" s="244" t="s">
        <v>68</v>
      </c>
      <c r="PEF312" s="245" t="s">
        <v>68</v>
      </c>
      <c r="PEG312" s="1715" t="s">
        <v>0</v>
      </c>
      <c r="PEH312" s="1716"/>
      <c r="PEI312" s="1716"/>
      <c r="PEJ312" s="1716"/>
      <c r="PEK312" s="1716"/>
      <c r="PEL312" s="244"/>
      <c r="PEM312" s="244" t="s">
        <v>68</v>
      </c>
      <c r="PEN312" s="245" t="s">
        <v>68</v>
      </c>
      <c r="PEO312" s="1715" t="s">
        <v>0</v>
      </c>
      <c r="PEP312" s="1716"/>
      <c r="PEQ312" s="1716"/>
      <c r="PER312" s="1716"/>
      <c r="PES312" s="1716"/>
      <c r="PET312" s="244"/>
      <c r="PEU312" s="244" t="s">
        <v>68</v>
      </c>
      <c r="PEV312" s="245" t="s">
        <v>68</v>
      </c>
      <c r="PEW312" s="1715" t="s">
        <v>0</v>
      </c>
      <c r="PEX312" s="1716"/>
      <c r="PEY312" s="1716"/>
      <c r="PEZ312" s="1716"/>
      <c r="PFA312" s="1716"/>
      <c r="PFB312" s="244"/>
      <c r="PFC312" s="244" t="s">
        <v>68</v>
      </c>
      <c r="PFD312" s="245" t="s">
        <v>68</v>
      </c>
      <c r="PFE312" s="1715" t="s">
        <v>0</v>
      </c>
      <c r="PFF312" s="1716"/>
      <c r="PFG312" s="1716"/>
      <c r="PFH312" s="1716"/>
      <c r="PFI312" s="1716"/>
      <c r="PFJ312" s="244"/>
      <c r="PFK312" s="244" t="s">
        <v>68</v>
      </c>
      <c r="PFL312" s="245" t="s">
        <v>68</v>
      </c>
      <c r="PFM312" s="1715" t="s">
        <v>0</v>
      </c>
      <c r="PFN312" s="1716"/>
      <c r="PFO312" s="1716"/>
      <c r="PFP312" s="1716"/>
      <c r="PFQ312" s="1716"/>
      <c r="PFR312" s="244"/>
      <c r="PFS312" s="244" t="s">
        <v>68</v>
      </c>
      <c r="PFT312" s="245" t="s">
        <v>68</v>
      </c>
      <c r="PFU312" s="1715" t="s">
        <v>0</v>
      </c>
      <c r="PFV312" s="1716"/>
      <c r="PFW312" s="1716"/>
      <c r="PFX312" s="1716"/>
      <c r="PFY312" s="1716"/>
      <c r="PFZ312" s="244"/>
      <c r="PGA312" s="244" t="s">
        <v>68</v>
      </c>
      <c r="PGB312" s="245" t="s">
        <v>68</v>
      </c>
      <c r="PGC312" s="1715" t="s">
        <v>0</v>
      </c>
      <c r="PGD312" s="1716"/>
      <c r="PGE312" s="1716"/>
      <c r="PGF312" s="1716"/>
      <c r="PGG312" s="1716"/>
      <c r="PGH312" s="244"/>
      <c r="PGI312" s="244" t="s">
        <v>68</v>
      </c>
      <c r="PGJ312" s="245" t="s">
        <v>68</v>
      </c>
      <c r="PGK312" s="1715" t="s">
        <v>0</v>
      </c>
      <c r="PGL312" s="1716"/>
      <c r="PGM312" s="1716"/>
      <c r="PGN312" s="1716"/>
      <c r="PGO312" s="1716"/>
      <c r="PGP312" s="244"/>
      <c r="PGQ312" s="244" t="s">
        <v>68</v>
      </c>
      <c r="PGR312" s="245" t="s">
        <v>68</v>
      </c>
      <c r="PGS312" s="1715" t="s">
        <v>0</v>
      </c>
      <c r="PGT312" s="1716"/>
      <c r="PGU312" s="1716"/>
      <c r="PGV312" s="1716"/>
      <c r="PGW312" s="1716"/>
      <c r="PGX312" s="244"/>
      <c r="PGY312" s="244" t="s">
        <v>68</v>
      </c>
      <c r="PGZ312" s="245" t="s">
        <v>68</v>
      </c>
      <c r="PHA312" s="1715" t="s">
        <v>0</v>
      </c>
      <c r="PHB312" s="1716"/>
      <c r="PHC312" s="1716"/>
      <c r="PHD312" s="1716"/>
      <c r="PHE312" s="1716"/>
      <c r="PHF312" s="244"/>
      <c r="PHG312" s="244" t="s">
        <v>68</v>
      </c>
      <c r="PHH312" s="245" t="s">
        <v>68</v>
      </c>
      <c r="PHI312" s="1715" t="s">
        <v>0</v>
      </c>
      <c r="PHJ312" s="1716"/>
      <c r="PHK312" s="1716"/>
      <c r="PHL312" s="1716"/>
      <c r="PHM312" s="1716"/>
      <c r="PHN312" s="244"/>
      <c r="PHO312" s="244" t="s">
        <v>68</v>
      </c>
      <c r="PHP312" s="245" t="s">
        <v>68</v>
      </c>
      <c r="PHQ312" s="1715" t="s">
        <v>0</v>
      </c>
      <c r="PHR312" s="1716"/>
      <c r="PHS312" s="1716"/>
      <c r="PHT312" s="1716"/>
      <c r="PHU312" s="1716"/>
      <c r="PHV312" s="244"/>
      <c r="PHW312" s="244" t="s">
        <v>68</v>
      </c>
      <c r="PHX312" s="245" t="s">
        <v>68</v>
      </c>
      <c r="PHY312" s="1715" t="s">
        <v>0</v>
      </c>
      <c r="PHZ312" s="1716"/>
      <c r="PIA312" s="1716"/>
      <c r="PIB312" s="1716"/>
      <c r="PIC312" s="1716"/>
      <c r="PID312" s="244"/>
      <c r="PIE312" s="244" t="s">
        <v>68</v>
      </c>
      <c r="PIF312" s="245" t="s">
        <v>68</v>
      </c>
      <c r="PIG312" s="1715" t="s">
        <v>0</v>
      </c>
      <c r="PIH312" s="1716"/>
      <c r="PII312" s="1716"/>
      <c r="PIJ312" s="1716"/>
      <c r="PIK312" s="1716"/>
      <c r="PIL312" s="244"/>
      <c r="PIM312" s="244" t="s">
        <v>68</v>
      </c>
      <c r="PIN312" s="245" t="s">
        <v>68</v>
      </c>
      <c r="PIO312" s="1715" t="s">
        <v>0</v>
      </c>
      <c r="PIP312" s="1716"/>
      <c r="PIQ312" s="1716"/>
      <c r="PIR312" s="1716"/>
      <c r="PIS312" s="1716"/>
      <c r="PIT312" s="244"/>
      <c r="PIU312" s="244" t="s">
        <v>68</v>
      </c>
      <c r="PIV312" s="245" t="s">
        <v>68</v>
      </c>
      <c r="PIW312" s="1715" t="s">
        <v>0</v>
      </c>
      <c r="PIX312" s="1716"/>
      <c r="PIY312" s="1716"/>
      <c r="PIZ312" s="1716"/>
      <c r="PJA312" s="1716"/>
      <c r="PJB312" s="244"/>
      <c r="PJC312" s="244" t="s">
        <v>68</v>
      </c>
      <c r="PJD312" s="245" t="s">
        <v>68</v>
      </c>
      <c r="PJE312" s="1715" t="s">
        <v>0</v>
      </c>
      <c r="PJF312" s="1716"/>
      <c r="PJG312" s="1716"/>
      <c r="PJH312" s="1716"/>
      <c r="PJI312" s="1716"/>
      <c r="PJJ312" s="244"/>
      <c r="PJK312" s="244" t="s">
        <v>68</v>
      </c>
      <c r="PJL312" s="245" t="s">
        <v>68</v>
      </c>
      <c r="PJM312" s="1715" t="s">
        <v>0</v>
      </c>
      <c r="PJN312" s="1716"/>
      <c r="PJO312" s="1716"/>
      <c r="PJP312" s="1716"/>
      <c r="PJQ312" s="1716"/>
      <c r="PJR312" s="244"/>
      <c r="PJS312" s="244" t="s">
        <v>68</v>
      </c>
      <c r="PJT312" s="245" t="s">
        <v>68</v>
      </c>
      <c r="PJU312" s="1715" t="s">
        <v>0</v>
      </c>
      <c r="PJV312" s="1716"/>
      <c r="PJW312" s="1716"/>
      <c r="PJX312" s="1716"/>
      <c r="PJY312" s="1716"/>
      <c r="PJZ312" s="244"/>
      <c r="PKA312" s="244" t="s">
        <v>68</v>
      </c>
      <c r="PKB312" s="245" t="s">
        <v>68</v>
      </c>
      <c r="PKC312" s="1715" t="s">
        <v>0</v>
      </c>
      <c r="PKD312" s="1716"/>
      <c r="PKE312" s="1716"/>
      <c r="PKF312" s="1716"/>
      <c r="PKG312" s="1716"/>
      <c r="PKH312" s="244"/>
      <c r="PKI312" s="244" t="s">
        <v>68</v>
      </c>
      <c r="PKJ312" s="245" t="s">
        <v>68</v>
      </c>
      <c r="PKK312" s="1715" t="s">
        <v>0</v>
      </c>
      <c r="PKL312" s="1716"/>
      <c r="PKM312" s="1716"/>
      <c r="PKN312" s="1716"/>
      <c r="PKO312" s="1716"/>
      <c r="PKP312" s="244"/>
      <c r="PKQ312" s="244" t="s">
        <v>68</v>
      </c>
      <c r="PKR312" s="245" t="s">
        <v>68</v>
      </c>
      <c r="PKS312" s="1715" t="s">
        <v>0</v>
      </c>
      <c r="PKT312" s="1716"/>
      <c r="PKU312" s="1716"/>
      <c r="PKV312" s="1716"/>
      <c r="PKW312" s="1716"/>
      <c r="PKX312" s="244"/>
      <c r="PKY312" s="244" t="s">
        <v>68</v>
      </c>
      <c r="PKZ312" s="245" t="s">
        <v>68</v>
      </c>
      <c r="PLA312" s="1715" t="s">
        <v>0</v>
      </c>
      <c r="PLB312" s="1716"/>
      <c r="PLC312" s="1716"/>
      <c r="PLD312" s="1716"/>
      <c r="PLE312" s="1716"/>
      <c r="PLF312" s="244"/>
      <c r="PLG312" s="244" t="s">
        <v>68</v>
      </c>
      <c r="PLH312" s="245" t="s">
        <v>68</v>
      </c>
      <c r="PLI312" s="1715" t="s">
        <v>0</v>
      </c>
      <c r="PLJ312" s="1716"/>
      <c r="PLK312" s="1716"/>
      <c r="PLL312" s="1716"/>
      <c r="PLM312" s="1716"/>
      <c r="PLN312" s="244"/>
      <c r="PLO312" s="244" t="s">
        <v>68</v>
      </c>
      <c r="PLP312" s="245" t="s">
        <v>68</v>
      </c>
      <c r="PLQ312" s="1715" t="s">
        <v>0</v>
      </c>
      <c r="PLR312" s="1716"/>
      <c r="PLS312" s="1716"/>
      <c r="PLT312" s="1716"/>
      <c r="PLU312" s="1716"/>
      <c r="PLV312" s="244"/>
      <c r="PLW312" s="244" t="s">
        <v>68</v>
      </c>
      <c r="PLX312" s="245" t="s">
        <v>68</v>
      </c>
      <c r="PLY312" s="1715" t="s">
        <v>0</v>
      </c>
      <c r="PLZ312" s="1716"/>
      <c r="PMA312" s="1716"/>
      <c r="PMB312" s="1716"/>
      <c r="PMC312" s="1716"/>
      <c r="PMD312" s="244"/>
      <c r="PME312" s="244" t="s">
        <v>68</v>
      </c>
      <c r="PMF312" s="245" t="s">
        <v>68</v>
      </c>
      <c r="PMG312" s="1715" t="s">
        <v>0</v>
      </c>
      <c r="PMH312" s="1716"/>
      <c r="PMI312" s="1716"/>
      <c r="PMJ312" s="1716"/>
      <c r="PMK312" s="1716"/>
      <c r="PML312" s="244"/>
      <c r="PMM312" s="244" t="s">
        <v>68</v>
      </c>
      <c r="PMN312" s="245" t="s">
        <v>68</v>
      </c>
      <c r="PMO312" s="1715" t="s">
        <v>0</v>
      </c>
      <c r="PMP312" s="1716"/>
      <c r="PMQ312" s="1716"/>
      <c r="PMR312" s="1716"/>
      <c r="PMS312" s="1716"/>
      <c r="PMT312" s="244"/>
      <c r="PMU312" s="244" t="s">
        <v>68</v>
      </c>
      <c r="PMV312" s="245" t="s">
        <v>68</v>
      </c>
      <c r="PMW312" s="1715" t="s">
        <v>0</v>
      </c>
      <c r="PMX312" s="1716"/>
      <c r="PMY312" s="1716"/>
      <c r="PMZ312" s="1716"/>
      <c r="PNA312" s="1716"/>
      <c r="PNB312" s="244"/>
      <c r="PNC312" s="244" t="s">
        <v>68</v>
      </c>
      <c r="PND312" s="245" t="s">
        <v>68</v>
      </c>
      <c r="PNE312" s="1715" t="s">
        <v>0</v>
      </c>
      <c r="PNF312" s="1716"/>
      <c r="PNG312" s="1716"/>
      <c r="PNH312" s="1716"/>
      <c r="PNI312" s="1716"/>
      <c r="PNJ312" s="244"/>
      <c r="PNK312" s="244" t="s">
        <v>68</v>
      </c>
      <c r="PNL312" s="245" t="s">
        <v>68</v>
      </c>
      <c r="PNM312" s="1715" t="s">
        <v>0</v>
      </c>
      <c r="PNN312" s="1716"/>
      <c r="PNO312" s="1716"/>
      <c r="PNP312" s="1716"/>
      <c r="PNQ312" s="1716"/>
      <c r="PNR312" s="244"/>
      <c r="PNS312" s="244" t="s">
        <v>68</v>
      </c>
      <c r="PNT312" s="245" t="s">
        <v>68</v>
      </c>
      <c r="PNU312" s="1715" t="s">
        <v>0</v>
      </c>
      <c r="PNV312" s="1716"/>
      <c r="PNW312" s="1716"/>
      <c r="PNX312" s="1716"/>
      <c r="PNY312" s="1716"/>
      <c r="PNZ312" s="244"/>
      <c r="POA312" s="244" t="s">
        <v>68</v>
      </c>
      <c r="POB312" s="245" t="s">
        <v>68</v>
      </c>
      <c r="POC312" s="1715" t="s">
        <v>0</v>
      </c>
      <c r="POD312" s="1716"/>
      <c r="POE312" s="1716"/>
      <c r="POF312" s="1716"/>
      <c r="POG312" s="1716"/>
      <c r="POH312" s="244"/>
      <c r="POI312" s="244" t="s">
        <v>68</v>
      </c>
      <c r="POJ312" s="245" t="s">
        <v>68</v>
      </c>
      <c r="POK312" s="1715" t="s">
        <v>0</v>
      </c>
      <c r="POL312" s="1716"/>
      <c r="POM312" s="1716"/>
      <c r="PON312" s="1716"/>
      <c r="POO312" s="1716"/>
      <c r="POP312" s="244"/>
      <c r="POQ312" s="244" t="s">
        <v>68</v>
      </c>
      <c r="POR312" s="245" t="s">
        <v>68</v>
      </c>
      <c r="POS312" s="1715" t="s">
        <v>0</v>
      </c>
      <c r="POT312" s="1716"/>
      <c r="POU312" s="1716"/>
      <c r="POV312" s="1716"/>
      <c r="POW312" s="1716"/>
      <c r="POX312" s="244"/>
      <c r="POY312" s="244" t="s">
        <v>68</v>
      </c>
      <c r="POZ312" s="245" t="s">
        <v>68</v>
      </c>
      <c r="PPA312" s="1715" t="s">
        <v>0</v>
      </c>
      <c r="PPB312" s="1716"/>
      <c r="PPC312" s="1716"/>
      <c r="PPD312" s="1716"/>
      <c r="PPE312" s="1716"/>
      <c r="PPF312" s="244"/>
      <c r="PPG312" s="244" t="s">
        <v>68</v>
      </c>
      <c r="PPH312" s="245" t="s">
        <v>68</v>
      </c>
      <c r="PPI312" s="1715" t="s">
        <v>0</v>
      </c>
      <c r="PPJ312" s="1716"/>
      <c r="PPK312" s="1716"/>
      <c r="PPL312" s="1716"/>
      <c r="PPM312" s="1716"/>
      <c r="PPN312" s="244"/>
      <c r="PPO312" s="244" t="s">
        <v>68</v>
      </c>
      <c r="PPP312" s="245" t="s">
        <v>68</v>
      </c>
      <c r="PPQ312" s="1715" t="s">
        <v>0</v>
      </c>
      <c r="PPR312" s="1716"/>
      <c r="PPS312" s="1716"/>
      <c r="PPT312" s="1716"/>
      <c r="PPU312" s="1716"/>
      <c r="PPV312" s="244"/>
      <c r="PPW312" s="244" t="s">
        <v>68</v>
      </c>
      <c r="PPX312" s="245" t="s">
        <v>68</v>
      </c>
      <c r="PPY312" s="1715" t="s">
        <v>0</v>
      </c>
      <c r="PPZ312" s="1716"/>
      <c r="PQA312" s="1716"/>
      <c r="PQB312" s="1716"/>
      <c r="PQC312" s="1716"/>
      <c r="PQD312" s="244"/>
      <c r="PQE312" s="244" t="s">
        <v>68</v>
      </c>
      <c r="PQF312" s="245" t="s">
        <v>68</v>
      </c>
      <c r="PQG312" s="1715" t="s">
        <v>0</v>
      </c>
      <c r="PQH312" s="1716"/>
      <c r="PQI312" s="1716"/>
      <c r="PQJ312" s="1716"/>
      <c r="PQK312" s="1716"/>
      <c r="PQL312" s="244"/>
      <c r="PQM312" s="244" t="s">
        <v>68</v>
      </c>
      <c r="PQN312" s="245" t="s">
        <v>68</v>
      </c>
      <c r="PQO312" s="1715" t="s">
        <v>0</v>
      </c>
      <c r="PQP312" s="1716"/>
      <c r="PQQ312" s="1716"/>
      <c r="PQR312" s="1716"/>
      <c r="PQS312" s="1716"/>
      <c r="PQT312" s="244"/>
      <c r="PQU312" s="244" t="s">
        <v>68</v>
      </c>
      <c r="PQV312" s="245" t="s">
        <v>68</v>
      </c>
      <c r="PQW312" s="1715" t="s">
        <v>0</v>
      </c>
      <c r="PQX312" s="1716"/>
      <c r="PQY312" s="1716"/>
      <c r="PQZ312" s="1716"/>
      <c r="PRA312" s="1716"/>
      <c r="PRB312" s="244"/>
      <c r="PRC312" s="244" t="s">
        <v>68</v>
      </c>
      <c r="PRD312" s="245" t="s">
        <v>68</v>
      </c>
      <c r="PRE312" s="1715" t="s">
        <v>0</v>
      </c>
      <c r="PRF312" s="1716"/>
      <c r="PRG312" s="1716"/>
      <c r="PRH312" s="1716"/>
      <c r="PRI312" s="1716"/>
      <c r="PRJ312" s="244"/>
      <c r="PRK312" s="244" t="s">
        <v>68</v>
      </c>
      <c r="PRL312" s="245" t="s">
        <v>68</v>
      </c>
      <c r="PRM312" s="1715" t="s">
        <v>0</v>
      </c>
      <c r="PRN312" s="1716"/>
      <c r="PRO312" s="1716"/>
      <c r="PRP312" s="1716"/>
      <c r="PRQ312" s="1716"/>
      <c r="PRR312" s="244"/>
      <c r="PRS312" s="244" t="s">
        <v>68</v>
      </c>
      <c r="PRT312" s="245" t="s">
        <v>68</v>
      </c>
      <c r="PRU312" s="1715" t="s">
        <v>0</v>
      </c>
      <c r="PRV312" s="1716"/>
      <c r="PRW312" s="1716"/>
      <c r="PRX312" s="1716"/>
      <c r="PRY312" s="1716"/>
      <c r="PRZ312" s="244"/>
      <c r="PSA312" s="244" t="s">
        <v>68</v>
      </c>
      <c r="PSB312" s="245" t="s">
        <v>68</v>
      </c>
      <c r="PSC312" s="1715" t="s">
        <v>0</v>
      </c>
      <c r="PSD312" s="1716"/>
      <c r="PSE312" s="1716"/>
      <c r="PSF312" s="1716"/>
      <c r="PSG312" s="1716"/>
      <c r="PSH312" s="244"/>
      <c r="PSI312" s="244" t="s">
        <v>68</v>
      </c>
      <c r="PSJ312" s="245" t="s">
        <v>68</v>
      </c>
      <c r="PSK312" s="1715" t="s">
        <v>0</v>
      </c>
      <c r="PSL312" s="1716"/>
      <c r="PSM312" s="1716"/>
      <c r="PSN312" s="1716"/>
      <c r="PSO312" s="1716"/>
      <c r="PSP312" s="244"/>
      <c r="PSQ312" s="244" t="s">
        <v>68</v>
      </c>
      <c r="PSR312" s="245" t="s">
        <v>68</v>
      </c>
      <c r="PSS312" s="1715" t="s">
        <v>0</v>
      </c>
      <c r="PST312" s="1716"/>
      <c r="PSU312" s="1716"/>
      <c r="PSV312" s="1716"/>
      <c r="PSW312" s="1716"/>
      <c r="PSX312" s="244"/>
      <c r="PSY312" s="244" t="s">
        <v>68</v>
      </c>
      <c r="PSZ312" s="245" t="s">
        <v>68</v>
      </c>
      <c r="PTA312" s="1715" t="s">
        <v>0</v>
      </c>
      <c r="PTB312" s="1716"/>
      <c r="PTC312" s="1716"/>
      <c r="PTD312" s="1716"/>
      <c r="PTE312" s="1716"/>
      <c r="PTF312" s="244"/>
      <c r="PTG312" s="244" t="s">
        <v>68</v>
      </c>
      <c r="PTH312" s="245" t="s">
        <v>68</v>
      </c>
      <c r="PTI312" s="1715" t="s">
        <v>0</v>
      </c>
      <c r="PTJ312" s="1716"/>
      <c r="PTK312" s="1716"/>
      <c r="PTL312" s="1716"/>
      <c r="PTM312" s="1716"/>
      <c r="PTN312" s="244"/>
      <c r="PTO312" s="244" t="s">
        <v>68</v>
      </c>
      <c r="PTP312" s="245" t="s">
        <v>68</v>
      </c>
      <c r="PTQ312" s="1715" t="s">
        <v>0</v>
      </c>
      <c r="PTR312" s="1716"/>
      <c r="PTS312" s="1716"/>
      <c r="PTT312" s="1716"/>
      <c r="PTU312" s="1716"/>
      <c r="PTV312" s="244"/>
      <c r="PTW312" s="244" t="s">
        <v>68</v>
      </c>
      <c r="PTX312" s="245" t="s">
        <v>68</v>
      </c>
      <c r="PTY312" s="1715" t="s">
        <v>0</v>
      </c>
      <c r="PTZ312" s="1716"/>
      <c r="PUA312" s="1716"/>
      <c r="PUB312" s="1716"/>
      <c r="PUC312" s="1716"/>
      <c r="PUD312" s="244"/>
      <c r="PUE312" s="244" t="s">
        <v>68</v>
      </c>
      <c r="PUF312" s="245" t="s">
        <v>68</v>
      </c>
      <c r="PUG312" s="1715" t="s">
        <v>0</v>
      </c>
      <c r="PUH312" s="1716"/>
      <c r="PUI312" s="1716"/>
      <c r="PUJ312" s="1716"/>
      <c r="PUK312" s="1716"/>
      <c r="PUL312" s="244"/>
      <c r="PUM312" s="244" t="s">
        <v>68</v>
      </c>
      <c r="PUN312" s="245" t="s">
        <v>68</v>
      </c>
      <c r="PUO312" s="1715" t="s">
        <v>0</v>
      </c>
      <c r="PUP312" s="1716"/>
      <c r="PUQ312" s="1716"/>
      <c r="PUR312" s="1716"/>
      <c r="PUS312" s="1716"/>
      <c r="PUT312" s="244"/>
      <c r="PUU312" s="244" t="s">
        <v>68</v>
      </c>
      <c r="PUV312" s="245" t="s">
        <v>68</v>
      </c>
      <c r="PUW312" s="1715" t="s">
        <v>0</v>
      </c>
      <c r="PUX312" s="1716"/>
      <c r="PUY312" s="1716"/>
      <c r="PUZ312" s="1716"/>
      <c r="PVA312" s="1716"/>
      <c r="PVB312" s="244"/>
      <c r="PVC312" s="244" t="s">
        <v>68</v>
      </c>
      <c r="PVD312" s="245" t="s">
        <v>68</v>
      </c>
      <c r="PVE312" s="1715" t="s">
        <v>0</v>
      </c>
      <c r="PVF312" s="1716"/>
      <c r="PVG312" s="1716"/>
      <c r="PVH312" s="1716"/>
      <c r="PVI312" s="1716"/>
      <c r="PVJ312" s="244"/>
      <c r="PVK312" s="244" t="s">
        <v>68</v>
      </c>
      <c r="PVL312" s="245" t="s">
        <v>68</v>
      </c>
      <c r="PVM312" s="1715" t="s">
        <v>0</v>
      </c>
      <c r="PVN312" s="1716"/>
      <c r="PVO312" s="1716"/>
      <c r="PVP312" s="1716"/>
      <c r="PVQ312" s="1716"/>
      <c r="PVR312" s="244"/>
      <c r="PVS312" s="244" t="s">
        <v>68</v>
      </c>
      <c r="PVT312" s="245" t="s">
        <v>68</v>
      </c>
      <c r="PVU312" s="1715" t="s">
        <v>0</v>
      </c>
      <c r="PVV312" s="1716"/>
      <c r="PVW312" s="1716"/>
      <c r="PVX312" s="1716"/>
      <c r="PVY312" s="1716"/>
      <c r="PVZ312" s="244"/>
      <c r="PWA312" s="244" t="s">
        <v>68</v>
      </c>
      <c r="PWB312" s="245" t="s">
        <v>68</v>
      </c>
      <c r="PWC312" s="1715" t="s">
        <v>0</v>
      </c>
      <c r="PWD312" s="1716"/>
      <c r="PWE312" s="1716"/>
      <c r="PWF312" s="1716"/>
      <c r="PWG312" s="1716"/>
      <c r="PWH312" s="244"/>
      <c r="PWI312" s="244" t="s">
        <v>68</v>
      </c>
      <c r="PWJ312" s="245" t="s">
        <v>68</v>
      </c>
      <c r="PWK312" s="1715" t="s">
        <v>0</v>
      </c>
      <c r="PWL312" s="1716"/>
      <c r="PWM312" s="1716"/>
      <c r="PWN312" s="1716"/>
      <c r="PWO312" s="1716"/>
      <c r="PWP312" s="244"/>
      <c r="PWQ312" s="244" t="s">
        <v>68</v>
      </c>
      <c r="PWR312" s="245" t="s">
        <v>68</v>
      </c>
      <c r="PWS312" s="1715" t="s">
        <v>0</v>
      </c>
      <c r="PWT312" s="1716"/>
      <c r="PWU312" s="1716"/>
      <c r="PWV312" s="1716"/>
      <c r="PWW312" s="1716"/>
      <c r="PWX312" s="244"/>
      <c r="PWY312" s="244" t="s">
        <v>68</v>
      </c>
      <c r="PWZ312" s="245" t="s">
        <v>68</v>
      </c>
      <c r="PXA312" s="1715" t="s">
        <v>0</v>
      </c>
      <c r="PXB312" s="1716"/>
      <c r="PXC312" s="1716"/>
      <c r="PXD312" s="1716"/>
      <c r="PXE312" s="1716"/>
      <c r="PXF312" s="244"/>
      <c r="PXG312" s="244" t="s">
        <v>68</v>
      </c>
      <c r="PXH312" s="245" t="s">
        <v>68</v>
      </c>
      <c r="PXI312" s="1715" t="s">
        <v>0</v>
      </c>
      <c r="PXJ312" s="1716"/>
      <c r="PXK312" s="1716"/>
      <c r="PXL312" s="1716"/>
      <c r="PXM312" s="1716"/>
      <c r="PXN312" s="244"/>
      <c r="PXO312" s="244" t="s">
        <v>68</v>
      </c>
      <c r="PXP312" s="245" t="s">
        <v>68</v>
      </c>
      <c r="PXQ312" s="1715" t="s">
        <v>0</v>
      </c>
      <c r="PXR312" s="1716"/>
      <c r="PXS312" s="1716"/>
      <c r="PXT312" s="1716"/>
      <c r="PXU312" s="1716"/>
      <c r="PXV312" s="244"/>
      <c r="PXW312" s="244" t="s">
        <v>68</v>
      </c>
      <c r="PXX312" s="245" t="s">
        <v>68</v>
      </c>
      <c r="PXY312" s="1715" t="s">
        <v>0</v>
      </c>
      <c r="PXZ312" s="1716"/>
      <c r="PYA312" s="1716"/>
      <c r="PYB312" s="1716"/>
      <c r="PYC312" s="1716"/>
      <c r="PYD312" s="244"/>
      <c r="PYE312" s="244" t="s">
        <v>68</v>
      </c>
      <c r="PYF312" s="245" t="s">
        <v>68</v>
      </c>
      <c r="PYG312" s="1715" t="s">
        <v>0</v>
      </c>
      <c r="PYH312" s="1716"/>
      <c r="PYI312" s="1716"/>
      <c r="PYJ312" s="1716"/>
      <c r="PYK312" s="1716"/>
      <c r="PYL312" s="244"/>
      <c r="PYM312" s="244" t="s">
        <v>68</v>
      </c>
      <c r="PYN312" s="245" t="s">
        <v>68</v>
      </c>
      <c r="PYO312" s="1715" t="s">
        <v>0</v>
      </c>
      <c r="PYP312" s="1716"/>
      <c r="PYQ312" s="1716"/>
      <c r="PYR312" s="1716"/>
      <c r="PYS312" s="1716"/>
      <c r="PYT312" s="244"/>
      <c r="PYU312" s="244" t="s">
        <v>68</v>
      </c>
      <c r="PYV312" s="245" t="s">
        <v>68</v>
      </c>
      <c r="PYW312" s="1715" t="s">
        <v>0</v>
      </c>
      <c r="PYX312" s="1716"/>
      <c r="PYY312" s="1716"/>
      <c r="PYZ312" s="1716"/>
      <c r="PZA312" s="1716"/>
      <c r="PZB312" s="244"/>
      <c r="PZC312" s="244" t="s">
        <v>68</v>
      </c>
      <c r="PZD312" s="245" t="s">
        <v>68</v>
      </c>
      <c r="PZE312" s="1715" t="s">
        <v>0</v>
      </c>
      <c r="PZF312" s="1716"/>
      <c r="PZG312" s="1716"/>
      <c r="PZH312" s="1716"/>
      <c r="PZI312" s="1716"/>
      <c r="PZJ312" s="244"/>
      <c r="PZK312" s="244" t="s">
        <v>68</v>
      </c>
      <c r="PZL312" s="245" t="s">
        <v>68</v>
      </c>
      <c r="PZM312" s="1715" t="s">
        <v>0</v>
      </c>
      <c r="PZN312" s="1716"/>
      <c r="PZO312" s="1716"/>
      <c r="PZP312" s="1716"/>
      <c r="PZQ312" s="1716"/>
      <c r="PZR312" s="244"/>
      <c r="PZS312" s="244" t="s">
        <v>68</v>
      </c>
      <c r="PZT312" s="245" t="s">
        <v>68</v>
      </c>
      <c r="PZU312" s="1715" t="s">
        <v>0</v>
      </c>
      <c r="PZV312" s="1716"/>
      <c r="PZW312" s="1716"/>
      <c r="PZX312" s="1716"/>
      <c r="PZY312" s="1716"/>
      <c r="PZZ312" s="244"/>
      <c r="QAA312" s="244" t="s">
        <v>68</v>
      </c>
      <c r="QAB312" s="245" t="s">
        <v>68</v>
      </c>
      <c r="QAC312" s="1715" t="s">
        <v>0</v>
      </c>
      <c r="QAD312" s="1716"/>
      <c r="QAE312" s="1716"/>
      <c r="QAF312" s="1716"/>
      <c r="QAG312" s="1716"/>
      <c r="QAH312" s="244"/>
      <c r="QAI312" s="244" t="s">
        <v>68</v>
      </c>
      <c r="QAJ312" s="245" t="s">
        <v>68</v>
      </c>
      <c r="QAK312" s="1715" t="s">
        <v>0</v>
      </c>
      <c r="QAL312" s="1716"/>
      <c r="QAM312" s="1716"/>
      <c r="QAN312" s="1716"/>
      <c r="QAO312" s="1716"/>
      <c r="QAP312" s="244"/>
      <c r="QAQ312" s="244" t="s">
        <v>68</v>
      </c>
      <c r="QAR312" s="245" t="s">
        <v>68</v>
      </c>
      <c r="QAS312" s="1715" t="s">
        <v>0</v>
      </c>
      <c r="QAT312" s="1716"/>
      <c r="QAU312" s="1716"/>
      <c r="QAV312" s="1716"/>
      <c r="QAW312" s="1716"/>
      <c r="QAX312" s="244"/>
      <c r="QAY312" s="244" t="s">
        <v>68</v>
      </c>
      <c r="QAZ312" s="245" t="s">
        <v>68</v>
      </c>
      <c r="QBA312" s="1715" t="s">
        <v>0</v>
      </c>
      <c r="QBB312" s="1716"/>
      <c r="QBC312" s="1716"/>
      <c r="QBD312" s="1716"/>
      <c r="QBE312" s="1716"/>
      <c r="QBF312" s="244"/>
      <c r="QBG312" s="244" t="s">
        <v>68</v>
      </c>
      <c r="QBH312" s="245" t="s">
        <v>68</v>
      </c>
      <c r="QBI312" s="1715" t="s">
        <v>0</v>
      </c>
      <c r="QBJ312" s="1716"/>
      <c r="QBK312" s="1716"/>
      <c r="QBL312" s="1716"/>
      <c r="QBM312" s="1716"/>
      <c r="QBN312" s="244"/>
      <c r="QBO312" s="244" t="s">
        <v>68</v>
      </c>
      <c r="QBP312" s="245" t="s">
        <v>68</v>
      </c>
      <c r="QBQ312" s="1715" t="s">
        <v>0</v>
      </c>
      <c r="QBR312" s="1716"/>
      <c r="QBS312" s="1716"/>
      <c r="QBT312" s="1716"/>
      <c r="QBU312" s="1716"/>
      <c r="QBV312" s="244"/>
      <c r="QBW312" s="244" t="s">
        <v>68</v>
      </c>
      <c r="QBX312" s="245" t="s">
        <v>68</v>
      </c>
      <c r="QBY312" s="1715" t="s">
        <v>0</v>
      </c>
      <c r="QBZ312" s="1716"/>
      <c r="QCA312" s="1716"/>
      <c r="QCB312" s="1716"/>
      <c r="QCC312" s="1716"/>
      <c r="QCD312" s="244"/>
      <c r="QCE312" s="244" t="s">
        <v>68</v>
      </c>
      <c r="QCF312" s="245" t="s">
        <v>68</v>
      </c>
      <c r="QCG312" s="1715" t="s">
        <v>0</v>
      </c>
      <c r="QCH312" s="1716"/>
      <c r="QCI312" s="1716"/>
      <c r="QCJ312" s="1716"/>
      <c r="QCK312" s="1716"/>
      <c r="QCL312" s="244"/>
      <c r="QCM312" s="244" t="s">
        <v>68</v>
      </c>
      <c r="QCN312" s="245" t="s">
        <v>68</v>
      </c>
      <c r="QCO312" s="1715" t="s">
        <v>0</v>
      </c>
      <c r="QCP312" s="1716"/>
      <c r="QCQ312" s="1716"/>
      <c r="QCR312" s="1716"/>
      <c r="QCS312" s="1716"/>
      <c r="QCT312" s="244"/>
      <c r="QCU312" s="244" t="s">
        <v>68</v>
      </c>
      <c r="QCV312" s="245" t="s">
        <v>68</v>
      </c>
      <c r="QCW312" s="1715" t="s">
        <v>0</v>
      </c>
      <c r="QCX312" s="1716"/>
      <c r="QCY312" s="1716"/>
      <c r="QCZ312" s="1716"/>
      <c r="QDA312" s="1716"/>
      <c r="QDB312" s="244"/>
      <c r="QDC312" s="244" t="s">
        <v>68</v>
      </c>
      <c r="QDD312" s="245" t="s">
        <v>68</v>
      </c>
      <c r="QDE312" s="1715" t="s">
        <v>0</v>
      </c>
      <c r="QDF312" s="1716"/>
      <c r="QDG312" s="1716"/>
      <c r="QDH312" s="1716"/>
      <c r="QDI312" s="1716"/>
      <c r="QDJ312" s="244"/>
      <c r="QDK312" s="244" t="s">
        <v>68</v>
      </c>
      <c r="QDL312" s="245" t="s">
        <v>68</v>
      </c>
      <c r="QDM312" s="1715" t="s">
        <v>0</v>
      </c>
      <c r="QDN312" s="1716"/>
      <c r="QDO312" s="1716"/>
      <c r="QDP312" s="1716"/>
      <c r="QDQ312" s="1716"/>
      <c r="QDR312" s="244"/>
      <c r="QDS312" s="244" t="s">
        <v>68</v>
      </c>
      <c r="QDT312" s="245" t="s">
        <v>68</v>
      </c>
      <c r="QDU312" s="1715" t="s">
        <v>0</v>
      </c>
      <c r="QDV312" s="1716"/>
      <c r="QDW312" s="1716"/>
      <c r="QDX312" s="1716"/>
      <c r="QDY312" s="1716"/>
      <c r="QDZ312" s="244"/>
      <c r="QEA312" s="244" t="s">
        <v>68</v>
      </c>
      <c r="QEB312" s="245" t="s">
        <v>68</v>
      </c>
      <c r="QEC312" s="1715" t="s">
        <v>0</v>
      </c>
      <c r="QED312" s="1716"/>
      <c r="QEE312" s="1716"/>
      <c r="QEF312" s="1716"/>
      <c r="QEG312" s="1716"/>
      <c r="QEH312" s="244"/>
      <c r="QEI312" s="244" t="s">
        <v>68</v>
      </c>
      <c r="QEJ312" s="245" t="s">
        <v>68</v>
      </c>
      <c r="QEK312" s="1715" t="s">
        <v>0</v>
      </c>
      <c r="QEL312" s="1716"/>
      <c r="QEM312" s="1716"/>
      <c r="QEN312" s="1716"/>
      <c r="QEO312" s="1716"/>
      <c r="QEP312" s="244"/>
      <c r="QEQ312" s="244" t="s">
        <v>68</v>
      </c>
      <c r="QER312" s="245" t="s">
        <v>68</v>
      </c>
      <c r="QES312" s="1715" t="s">
        <v>0</v>
      </c>
      <c r="QET312" s="1716"/>
      <c r="QEU312" s="1716"/>
      <c r="QEV312" s="1716"/>
      <c r="QEW312" s="1716"/>
      <c r="QEX312" s="244"/>
      <c r="QEY312" s="244" t="s">
        <v>68</v>
      </c>
      <c r="QEZ312" s="245" t="s">
        <v>68</v>
      </c>
      <c r="QFA312" s="1715" t="s">
        <v>0</v>
      </c>
      <c r="QFB312" s="1716"/>
      <c r="QFC312" s="1716"/>
      <c r="QFD312" s="1716"/>
      <c r="QFE312" s="1716"/>
      <c r="QFF312" s="244"/>
      <c r="QFG312" s="244" t="s">
        <v>68</v>
      </c>
      <c r="QFH312" s="245" t="s">
        <v>68</v>
      </c>
      <c r="QFI312" s="1715" t="s">
        <v>0</v>
      </c>
      <c r="QFJ312" s="1716"/>
      <c r="QFK312" s="1716"/>
      <c r="QFL312" s="1716"/>
      <c r="QFM312" s="1716"/>
      <c r="QFN312" s="244"/>
      <c r="QFO312" s="244" t="s">
        <v>68</v>
      </c>
      <c r="QFP312" s="245" t="s">
        <v>68</v>
      </c>
      <c r="QFQ312" s="1715" t="s">
        <v>0</v>
      </c>
      <c r="QFR312" s="1716"/>
      <c r="QFS312" s="1716"/>
      <c r="QFT312" s="1716"/>
      <c r="QFU312" s="1716"/>
      <c r="QFV312" s="244"/>
      <c r="QFW312" s="244" t="s">
        <v>68</v>
      </c>
      <c r="QFX312" s="245" t="s">
        <v>68</v>
      </c>
      <c r="QFY312" s="1715" t="s">
        <v>0</v>
      </c>
      <c r="QFZ312" s="1716"/>
      <c r="QGA312" s="1716"/>
      <c r="QGB312" s="1716"/>
      <c r="QGC312" s="1716"/>
      <c r="QGD312" s="244"/>
      <c r="QGE312" s="244" t="s">
        <v>68</v>
      </c>
      <c r="QGF312" s="245" t="s">
        <v>68</v>
      </c>
      <c r="QGG312" s="1715" t="s">
        <v>0</v>
      </c>
      <c r="QGH312" s="1716"/>
      <c r="QGI312" s="1716"/>
      <c r="QGJ312" s="1716"/>
      <c r="QGK312" s="1716"/>
      <c r="QGL312" s="244"/>
      <c r="QGM312" s="244" t="s">
        <v>68</v>
      </c>
      <c r="QGN312" s="245" t="s">
        <v>68</v>
      </c>
      <c r="QGO312" s="1715" t="s">
        <v>0</v>
      </c>
      <c r="QGP312" s="1716"/>
      <c r="QGQ312" s="1716"/>
      <c r="QGR312" s="1716"/>
      <c r="QGS312" s="1716"/>
      <c r="QGT312" s="244"/>
      <c r="QGU312" s="244" t="s">
        <v>68</v>
      </c>
      <c r="QGV312" s="245" t="s">
        <v>68</v>
      </c>
      <c r="QGW312" s="1715" t="s">
        <v>0</v>
      </c>
      <c r="QGX312" s="1716"/>
      <c r="QGY312" s="1716"/>
      <c r="QGZ312" s="1716"/>
      <c r="QHA312" s="1716"/>
      <c r="QHB312" s="244"/>
      <c r="QHC312" s="244" t="s">
        <v>68</v>
      </c>
      <c r="QHD312" s="245" t="s">
        <v>68</v>
      </c>
      <c r="QHE312" s="1715" t="s">
        <v>0</v>
      </c>
      <c r="QHF312" s="1716"/>
      <c r="QHG312" s="1716"/>
      <c r="QHH312" s="1716"/>
      <c r="QHI312" s="1716"/>
      <c r="QHJ312" s="244"/>
      <c r="QHK312" s="244" t="s">
        <v>68</v>
      </c>
      <c r="QHL312" s="245" t="s">
        <v>68</v>
      </c>
      <c r="QHM312" s="1715" t="s">
        <v>0</v>
      </c>
      <c r="QHN312" s="1716"/>
      <c r="QHO312" s="1716"/>
      <c r="QHP312" s="1716"/>
      <c r="QHQ312" s="1716"/>
      <c r="QHR312" s="244"/>
      <c r="QHS312" s="244" t="s">
        <v>68</v>
      </c>
      <c r="QHT312" s="245" t="s">
        <v>68</v>
      </c>
      <c r="QHU312" s="1715" t="s">
        <v>0</v>
      </c>
      <c r="QHV312" s="1716"/>
      <c r="QHW312" s="1716"/>
      <c r="QHX312" s="1716"/>
      <c r="QHY312" s="1716"/>
      <c r="QHZ312" s="244"/>
      <c r="QIA312" s="244" t="s">
        <v>68</v>
      </c>
      <c r="QIB312" s="245" t="s">
        <v>68</v>
      </c>
      <c r="QIC312" s="1715" t="s">
        <v>0</v>
      </c>
      <c r="QID312" s="1716"/>
      <c r="QIE312" s="1716"/>
      <c r="QIF312" s="1716"/>
      <c r="QIG312" s="1716"/>
      <c r="QIH312" s="244"/>
      <c r="QII312" s="244" t="s">
        <v>68</v>
      </c>
      <c r="QIJ312" s="245" t="s">
        <v>68</v>
      </c>
      <c r="QIK312" s="1715" t="s">
        <v>0</v>
      </c>
      <c r="QIL312" s="1716"/>
      <c r="QIM312" s="1716"/>
      <c r="QIN312" s="1716"/>
      <c r="QIO312" s="1716"/>
      <c r="QIP312" s="244"/>
      <c r="QIQ312" s="244" t="s">
        <v>68</v>
      </c>
      <c r="QIR312" s="245" t="s">
        <v>68</v>
      </c>
      <c r="QIS312" s="1715" t="s">
        <v>0</v>
      </c>
      <c r="QIT312" s="1716"/>
      <c r="QIU312" s="1716"/>
      <c r="QIV312" s="1716"/>
      <c r="QIW312" s="1716"/>
      <c r="QIX312" s="244"/>
      <c r="QIY312" s="244" t="s">
        <v>68</v>
      </c>
      <c r="QIZ312" s="245" t="s">
        <v>68</v>
      </c>
      <c r="QJA312" s="1715" t="s">
        <v>0</v>
      </c>
      <c r="QJB312" s="1716"/>
      <c r="QJC312" s="1716"/>
      <c r="QJD312" s="1716"/>
      <c r="QJE312" s="1716"/>
      <c r="QJF312" s="244"/>
      <c r="QJG312" s="244" t="s">
        <v>68</v>
      </c>
      <c r="QJH312" s="245" t="s">
        <v>68</v>
      </c>
      <c r="QJI312" s="1715" t="s">
        <v>0</v>
      </c>
      <c r="QJJ312" s="1716"/>
      <c r="QJK312" s="1716"/>
      <c r="QJL312" s="1716"/>
      <c r="QJM312" s="1716"/>
      <c r="QJN312" s="244"/>
      <c r="QJO312" s="244" t="s">
        <v>68</v>
      </c>
      <c r="QJP312" s="245" t="s">
        <v>68</v>
      </c>
      <c r="QJQ312" s="1715" t="s">
        <v>0</v>
      </c>
      <c r="QJR312" s="1716"/>
      <c r="QJS312" s="1716"/>
      <c r="QJT312" s="1716"/>
      <c r="QJU312" s="1716"/>
      <c r="QJV312" s="244"/>
      <c r="QJW312" s="244" t="s">
        <v>68</v>
      </c>
      <c r="QJX312" s="245" t="s">
        <v>68</v>
      </c>
      <c r="QJY312" s="1715" t="s">
        <v>0</v>
      </c>
      <c r="QJZ312" s="1716"/>
      <c r="QKA312" s="1716"/>
      <c r="QKB312" s="1716"/>
      <c r="QKC312" s="1716"/>
      <c r="QKD312" s="244"/>
      <c r="QKE312" s="244" t="s">
        <v>68</v>
      </c>
      <c r="QKF312" s="245" t="s">
        <v>68</v>
      </c>
      <c r="QKG312" s="1715" t="s">
        <v>0</v>
      </c>
      <c r="QKH312" s="1716"/>
      <c r="QKI312" s="1716"/>
      <c r="QKJ312" s="1716"/>
      <c r="QKK312" s="1716"/>
      <c r="QKL312" s="244"/>
      <c r="QKM312" s="244" t="s">
        <v>68</v>
      </c>
      <c r="QKN312" s="245" t="s">
        <v>68</v>
      </c>
      <c r="QKO312" s="1715" t="s">
        <v>0</v>
      </c>
      <c r="QKP312" s="1716"/>
      <c r="QKQ312" s="1716"/>
      <c r="QKR312" s="1716"/>
      <c r="QKS312" s="1716"/>
      <c r="QKT312" s="244"/>
      <c r="QKU312" s="244" t="s">
        <v>68</v>
      </c>
      <c r="QKV312" s="245" t="s">
        <v>68</v>
      </c>
      <c r="QKW312" s="1715" t="s">
        <v>0</v>
      </c>
      <c r="QKX312" s="1716"/>
      <c r="QKY312" s="1716"/>
      <c r="QKZ312" s="1716"/>
      <c r="QLA312" s="1716"/>
      <c r="QLB312" s="244"/>
      <c r="QLC312" s="244" t="s">
        <v>68</v>
      </c>
      <c r="QLD312" s="245" t="s">
        <v>68</v>
      </c>
      <c r="QLE312" s="1715" t="s">
        <v>0</v>
      </c>
      <c r="QLF312" s="1716"/>
      <c r="QLG312" s="1716"/>
      <c r="QLH312" s="1716"/>
      <c r="QLI312" s="1716"/>
      <c r="QLJ312" s="244"/>
      <c r="QLK312" s="244" t="s">
        <v>68</v>
      </c>
      <c r="QLL312" s="245" t="s">
        <v>68</v>
      </c>
      <c r="QLM312" s="1715" t="s">
        <v>0</v>
      </c>
      <c r="QLN312" s="1716"/>
      <c r="QLO312" s="1716"/>
      <c r="QLP312" s="1716"/>
      <c r="QLQ312" s="1716"/>
      <c r="QLR312" s="244"/>
      <c r="QLS312" s="244" t="s">
        <v>68</v>
      </c>
      <c r="QLT312" s="245" t="s">
        <v>68</v>
      </c>
      <c r="QLU312" s="1715" t="s">
        <v>0</v>
      </c>
      <c r="QLV312" s="1716"/>
      <c r="QLW312" s="1716"/>
      <c r="QLX312" s="1716"/>
      <c r="QLY312" s="1716"/>
      <c r="QLZ312" s="244"/>
      <c r="QMA312" s="244" t="s">
        <v>68</v>
      </c>
      <c r="QMB312" s="245" t="s">
        <v>68</v>
      </c>
      <c r="QMC312" s="1715" t="s">
        <v>0</v>
      </c>
      <c r="QMD312" s="1716"/>
      <c r="QME312" s="1716"/>
      <c r="QMF312" s="1716"/>
      <c r="QMG312" s="1716"/>
      <c r="QMH312" s="244"/>
      <c r="QMI312" s="244" t="s">
        <v>68</v>
      </c>
      <c r="QMJ312" s="245" t="s">
        <v>68</v>
      </c>
      <c r="QMK312" s="1715" t="s">
        <v>0</v>
      </c>
      <c r="QML312" s="1716"/>
      <c r="QMM312" s="1716"/>
      <c r="QMN312" s="1716"/>
      <c r="QMO312" s="1716"/>
      <c r="QMP312" s="244"/>
      <c r="QMQ312" s="244" t="s">
        <v>68</v>
      </c>
      <c r="QMR312" s="245" t="s">
        <v>68</v>
      </c>
      <c r="QMS312" s="1715" t="s">
        <v>0</v>
      </c>
      <c r="QMT312" s="1716"/>
      <c r="QMU312" s="1716"/>
      <c r="QMV312" s="1716"/>
      <c r="QMW312" s="1716"/>
      <c r="QMX312" s="244"/>
      <c r="QMY312" s="244" t="s">
        <v>68</v>
      </c>
      <c r="QMZ312" s="245" t="s">
        <v>68</v>
      </c>
      <c r="QNA312" s="1715" t="s">
        <v>0</v>
      </c>
      <c r="QNB312" s="1716"/>
      <c r="QNC312" s="1716"/>
      <c r="QND312" s="1716"/>
      <c r="QNE312" s="1716"/>
      <c r="QNF312" s="244"/>
      <c r="QNG312" s="244" t="s">
        <v>68</v>
      </c>
      <c r="QNH312" s="245" t="s">
        <v>68</v>
      </c>
      <c r="QNI312" s="1715" t="s">
        <v>0</v>
      </c>
      <c r="QNJ312" s="1716"/>
      <c r="QNK312" s="1716"/>
      <c r="QNL312" s="1716"/>
      <c r="QNM312" s="1716"/>
      <c r="QNN312" s="244"/>
      <c r="QNO312" s="244" t="s">
        <v>68</v>
      </c>
      <c r="QNP312" s="245" t="s">
        <v>68</v>
      </c>
      <c r="QNQ312" s="1715" t="s">
        <v>0</v>
      </c>
      <c r="QNR312" s="1716"/>
      <c r="QNS312" s="1716"/>
      <c r="QNT312" s="1716"/>
      <c r="QNU312" s="1716"/>
      <c r="QNV312" s="244"/>
      <c r="QNW312" s="244" t="s">
        <v>68</v>
      </c>
      <c r="QNX312" s="245" t="s">
        <v>68</v>
      </c>
      <c r="QNY312" s="1715" t="s">
        <v>0</v>
      </c>
      <c r="QNZ312" s="1716"/>
      <c r="QOA312" s="1716"/>
      <c r="QOB312" s="1716"/>
      <c r="QOC312" s="1716"/>
      <c r="QOD312" s="244"/>
      <c r="QOE312" s="244" t="s">
        <v>68</v>
      </c>
      <c r="QOF312" s="245" t="s">
        <v>68</v>
      </c>
      <c r="QOG312" s="1715" t="s">
        <v>0</v>
      </c>
      <c r="QOH312" s="1716"/>
      <c r="QOI312" s="1716"/>
      <c r="QOJ312" s="1716"/>
      <c r="QOK312" s="1716"/>
      <c r="QOL312" s="244"/>
      <c r="QOM312" s="244" t="s">
        <v>68</v>
      </c>
      <c r="QON312" s="245" t="s">
        <v>68</v>
      </c>
      <c r="QOO312" s="1715" t="s">
        <v>0</v>
      </c>
      <c r="QOP312" s="1716"/>
      <c r="QOQ312" s="1716"/>
      <c r="QOR312" s="1716"/>
      <c r="QOS312" s="1716"/>
      <c r="QOT312" s="244"/>
      <c r="QOU312" s="244" t="s">
        <v>68</v>
      </c>
      <c r="QOV312" s="245" t="s">
        <v>68</v>
      </c>
      <c r="QOW312" s="1715" t="s">
        <v>0</v>
      </c>
      <c r="QOX312" s="1716"/>
      <c r="QOY312" s="1716"/>
      <c r="QOZ312" s="1716"/>
      <c r="QPA312" s="1716"/>
      <c r="QPB312" s="244"/>
      <c r="QPC312" s="244" t="s">
        <v>68</v>
      </c>
      <c r="QPD312" s="245" t="s">
        <v>68</v>
      </c>
      <c r="QPE312" s="1715" t="s">
        <v>0</v>
      </c>
      <c r="QPF312" s="1716"/>
      <c r="QPG312" s="1716"/>
      <c r="QPH312" s="1716"/>
      <c r="QPI312" s="1716"/>
      <c r="QPJ312" s="244"/>
      <c r="QPK312" s="244" t="s">
        <v>68</v>
      </c>
      <c r="QPL312" s="245" t="s">
        <v>68</v>
      </c>
      <c r="QPM312" s="1715" t="s">
        <v>0</v>
      </c>
      <c r="QPN312" s="1716"/>
      <c r="QPO312" s="1716"/>
      <c r="QPP312" s="1716"/>
      <c r="QPQ312" s="1716"/>
      <c r="QPR312" s="244"/>
      <c r="QPS312" s="244" t="s">
        <v>68</v>
      </c>
      <c r="QPT312" s="245" t="s">
        <v>68</v>
      </c>
      <c r="QPU312" s="1715" t="s">
        <v>0</v>
      </c>
      <c r="QPV312" s="1716"/>
      <c r="QPW312" s="1716"/>
      <c r="QPX312" s="1716"/>
      <c r="QPY312" s="1716"/>
      <c r="QPZ312" s="244"/>
      <c r="QQA312" s="244" t="s">
        <v>68</v>
      </c>
      <c r="QQB312" s="245" t="s">
        <v>68</v>
      </c>
      <c r="QQC312" s="1715" t="s">
        <v>0</v>
      </c>
      <c r="QQD312" s="1716"/>
      <c r="QQE312" s="1716"/>
      <c r="QQF312" s="1716"/>
      <c r="QQG312" s="1716"/>
      <c r="QQH312" s="244"/>
      <c r="QQI312" s="244" t="s">
        <v>68</v>
      </c>
      <c r="QQJ312" s="245" t="s">
        <v>68</v>
      </c>
      <c r="QQK312" s="1715" t="s">
        <v>0</v>
      </c>
      <c r="QQL312" s="1716"/>
      <c r="QQM312" s="1716"/>
      <c r="QQN312" s="1716"/>
      <c r="QQO312" s="1716"/>
      <c r="QQP312" s="244"/>
      <c r="QQQ312" s="244" t="s">
        <v>68</v>
      </c>
      <c r="QQR312" s="245" t="s">
        <v>68</v>
      </c>
      <c r="QQS312" s="1715" t="s">
        <v>0</v>
      </c>
      <c r="QQT312" s="1716"/>
      <c r="QQU312" s="1716"/>
      <c r="QQV312" s="1716"/>
      <c r="QQW312" s="1716"/>
      <c r="QQX312" s="244"/>
      <c r="QQY312" s="244" t="s">
        <v>68</v>
      </c>
      <c r="QQZ312" s="245" t="s">
        <v>68</v>
      </c>
      <c r="QRA312" s="1715" t="s">
        <v>0</v>
      </c>
      <c r="QRB312" s="1716"/>
      <c r="QRC312" s="1716"/>
      <c r="QRD312" s="1716"/>
      <c r="QRE312" s="1716"/>
      <c r="QRF312" s="244"/>
      <c r="QRG312" s="244" t="s">
        <v>68</v>
      </c>
      <c r="QRH312" s="245" t="s">
        <v>68</v>
      </c>
      <c r="QRI312" s="1715" t="s">
        <v>0</v>
      </c>
      <c r="QRJ312" s="1716"/>
      <c r="QRK312" s="1716"/>
      <c r="QRL312" s="1716"/>
      <c r="QRM312" s="1716"/>
      <c r="QRN312" s="244"/>
      <c r="QRO312" s="244" t="s">
        <v>68</v>
      </c>
      <c r="QRP312" s="245" t="s">
        <v>68</v>
      </c>
      <c r="QRQ312" s="1715" t="s">
        <v>0</v>
      </c>
      <c r="QRR312" s="1716"/>
      <c r="QRS312" s="1716"/>
      <c r="QRT312" s="1716"/>
      <c r="QRU312" s="1716"/>
      <c r="QRV312" s="244"/>
      <c r="QRW312" s="244" t="s">
        <v>68</v>
      </c>
      <c r="QRX312" s="245" t="s">
        <v>68</v>
      </c>
      <c r="QRY312" s="1715" t="s">
        <v>0</v>
      </c>
      <c r="QRZ312" s="1716"/>
      <c r="QSA312" s="1716"/>
      <c r="QSB312" s="1716"/>
      <c r="QSC312" s="1716"/>
      <c r="QSD312" s="244"/>
      <c r="QSE312" s="244" t="s">
        <v>68</v>
      </c>
      <c r="QSF312" s="245" t="s">
        <v>68</v>
      </c>
      <c r="QSG312" s="1715" t="s">
        <v>0</v>
      </c>
      <c r="QSH312" s="1716"/>
      <c r="QSI312" s="1716"/>
      <c r="QSJ312" s="1716"/>
      <c r="QSK312" s="1716"/>
      <c r="QSL312" s="244"/>
      <c r="QSM312" s="244" t="s">
        <v>68</v>
      </c>
      <c r="QSN312" s="245" t="s">
        <v>68</v>
      </c>
      <c r="QSO312" s="1715" t="s">
        <v>0</v>
      </c>
      <c r="QSP312" s="1716"/>
      <c r="QSQ312" s="1716"/>
      <c r="QSR312" s="1716"/>
      <c r="QSS312" s="1716"/>
      <c r="QST312" s="244"/>
      <c r="QSU312" s="244" t="s">
        <v>68</v>
      </c>
      <c r="QSV312" s="245" t="s">
        <v>68</v>
      </c>
      <c r="QSW312" s="1715" t="s">
        <v>0</v>
      </c>
      <c r="QSX312" s="1716"/>
      <c r="QSY312" s="1716"/>
      <c r="QSZ312" s="1716"/>
      <c r="QTA312" s="1716"/>
      <c r="QTB312" s="244"/>
      <c r="QTC312" s="244" t="s">
        <v>68</v>
      </c>
      <c r="QTD312" s="245" t="s">
        <v>68</v>
      </c>
      <c r="QTE312" s="1715" t="s">
        <v>0</v>
      </c>
      <c r="QTF312" s="1716"/>
      <c r="QTG312" s="1716"/>
      <c r="QTH312" s="1716"/>
      <c r="QTI312" s="1716"/>
      <c r="QTJ312" s="244"/>
      <c r="QTK312" s="244" t="s">
        <v>68</v>
      </c>
      <c r="QTL312" s="245" t="s">
        <v>68</v>
      </c>
      <c r="QTM312" s="1715" t="s">
        <v>0</v>
      </c>
      <c r="QTN312" s="1716"/>
      <c r="QTO312" s="1716"/>
      <c r="QTP312" s="1716"/>
      <c r="QTQ312" s="1716"/>
      <c r="QTR312" s="244"/>
      <c r="QTS312" s="244" t="s">
        <v>68</v>
      </c>
      <c r="QTT312" s="245" t="s">
        <v>68</v>
      </c>
      <c r="QTU312" s="1715" t="s">
        <v>0</v>
      </c>
      <c r="QTV312" s="1716"/>
      <c r="QTW312" s="1716"/>
      <c r="QTX312" s="1716"/>
      <c r="QTY312" s="1716"/>
      <c r="QTZ312" s="244"/>
      <c r="QUA312" s="244" t="s">
        <v>68</v>
      </c>
      <c r="QUB312" s="245" t="s">
        <v>68</v>
      </c>
      <c r="QUC312" s="1715" t="s">
        <v>0</v>
      </c>
      <c r="QUD312" s="1716"/>
      <c r="QUE312" s="1716"/>
      <c r="QUF312" s="1716"/>
      <c r="QUG312" s="1716"/>
      <c r="QUH312" s="244"/>
      <c r="QUI312" s="244" t="s">
        <v>68</v>
      </c>
      <c r="QUJ312" s="245" t="s">
        <v>68</v>
      </c>
      <c r="QUK312" s="1715" t="s">
        <v>0</v>
      </c>
      <c r="QUL312" s="1716"/>
      <c r="QUM312" s="1716"/>
      <c r="QUN312" s="1716"/>
      <c r="QUO312" s="1716"/>
      <c r="QUP312" s="244"/>
      <c r="QUQ312" s="244" t="s">
        <v>68</v>
      </c>
      <c r="QUR312" s="245" t="s">
        <v>68</v>
      </c>
      <c r="QUS312" s="1715" t="s">
        <v>0</v>
      </c>
      <c r="QUT312" s="1716"/>
      <c r="QUU312" s="1716"/>
      <c r="QUV312" s="1716"/>
      <c r="QUW312" s="1716"/>
      <c r="QUX312" s="244"/>
      <c r="QUY312" s="244" t="s">
        <v>68</v>
      </c>
      <c r="QUZ312" s="245" t="s">
        <v>68</v>
      </c>
      <c r="QVA312" s="1715" t="s">
        <v>0</v>
      </c>
      <c r="QVB312" s="1716"/>
      <c r="QVC312" s="1716"/>
      <c r="QVD312" s="1716"/>
      <c r="QVE312" s="1716"/>
      <c r="QVF312" s="244"/>
      <c r="QVG312" s="244" t="s">
        <v>68</v>
      </c>
      <c r="QVH312" s="245" t="s">
        <v>68</v>
      </c>
      <c r="QVI312" s="1715" t="s">
        <v>0</v>
      </c>
      <c r="QVJ312" s="1716"/>
      <c r="QVK312" s="1716"/>
      <c r="QVL312" s="1716"/>
      <c r="QVM312" s="1716"/>
      <c r="QVN312" s="244"/>
      <c r="QVO312" s="244" t="s">
        <v>68</v>
      </c>
      <c r="QVP312" s="245" t="s">
        <v>68</v>
      </c>
      <c r="QVQ312" s="1715" t="s">
        <v>0</v>
      </c>
      <c r="QVR312" s="1716"/>
      <c r="QVS312" s="1716"/>
      <c r="QVT312" s="1716"/>
      <c r="QVU312" s="1716"/>
      <c r="QVV312" s="244"/>
      <c r="QVW312" s="244" t="s">
        <v>68</v>
      </c>
      <c r="QVX312" s="245" t="s">
        <v>68</v>
      </c>
      <c r="QVY312" s="1715" t="s">
        <v>0</v>
      </c>
      <c r="QVZ312" s="1716"/>
      <c r="QWA312" s="1716"/>
      <c r="QWB312" s="1716"/>
      <c r="QWC312" s="1716"/>
      <c r="QWD312" s="244"/>
      <c r="QWE312" s="244" t="s">
        <v>68</v>
      </c>
      <c r="QWF312" s="245" t="s">
        <v>68</v>
      </c>
      <c r="QWG312" s="1715" t="s">
        <v>0</v>
      </c>
      <c r="QWH312" s="1716"/>
      <c r="QWI312" s="1716"/>
      <c r="QWJ312" s="1716"/>
      <c r="QWK312" s="1716"/>
      <c r="QWL312" s="244"/>
      <c r="QWM312" s="244" t="s">
        <v>68</v>
      </c>
      <c r="QWN312" s="245" t="s">
        <v>68</v>
      </c>
      <c r="QWO312" s="1715" t="s">
        <v>0</v>
      </c>
      <c r="QWP312" s="1716"/>
      <c r="QWQ312" s="1716"/>
      <c r="QWR312" s="1716"/>
      <c r="QWS312" s="1716"/>
      <c r="QWT312" s="244"/>
      <c r="QWU312" s="244" t="s">
        <v>68</v>
      </c>
      <c r="QWV312" s="245" t="s">
        <v>68</v>
      </c>
      <c r="QWW312" s="1715" t="s">
        <v>0</v>
      </c>
      <c r="QWX312" s="1716"/>
      <c r="QWY312" s="1716"/>
      <c r="QWZ312" s="1716"/>
      <c r="QXA312" s="1716"/>
      <c r="QXB312" s="244"/>
      <c r="QXC312" s="244" t="s">
        <v>68</v>
      </c>
      <c r="QXD312" s="245" t="s">
        <v>68</v>
      </c>
      <c r="QXE312" s="1715" t="s">
        <v>0</v>
      </c>
      <c r="QXF312" s="1716"/>
      <c r="QXG312" s="1716"/>
      <c r="QXH312" s="1716"/>
      <c r="QXI312" s="1716"/>
      <c r="QXJ312" s="244"/>
      <c r="QXK312" s="244" t="s">
        <v>68</v>
      </c>
      <c r="QXL312" s="245" t="s">
        <v>68</v>
      </c>
      <c r="QXM312" s="1715" t="s">
        <v>0</v>
      </c>
      <c r="QXN312" s="1716"/>
      <c r="QXO312" s="1716"/>
      <c r="QXP312" s="1716"/>
      <c r="QXQ312" s="1716"/>
      <c r="QXR312" s="244"/>
      <c r="QXS312" s="244" t="s">
        <v>68</v>
      </c>
      <c r="QXT312" s="245" t="s">
        <v>68</v>
      </c>
      <c r="QXU312" s="1715" t="s">
        <v>0</v>
      </c>
      <c r="QXV312" s="1716"/>
      <c r="QXW312" s="1716"/>
      <c r="QXX312" s="1716"/>
      <c r="QXY312" s="1716"/>
      <c r="QXZ312" s="244"/>
      <c r="QYA312" s="244" t="s">
        <v>68</v>
      </c>
      <c r="QYB312" s="245" t="s">
        <v>68</v>
      </c>
      <c r="QYC312" s="1715" t="s">
        <v>0</v>
      </c>
      <c r="QYD312" s="1716"/>
      <c r="QYE312" s="1716"/>
      <c r="QYF312" s="1716"/>
      <c r="QYG312" s="1716"/>
      <c r="QYH312" s="244"/>
      <c r="QYI312" s="244" t="s">
        <v>68</v>
      </c>
      <c r="QYJ312" s="245" t="s">
        <v>68</v>
      </c>
      <c r="QYK312" s="1715" t="s">
        <v>0</v>
      </c>
      <c r="QYL312" s="1716"/>
      <c r="QYM312" s="1716"/>
      <c r="QYN312" s="1716"/>
      <c r="QYO312" s="1716"/>
      <c r="QYP312" s="244"/>
      <c r="QYQ312" s="244" t="s">
        <v>68</v>
      </c>
      <c r="QYR312" s="245" t="s">
        <v>68</v>
      </c>
      <c r="QYS312" s="1715" t="s">
        <v>0</v>
      </c>
      <c r="QYT312" s="1716"/>
      <c r="QYU312" s="1716"/>
      <c r="QYV312" s="1716"/>
      <c r="QYW312" s="1716"/>
      <c r="QYX312" s="244"/>
      <c r="QYY312" s="244" t="s">
        <v>68</v>
      </c>
      <c r="QYZ312" s="245" t="s">
        <v>68</v>
      </c>
      <c r="QZA312" s="1715" t="s">
        <v>0</v>
      </c>
      <c r="QZB312" s="1716"/>
      <c r="QZC312" s="1716"/>
      <c r="QZD312" s="1716"/>
      <c r="QZE312" s="1716"/>
      <c r="QZF312" s="244"/>
      <c r="QZG312" s="244" t="s">
        <v>68</v>
      </c>
      <c r="QZH312" s="245" t="s">
        <v>68</v>
      </c>
      <c r="QZI312" s="1715" t="s">
        <v>0</v>
      </c>
      <c r="QZJ312" s="1716"/>
      <c r="QZK312" s="1716"/>
      <c r="QZL312" s="1716"/>
      <c r="QZM312" s="1716"/>
      <c r="QZN312" s="244"/>
      <c r="QZO312" s="244" t="s">
        <v>68</v>
      </c>
      <c r="QZP312" s="245" t="s">
        <v>68</v>
      </c>
      <c r="QZQ312" s="1715" t="s">
        <v>0</v>
      </c>
      <c r="QZR312" s="1716"/>
      <c r="QZS312" s="1716"/>
      <c r="QZT312" s="1716"/>
      <c r="QZU312" s="1716"/>
      <c r="QZV312" s="244"/>
      <c r="QZW312" s="244" t="s">
        <v>68</v>
      </c>
      <c r="QZX312" s="245" t="s">
        <v>68</v>
      </c>
      <c r="QZY312" s="1715" t="s">
        <v>0</v>
      </c>
      <c r="QZZ312" s="1716"/>
      <c r="RAA312" s="1716"/>
      <c r="RAB312" s="1716"/>
      <c r="RAC312" s="1716"/>
      <c r="RAD312" s="244"/>
      <c r="RAE312" s="244" t="s">
        <v>68</v>
      </c>
      <c r="RAF312" s="245" t="s">
        <v>68</v>
      </c>
      <c r="RAG312" s="1715" t="s">
        <v>0</v>
      </c>
      <c r="RAH312" s="1716"/>
      <c r="RAI312" s="1716"/>
      <c r="RAJ312" s="1716"/>
      <c r="RAK312" s="1716"/>
      <c r="RAL312" s="244"/>
      <c r="RAM312" s="244" t="s">
        <v>68</v>
      </c>
      <c r="RAN312" s="245" t="s">
        <v>68</v>
      </c>
      <c r="RAO312" s="1715" t="s">
        <v>0</v>
      </c>
      <c r="RAP312" s="1716"/>
      <c r="RAQ312" s="1716"/>
      <c r="RAR312" s="1716"/>
      <c r="RAS312" s="1716"/>
      <c r="RAT312" s="244"/>
      <c r="RAU312" s="244" t="s">
        <v>68</v>
      </c>
      <c r="RAV312" s="245" t="s">
        <v>68</v>
      </c>
      <c r="RAW312" s="1715" t="s">
        <v>0</v>
      </c>
      <c r="RAX312" s="1716"/>
      <c r="RAY312" s="1716"/>
      <c r="RAZ312" s="1716"/>
      <c r="RBA312" s="1716"/>
      <c r="RBB312" s="244"/>
      <c r="RBC312" s="244" t="s">
        <v>68</v>
      </c>
      <c r="RBD312" s="245" t="s">
        <v>68</v>
      </c>
      <c r="RBE312" s="1715" t="s">
        <v>0</v>
      </c>
      <c r="RBF312" s="1716"/>
      <c r="RBG312" s="1716"/>
      <c r="RBH312" s="1716"/>
      <c r="RBI312" s="1716"/>
      <c r="RBJ312" s="244"/>
      <c r="RBK312" s="244" t="s">
        <v>68</v>
      </c>
      <c r="RBL312" s="245" t="s">
        <v>68</v>
      </c>
      <c r="RBM312" s="1715" t="s">
        <v>0</v>
      </c>
      <c r="RBN312" s="1716"/>
      <c r="RBO312" s="1716"/>
      <c r="RBP312" s="1716"/>
      <c r="RBQ312" s="1716"/>
      <c r="RBR312" s="244"/>
      <c r="RBS312" s="244" t="s">
        <v>68</v>
      </c>
      <c r="RBT312" s="245" t="s">
        <v>68</v>
      </c>
      <c r="RBU312" s="1715" t="s">
        <v>0</v>
      </c>
      <c r="RBV312" s="1716"/>
      <c r="RBW312" s="1716"/>
      <c r="RBX312" s="1716"/>
      <c r="RBY312" s="1716"/>
      <c r="RBZ312" s="244"/>
      <c r="RCA312" s="244" t="s">
        <v>68</v>
      </c>
      <c r="RCB312" s="245" t="s">
        <v>68</v>
      </c>
      <c r="RCC312" s="1715" t="s">
        <v>0</v>
      </c>
      <c r="RCD312" s="1716"/>
      <c r="RCE312" s="1716"/>
      <c r="RCF312" s="1716"/>
      <c r="RCG312" s="1716"/>
      <c r="RCH312" s="244"/>
      <c r="RCI312" s="244" t="s">
        <v>68</v>
      </c>
      <c r="RCJ312" s="245" t="s">
        <v>68</v>
      </c>
      <c r="RCK312" s="1715" t="s">
        <v>0</v>
      </c>
      <c r="RCL312" s="1716"/>
      <c r="RCM312" s="1716"/>
      <c r="RCN312" s="1716"/>
      <c r="RCO312" s="1716"/>
      <c r="RCP312" s="244"/>
      <c r="RCQ312" s="244" t="s">
        <v>68</v>
      </c>
      <c r="RCR312" s="245" t="s">
        <v>68</v>
      </c>
      <c r="RCS312" s="1715" t="s">
        <v>0</v>
      </c>
      <c r="RCT312" s="1716"/>
      <c r="RCU312" s="1716"/>
      <c r="RCV312" s="1716"/>
      <c r="RCW312" s="1716"/>
      <c r="RCX312" s="244"/>
      <c r="RCY312" s="244" t="s">
        <v>68</v>
      </c>
      <c r="RCZ312" s="245" t="s">
        <v>68</v>
      </c>
      <c r="RDA312" s="1715" t="s">
        <v>0</v>
      </c>
      <c r="RDB312" s="1716"/>
      <c r="RDC312" s="1716"/>
      <c r="RDD312" s="1716"/>
      <c r="RDE312" s="1716"/>
      <c r="RDF312" s="244"/>
      <c r="RDG312" s="244" t="s">
        <v>68</v>
      </c>
      <c r="RDH312" s="245" t="s">
        <v>68</v>
      </c>
      <c r="RDI312" s="1715" t="s">
        <v>0</v>
      </c>
      <c r="RDJ312" s="1716"/>
      <c r="RDK312" s="1716"/>
      <c r="RDL312" s="1716"/>
      <c r="RDM312" s="1716"/>
      <c r="RDN312" s="244"/>
      <c r="RDO312" s="244" t="s">
        <v>68</v>
      </c>
      <c r="RDP312" s="245" t="s">
        <v>68</v>
      </c>
      <c r="RDQ312" s="1715" t="s">
        <v>0</v>
      </c>
      <c r="RDR312" s="1716"/>
      <c r="RDS312" s="1716"/>
      <c r="RDT312" s="1716"/>
      <c r="RDU312" s="1716"/>
      <c r="RDV312" s="244"/>
      <c r="RDW312" s="244" t="s">
        <v>68</v>
      </c>
      <c r="RDX312" s="245" t="s">
        <v>68</v>
      </c>
      <c r="RDY312" s="1715" t="s">
        <v>0</v>
      </c>
      <c r="RDZ312" s="1716"/>
      <c r="REA312" s="1716"/>
      <c r="REB312" s="1716"/>
      <c r="REC312" s="1716"/>
      <c r="RED312" s="244"/>
      <c r="REE312" s="244" t="s">
        <v>68</v>
      </c>
      <c r="REF312" s="245" t="s">
        <v>68</v>
      </c>
      <c r="REG312" s="1715" t="s">
        <v>0</v>
      </c>
      <c r="REH312" s="1716"/>
      <c r="REI312" s="1716"/>
      <c r="REJ312" s="1716"/>
      <c r="REK312" s="1716"/>
      <c r="REL312" s="244"/>
      <c r="REM312" s="244" t="s">
        <v>68</v>
      </c>
      <c r="REN312" s="245" t="s">
        <v>68</v>
      </c>
      <c r="REO312" s="1715" t="s">
        <v>0</v>
      </c>
      <c r="REP312" s="1716"/>
      <c r="REQ312" s="1716"/>
      <c r="RER312" s="1716"/>
      <c r="RES312" s="1716"/>
      <c r="RET312" s="244"/>
      <c r="REU312" s="244" t="s">
        <v>68</v>
      </c>
      <c r="REV312" s="245" t="s">
        <v>68</v>
      </c>
      <c r="REW312" s="1715" t="s">
        <v>0</v>
      </c>
      <c r="REX312" s="1716"/>
      <c r="REY312" s="1716"/>
      <c r="REZ312" s="1716"/>
      <c r="RFA312" s="1716"/>
      <c r="RFB312" s="244"/>
      <c r="RFC312" s="244" t="s">
        <v>68</v>
      </c>
      <c r="RFD312" s="245" t="s">
        <v>68</v>
      </c>
      <c r="RFE312" s="1715" t="s">
        <v>0</v>
      </c>
      <c r="RFF312" s="1716"/>
      <c r="RFG312" s="1716"/>
      <c r="RFH312" s="1716"/>
      <c r="RFI312" s="1716"/>
      <c r="RFJ312" s="244"/>
      <c r="RFK312" s="244" t="s">
        <v>68</v>
      </c>
      <c r="RFL312" s="245" t="s">
        <v>68</v>
      </c>
      <c r="RFM312" s="1715" t="s">
        <v>0</v>
      </c>
      <c r="RFN312" s="1716"/>
      <c r="RFO312" s="1716"/>
      <c r="RFP312" s="1716"/>
      <c r="RFQ312" s="1716"/>
      <c r="RFR312" s="244"/>
      <c r="RFS312" s="244" t="s">
        <v>68</v>
      </c>
      <c r="RFT312" s="245" t="s">
        <v>68</v>
      </c>
      <c r="RFU312" s="1715" t="s">
        <v>0</v>
      </c>
      <c r="RFV312" s="1716"/>
      <c r="RFW312" s="1716"/>
      <c r="RFX312" s="1716"/>
      <c r="RFY312" s="1716"/>
      <c r="RFZ312" s="244"/>
      <c r="RGA312" s="244" t="s">
        <v>68</v>
      </c>
      <c r="RGB312" s="245" t="s">
        <v>68</v>
      </c>
      <c r="RGC312" s="1715" t="s">
        <v>0</v>
      </c>
      <c r="RGD312" s="1716"/>
      <c r="RGE312" s="1716"/>
      <c r="RGF312" s="1716"/>
      <c r="RGG312" s="1716"/>
      <c r="RGH312" s="244"/>
      <c r="RGI312" s="244" t="s">
        <v>68</v>
      </c>
      <c r="RGJ312" s="245" t="s">
        <v>68</v>
      </c>
      <c r="RGK312" s="1715" t="s">
        <v>0</v>
      </c>
      <c r="RGL312" s="1716"/>
      <c r="RGM312" s="1716"/>
      <c r="RGN312" s="1716"/>
      <c r="RGO312" s="1716"/>
      <c r="RGP312" s="244"/>
      <c r="RGQ312" s="244" t="s">
        <v>68</v>
      </c>
      <c r="RGR312" s="245" t="s">
        <v>68</v>
      </c>
      <c r="RGS312" s="1715" t="s">
        <v>0</v>
      </c>
      <c r="RGT312" s="1716"/>
      <c r="RGU312" s="1716"/>
      <c r="RGV312" s="1716"/>
      <c r="RGW312" s="1716"/>
      <c r="RGX312" s="244"/>
      <c r="RGY312" s="244" t="s">
        <v>68</v>
      </c>
      <c r="RGZ312" s="245" t="s">
        <v>68</v>
      </c>
      <c r="RHA312" s="1715" t="s">
        <v>0</v>
      </c>
      <c r="RHB312" s="1716"/>
      <c r="RHC312" s="1716"/>
      <c r="RHD312" s="1716"/>
      <c r="RHE312" s="1716"/>
      <c r="RHF312" s="244"/>
      <c r="RHG312" s="244" t="s">
        <v>68</v>
      </c>
      <c r="RHH312" s="245" t="s">
        <v>68</v>
      </c>
      <c r="RHI312" s="1715" t="s">
        <v>0</v>
      </c>
      <c r="RHJ312" s="1716"/>
      <c r="RHK312" s="1716"/>
      <c r="RHL312" s="1716"/>
      <c r="RHM312" s="1716"/>
      <c r="RHN312" s="244"/>
      <c r="RHO312" s="244" t="s">
        <v>68</v>
      </c>
      <c r="RHP312" s="245" t="s">
        <v>68</v>
      </c>
      <c r="RHQ312" s="1715" t="s">
        <v>0</v>
      </c>
      <c r="RHR312" s="1716"/>
      <c r="RHS312" s="1716"/>
      <c r="RHT312" s="1716"/>
      <c r="RHU312" s="1716"/>
      <c r="RHV312" s="244"/>
      <c r="RHW312" s="244" t="s">
        <v>68</v>
      </c>
      <c r="RHX312" s="245" t="s">
        <v>68</v>
      </c>
      <c r="RHY312" s="1715" t="s">
        <v>0</v>
      </c>
      <c r="RHZ312" s="1716"/>
      <c r="RIA312" s="1716"/>
      <c r="RIB312" s="1716"/>
      <c r="RIC312" s="1716"/>
      <c r="RID312" s="244"/>
      <c r="RIE312" s="244" t="s">
        <v>68</v>
      </c>
      <c r="RIF312" s="245" t="s">
        <v>68</v>
      </c>
      <c r="RIG312" s="1715" t="s">
        <v>0</v>
      </c>
      <c r="RIH312" s="1716"/>
      <c r="RII312" s="1716"/>
      <c r="RIJ312" s="1716"/>
      <c r="RIK312" s="1716"/>
      <c r="RIL312" s="244"/>
      <c r="RIM312" s="244" t="s">
        <v>68</v>
      </c>
      <c r="RIN312" s="245" t="s">
        <v>68</v>
      </c>
      <c r="RIO312" s="1715" t="s">
        <v>0</v>
      </c>
      <c r="RIP312" s="1716"/>
      <c r="RIQ312" s="1716"/>
      <c r="RIR312" s="1716"/>
      <c r="RIS312" s="1716"/>
      <c r="RIT312" s="244"/>
      <c r="RIU312" s="244" t="s">
        <v>68</v>
      </c>
      <c r="RIV312" s="245" t="s">
        <v>68</v>
      </c>
      <c r="RIW312" s="1715" t="s">
        <v>0</v>
      </c>
      <c r="RIX312" s="1716"/>
      <c r="RIY312" s="1716"/>
      <c r="RIZ312" s="1716"/>
      <c r="RJA312" s="1716"/>
      <c r="RJB312" s="244"/>
      <c r="RJC312" s="244" t="s">
        <v>68</v>
      </c>
      <c r="RJD312" s="245" t="s">
        <v>68</v>
      </c>
      <c r="RJE312" s="1715" t="s">
        <v>0</v>
      </c>
      <c r="RJF312" s="1716"/>
      <c r="RJG312" s="1716"/>
      <c r="RJH312" s="1716"/>
      <c r="RJI312" s="1716"/>
      <c r="RJJ312" s="244"/>
      <c r="RJK312" s="244" t="s">
        <v>68</v>
      </c>
      <c r="RJL312" s="245" t="s">
        <v>68</v>
      </c>
      <c r="RJM312" s="1715" t="s">
        <v>0</v>
      </c>
      <c r="RJN312" s="1716"/>
      <c r="RJO312" s="1716"/>
      <c r="RJP312" s="1716"/>
      <c r="RJQ312" s="1716"/>
      <c r="RJR312" s="244"/>
      <c r="RJS312" s="244" t="s">
        <v>68</v>
      </c>
      <c r="RJT312" s="245" t="s">
        <v>68</v>
      </c>
      <c r="RJU312" s="1715" t="s">
        <v>0</v>
      </c>
      <c r="RJV312" s="1716"/>
      <c r="RJW312" s="1716"/>
      <c r="RJX312" s="1716"/>
      <c r="RJY312" s="1716"/>
      <c r="RJZ312" s="244"/>
      <c r="RKA312" s="244" t="s">
        <v>68</v>
      </c>
      <c r="RKB312" s="245" t="s">
        <v>68</v>
      </c>
      <c r="RKC312" s="1715" t="s">
        <v>0</v>
      </c>
      <c r="RKD312" s="1716"/>
      <c r="RKE312" s="1716"/>
      <c r="RKF312" s="1716"/>
      <c r="RKG312" s="1716"/>
      <c r="RKH312" s="244"/>
      <c r="RKI312" s="244" t="s">
        <v>68</v>
      </c>
      <c r="RKJ312" s="245" t="s">
        <v>68</v>
      </c>
      <c r="RKK312" s="1715" t="s">
        <v>0</v>
      </c>
      <c r="RKL312" s="1716"/>
      <c r="RKM312" s="1716"/>
      <c r="RKN312" s="1716"/>
      <c r="RKO312" s="1716"/>
      <c r="RKP312" s="244"/>
      <c r="RKQ312" s="244" t="s">
        <v>68</v>
      </c>
      <c r="RKR312" s="245" t="s">
        <v>68</v>
      </c>
      <c r="RKS312" s="1715" t="s">
        <v>0</v>
      </c>
      <c r="RKT312" s="1716"/>
      <c r="RKU312" s="1716"/>
      <c r="RKV312" s="1716"/>
      <c r="RKW312" s="1716"/>
      <c r="RKX312" s="244"/>
      <c r="RKY312" s="244" t="s">
        <v>68</v>
      </c>
      <c r="RKZ312" s="245" t="s">
        <v>68</v>
      </c>
      <c r="RLA312" s="1715" t="s">
        <v>0</v>
      </c>
      <c r="RLB312" s="1716"/>
      <c r="RLC312" s="1716"/>
      <c r="RLD312" s="1716"/>
      <c r="RLE312" s="1716"/>
      <c r="RLF312" s="244"/>
      <c r="RLG312" s="244" t="s">
        <v>68</v>
      </c>
      <c r="RLH312" s="245" t="s">
        <v>68</v>
      </c>
      <c r="RLI312" s="1715" t="s">
        <v>0</v>
      </c>
      <c r="RLJ312" s="1716"/>
      <c r="RLK312" s="1716"/>
      <c r="RLL312" s="1716"/>
      <c r="RLM312" s="1716"/>
      <c r="RLN312" s="244"/>
      <c r="RLO312" s="244" t="s">
        <v>68</v>
      </c>
      <c r="RLP312" s="245" t="s">
        <v>68</v>
      </c>
      <c r="RLQ312" s="1715" t="s">
        <v>0</v>
      </c>
      <c r="RLR312" s="1716"/>
      <c r="RLS312" s="1716"/>
      <c r="RLT312" s="1716"/>
      <c r="RLU312" s="1716"/>
      <c r="RLV312" s="244"/>
      <c r="RLW312" s="244" t="s">
        <v>68</v>
      </c>
      <c r="RLX312" s="245" t="s">
        <v>68</v>
      </c>
      <c r="RLY312" s="1715" t="s">
        <v>0</v>
      </c>
      <c r="RLZ312" s="1716"/>
      <c r="RMA312" s="1716"/>
      <c r="RMB312" s="1716"/>
      <c r="RMC312" s="1716"/>
      <c r="RMD312" s="244"/>
      <c r="RME312" s="244" t="s">
        <v>68</v>
      </c>
      <c r="RMF312" s="245" t="s">
        <v>68</v>
      </c>
      <c r="RMG312" s="1715" t="s">
        <v>0</v>
      </c>
      <c r="RMH312" s="1716"/>
      <c r="RMI312" s="1716"/>
      <c r="RMJ312" s="1716"/>
      <c r="RMK312" s="1716"/>
      <c r="RML312" s="244"/>
      <c r="RMM312" s="244" t="s">
        <v>68</v>
      </c>
      <c r="RMN312" s="245" t="s">
        <v>68</v>
      </c>
      <c r="RMO312" s="1715" t="s">
        <v>0</v>
      </c>
      <c r="RMP312" s="1716"/>
      <c r="RMQ312" s="1716"/>
      <c r="RMR312" s="1716"/>
      <c r="RMS312" s="1716"/>
      <c r="RMT312" s="244"/>
      <c r="RMU312" s="244" t="s">
        <v>68</v>
      </c>
      <c r="RMV312" s="245" t="s">
        <v>68</v>
      </c>
      <c r="RMW312" s="1715" t="s">
        <v>0</v>
      </c>
      <c r="RMX312" s="1716"/>
      <c r="RMY312" s="1716"/>
      <c r="RMZ312" s="1716"/>
      <c r="RNA312" s="1716"/>
      <c r="RNB312" s="244"/>
      <c r="RNC312" s="244" t="s">
        <v>68</v>
      </c>
      <c r="RND312" s="245" t="s">
        <v>68</v>
      </c>
      <c r="RNE312" s="1715" t="s">
        <v>0</v>
      </c>
      <c r="RNF312" s="1716"/>
      <c r="RNG312" s="1716"/>
      <c r="RNH312" s="1716"/>
      <c r="RNI312" s="1716"/>
      <c r="RNJ312" s="244"/>
      <c r="RNK312" s="244" t="s">
        <v>68</v>
      </c>
      <c r="RNL312" s="245" t="s">
        <v>68</v>
      </c>
      <c r="RNM312" s="1715" t="s">
        <v>0</v>
      </c>
      <c r="RNN312" s="1716"/>
      <c r="RNO312" s="1716"/>
      <c r="RNP312" s="1716"/>
      <c r="RNQ312" s="1716"/>
      <c r="RNR312" s="244"/>
      <c r="RNS312" s="244" t="s">
        <v>68</v>
      </c>
      <c r="RNT312" s="245" t="s">
        <v>68</v>
      </c>
      <c r="RNU312" s="1715" t="s">
        <v>0</v>
      </c>
      <c r="RNV312" s="1716"/>
      <c r="RNW312" s="1716"/>
      <c r="RNX312" s="1716"/>
      <c r="RNY312" s="1716"/>
      <c r="RNZ312" s="244"/>
      <c r="ROA312" s="244" t="s">
        <v>68</v>
      </c>
      <c r="ROB312" s="245" t="s">
        <v>68</v>
      </c>
      <c r="ROC312" s="1715" t="s">
        <v>0</v>
      </c>
      <c r="ROD312" s="1716"/>
      <c r="ROE312" s="1716"/>
      <c r="ROF312" s="1716"/>
      <c r="ROG312" s="1716"/>
      <c r="ROH312" s="244"/>
      <c r="ROI312" s="244" t="s">
        <v>68</v>
      </c>
      <c r="ROJ312" s="245" t="s">
        <v>68</v>
      </c>
      <c r="ROK312" s="1715" t="s">
        <v>0</v>
      </c>
      <c r="ROL312" s="1716"/>
      <c r="ROM312" s="1716"/>
      <c r="RON312" s="1716"/>
      <c r="ROO312" s="1716"/>
      <c r="ROP312" s="244"/>
      <c r="ROQ312" s="244" t="s">
        <v>68</v>
      </c>
      <c r="ROR312" s="245" t="s">
        <v>68</v>
      </c>
      <c r="ROS312" s="1715" t="s">
        <v>0</v>
      </c>
      <c r="ROT312" s="1716"/>
      <c r="ROU312" s="1716"/>
      <c r="ROV312" s="1716"/>
      <c r="ROW312" s="1716"/>
      <c r="ROX312" s="244"/>
      <c r="ROY312" s="244" t="s">
        <v>68</v>
      </c>
      <c r="ROZ312" s="245" t="s">
        <v>68</v>
      </c>
      <c r="RPA312" s="1715" t="s">
        <v>0</v>
      </c>
      <c r="RPB312" s="1716"/>
      <c r="RPC312" s="1716"/>
      <c r="RPD312" s="1716"/>
      <c r="RPE312" s="1716"/>
      <c r="RPF312" s="244"/>
      <c r="RPG312" s="244" t="s">
        <v>68</v>
      </c>
      <c r="RPH312" s="245" t="s">
        <v>68</v>
      </c>
      <c r="RPI312" s="1715" t="s">
        <v>0</v>
      </c>
      <c r="RPJ312" s="1716"/>
      <c r="RPK312" s="1716"/>
      <c r="RPL312" s="1716"/>
      <c r="RPM312" s="1716"/>
      <c r="RPN312" s="244"/>
      <c r="RPO312" s="244" t="s">
        <v>68</v>
      </c>
      <c r="RPP312" s="245" t="s">
        <v>68</v>
      </c>
      <c r="RPQ312" s="1715" t="s">
        <v>0</v>
      </c>
      <c r="RPR312" s="1716"/>
      <c r="RPS312" s="1716"/>
      <c r="RPT312" s="1716"/>
      <c r="RPU312" s="1716"/>
      <c r="RPV312" s="244"/>
      <c r="RPW312" s="244" t="s">
        <v>68</v>
      </c>
      <c r="RPX312" s="245" t="s">
        <v>68</v>
      </c>
      <c r="RPY312" s="1715" t="s">
        <v>0</v>
      </c>
      <c r="RPZ312" s="1716"/>
      <c r="RQA312" s="1716"/>
      <c r="RQB312" s="1716"/>
      <c r="RQC312" s="1716"/>
      <c r="RQD312" s="244"/>
      <c r="RQE312" s="244" t="s">
        <v>68</v>
      </c>
      <c r="RQF312" s="245" t="s">
        <v>68</v>
      </c>
      <c r="RQG312" s="1715" t="s">
        <v>0</v>
      </c>
      <c r="RQH312" s="1716"/>
      <c r="RQI312" s="1716"/>
      <c r="RQJ312" s="1716"/>
      <c r="RQK312" s="1716"/>
      <c r="RQL312" s="244"/>
      <c r="RQM312" s="244" t="s">
        <v>68</v>
      </c>
      <c r="RQN312" s="245" t="s">
        <v>68</v>
      </c>
      <c r="RQO312" s="1715" t="s">
        <v>0</v>
      </c>
      <c r="RQP312" s="1716"/>
      <c r="RQQ312" s="1716"/>
      <c r="RQR312" s="1716"/>
      <c r="RQS312" s="1716"/>
      <c r="RQT312" s="244"/>
      <c r="RQU312" s="244" t="s">
        <v>68</v>
      </c>
      <c r="RQV312" s="245" t="s">
        <v>68</v>
      </c>
      <c r="RQW312" s="1715" t="s">
        <v>0</v>
      </c>
      <c r="RQX312" s="1716"/>
      <c r="RQY312" s="1716"/>
      <c r="RQZ312" s="1716"/>
      <c r="RRA312" s="1716"/>
      <c r="RRB312" s="244"/>
      <c r="RRC312" s="244" t="s">
        <v>68</v>
      </c>
      <c r="RRD312" s="245" t="s">
        <v>68</v>
      </c>
      <c r="RRE312" s="1715" t="s">
        <v>0</v>
      </c>
      <c r="RRF312" s="1716"/>
      <c r="RRG312" s="1716"/>
      <c r="RRH312" s="1716"/>
      <c r="RRI312" s="1716"/>
      <c r="RRJ312" s="244"/>
      <c r="RRK312" s="244" t="s">
        <v>68</v>
      </c>
      <c r="RRL312" s="245" t="s">
        <v>68</v>
      </c>
      <c r="RRM312" s="1715" t="s">
        <v>0</v>
      </c>
      <c r="RRN312" s="1716"/>
      <c r="RRO312" s="1716"/>
      <c r="RRP312" s="1716"/>
      <c r="RRQ312" s="1716"/>
      <c r="RRR312" s="244"/>
      <c r="RRS312" s="244" t="s">
        <v>68</v>
      </c>
      <c r="RRT312" s="245" t="s">
        <v>68</v>
      </c>
      <c r="RRU312" s="1715" t="s">
        <v>0</v>
      </c>
      <c r="RRV312" s="1716"/>
      <c r="RRW312" s="1716"/>
      <c r="RRX312" s="1716"/>
      <c r="RRY312" s="1716"/>
      <c r="RRZ312" s="244"/>
      <c r="RSA312" s="244" t="s">
        <v>68</v>
      </c>
      <c r="RSB312" s="245" t="s">
        <v>68</v>
      </c>
      <c r="RSC312" s="1715" t="s">
        <v>0</v>
      </c>
      <c r="RSD312" s="1716"/>
      <c r="RSE312" s="1716"/>
      <c r="RSF312" s="1716"/>
      <c r="RSG312" s="1716"/>
      <c r="RSH312" s="244"/>
      <c r="RSI312" s="244" t="s">
        <v>68</v>
      </c>
      <c r="RSJ312" s="245" t="s">
        <v>68</v>
      </c>
      <c r="RSK312" s="1715" t="s">
        <v>0</v>
      </c>
      <c r="RSL312" s="1716"/>
      <c r="RSM312" s="1716"/>
      <c r="RSN312" s="1716"/>
      <c r="RSO312" s="1716"/>
      <c r="RSP312" s="244"/>
      <c r="RSQ312" s="244" t="s">
        <v>68</v>
      </c>
      <c r="RSR312" s="245" t="s">
        <v>68</v>
      </c>
      <c r="RSS312" s="1715" t="s">
        <v>0</v>
      </c>
      <c r="RST312" s="1716"/>
      <c r="RSU312" s="1716"/>
      <c r="RSV312" s="1716"/>
      <c r="RSW312" s="1716"/>
      <c r="RSX312" s="244"/>
      <c r="RSY312" s="244" t="s">
        <v>68</v>
      </c>
      <c r="RSZ312" s="245" t="s">
        <v>68</v>
      </c>
      <c r="RTA312" s="1715" t="s">
        <v>0</v>
      </c>
      <c r="RTB312" s="1716"/>
      <c r="RTC312" s="1716"/>
      <c r="RTD312" s="1716"/>
      <c r="RTE312" s="1716"/>
      <c r="RTF312" s="244"/>
      <c r="RTG312" s="244" t="s">
        <v>68</v>
      </c>
      <c r="RTH312" s="245" t="s">
        <v>68</v>
      </c>
      <c r="RTI312" s="1715" t="s">
        <v>0</v>
      </c>
      <c r="RTJ312" s="1716"/>
      <c r="RTK312" s="1716"/>
      <c r="RTL312" s="1716"/>
      <c r="RTM312" s="1716"/>
      <c r="RTN312" s="244"/>
      <c r="RTO312" s="244" t="s">
        <v>68</v>
      </c>
      <c r="RTP312" s="245" t="s">
        <v>68</v>
      </c>
      <c r="RTQ312" s="1715" t="s">
        <v>0</v>
      </c>
      <c r="RTR312" s="1716"/>
      <c r="RTS312" s="1716"/>
      <c r="RTT312" s="1716"/>
      <c r="RTU312" s="1716"/>
      <c r="RTV312" s="244"/>
      <c r="RTW312" s="244" t="s">
        <v>68</v>
      </c>
      <c r="RTX312" s="245" t="s">
        <v>68</v>
      </c>
      <c r="RTY312" s="1715" t="s">
        <v>0</v>
      </c>
      <c r="RTZ312" s="1716"/>
      <c r="RUA312" s="1716"/>
      <c r="RUB312" s="1716"/>
      <c r="RUC312" s="1716"/>
      <c r="RUD312" s="244"/>
      <c r="RUE312" s="244" t="s">
        <v>68</v>
      </c>
      <c r="RUF312" s="245" t="s">
        <v>68</v>
      </c>
      <c r="RUG312" s="1715" t="s">
        <v>0</v>
      </c>
      <c r="RUH312" s="1716"/>
      <c r="RUI312" s="1716"/>
      <c r="RUJ312" s="1716"/>
      <c r="RUK312" s="1716"/>
      <c r="RUL312" s="244"/>
      <c r="RUM312" s="244" t="s">
        <v>68</v>
      </c>
      <c r="RUN312" s="245" t="s">
        <v>68</v>
      </c>
      <c r="RUO312" s="1715" t="s">
        <v>0</v>
      </c>
      <c r="RUP312" s="1716"/>
      <c r="RUQ312" s="1716"/>
      <c r="RUR312" s="1716"/>
      <c r="RUS312" s="1716"/>
      <c r="RUT312" s="244"/>
      <c r="RUU312" s="244" t="s">
        <v>68</v>
      </c>
      <c r="RUV312" s="245" t="s">
        <v>68</v>
      </c>
      <c r="RUW312" s="1715" t="s">
        <v>0</v>
      </c>
      <c r="RUX312" s="1716"/>
      <c r="RUY312" s="1716"/>
      <c r="RUZ312" s="1716"/>
      <c r="RVA312" s="1716"/>
      <c r="RVB312" s="244"/>
      <c r="RVC312" s="244" t="s">
        <v>68</v>
      </c>
      <c r="RVD312" s="245" t="s">
        <v>68</v>
      </c>
      <c r="RVE312" s="1715" t="s">
        <v>0</v>
      </c>
      <c r="RVF312" s="1716"/>
      <c r="RVG312" s="1716"/>
      <c r="RVH312" s="1716"/>
      <c r="RVI312" s="1716"/>
      <c r="RVJ312" s="244"/>
      <c r="RVK312" s="244" t="s">
        <v>68</v>
      </c>
      <c r="RVL312" s="245" t="s">
        <v>68</v>
      </c>
      <c r="RVM312" s="1715" t="s">
        <v>0</v>
      </c>
      <c r="RVN312" s="1716"/>
      <c r="RVO312" s="1716"/>
      <c r="RVP312" s="1716"/>
      <c r="RVQ312" s="1716"/>
      <c r="RVR312" s="244"/>
      <c r="RVS312" s="244" t="s">
        <v>68</v>
      </c>
      <c r="RVT312" s="245" t="s">
        <v>68</v>
      </c>
      <c r="RVU312" s="1715" t="s">
        <v>0</v>
      </c>
      <c r="RVV312" s="1716"/>
      <c r="RVW312" s="1716"/>
      <c r="RVX312" s="1716"/>
      <c r="RVY312" s="1716"/>
      <c r="RVZ312" s="244"/>
      <c r="RWA312" s="244" t="s">
        <v>68</v>
      </c>
      <c r="RWB312" s="245" t="s">
        <v>68</v>
      </c>
      <c r="RWC312" s="1715" t="s">
        <v>0</v>
      </c>
      <c r="RWD312" s="1716"/>
      <c r="RWE312" s="1716"/>
      <c r="RWF312" s="1716"/>
      <c r="RWG312" s="1716"/>
      <c r="RWH312" s="244"/>
      <c r="RWI312" s="244" t="s">
        <v>68</v>
      </c>
      <c r="RWJ312" s="245" t="s">
        <v>68</v>
      </c>
      <c r="RWK312" s="1715" t="s">
        <v>0</v>
      </c>
      <c r="RWL312" s="1716"/>
      <c r="RWM312" s="1716"/>
      <c r="RWN312" s="1716"/>
      <c r="RWO312" s="1716"/>
      <c r="RWP312" s="244"/>
      <c r="RWQ312" s="244" t="s">
        <v>68</v>
      </c>
      <c r="RWR312" s="245" t="s">
        <v>68</v>
      </c>
      <c r="RWS312" s="1715" t="s">
        <v>0</v>
      </c>
      <c r="RWT312" s="1716"/>
      <c r="RWU312" s="1716"/>
      <c r="RWV312" s="1716"/>
      <c r="RWW312" s="1716"/>
      <c r="RWX312" s="244"/>
      <c r="RWY312" s="244" t="s">
        <v>68</v>
      </c>
      <c r="RWZ312" s="245" t="s">
        <v>68</v>
      </c>
      <c r="RXA312" s="1715" t="s">
        <v>0</v>
      </c>
      <c r="RXB312" s="1716"/>
      <c r="RXC312" s="1716"/>
      <c r="RXD312" s="1716"/>
      <c r="RXE312" s="1716"/>
      <c r="RXF312" s="244"/>
      <c r="RXG312" s="244" t="s">
        <v>68</v>
      </c>
      <c r="RXH312" s="245" t="s">
        <v>68</v>
      </c>
      <c r="RXI312" s="1715" t="s">
        <v>0</v>
      </c>
      <c r="RXJ312" s="1716"/>
      <c r="RXK312" s="1716"/>
      <c r="RXL312" s="1716"/>
      <c r="RXM312" s="1716"/>
      <c r="RXN312" s="244"/>
      <c r="RXO312" s="244" t="s">
        <v>68</v>
      </c>
      <c r="RXP312" s="245" t="s">
        <v>68</v>
      </c>
      <c r="RXQ312" s="1715" t="s">
        <v>0</v>
      </c>
      <c r="RXR312" s="1716"/>
      <c r="RXS312" s="1716"/>
      <c r="RXT312" s="1716"/>
      <c r="RXU312" s="1716"/>
      <c r="RXV312" s="244"/>
      <c r="RXW312" s="244" t="s">
        <v>68</v>
      </c>
      <c r="RXX312" s="245" t="s">
        <v>68</v>
      </c>
      <c r="RXY312" s="1715" t="s">
        <v>0</v>
      </c>
      <c r="RXZ312" s="1716"/>
      <c r="RYA312" s="1716"/>
      <c r="RYB312" s="1716"/>
      <c r="RYC312" s="1716"/>
      <c r="RYD312" s="244"/>
      <c r="RYE312" s="244" t="s">
        <v>68</v>
      </c>
      <c r="RYF312" s="245" t="s">
        <v>68</v>
      </c>
      <c r="RYG312" s="1715" t="s">
        <v>0</v>
      </c>
      <c r="RYH312" s="1716"/>
      <c r="RYI312" s="1716"/>
      <c r="RYJ312" s="1716"/>
      <c r="RYK312" s="1716"/>
      <c r="RYL312" s="244"/>
      <c r="RYM312" s="244" t="s">
        <v>68</v>
      </c>
      <c r="RYN312" s="245" t="s">
        <v>68</v>
      </c>
      <c r="RYO312" s="1715" t="s">
        <v>0</v>
      </c>
      <c r="RYP312" s="1716"/>
      <c r="RYQ312" s="1716"/>
      <c r="RYR312" s="1716"/>
      <c r="RYS312" s="1716"/>
      <c r="RYT312" s="244"/>
      <c r="RYU312" s="244" t="s">
        <v>68</v>
      </c>
      <c r="RYV312" s="245" t="s">
        <v>68</v>
      </c>
      <c r="RYW312" s="1715" t="s">
        <v>0</v>
      </c>
      <c r="RYX312" s="1716"/>
      <c r="RYY312" s="1716"/>
      <c r="RYZ312" s="1716"/>
      <c r="RZA312" s="1716"/>
      <c r="RZB312" s="244"/>
      <c r="RZC312" s="244" t="s">
        <v>68</v>
      </c>
      <c r="RZD312" s="245" t="s">
        <v>68</v>
      </c>
      <c r="RZE312" s="1715" t="s">
        <v>0</v>
      </c>
      <c r="RZF312" s="1716"/>
      <c r="RZG312" s="1716"/>
      <c r="RZH312" s="1716"/>
      <c r="RZI312" s="1716"/>
      <c r="RZJ312" s="244"/>
      <c r="RZK312" s="244" t="s">
        <v>68</v>
      </c>
      <c r="RZL312" s="245" t="s">
        <v>68</v>
      </c>
      <c r="RZM312" s="1715" t="s">
        <v>0</v>
      </c>
      <c r="RZN312" s="1716"/>
      <c r="RZO312" s="1716"/>
      <c r="RZP312" s="1716"/>
      <c r="RZQ312" s="1716"/>
      <c r="RZR312" s="244"/>
      <c r="RZS312" s="244" t="s">
        <v>68</v>
      </c>
      <c r="RZT312" s="245" t="s">
        <v>68</v>
      </c>
      <c r="RZU312" s="1715" t="s">
        <v>0</v>
      </c>
      <c r="RZV312" s="1716"/>
      <c r="RZW312" s="1716"/>
      <c r="RZX312" s="1716"/>
      <c r="RZY312" s="1716"/>
      <c r="RZZ312" s="244"/>
      <c r="SAA312" s="244" t="s">
        <v>68</v>
      </c>
      <c r="SAB312" s="245" t="s">
        <v>68</v>
      </c>
      <c r="SAC312" s="1715" t="s">
        <v>0</v>
      </c>
      <c r="SAD312" s="1716"/>
      <c r="SAE312" s="1716"/>
      <c r="SAF312" s="1716"/>
      <c r="SAG312" s="1716"/>
      <c r="SAH312" s="244"/>
      <c r="SAI312" s="244" t="s">
        <v>68</v>
      </c>
      <c r="SAJ312" s="245" t="s">
        <v>68</v>
      </c>
      <c r="SAK312" s="1715" t="s">
        <v>0</v>
      </c>
      <c r="SAL312" s="1716"/>
      <c r="SAM312" s="1716"/>
      <c r="SAN312" s="1716"/>
      <c r="SAO312" s="1716"/>
      <c r="SAP312" s="244"/>
      <c r="SAQ312" s="244" t="s">
        <v>68</v>
      </c>
      <c r="SAR312" s="245" t="s">
        <v>68</v>
      </c>
      <c r="SAS312" s="1715" t="s">
        <v>0</v>
      </c>
      <c r="SAT312" s="1716"/>
      <c r="SAU312" s="1716"/>
      <c r="SAV312" s="1716"/>
      <c r="SAW312" s="1716"/>
      <c r="SAX312" s="244"/>
      <c r="SAY312" s="244" t="s">
        <v>68</v>
      </c>
      <c r="SAZ312" s="245" t="s">
        <v>68</v>
      </c>
      <c r="SBA312" s="1715" t="s">
        <v>0</v>
      </c>
      <c r="SBB312" s="1716"/>
      <c r="SBC312" s="1716"/>
      <c r="SBD312" s="1716"/>
      <c r="SBE312" s="1716"/>
      <c r="SBF312" s="244"/>
      <c r="SBG312" s="244" t="s">
        <v>68</v>
      </c>
      <c r="SBH312" s="245" t="s">
        <v>68</v>
      </c>
      <c r="SBI312" s="1715" t="s">
        <v>0</v>
      </c>
      <c r="SBJ312" s="1716"/>
      <c r="SBK312" s="1716"/>
      <c r="SBL312" s="1716"/>
      <c r="SBM312" s="1716"/>
      <c r="SBN312" s="244"/>
      <c r="SBO312" s="244" t="s">
        <v>68</v>
      </c>
      <c r="SBP312" s="245" t="s">
        <v>68</v>
      </c>
      <c r="SBQ312" s="1715" t="s">
        <v>0</v>
      </c>
      <c r="SBR312" s="1716"/>
      <c r="SBS312" s="1716"/>
      <c r="SBT312" s="1716"/>
      <c r="SBU312" s="1716"/>
      <c r="SBV312" s="244"/>
      <c r="SBW312" s="244" t="s">
        <v>68</v>
      </c>
      <c r="SBX312" s="245" t="s">
        <v>68</v>
      </c>
      <c r="SBY312" s="1715" t="s">
        <v>0</v>
      </c>
      <c r="SBZ312" s="1716"/>
      <c r="SCA312" s="1716"/>
      <c r="SCB312" s="1716"/>
      <c r="SCC312" s="1716"/>
      <c r="SCD312" s="244"/>
      <c r="SCE312" s="244" t="s">
        <v>68</v>
      </c>
      <c r="SCF312" s="245" t="s">
        <v>68</v>
      </c>
      <c r="SCG312" s="1715" t="s">
        <v>0</v>
      </c>
      <c r="SCH312" s="1716"/>
      <c r="SCI312" s="1716"/>
      <c r="SCJ312" s="1716"/>
      <c r="SCK312" s="1716"/>
      <c r="SCL312" s="244"/>
      <c r="SCM312" s="244" t="s">
        <v>68</v>
      </c>
      <c r="SCN312" s="245" t="s">
        <v>68</v>
      </c>
      <c r="SCO312" s="1715" t="s">
        <v>0</v>
      </c>
      <c r="SCP312" s="1716"/>
      <c r="SCQ312" s="1716"/>
      <c r="SCR312" s="1716"/>
      <c r="SCS312" s="1716"/>
      <c r="SCT312" s="244"/>
      <c r="SCU312" s="244" t="s">
        <v>68</v>
      </c>
      <c r="SCV312" s="245" t="s">
        <v>68</v>
      </c>
      <c r="SCW312" s="1715" t="s">
        <v>0</v>
      </c>
      <c r="SCX312" s="1716"/>
      <c r="SCY312" s="1716"/>
      <c r="SCZ312" s="1716"/>
      <c r="SDA312" s="1716"/>
      <c r="SDB312" s="244"/>
      <c r="SDC312" s="244" t="s">
        <v>68</v>
      </c>
      <c r="SDD312" s="245" t="s">
        <v>68</v>
      </c>
      <c r="SDE312" s="1715" t="s">
        <v>0</v>
      </c>
      <c r="SDF312" s="1716"/>
      <c r="SDG312" s="1716"/>
      <c r="SDH312" s="1716"/>
      <c r="SDI312" s="1716"/>
      <c r="SDJ312" s="244"/>
      <c r="SDK312" s="244" t="s">
        <v>68</v>
      </c>
      <c r="SDL312" s="245" t="s">
        <v>68</v>
      </c>
      <c r="SDM312" s="1715" t="s">
        <v>0</v>
      </c>
      <c r="SDN312" s="1716"/>
      <c r="SDO312" s="1716"/>
      <c r="SDP312" s="1716"/>
      <c r="SDQ312" s="1716"/>
      <c r="SDR312" s="244"/>
      <c r="SDS312" s="244" t="s">
        <v>68</v>
      </c>
      <c r="SDT312" s="245" t="s">
        <v>68</v>
      </c>
      <c r="SDU312" s="1715" t="s">
        <v>0</v>
      </c>
      <c r="SDV312" s="1716"/>
      <c r="SDW312" s="1716"/>
      <c r="SDX312" s="1716"/>
      <c r="SDY312" s="1716"/>
      <c r="SDZ312" s="244"/>
      <c r="SEA312" s="244" t="s">
        <v>68</v>
      </c>
      <c r="SEB312" s="245" t="s">
        <v>68</v>
      </c>
      <c r="SEC312" s="1715" t="s">
        <v>0</v>
      </c>
      <c r="SED312" s="1716"/>
      <c r="SEE312" s="1716"/>
      <c r="SEF312" s="1716"/>
      <c r="SEG312" s="1716"/>
      <c r="SEH312" s="244"/>
      <c r="SEI312" s="244" t="s">
        <v>68</v>
      </c>
      <c r="SEJ312" s="245" t="s">
        <v>68</v>
      </c>
      <c r="SEK312" s="1715" t="s">
        <v>0</v>
      </c>
      <c r="SEL312" s="1716"/>
      <c r="SEM312" s="1716"/>
      <c r="SEN312" s="1716"/>
      <c r="SEO312" s="1716"/>
      <c r="SEP312" s="244"/>
      <c r="SEQ312" s="244" t="s">
        <v>68</v>
      </c>
      <c r="SER312" s="245" t="s">
        <v>68</v>
      </c>
      <c r="SES312" s="1715" t="s">
        <v>0</v>
      </c>
      <c r="SET312" s="1716"/>
      <c r="SEU312" s="1716"/>
      <c r="SEV312" s="1716"/>
      <c r="SEW312" s="1716"/>
      <c r="SEX312" s="244"/>
      <c r="SEY312" s="244" t="s">
        <v>68</v>
      </c>
      <c r="SEZ312" s="245" t="s">
        <v>68</v>
      </c>
      <c r="SFA312" s="1715" t="s">
        <v>0</v>
      </c>
      <c r="SFB312" s="1716"/>
      <c r="SFC312" s="1716"/>
      <c r="SFD312" s="1716"/>
      <c r="SFE312" s="1716"/>
      <c r="SFF312" s="244"/>
      <c r="SFG312" s="244" t="s">
        <v>68</v>
      </c>
      <c r="SFH312" s="245" t="s">
        <v>68</v>
      </c>
      <c r="SFI312" s="1715" t="s">
        <v>0</v>
      </c>
      <c r="SFJ312" s="1716"/>
      <c r="SFK312" s="1716"/>
      <c r="SFL312" s="1716"/>
      <c r="SFM312" s="1716"/>
      <c r="SFN312" s="244"/>
      <c r="SFO312" s="244" t="s">
        <v>68</v>
      </c>
      <c r="SFP312" s="245" t="s">
        <v>68</v>
      </c>
      <c r="SFQ312" s="1715" t="s">
        <v>0</v>
      </c>
      <c r="SFR312" s="1716"/>
      <c r="SFS312" s="1716"/>
      <c r="SFT312" s="1716"/>
      <c r="SFU312" s="1716"/>
      <c r="SFV312" s="244"/>
      <c r="SFW312" s="244" t="s">
        <v>68</v>
      </c>
      <c r="SFX312" s="245" t="s">
        <v>68</v>
      </c>
      <c r="SFY312" s="1715" t="s">
        <v>0</v>
      </c>
      <c r="SFZ312" s="1716"/>
      <c r="SGA312" s="1716"/>
      <c r="SGB312" s="1716"/>
      <c r="SGC312" s="1716"/>
      <c r="SGD312" s="244"/>
      <c r="SGE312" s="244" t="s">
        <v>68</v>
      </c>
      <c r="SGF312" s="245" t="s">
        <v>68</v>
      </c>
      <c r="SGG312" s="1715" t="s">
        <v>0</v>
      </c>
      <c r="SGH312" s="1716"/>
      <c r="SGI312" s="1716"/>
      <c r="SGJ312" s="1716"/>
      <c r="SGK312" s="1716"/>
      <c r="SGL312" s="244"/>
      <c r="SGM312" s="244" t="s">
        <v>68</v>
      </c>
      <c r="SGN312" s="245" t="s">
        <v>68</v>
      </c>
      <c r="SGO312" s="1715" t="s">
        <v>0</v>
      </c>
      <c r="SGP312" s="1716"/>
      <c r="SGQ312" s="1716"/>
      <c r="SGR312" s="1716"/>
      <c r="SGS312" s="1716"/>
      <c r="SGT312" s="244"/>
      <c r="SGU312" s="244" t="s">
        <v>68</v>
      </c>
      <c r="SGV312" s="245" t="s">
        <v>68</v>
      </c>
      <c r="SGW312" s="1715" t="s">
        <v>0</v>
      </c>
      <c r="SGX312" s="1716"/>
      <c r="SGY312" s="1716"/>
      <c r="SGZ312" s="1716"/>
      <c r="SHA312" s="1716"/>
      <c r="SHB312" s="244"/>
      <c r="SHC312" s="244" t="s">
        <v>68</v>
      </c>
      <c r="SHD312" s="245" t="s">
        <v>68</v>
      </c>
      <c r="SHE312" s="1715" t="s">
        <v>0</v>
      </c>
      <c r="SHF312" s="1716"/>
      <c r="SHG312" s="1716"/>
      <c r="SHH312" s="1716"/>
      <c r="SHI312" s="1716"/>
      <c r="SHJ312" s="244"/>
      <c r="SHK312" s="244" t="s">
        <v>68</v>
      </c>
      <c r="SHL312" s="245" t="s">
        <v>68</v>
      </c>
      <c r="SHM312" s="1715" t="s">
        <v>0</v>
      </c>
      <c r="SHN312" s="1716"/>
      <c r="SHO312" s="1716"/>
      <c r="SHP312" s="1716"/>
      <c r="SHQ312" s="1716"/>
      <c r="SHR312" s="244"/>
      <c r="SHS312" s="244" t="s">
        <v>68</v>
      </c>
      <c r="SHT312" s="245" t="s">
        <v>68</v>
      </c>
      <c r="SHU312" s="1715" t="s">
        <v>0</v>
      </c>
      <c r="SHV312" s="1716"/>
      <c r="SHW312" s="1716"/>
      <c r="SHX312" s="1716"/>
      <c r="SHY312" s="1716"/>
      <c r="SHZ312" s="244"/>
      <c r="SIA312" s="244" t="s">
        <v>68</v>
      </c>
      <c r="SIB312" s="245" t="s">
        <v>68</v>
      </c>
      <c r="SIC312" s="1715" t="s">
        <v>0</v>
      </c>
      <c r="SID312" s="1716"/>
      <c r="SIE312" s="1716"/>
      <c r="SIF312" s="1716"/>
      <c r="SIG312" s="1716"/>
      <c r="SIH312" s="244"/>
      <c r="SII312" s="244" t="s">
        <v>68</v>
      </c>
      <c r="SIJ312" s="245" t="s">
        <v>68</v>
      </c>
      <c r="SIK312" s="1715" t="s">
        <v>0</v>
      </c>
      <c r="SIL312" s="1716"/>
      <c r="SIM312" s="1716"/>
      <c r="SIN312" s="1716"/>
      <c r="SIO312" s="1716"/>
      <c r="SIP312" s="244"/>
      <c r="SIQ312" s="244" t="s">
        <v>68</v>
      </c>
      <c r="SIR312" s="245" t="s">
        <v>68</v>
      </c>
      <c r="SIS312" s="1715" t="s">
        <v>0</v>
      </c>
      <c r="SIT312" s="1716"/>
      <c r="SIU312" s="1716"/>
      <c r="SIV312" s="1716"/>
      <c r="SIW312" s="1716"/>
      <c r="SIX312" s="244"/>
      <c r="SIY312" s="244" t="s">
        <v>68</v>
      </c>
      <c r="SIZ312" s="245" t="s">
        <v>68</v>
      </c>
      <c r="SJA312" s="1715" t="s">
        <v>0</v>
      </c>
      <c r="SJB312" s="1716"/>
      <c r="SJC312" s="1716"/>
      <c r="SJD312" s="1716"/>
      <c r="SJE312" s="1716"/>
      <c r="SJF312" s="244"/>
      <c r="SJG312" s="244" t="s">
        <v>68</v>
      </c>
      <c r="SJH312" s="245" t="s">
        <v>68</v>
      </c>
      <c r="SJI312" s="1715" t="s">
        <v>0</v>
      </c>
      <c r="SJJ312" s="1716"/>
      <c r="SJK312" s="1716"/>
      <c r="SJL312" s="1716"/>
      <c r="SJM312" s="1716"/>
      <c r="SJN312" s="244"/>
      <c r="SJO312" s="244" t="s">
        <v>68</v>
      </c>
      <c r="SJP312" s="245" t="s">
        <v>68</v>
      </c>
      <c r="SJQ312" s="1715" t="s">
        <v>0</v>
      </c>
      <c r="SJR312" s="1716"/>
      <c r="SJS312" s="1716"/>
      <c r="SJT312" s="1716"/>
      <c r="SJU312" s="1716"/>
      <c r="SJV312" s="244"/>
      <c r="SJW312" s="244" t="s">
        <v>68</v>
      </c>
      <c r="SJX312" s="245" t="s">
        <v>68</v>
      </c>
      <c r="SJY312" s="1715" t="s">
        <v>0</v>
      </c>
      <c r="SJZ312" s="1716"/>
      <c r="SKA312" s="1716"/>
      <c r="SKB312" s="1716"/>
      <c r="SKC312" s="1716"/>
      <c r="SKD312" s="244"/>
      <c r="SKE312" s="244" t="s">
        <v>68</v>
      </c>
      <c r="SKF312" s="245" t="s">
        <v>68</v>
      </c>
      <c r="SKG312" s="1715" t="s">
        <v>0</v>
      </c>
      <c r="SKH312" s="1716"/>
      <c r="SKI312" s="1716"/>
      <c r="SKJ312" s="1716"/>
      <c r="SKK312" s="1716"/>
      <c r="SKL312" s="244"/>
      <c r="SKM312" s="244" t="s">
        <v>68</v>
      </c>
      <c r="SKN312" s="245" t="s">
        <v>68</v>
      </c>
      <c r="SKO312" s="1715" t="s">
        <v>0</v>
      </c>
      <c r="SKP312" s="1716"/>
      <c r="SKQ312" s="1716"/>
      <c r="SKR312" s="1716"/>
      <c r="SKS312" s="1716"/>
      <c r="SKT312" s="244"/>
      <c r="SKU312" s="244" t="s">
        <v>68</v>
      </c>
      <c r="SKV312" s="245" t="s">
        <v>68</v>
      </c>
      <c r="SKW312" s="1715" t="s">
        <v>0</v>
      </c>
      <c r="SKX312" s="1716"/>
      <c r="SKY312" s="1716"/>
      <c r="SKZ312" s="1716"/>
      <c r="SLA312" s="1716"/>
      <c r="SLB312" s="244"/>
      <c r="SLC312" s="244" t="s">
        <v>68</v>
      </c>
      <c r="SLD312" s="245" t="s">
        <v>68</v>
      </c>
      <c r="SLE312" s="1715" t="s">
        <v>0</v>
      </c>
      <c r="SLF312" s="1716"/>
      <c r="SLG312" s="1716"/>
      <c r="SLH312" s="1716"/>
      <c r="SLI312" s="1716"/>
      <c r="SLJ312" s="244"/>
      <c r="SLK312" s="244" t="s">
        <v>68</v>
      </c>
      <c r="SLL312" s="245" t="s">
        <v>68</v>
      </c>
      <c r="SLM312" s="1715" t="s">
        <v>0</v>
      </c>
      <c r="SLN312" s="1716"/>
      <c r="SLO312" s="1716"/>
      <c r="SLP312" s="1716"/>
      <c r="SLQ312" s="1716"/>
      <c r="SLR312" s="244"/>
      <c r="SLS312" s="244" t="s">
        <v>68</v>
      </c>
      <c r="SLT312" s="245" t="s">
        <v>68</v>
      </c>
      <c r="SLU312" s="1715" t="s">
        <v>0</v>
      </c>
      <c r="SLV312" s="1716"/>
      <c r="SLW312" s="1716"/>
      <c r="SLX312" s="1716"/>
      <c r="SLY312" s="1716"/>
      <c r="SLZ312" s="244"/>
      <c r="SMA312" s="244" t="s">
        <v>68</v>
      </c>
      <c r="SMB312" s="245" t="s">
        <v>68</v>
      </c>
      <c r="SMC312" s="1715" t="s">
        <v>0</v>
      </c>
      <c r="SMD312" s="1716"/>
      <c r="SME312" s="1716"/>
      <c r="SMF312" s="1716"/>
      <c r="SMG312" s="1716"/>
      <c r="SMH312" s="244"/>
      <c r="SMI312" s="244" t="s">
        <v>68</v>
      </c>
      <c r="SMJ312" s="245" t="s">
        <v>68</v>
      </c>
      <c r="SMK312" s="1715" t="s">
        <v>0</v>
      </c>
      <c r="SML312" s="1716"/>
      <c r="SMM312" s="1716"/>
      <c r="SMN312" s="1716"/>
      <c r="SMO312" s="1716"/>
      <c r="SMP312" s="244"/>
      <c r="SMQ312" s="244" t="s">
        <v>68</v>
      </c>
      <c r="SMR312" s="245" t="s">
        <v>68</v>
      </c>
      <c r="SMS312" s="1715" t="s">
        <v>0</v>
      </c>
      <c r="SMT312" s="1716"/>
      <c r="SMU312" s="1716"/>
      <c r="SMV312" s="1716"/>
      <c r="SMW312" s="1716"/>
      <c r="SMX312" s="244"/>
      <c r="SMY312" s="244" t="s">
        <v>68</v>
      </c>
      <c r="SMZ312" s="245" t="s">
        <v>68</v>
      </c>
      <c r="SNA312" s="1715" t="s">
        <v>0</v>
      </c>
      <c r="SNB312" s="1716"/>
      <c r="SNC312" s="1716"/>
      <c r="SND312" s="1716"/>
      <c r="SNE312" s="1716"/>
      <c r="SNF312" s="244"/>
      <c r="SNG312" s="244" t="s">
        <v>68</v>
      </c>
      <c r="SNH312" s="245" t="s">
        <v>68</v>
      </c>
      <c r="SNI312" s="1715" t="s">
        <v>0</v>
      </c>
      <c r="SNJ312" s="1716"/>
      <c r="SNK312" s="1716"/>
      <c r="SNL312" s="1716"/>
      <c r="SNM312" s="1716"/>
      <c r="SNN312" s="244"/>
      <c r="SNO312" s="244" t="s">
        <v>68</v>
      </c>
      <c r="SNP312" s="245" t="s">
        <v>68</v>
      </c>
      <c r="SNQ312" s="1715" t="s">
        <v>0</v>
      </c>
      <c r="SNR312" s="1716"/>
      <c r="SNS312" s="1716"/>
      <c r="SNT312" s="1716"/>
      <c r="SNU312" s="1716"/>
      <c r="SNV312" s="244"/>
      <c r="SNW312" s="244" t="s">
        <v>68</v>
      </c>
      <c r="SNX312" s="245" t="s">
        <v>68</v>
      </c>
      <c r="SNY312" s="1715" t="s">
        <v>0</v>
      </c>
      <c r="SNZ312" s="1716"/>
      <c r="SOA312" s="1716"/>
      <c r="SOB312" s="1716"/>
      <c r="SOC312" s="1716"/>
      <c r="SOD312" s="244"/>
      <c r="SOE312" s="244" t="s">
        <v>68</v>
      </c>
      <c r="SOF312" s="245" t="s">
        <v>68</v>
      </c>
      <c r="SOG312" s="1715" t="s">
        <v>0</v>
      </c>
      <c r="SOH312" s="1716"/>
      <c r="SOI312" s="1716"/>
      <c r="SOJ312" s="1716"/>
      <c r="SOK312" s="1716"/>
      <c r="SOL312" s="244"/>
      <c r="SOM312" s="244" t="s">
        <v>68</v>
      </c>
      <c r="SON312" s="245" t="s">
        <v>68</v>
      </c>
      <c r="SOO312" s="1715" t="s">
        <v>0</v>
      </c>
      <c r="SOP312" s="1716"/>
      <c r="SOQ312" s="1716"/>
      <c r="SOR312" s="1716"/>
      <c r="SOS312" s="1716"/>
      <c r="SOT312" s="244"/>
      <c r="SOU312" s="244" t="s">
        <v>68</v>
      </c>
      <c r="SOV312" s="245" t="s">
        <v>68</v>
      </c>
      <c r="SOW312" s="1715" t="s">
        <v>0</v>
      </c>
      <c r="SOX312" s="1716"/>
      <c r="SOY312" s="1716"/>
      <c r="SOZ312" s="1716"/>
      <c r="SPA312" s="1716"/>
      <c r="SPB312" s="244"/>
      <c r="SPC312" s="244" t="s">
        <v>68</v>
      </c>
      <c r="SPD312" s="245" t="s">
        <v>68</v>
      </c>
      <c r="SPE312" s="1715" t="s">
        <v>0</v>
      </c>
      <c r="SPF312" s="1716"/>
      <c r="SPG312" s="1716"/>
      <c r="SPH312" s="1716"/>
      <c r="SPI312" s="1716"/>
      <c r="SPJ312" s="244"/>
      <c r="SPK312" s="244" t="s">
        <v>68</v>
      </c>
      <c r="SPL312" s="245" t="s">
        <v>68</v>
      </c>
      <c r="SPM312" s="1715" t="s">
        <v>0</v>
      </c>
      <c r="SPN312" s="1716"/>
      <c r="SPO312" s="1716"/>
      <c r="SPP312" s="1716"/>
      <c r="SPQ312" s="1716"/>
      <c r="SPR312" s="244"/>
      <c r="SPS312" s="244" t="s">
        <v>68</v>
      </c>
      <c r="SPT312" s="245" t="s">
        <v>68</v>
      </c>
      <c r="SPU312" s="1715" t="s">
        <v>0</v>
      </c>
      <c r="SPV312" s="1716"/>
      <c r="SPW312" s="1716"/>
      <c r="SPX312" s="1716"/>
      <c r="SPY312" s="1716"/>
      <c r="SPZ312" s="244"/>
      <c r="SQA312" s="244" t="s">
        <v>68</v>
      </c>
      <c r="SQB312" s="245" t="s">
        <v>68</v>
      </c>
      <c r="SQC312" s="1715" t="s">
        <v>0</v>
      </c>
      <c r="SQD312" s="1716"/>
      <c r="SQE312" s="1716"/>
      <c r="SQF312" s="1716"/>
      <c r="SQG312" s="1716"/>
      <c r="SQH312" s="244"/>
      <c r="SQI312" s="244" t="s">
        <v>68</v>
      </c>
      <c r="SQJ312" s="245" t="s">
        <v>68</v>
      </c>
      <c r="SQK312" s="1715" t="s">
        <v>0</v>
      </c>
      <c r="SQL312" s="1716"/>
      <c r="SQM312" s="1716"/>
      <c r="SQN312" s="1716"/>
      <c r="SQO312" s="1716"/>
      <c r="SQP312" s="244"/>
      <c r="SQQ312" s="244" t="s">
        <v>68</v>
      </c>
      <c r="SQR312" s="245" t="s">
        <v>68</v>
      </c>
      <c r="SQS312" s="1715" t="s">
        <v>0</v>
      </c>
      <c r="SQT312" s="1716"/>
      <c r="SQU312" s="1716"/>
      <c r="SQV312" s="1716"/>
      <c r="SQW312" s="1716"/>
      <c r="SQX312" s="244"/>
      <c r="SQY312" s="244" t="s">
        <v>68</v>
      </c>
      <c r="SQZ312" s="245" t="s">
        <v>68</v>
      </c>
      <c r="SRA312" s="1715" t="s">
        <v>0</v>
      </c>
      <c r="SRB312" s="1716"/>
      <c r="SRC312" s="1716"/>
      <c r="SRD312" s="1716"/>
      <c r="SRE312" s="1716"/>
      <c r="SRF312" s="244"/>
      <c r="SRG312" s="244" t="s">
        <v>68</v>
      </c>
      <c r="SRH312" s="245" t="s">
        <v>68</v>
      </c>
      <c r="SRI312" s="1715" t="s">
        <v>0</v>
      </c>
      <c r="SRJ312" s="1716"/>
      <c r="SRK312" s="1716"/>
      <c r="SRL312" s="1716"/>
      <c r="SRM312" s="1716"/>
      <c r="SRN312" s="244"/>
      <c r="SRO312" s="244" t="s">
        <v>68</v>
      </c>
      <c r="SRP312" s="245" t="s">
        <v>68</v>
      </c>
      <c r="SRQ312" s="1715" t="s">
        <v>0</v>
      </c>
      <c r="SRR312" s="1716"/>
      <c r="SRS312" s="1716"/>
      <c r="SRT312" s="1716"/>
      <c r="SRU312" s="1716"/>
      <c r="SRV312" s="244"/>
      <c r="SRW312" s="244" t="s">
        <v>68</v>
      </c>
      <c r="SRX312" s="245" t="s">
        <v>68</v>
      </c>
      <c r="SRY312" s="1715" t="s">
        <v>0</v>
      </c>
      <c r="SRZ312" s="1716"/>
      <c r="SSA312" s="1716"/>
      <c r="SSB312" s="1716"/>
      <c r="SSC312" s="1716"/>
      <c r="SSD312" s="244"/>
      <c r="SSE312" s="244" t="s">
        <v>68</v>
      </c>
      <c r="SSF312" s="245" t="s">
        <v>68</v>
      </c>
      <c r="SSG312" s="1715" t="s">
        <v>0</v>
      </c>
      <c r="SSH312" s="1716"/>
      <c r="SSI312" s="1716"/>
      <c r="SSJ312" s="1716"/>
      <c r="SSK312" s="1716"/>
      <c r="SSL312" s="244"/>
      <c r="SSM312" s="244" t="s">
        <v>68</v>
      </c>
      <c r="SSN312" s="245" t="s">
        <v>68</v>
      </c>
      <c r="SSO312" s="1715" t="s">
        <v>0</v>
      </c>
      <c r="SSP312" s="1716"/>
      <c r="SSQ312" s="1716"/>
      <c r="SSR312" s="1716"/>
      <c r="SSS312" s="1716"/>
      <c r="SST312" s="244"/>
      <c r="SSU312" s="244" t="s">
        <v>68</v>
      </c>
      <c r="SSV312" s="245" t="s">
        <v>68</v>
      </c>
      <c r="SSW312" s="1715" t="s">
        <v>0</v>
      </c>
      <c r="SSX312" s="1716"/>
      <c r="SSY312" s="1716"/>
      <c r="SSZ312" s="1716"/>
      <c r="STA312" s="1716"/>
      <c r="STB312" s="244"/>
      <c r="STC312" s="244" t="s">
        <v>68</v>
      </c>
      <c r="STD312" s="245" t="s">
        <v>68</v>
      </c>
      <c r="STE312" s="1715" t="s">
        <v>0</v>
      </c>
      <c r="STF312" s="1716"/>
      <c r="STG312" s="1716"/>
      <c r="STH312" s="1716"/>
      <c r="STI312" s="1716"/>
      <c r="STJ312" s="244"/>
      <c r="STK312" s="244" t="s">
        <v>68</v>
      </c>
      <c r="STL312" s="245" t="s">
        <v>68</v>
      </c>
      <c r="STM312" s="1715" t="s">
        <v>0</v>
      </c>
      <c r="STN312" s="1716"/>
      <c r="STO312" s="1716"/>
      <c r="STP312" s="1716"/>
      <c r="STQ312" s="1716"/>
      <c r="STR312" s="244"/>
      <c r="STS312" s="244" t="s">
        <v>68</v>
      </c>
      <c r="STT312" s="245" t="s">
        <v>68</v>
      </c>
      <c r="STU312" s="1715" t="s">
        <v>0</v>
      </c>
      <c r="STV312" s="1716"/>
      <c r="STW312" s="1716"/>
      <c r="STX312" s="1716"/>
      <c r="STY312" s="1716"/>
      <c r="STZ312" s="244"/>
      <c r="SUA312" s="244" t="s">
        <v>68</v>
      </c>
      <c r="SUB312" s="245" t="s">
        <v>68</v>
      </c>
      <c r="SUC312" s="1715" t="s">
        <v>0</v>
      </c>
      <c r="SUD312" s="1716"/>
      <c r="SUE312" s="1716"/>
      <c r="SUF312" s="1716"/>
      <c r="SUG312" s="1716"/>
      <c r="SUH312" s="244"/>
      <c r="SUI312" s="244" t="s">
        <v>68</v>
      </c>
      <c r="SUJ312" s="245" t="s">
        <v>68</v>
      </c>
      <c r="SUK312" s="1715" t="s">
        <v>0</v>
      </c>
      <c r="SUL312" s="1716"/>
      <c r="SUM312" s="1716"/>
      <c r="SUN312" s="1716"/>
      <c r="SUO312" s="1716"/>
      <c r="SUP312" s="244"/>
      <c r="SUQ312" s="244" t="s">
        <v>68</v>
      </c>
      <c r="SUR312" s="245" t="s">
        <v>68</v>
      </c>
      <c r="SUS312" s="1715" t="s">
        <v>0</v>
      </c>
      <c r="SUT312" s="1716"/>
      <c r="SUU312" s="1716"/>
      <c r="SUV312" s="1716"/>
      <c r="SUW312" s="1716"/>
      <c r="SUX312" s="244"/>
      <c r="SUY312" s="244" t="s">
        <v>68</v>
      </c>
      <c r="SUZ312" s="245" t="s">
        <v>68</v>
      </c>
      <c r="SVA312" s="1715" t="s">
        <v>0</v>
      </c>
      <c r="SVB312" s="1716"/>
      <c r="SVC312" s="1716"/>
      <c r="SVD312" s="1716"/>
      <c r="SVE312" s="1716"/>
      <c r="SVF312" s="244"/>
      <c r="SVG312" s="244" t="s">
        <v>68</v>
      </c>
      <c r="SVH312" s="245" t="s">
        <v>68</v>
      </c>
      <c r="SVI312" s="1715" t="s">
        <v>0</v>
      </c>
      <c r="SVJ312" s="1716"/>
      <c r="SVK312" s="1716"/>
      <c r="SVL312" s="1716"/>
      <c r="SVM312" s="1716"/>
      <c r="SVN312" s="244"/>
      <c r="SVO312" s="244" t="s">
        <v>68</v>
      </c>
      <c r="SVP312" s="245" t="s">
        <v>68</v>
      </c>
      <c r="SVQ312" s="1715" t="s">
        <v>0</v>
      </c>
      <c r="SVR312" s="1716"/>
      <c r="SVS312" s="1716"/>
      <c r="SVT312" s="1716"/>
      <c r="SVU312" s="1716"/>
      <c r="SVV312" s="244"/>
      <c r="SVW312" s="244" t="s">
        <v>68</v>
      </c>
      <c r="SVX312" s="245" t="s">
        <v>68</v>
      </c>
      <c r="SVY312" s="1715" t="s">
        <v>0</v>
      </c>
      <c r="SVZ312" s="1716"/>
      <c r="SWA312" s="1716"/>
      <c r="SWB312" s="1716"/>
      <c r="SWC312" s="1716"/>
      <c r="SWD312" s="244"/>
      <c r="SWE312" s="244" t="s">
        <v>68</v>
      </c>
      <c r="SWF312" s="245" t="s">
        <v>68</v>
      </c>
      <c r="SWG312" s="1715" t="s">
        <v>0</v>
      </c>
      <c r="SWH312" s="1716"/>
      <c r="SWI312" s="1716"/>
      <c r="SWJ312" s="1716"/>
      <c r="SWK312" s="1716"/>
      <c r="SWL312" s="244"/>
      <c r="SWM312" s="244" t="s">
        <v>68</v>
      </c>
      <c r="SWN312" s="245" t="s">
        <v>68</v>
      </c>
      <c r="SWO312" s="1715" t="s">
        <v>0</v>
      </c>
      <c r="SWP312" s="1716"/>
      <c r="SWQ312" s="1716"/>
      <c r="SWR312" s="1716"/>
      <c r="SWS312" s="1716"/>
      <c r="SWT312" s="244"/>
      <c r="SWU312" s="244" t="s">
        <v>68</v>
      </c>
      <c r="SWV312" s="245" t="s">
        <v>68</v>
      </c>
      <c r="SWW312" s="1715" t="s">
        <v>0</v>
      </c>
      <c r="SWX312" s="1716"/>
      <c r="SWY312" s="1716"/>
      <c r="SWZ312" s="1716"/>
      <c r="SXA312" s="1716"/>
      <c r="SXB312" s="244"/>
      <c r="SXC312" s="244" t="s">
        <v>68</v>
      </c>
      <c r="SXD312" s="245" t="s">
        <v>68</v>
      </c>
      <c r="SXE312" s="1715" t="s">
        <v>0</v>
      </c>
      <c r="SXF312" s="1716"/>
      <c r="SXG312" s="1716"/>
      <c r="SXH312" s="1716"/>
      <c r="SXI312" s="1716"/>
      <c r="SXJ312" s="244"/>
      <c r="SXK312" s="244" t="s">
        <v>68</v>
      </c>
      <c r="SXL312" s="245" t="s">
        <v>68</v>
      </c>
      <c r="SXM312" s="1715" t="s">
        <v>0</v>
      </c>
      <c r="SXN312" s="1716"/>
      <c r="SXO312" s="1716"/>
      <c r="SXP312" s="1716"/>
      <c r="SXQ312" s="1716"/>
      <c r="SXR312" s="244"/>
      <c r="SXS312" s="244" t="s">
        <v>68</v>
      </c>
      <c r="SXT312" s="245" t="s">
        <v>68</v>
      </c>
      <c r="SXU312" s="1715" t="s">
        <v>0</v>
      </c>
      <c r="SXV312" s="1716"/>
      <c r="SXW312" s="1716"/>
      <c r="SXX312" s="1716"/>
      <c r="SXY312" s="1716"/>
      <c r="SXZ312" s="244"/>
      <c r="SYA312" s="244" t="s">
        <v>68</v>
      </c>
      <c r="SYB312" s="245" t="s">
        <v>68</v>
      </c>
      <c r="SYC312" s="1715" t="s">
        <v>0</v>
      </c>
      <c r="SYD312" s="1716"/>
      <c r="SYE312" s="1716"/>
      <c r="SYF312" s="1716"/>
      <c r="SYG312" s="1716"/>
      <c r="SYH312" s="244"/>
      <c r="SYI312" s="244" t="s">
        <v>68</v>
      </c>
      <c r="SYJ312" s="245" t="s">
        <v>68</v>
      </c>
      <c r="SYK312" s="1715" t="s">
        <v>0</v>
      </c>
      <c r="SYL312" s="1716"/>
      <c r="SYM312" s="1716"/>
      <c r="SYN312" s="1716"/>
      <c r="SYO312" s="1716"/>
      <c r="SYP312" s="244"/>
      <c r="SYQ312" s="244" t="s">
        <v>68</v>
      </c>
      <c r="SYR312" s="245" t="s">
        <v>68</v>
      </c>
      <c r="SYS312" s="1715" t="s">
        <v>0</v>
      </c>
      <c r="SYT312" s="1716"/>
      <c r="SYU312" s="1716"/>
      <c r="SYV312" s="1716"/>
      <c r="SYW312" s="1716"/>
      <c r="SYX312" s="244"/>
      <c r="SYY312" s="244" t="s">
        <v>68</v>
      </c>
      <c r="SYZ312" s="245" t="s">
        <v>68</v>
      </c>
      <c r="SZA312" s="1715" t="s">
        <v>0</v>
      </c>
      <c r="SZB312" s="1716"/>
      <c r="SZC312" s="1716"/>
      <c r="SZD312" s="1716"/>
      <c r="SZE312" s="1716"/>
      <c r="SZF312" s="244"/>
      <c r="SZG312" s="244" t="s">
        <v>68</v>
      </c>
      <c r="SZH312" s="245" t="s">
        <v>68</v>
      </c>
      <c r="SZI312" s="1715" t="s">
        <v>0</v>
      </c>
      <c r="SZJ312" s="1716"/>
      <c r="SZK312" s="1716"/>
      <c r="SZL312" s="1716"/>
      <c r="SZM312" s="1716"/>
      <c r="SZN312" s="244"/>
      <c r="SZO312" s="244" t="s">
        <v>68</v>
      </c>
      <c r="SZP312" s="245" t="s">
        <v>68</v>
      </c>
      <c r="SZQ312" s="1715" t="s">
        <v>0</v>
      </c>
      <c r="SZR312" s="1716"/>
      <c r="SZS312" s="1716"/>
      <c r="SZT312" s="1716"/>
      <c r="SZU312" s="1716"/>
      <c r="SZV312" s="244"/>
      <c r="SZW312" s="244" t="s">
        <v>68</v>
      </c>
      <c r="SZX312" s="245" t="s">
        <v>68</v>
      </c>
      <c r="SZY312" s="1715" t="s">
        <v>0</v>
      </c>
      <c r="SZZ312" s="1716"/>
      <c r="TAA312" s="1716"/>
      <c r="TAB312" s="1716"/>
      <c r="TAC312" s="1716"/>
      <c r="TAD312" s="244"/>
      <c r="TAE312" s="244" t="s">
        <v>68</v>
      </c>
      <c r="TAF312" s="245" t="s">
        <v>68</v>
      </c>
      <c r="TAG312" s="1715" t="s">
        <v>0</v>
      </c>
      <c r="TAH312" s="1716"/>
      <c r="TAI312" s="1716"/>
      <c r="TAJ312" s="1716"/>
      <c r="TAK312" s="1716"/>
      <c r="TAL312" s="244"/>
      <c r="TAM312" s="244" t="s">
        <v>68</v>
      </c>
      <c r="TAN312" s="245" t="s">
        <v>68</v>
      </c>
      <c r="TAO312" s="1715" t="s">
        <v>0</v>
      </c>
      <c r="TAP312" s="1716"/>
      <c r="TAQ312" s="1716"/>
      <c r="TAR312" s="1716"/>
      <c r="TAS312" s="1716"/>
      <c r="TAT312" s="244"/>
      <c r="TAU312" s="244" t="s">
        <v>68</v>
      </c>
      <c r="TAV312" s="245" t="s">
        <v>68</v>
      </c>
      <c r="TAW312" s="1715" t="s">
        <v>0</v>
      </c>
      <c r="TAX312" s="1716"/>
      <c r="TAY312" s="1716"/>
      <c r="TAZ312" s="1716"/>
      <c r="TBA312" s="1716"/>
      <c r="TBB312" s="244"/>
      <c r="TBC312" s="244" t="s">
        <v>68</v>
      </c>
      <c r="TBD312" s="245" t="s">
        <v>68</v>
      </c>
      <c r="TBE312" s="1715" t="s">
        <v>0</v>
      </c>
      <c r="TBF312" s="1716"/>
      <c r="TBG312" s="1716"/>
      <c r="TBH312" s="1716"/>
      <c r="TBI312" s="1716"/>
      <c r="TBJ312" s="244"/>
      <c r="TBK312" s="244" t="s">
        <v>68</v>
      </c>
      <c r="TBL312" s="245" t="s">
        <v>68</v>
      </c>
      <c r="TBM312" s="1715" t="s">
        <v>0</v>
      </c>
      <c r="TBN312" s="1716"/>
      <c r="TBO312" s="1716"/>
      <c r="TBP312" s="1716"/>
      <c r="TBQ312" s="1716"/>
      <c r="TBR312" s="244"/>
      <c r="TBS312" s="244" t="s">
        <v>68</v>
      </c>
      <c r="TBT312" s="245" t="s">
        <v>68</v>
      </c>
      <c r="TBU312" s="1715" t="s">
        <v>0</v>
      </c>
      <c r="TBV312" s="1716"/>
      <c r="TBW312" s="1716"/>
      <c r="TBX312" s="1716"/>
      <c r="TBY312" s="1716"/>
      <c r="TBZ312" s="244"/>
      <c r="TCA312" s="244" t="s">
        <v>68</v>
      </c>
      <c r="TCB312" s="245" t="s">
        <v>68</v>
      </c>
      <c r="TCC312" s="1715" t="s">
        <v>0</v>
      </c>
      <c r="TCD312" s="1716"/>
      <c r="TCE312" s="1716"/>
      <c r="TCF312" s="1716"/>
      <c r="TCG312" s="1716"/>
      <c r="TCH312" s="244"/>
      <c r="TCI312" s="244" t="s">
        <v>68</v>
      </c>
      <c r="TCJ312" s="245" t="s">
        <v>68</v>
      </c>
      <c r="TCK312" s="1715" t="s">
        <v>0</v>
      </c>
      <c r="TCL312" s="1716"/>
      <c r="TCM312" s="1716"/>
      <c r="TCN312" s="1716"/>
      <c r="TCO312" s="1716"/>
      <c r="TCP312" s="244"/>
      <c r="TCQ312" s="244" t="s">
        <v>68</v>
      </c>
      <c r="TCR312" s="245" t="s">
        <v>68</v>
      </c>
      <c r="TCS312" s="1715" t="s">
        <v>0</v>
      </c>
      <c r="TCT312" s="1716"/>
      <c r="TCU312" s="1716"/>
      <c r="TCV312" s="1716"/>
      <c r="TCW312" s="1716"/>
      <c r="TCX312" s="244"/>
      <c r="TCY312" s="244" t="s">
        <v>68</v>
      </c>
      <c r="TCZ312" s="245" t="s">
        <v>68</v>
      </c>
      <c r="TDA312" s="1715" t="s">
        <v>0</v>
      </c>
      <c r="TDB312" s="1716"/>
      <c r="TDC312" s="1716"/>
      <c r="TDD312" s="1716"/>
      <c r="TDE312" s="1716"/>
      <c r="TDF312" s="244"/>
      <c r="TDG312" s="244" t="s">
        <v>68</v>
      </c>
      <c r="TDH312" s="245" t="s">
        <v>68</v>
      </c>
      <c r="TDI312" s="1715" t="s">
        <v>0</v>
      </c>
      <c r="TDJ312" s="1716"/>
      <c r="TDK312" s="1716"/>
      <c r="TDL312" s="1716"/>
      <c r="TDM312" s="1716"/>
      <c r="TDN312" s="244"/>
      <c r="TDO312" s="244" t="s">
        <v>68</v>
      </c>
      <c r="TDP312" s="245" t="s">
        <v>68</v>
      </c>
      <c r="TDQ312" s="1715" t="s">
        <v>0</v>
      </c>
      <c r="TDR312" s="1716"/>
      <c r="TDS312" s="1716"/>
      <c r="TDT312" s="1716"/>
      <c r="TDU312" s="1716"/>
      <c r="TDV312" s="244"/>
      <c r="TDW312" s="244" t="s">
        <v>68</v>
      </c>
      <c r="TDX312" s="245" t="s">
        <v>68</v>
      </c>
      <c r="TDY312" s="1715" t="s">
        <v>0</v>
      </c>
      <c r="TDZ312" s="1716"/>
      <c r="TEA312" s="1716"/>
      <c r="TEB312" s="1716"/>
      <c r="TEC312" s="1716"/>
      <c r="TED312" s="244"/>
      <c r="TEE312" s="244" t="s">
        <v>68</v>
      </c>
      <c r="TEF312" s="245" t="s">
        <v>68</v>
      </c>
      <c r="TEG312" s="1715" t="s">
        <v>0</v>
      </c>
      <c r="TEH312" s="1716"/>
      <c r="TEI312" s="1716"/>
      <c r="TEJ312" s="1716"/>
      <c r="TEK312" s="1716"/>
      <c r="TEL312" s="244"/>
      <c r="TEM312" s="244" t="s">
        <v>68</v>
      </c>
      <c r="TEN312" s="245" t="s">
        <v>68</v>
      </c>
      <c r="TEO312" s="1715" t="s">
        <v>0</v>
      </c>
      <c r="TEP312" s="1716"/>
      <c r="TEQ312" s="1716"/>
      <c r="TER312" s="1716"/>
      <c r="TES312" s="1716"/>
      <c r="TET312" s="244"/>
      <c r="TEU312" s="244" t="s">
        <v>68</v>
      </c>
      <c r="TEV312" s="245" t="s">
        <v>68</v>
      </c>
      <c r="TEW312" s="1715" t="s">
        <v>0</v>
      </c>
      <c r="TEX312" s="1716"/>
      <c r="TEY312" s="1716"/>
      <c r="TEZ312" s="1716"/>
      <c r="TFA312" s="1716"/>
      <c r="TFB312" s="244"/>
      <c r="TFC312" s="244" t="s">
        <v>68</v>
      </c>
      <c r="TFD312" s="245" t="s">
        <v>68</v>
      </c>
      <c r="TFE312" s="1715" t="s">
        <v>0</v>
      </c>
      <c r="TFF312" s="1716"/>
      <c r="TFG312" s="1716"/>
      <c r="TFH312" s="1716"/>
      <c r="TFI312" s="1716"/>
      <c r="TFJ312" s="244"/>
      <c r="TFK312" s="244" t="s">
        <v>68</v>
      </c>
      <c r="TFL312" s="245" t="s">
        <v>68</v>
      </c>
      <c r="TFM312" s="1715" t="s">
        <v>0</v>
      </c>
      <c r="TFN312" s="1716"/>
      <c r="TFO312" s="1716"/>
      <c r="TFP312" s="1716"/>
      <c r="TFQ312" s="1716"/>
      <c r="TFR312" s="244"/>
      <c r="TFS312" s="244" t="s">
        <v>68</v>
      </c>
      <c r="TFT312" s="245" t="s">
        <v>68</v>
      </c>
      <c r="TFU312" s="1715" t="s">
        <v>0</v>
      </c>
      <c r="TFV312" s="1716"/>
      <c r="TFW312" s="1716"/>
      <c r="TFX312" s="1716"/>
      <c r="TFY312" s="1716"/>
      <c r="TFZ312" s="244"/>
      <c r="TGA312" s="244" t="s">
        <v>68</v>
      </c>
      <c r="TGB312" s="245" t="s">
        <v>68</v>
      </c>
      <c r="TGC312" s="1715" t="s">
        <v>0</v>
      </c>
      <c r="TGD312" s="1716"/>
      <c r="TGE312" s="1716"/>
      <c r="TGF312" s="1716"/>
      <c r="TGG312" s="1716"/>
      <c r="TGH312" s="244"/>
      <c r="TGI312" s="244" t="s">
        <v>68</v>
      </c>
      <c r="TGJ312" s="245" t="s">
        <v>68</v>
      </c>
      <c r="TGK312" s="1715" t="s">
        <v>0</v>
      </c>
      <c r="TGL312" s="1716"/>
      <c r="TGM312" s="1716"/>
      <c r="TGN312" s="1716"/>
      <c r="TGO312" s="1716"/>
      <c r="TGP312" s="244"/>
      <c r="TGQ312" s="244" t="s">
        <v>68</v>
      </c>
      <c r="TGR312" s="245" t="s">
        <v>68</v>
      </c>
      <c r="TGS312" s="1715" t="s">
        <v>0</v>
      </c>
      <c r="TGT312" s="1716"/>
      <c r="TGU312" s="1716"/>
      <c r="TGV312" s="1716"/>
      <c r="TGW312" s="1716"/>
      <c r="TGX312" s="244"/>
      <c r="TGY312" s="244" t="s">
        <v>68</v>
      </c>
      <c r="TGZ312" s="245" t="s">
        <v>68</v>
      </c>
      <c r="THA312" s="1715" t="s">
        <v>0</v>
      </c>
      <c r="THB312" s="1716"/>
      <c r="THC312" s="1716"/>
      <c r="THD312" s="1716"/>
      <c r="THE312" s="1716"/>
      <c r="THF312" s="244"/>
      <c r="THG312" s="244" t="s">
        <v>68</v>
      </c>
      <c r="THH312" s="245" t="s">
        <v>68</v>
      </c>
      <c r="THI312" s="1715" t="s">
        <v>0</v>
      </c>
      <c r="THJ312" s="1716"/>
      <c r="THK312" s="1716"/>
      <c r="THL312" s="1716"/>
      <c r="THM312" s="1716"/>
      <c r="THN312" s="244"/>
      <c r="THO312" s="244" t="s">
        <v>68</v>
      </c>
      <c r="THP312" s="245" t="s">
        <v>68</v>
      </c>
      <c r="THQ312" s="1715" t="s">
        <v>0</v>
      </c>
      <c r="THR312" s="1716"/>
      <c r="THS312" s="1716"/>
      <c r="THT312" s="1716"/>
      <c r="THU312" s="1716"/>
      <c r="THV312" s="244"/>
      <c r="THW312" s="244" t="s">
        <v>68</v>
      </c>
      <c r="THX312" s="245" t="s">
        <v>68</v>
      </c>
      <c r="THY312" s="1715" t="s">
        <v>0</v>
      </c>
      <c r="THZ312" s="1716"/>
      <c r="TIA312" s="1716"/>
      <c r="TIB312" s="1716"/>
      <c r="TIC312" s="1716"/>
      <c r="TID312" s="244"/>
      <c r="TIE312" s="244" t="s">
        <v>68</v>
      </c>
      <c r="TIF312" s="245" t="s">
        <v>68</v>
      </c>
      <c r="TIG312" s="1715" t="s">
        <v>0</v>
      </c>
      <c r="TIH312" s="1716"/>
      <c r="TII312" s="1716"/>
      <c r="TIJ312" s="1716"/>
      <c r="TIK312" s="1716"/>
      <c r="TIL312" s="244"/>
      <c r="TIM312" s="244" t="s">
        <v>68</v>
      </c>
      <c r="TIN312" s="245" t="s">
        <v>68</v>
      </c>
      <c r="TIO312" s="1715" t="s">
        <v>0</v>
      </c>
      <c r="TIP312" s="1716"/>
      <c r="TIQ312" s="1716"/>
      <c r="TIR312" s="1716"/>
      <c r="TIS312" s="1716"/>
      <c r="TIT312" s="244"/>
      <c r="TIU312" s="244" t="s">
        <v>68</v>
      </c>
      <c r="TIV312" s="245" t="s">
        <v>68</v>
      </c>
      <c r="TIW312" s="1715" t="s">
        <v>0</v>
      </c>
      <c r="TIX312" s="1716"/>
      <c r="TIY312" s="1716"/>
      <c r="TIZ312" s="1716"/>
      <c r="TJA312" s="1716"/>
      <c r="TJB312" s="244"/>
      <c r="TJC312" s="244" t="s">
        <v>68</v>
      </c>
      <c r="TJD312" s="245" t="s">
        <v>68</v>
      </c>
      <c r="TJE312" s="1715" t="s">
        <v>0</v>
      </c>
      <c r="TJF312" s="1716"/>
      <c r="TJG312" s="1716"/>
      <c r="TJH312" s="1716"/>
      <c r="TJI312" s="1716"/>
      <c r="TJJ312" s="244"/>
      <c r="TJK312" s="244" t="s">
        <v>68</v>
      </c>
      <c r="TJL312" s="245" t="s">
        <v>68</v>
      </c>
      <c r="TJM312" s="1715" t="s">
        <v>0</v>
      </c>
      <c r="TJN312" s="1716"/>
      <c r="TJO312" s="1716"/>
      <c r="TJP312" s="1716"/>
      <c r="TJQ312" s="1716"/>
      <c r="TJR312" s="244"/>
      <c r="TJS312" s="244" t="s">
        <v>68</v>
      </c>
      <c r="TJT312" s="245" t="s">
        <v>68</v>
      </c>
      <c r="TJU312" s="1715" t="s">
        <v>0</v>
      </c>
      <c r="TJV312" s="1716"/>
      <c r="TJW312" s="1716"/>
      <c r="TJX312" s="1716"/>
      <c r="TJY312" s="1716"/>
      <c r="TJZ312" s="244"/>
      <c r="TKA312" s="244" t="s">
        <v>68</v>
      </c>
      <c r="TKB312" s="245" t="s">
        <v>68</v>
      </c>
      <c r="TKC312" s="1715" t="s">
        <v>0</v>
      </c>
      <c r="TKD312" s="1716"/>
      <c r="TKE312" s="1716"/>
      <c r="TKF312" s="1716"/>
      <c r="TKG312" s="1716"/>
      <c r="TKH312" s="244"/>
      <c r="TKI312" s="244" t="s">
        <v>68</v>
      </c>
      <c r="TKJ312" s="245" t="s">
        <v>68</v>
      </c>
      <c r="TKK312" s="1715" t="s">
        <v>0</v>
      </c>
      <c r="TKL312" s="1716"/>
      <c r="TKM312" s="1716"/>
      <c r="TKN312" s="1716"/>
      <c r="TKO312" s="1716"/>
      <c r="TKP312" s="244"/>
      <c r="TKQ312" s="244" t="s">
        <v>68</v>
      </c>
      <c r="TKR312" s="245" t="s">
        <v>68</v>
      </c>
      <c r="TKS312" s="1715" t="s">
        <v>0</v>
      </c>
      <c r="TKT312" s="1716"/>
      <c r="TKU312" s="1716"/>
      <c r="TKV312" s="1716"/>
      <c r="TKW312" s="1716"/>
      <c r="TKX312" s="244"/>
      <c r="TKY312" s="244" t="s">
        <v>68</v>
      </c>
      <c r="TKZ312" s="245" t="s">
        <v>68</v>
      </c>
      <c r="TLA312" s="1715" t="s">
        <v>0</v>
      </c>
      <c r="TLB312" s="1716"/>
      <c r="TLC312" s="1716"/>
      <c r="TLD312" s="1716"/>
      <c r="TLE312" s="1716"/>
      <c r="TLF312" s="244"/>
      <c r="TLG312" s="244" t="s">
        <v>68</v>
      </c>
      <c r="TLH312" s="245" t="s">
        <v>68</v>
      </c>
      <c r="TLI312" s="1715" t="s">
        <v>0</v>
      </c>
      <c r="TLJ312" s="1716"/>
      <c r="TLK312" s="1716"/>
      <c r="TLL312" s="1716"/>
      <c r="TLM312" s="1716"/>
      <c r="TLN312" s="244"/>
      <c r="TLO312" s="244" t="s">
        <v>68</v>
      </c>
      <c r="TLP312" s="245" t="s">
        <v>68</v>
      </c>
      <c r="TLQ312" s="1715" t="s">
        <v>0</v>
      </c>
      <c r="TLR312" s="1716"/>
      <c r="TLS312" s="1716"/>
      <c r="TLT312" s="1716"/>
      <c r="TLU312" s="1716"/>
      <c r="TLV312" s="244"/>
      <c r="TLW312" s="244" t="s">
        <v>68</v>
      </c>
      <c r="TLX312" s="245" t="s">
        <v>68</v>
      </c>
      <c r="TLY312" s="1715" t="s">
        <v>0</v>
      </c>
      <c r="TLZ312" s="1716"/>
      <c r="TMA312" s="1716"/>
      <c r="TMB312" s="1716"/>
      <c r="TMC312" s="1716"/>
      <c r="TMD312" s="244"/>
      <c r="TME312" s="244" t="s">
        <v>68</v>
      </c>
      <c r="TMF312" s="245" t="s">
        <v>68</v>
      </c>
      <c r="TMG312" s="1715" t="s">
        <v>0</v>
      </c>
      <c r="TMH312" s="1716"/>
      <c r="TMI312" s="1716"/>
      <c r="TMJ312" s="1716"/>
      <c r="TMK312" s="1716"/>
      <c r="TML312" s="244"/>
      <c r="TMM312" s="244" t="s">
        <v>68</v>
      </c>
      <c r="TMN312" s="245" t="s">
        <v>68</v>
      </c>
      <c r="TMO312" s="1715" t="s">
        <v>0</v>
      </c>
      <c r="TMP312" s="1716"/>
      <c r="TMQ312" s="1716"/>
      <c r="TMR312" s="1716"/>
      <c r="TMS312" s="1716"/>
      <c r="TMT312" s="244"/>
      <c r="TMU312" s="244" t="s">
        <v>68</v>
      </c>
      <c r="TMV312" s="245" t="s">
        <v>68</v>
      </c>
      <c r="TMW312" s="1715" t="s">
        <v>0</v>
      </c>
      <c r="TMX312" s="1716"/>
      <c r="TMY312" s="1716"/>
      <c r="TMZ312" s="1716"/>
      <c r="TNA312" s="1716"/>
      <c r="TNB312" s="244"/>
      <c r="TNC312" s="244" t="s">
        <v>68</v>
      </c>
      <c r="TND312" s="245" t="s">
        <v>68</v>
      </c>
      <c r="TNE312" s="1715" t="s">
        <v>0</v>
      </c>
      <c r="TNF312" s="1716"/>
      <c r="TNG312" s="1716"/>
      <c r="TNH312" s="1716"/>
      <c r="TNI312" s="1716"/>
      <c r="TNJ312" s="244"/>
      <c r="TNK312" s="244" t="s">
        <v>68</v>
      </c>
      <c r="TNL312" s="245" t="s">
        <v>68</v>
      </c>
      <c r="TNM312" s="1715" t="s">
        <v>0</v>
      </c>
      <c r="TNN312" s="1716"/>
      <c r="TNO312" s="1716"/>
      <c r="TNP312" s="1716"/>
      <c r="TNQ312" s="1716"/>
      <c r="TNR312" s="244"/>
      <c r="TNS312" s="244" t="s">
        <v>68</v>
      </c>
      <c r="TNT312" s="245" t="s">
        <v>68</v>
      </c>
      <c r="TNU312" s="1715" t="s">
        <v>0</v>
      </c>
      <c r="TNV312" s="1716"/>
      <c r="TNW312" s="1716"/>
      <c r="TNX312" s="1716"/>
      <c r="TNY312" s="1716"/>
      <c r="TNZ312" s="244"/>
      <c r="TOA312" s="244" t="s">
        <v>68</v>
      </c>
      <c r="TOB312" s="245" t="s">
        <v>68</v>
      </c>
      <c r="TOC312" s="1715" t="s">
        <v>0</v>
      </c>
      <c r="TOD312" s="1716"/>
      <c r="TOE312" s="1716"/>
      <c r="TOF312" s="1716"/>
      <c r="TOG312" s="1716"/>
      <c r="TOH312" s="244"/>
      <c r="TOI312" s="244" t="s">
        <v>68</v>
      </c>
      <c r="TOJ312" s="245" t="s">
        <v>68</v>
      </c>
      <c r="TOK312" s="1715" t="s">
        <v>0</v>
      </c>
      <c r="TOL312" s="1716"/>
      <c r="TOM312" s="1716"/>
      <c r="TON312" s="1716"/>
      <c r="TOO312" s="1716"/>
      <c r="TOP312" s="244"/>
      <c r="TOQ312" s="244" t="s">
        <v>68</v>
      </c>
      <c r="TOR312" s="245" t="s">
        <v>68</v>
      </c>
      <c r="TOS312" s="1715" t="s">
        <v>0</v>
      </c>
      <c r="TOT312" s="1716"/>
      <c r="TOU312" s="1716"/>
      <c r="TOV312" s="1716"/>
      <c r="TOW312" s="1716"/>
      <c r="TOX312" s="244"/>
      <c r="TOY312" s="244" t="s">
        <v>68</v>
      </c>
      <c r="TOZ312" s="245" t="s">
        <v>68</v>
      </c>
      <c r="TPA312" s="1715" t="s">
        <v>0</v>
      </c>
      <c r="TPB312" s="1716"/>
      <c r="TPC312" s="1716"/>
      <c r="TPD312" s="1716"/>
      <c r="TPE312" s="1716"/>
      <c r="TPF312" s="244"/>
      <c r="TPG312" s="244" t="s">
        <v>68</v>
      </c>
      <c r="TPH312" s="245" t="s">
        <v>68</v>
      </c>
      <c r="TPI312" s="1715" t="s">
        <v>0</v>
      </c>
      <c r="TPJ312" s="1716"/>
      <c r="TPK312" s="1716"/>
      <c r="TPL312" s="1716"/>
      <c r="TPM312" s="1716"/>
      <c r="TPN312" s="244"/>
      <c r="TPO312" s="244" t="s">
        <v>68</v>
      </c>
      <c r="TPP312" s="245" t="s">
        <v>68</v>
      </c>
      <c r="TPQ312" s="1715" t="s">
        <v>0</v>
      </c>
      <c r="TPR312" s="1716"/>
      <c r="TPS312" s="1716"/>
      <c r="TPT312" s="1716"/>
      <c r="TPU312" s="1716"/>
      <c r="TPV312" s="244"/>
      <c r="TPW312" s="244" t="s">
        <v>68</v>
      </c>
      <c r="TPX312" s="245" t="s">
        <v>68</v>
      </c>
      <c r="TPY312" s="1715" t="s">
        <v>0</v>
      </c>
      <c r="TPZ312" s="1716"/>
      <c r="TQA312" s="1716"/>
      <c r="TQB312" s="1716"/>
      <c r="TQC312" s="1716"/>
      <c r="TQD312" s="244"/>
      <c r="TQE312" s="244" t="s">
        <v>68</v>
      </c>
      <c r="TQF312" s="245" t="s">
        <v>68</v>
      </c>
      <c r="TQG312" s="1715" t="s">
        <v>0</v>
      </c>
      <c r="TQH312" s="1716"/>
      <c r="TQI312" s="1716"/>
      <c r="TQJ312" s="1716"/>
      <c r="TQK312" s="1716"/>
      <c r="TQL312" s="244"/>
      <c r="TQM312" s="244" t="s">
        <v>68</v>
      </c>
      <c r="TQN312" s="245" t="s">
        <v>68</v>
      </c>
      <c r="TQO312" s="1715" t="s">
        <v>0</v>
      </c>
      <c r="TQP312" s="1716"/>
      <c r="TQQ312" s="1716"/>
      <c r="TQR312" s="1716"/>
      <c r="TQS312" s="1716"/>
      <c r="TQT312" s="244"/>
      <c r="TQU312" s="244" t="s">
        <v>68</v>
      </c>
      <c r="TQV312" s="245" t="s">
        <v>68</v>
      </c>
      <c r="TQW312" s="1715" t="s">
        <v>0</v>
      </c>
      <c r="TQX312" s="1716"/>
      <c r="TQY312" s="1716"/>
      <c r="TQZ312" s="1716"/>
      <c r="TRA312" s="1716"/>
      <c r="TRB312" s="244"/>
      <c r="TRC312" s="244" t="s">
        <v>68</v>
      </c>
      <c r="TRD312" s="245" t="s">
        <v>68</v>
      </c>
      <c r="TRE312" s="1715" t="s">
        <v>0</v>
      </c>
      <c r="TRF312" s="1716"/>
      <c r="TRG312" s="1716"/>
      <c r="TRH312" s="1716"/>
      <c r="TRI312" s="1716"/>
      <c r="TRJ312" s="244"/>
      <c r="TRK312" s="244" t="s">
        <v>68</v>
      </c>
      <c r="TRL312" s="245" t="s">
        <v>68</v>
      </c>
      <c r="TRM312" s="1715" t="s">
        <v>0</v>
      </c>
      <c r="TRN312" s="1716"/>
      <c r="TRO312" s="1716"/>
      <c r="TRP312" s="1716"/>
      <c r="TRQ312" s="1716"/>
      <c r="TRR312" s="244"/>
      <c r="TRS312" s="244" t="s">
        <v>68</v>
      </c>
      <c r="TRT312" s="245" t="s">
        <v>68</v>
      </c>
      <c r="TRU312" s="1715" t="s">
        <v>0</v>
      </c>
      <c r="TRV312" s="1716"/>
      <c r="TRW312" s="1716"/>
      <c r="TRX312" s="1716"/>
      <c r="TRY312" s="1716"/>
      <c r="TRZ312" s="244"/>
      <c r="TSA312" s="244" t="s">
        <v>68</v>
      </c>
      <c r="TSB312" s="245" t="s">
        <v>68</v>
      </c>
      <c r="TSC312" s="1715" t="s">
        <v>0</v>
      </c>
      <c r="TSD312" s="1716"/>
      <c r="TSE312" s="1716"/>
      <c r="TSF312" s="1716"/>
      <c r="TSG312" s="1716"/>
      <c r="TSH312" s="244"/>
      <c r="TSI312" s="244" t="s">
        <v>68</v>
      </c>
      <c r="TSJ312" s="245" t="s">
        <v>68</v>
      </c>
      <c r="TSK312" s="1715" t="s">
        <v>0</v>
      </c>
      <c r="TSL312" s="1716"/>
      <c r="TSM312" s="1716"/>
      <c r="TSN312" s="1716"/>
      <c r="TSO312" s="1716"/>
      <c r="TSP312" s="244"/>
      <c r="TSQ312" s="244" t="s">
        <v>68</v>
      </c>
      <c r="TSR312" s="245" t="s">
        <v>68</v>
      </c>
      <c r="TSS312" s="1715" t="s">
        <v>0</v>
      </c>
      <c r="TST312" s="1716"/>
      <c r="TSU312" s="1716"/>
      <c r="TSV312" s="1716"/>
      <c r="TSW312" s="1716"/>
      <c r="TSX312" s="244"/>
      <c r="TSY312" s="244" t="s">
        <v>68</v>
      </c>
      <c r="TSZ312" s="245" t="s">
        <v>68</v>
      </c>
      <c r="TTA312" s="1715" t="s">
        <v>0</v>
      </c>
      <c r="TTB312" s="1716"/>
      <c r="TTC312" s="1716"/>
      <c r="TTD312" s="1716"/>
      <c r="TTE312" s="1716"/>
      <c r="TTF312" s="244"/>
      <c r="TTG312" s="244" t="s">
        <v>68</v>
      </c>
      <c r="TTH312" s="245" t="s">
        <v>68</v>
      </c>
      <c r="TTI312" s="1715" t="s">
        <v>0</v>
      </c>
      <c r="TTJ312" s="1716"/>
      <c r="TTK312" s="1716"/>
      <c r="TTL312" s="1716"/>
      <c r="TTM312" s="1716"/>
      <c r="TTN312" s="244"/>
      <c r="TTO312" s="244" t="s">
        <v>68</v>
      </c>
      <c r="TTP312" s="245" t="s">
        <v>68</v>
      </c>
      <c r="TTQ312" s="1715" t="s">
        <v>0</v>
      </c>
      <c r="TTR312" s="1716"/>
      <c r="TTS312" s="1716"/>
      <c r="TTT312" s="1716"/>
      <c r="TTU312" s="1716"/>
      <c r="TTV312" s="244"/>
      <c r="TTW312" s="244" t="s">
        <v>68</v>
      </c>
      <c r="TTX312" s="245" t="s">
        <v>68</v>
      </c>
      <c r="TTY312" s="1715" t="s">
        <v>0</v>
      </c>
      <c r="TTZ312" s="1716"/>
      <c r="TUA312" s="1716"/>
      <c r="TUB312" s="1716"/>
      <c r="TUC312" s="1716"/>
      <c r="TUD312" s="244"/>
      <c r="TUE312" s="244" t="s">
        <v>68</v>
      </c>
      <c r="TUF312" s="245" t="s">
        <v>68</v>
      </c>
      <c r="TUG312" s="1715" t="s">
        <v>0</v>
      </c>
      <c r="TUH312" s="1716"/>
      <c r="TUI312" s="1716"/>
      <c r="TUJ312" s="1716"/>
      <c r="TUK312" s="1716"/>
      <c r="TUL312" s="244"/>
      <c r="TUM312" s="244" t="s">
        <v>68</v>
      </c>
      <c r="TUN312" s="245" t="s">
        <v>68</v>
      </c>
      <c r="TUO312" s="1715" t="s">
        <v>0</v>
      </c>
      <c r="TUP312" s="1716"/>
      <c r="TUQ312" s="1716"/>
      <c r="TUR312" s="1716"/>
      <c r="TUS312" s="1716"/>
      <c r="TUT312" s="244"/>
      <c r="TUU312" s="244" t="s">
        <v>68</v>
      </c>
      <c r="TUV312" s="245" t="s">
        <v>68</v>
      </c>
      <c r="TUW312" s="1715" t="s">
        <v>0</v>
      </c>
      <c r="TUX312" s="1716"/>
      <c r="TUY312" s="1716"/>
      <c r="TUZ312" s="1716"/>
      <c r="TVA312" s="1716"/>
      <c r="TVB312" s="244"/>
      <c r="TVC312" s="244" t="s">
        <v>68</v>
      </c>
      <c r="TVD312" s="245" t="s">
        <v>68</v>
      </c>
      <c r="TVE312" s="1715" t="s">
        <v>0</v>
      </c>
      <c r="TVF312" s="1716"/>
      <c r="TVG312" s="1716"/>
      <c r="TVH312" s="1716"/>
      <c r="TVI312" s="1716"/>
      <c r="TVJ312" s="244"/>
      <c r="TVK312" s="244" t="s">
        <v>68</v>
      </c>
      <c r="TVL312" s="245" t="s">
        <v>68</v>
      </c>
      <c r="TVM312" s="1715" t="s">
        <v>0</v>
      </c>
      <c r="TVN312" s="1716"/>
      <c r="TVO312" s="1716"/>
      <c r="TVP312" s="1716"/>
      <c r="TVQ312" s="1716"/>
      <c r="TVR312" s="244"/>
      <c r="TVS312" s="244" t="s">
        <v>68</v>
      </c>
      <c r="TVT312" s="245" t="s">
        <v>68</v>
      </c>
      <c r="TVU312" s="1715" t="s">
        <v>0</v>
      </c>
      <c r="TVV312" s="1716"/>
      <c r="TVW312" s="1716"/>
      <c r="TVX312" s="1716"/>
      <c r="TVY312" s="1716"/>
      <c r="TVZ312" s="244"/>
      <c r="TWA312" s="244" t="s">
        <v>68</v>
      </c>
      <c r="TWB312" s="245" t="s">
        <v>68</v>
      </c>
      <c r="TWC312" s="1715" t="s">
        <v>0</v>
      </c>
      <c r="TWD312" s="1716"/>
      <c r="TWE312" s="1716"/>
      <c r="TWF312" s="1716"/>
      <c r="TWG312" s="1716"/>
      <c r="TWH312" s="244"/>
      <c r="TWI312" s="244" t="s">
        <v>68</v>
      </c>
      <c r="TWJ312" s="245" t="s">
        <v>68</v>
      </c>
      <c r="TWK312" s="1715" t="s">
        <v>0</v>
      </c>
      <c r="TWL312" s="1716"/>
      <c r="TWM312" s="1716"/>
      <c r="TWN312" s="1716"/>
      <c r="TWO312" s="1716"/>
      <c r="TWP312" s="244"/>
      <c r="TWQ312" s="244" t="s">
        <v>68</v>
      </c>
      <c r="TWR312" s="245" t="s">
        <v>68</v>
      </c>
      <c r="TWS312" s="1715" t="s">
        <v>0</v>
      </c>
      <c r="TWT312" s="1716"/>
      <c r="TWU312" s="1716"/>
      <c r="TWV312" s="1716"/>
      <c r="TWW312" s="1716"/>
      <c r="TWX312" s="244"/>
      <c r="TWY312" s="244" t="s">
        <v>68</v>
      </c>
      <c r="TWZ312" s="245" t="s">
        <v>68</v>
      </c>
      <c r="TXA312" s="1715" t="s">
        <v>0</v>
      </c>
      <c r="TXB312" s="1716"/>
      <c r="TXC312" s="1716"/>
      <c r="TXD312" s="1716"/>
      <c r="TXE312" s="1716"/>
      <c r="TXF312" s="244"/>
      <c r="TXG312" s="244" t="s">
        <v>68</v>
      </c>
      <c r="TXH312" s="245" t="s">
        <v>68</v>
      </c>
      <c r="TXI312" s="1715" t="s">
        <v>0</v>
      </c>
      <c r="TXJ312" s="1716"/>
      <c r="TXK312" s="1716"/>
      <c r="TXL312" s="1716"/>
      <c r="TXM312" s="1716"/>
      <c r="TXN312" s="244"/>
      <c r="TXO312" s="244" t="s">
        <v>68</v>
      </c>
      <c r="TXP312" s="245" t="s">
        <v>68</v>
      </c>
      <c r="TXQ312" s="1715" t="s">
        <v>0</v>
      </c>
      <c r="TXR312" s="1716"/>
      <c r="TXS312" s="1716"/>
      <c r="TXT312" s="1716"/>
      <c r="TXU312" s="1716"/>
      <c r="TXV312" s="244"/>
      <c r="TXW312" s="244" t="s">
        <v>68</v>
      </c>
      <c r="TXX312" s="245" t="s">
        <v>68</v>
      </c>
      <c r="TXY312" s="1715" t="s">
        <v>0</v>
      </c>
      <c r="TXZ312" s="1716"/>
      <c r="TYA312" s="1716"/>
      <c r="TYB312" s="1716"/>
      <c r="TYC312" s="1716"/>
      <c r="TYD312" s="244"/>
      <c r="TYE312" s="244" t="s">
        <v>68</v>
      </c>
      <c r="TYF312" s="245" t="s">
        <v>68</v>
      </c>
      <c r="TYG312" s="1715" t="s">
        <v>0</v>
      </c>
      <c r="TYH312" s="1716"/>
      <c r="TYI312" s="1716"/>
      <c r="TYJ312" s="1716"/>
      <c r="TYK312" s="1716"/>
      <c r="TYL312" s="244"/>
      <c r="TYM312" s="244" t="s">
        <v>68</v>
      </c>
      <c r="TYN312" s="245" t="s">
        <v>68</v>
      </c>
      <c r="TYO312" s="1715" t="s">
        <v>0</v>
      </c>
      <c r="TYP312" s="1716"/>
      <c r="TYQ312" s="1716"/>
      <c r="TYR312" s="1716"/>
      <c r="TYS312" s="1716"/>
      <c r="TYT312" s="244"/>
      <c r="TYU312" s="244" t="s">
        <v>68</v>
      </c>
      <c r="TYV312" s="245" t="s">
        <v>68</v>
      </c>
      <c r="TYW312" s="1715" t="s">
        <v>0</v>
      </c>
      <c r="TYX312" s="1716"/>
      <c r="TYY312" s="1716"/>
      <c r="TYZ312" s="1716"/>
      <c r="TZA312" s="1716"/>
      <c r="TZB312" s="244"/>
      <c r="TZC312" s="244" t="s">
        <v>68</v>
      </c>
      <c r="TZD312" s="245" t="s">
        <v>68</v>
      </c>
      <c r="TZE312" s="1715" t="s">
        <v>0</v>
      </c>
      <c r="TZF312" s="1716"/>
      <c r="TZG312" s="1716"/>
      <c r="TZH312" s="1716"/>
      <c r="TZI312" s="1716"/>
      <c r="TZJ312" s="244"/>
      <c r="TZK312" s="244" t="s">
        <v>68</v>
      </c>
      <c r="TZL312" s="245" t="s">
        <v>68</v>
      </c>
      <c r="TZM312" s="1715" t="s">
        <v>0</v>
      </c>
      <c r="TZN312" s="1716"/>
      <c r="TZO312" s="1716"/>
      <c r="TZP312" s="1716"/>
      <c r="TZQ312" s="1716"/>
      <c r="TZR312" s="244"/>
      <c r="TZS312" s="244" t="s">
        <v>68</v>
      </c>
      <c r="TZT312" s="245" t="s">
        <v>68</v>
      </c>
      <c r="TZU312" s="1715" t="s">
        <v>0</v>
      </c>
      <c r="TZV312" s="1716"/>
      <c r="TZW312" s="1716"/>
      <c r="TZX312" s="1716"/>
      <c r="TZY312" s="1716"/>
      <c r="TZZ312" s="244"/>
      <c r="UAA312" s="244" t="s">
        <v>68</v>
      </c>
      <c r="UAB312" s="245" t="s">
        <v>68</v>
      </c>
      <c r="UAC312" s="1715" t="s">
        <v>0</v>
      </c>
      <c r="UAD312" s="1716"/>
      <c r="UAE312" s="1716"/>
      <c r="UAF312" s="1716"/>
      <c r="UAG312" s="1716"/>
      <c r="UAH312" s="244"/>
      <c r="UAI312" s="244" t="s">
        <v>68</v>
      </c>
      <c r="UAJ312" s="245" t="s">
        <v>68</v>
      </c>
      <c r="UAK312" s="1715" t="s">
        <v>0</v>
      </c>
      <c r="UAL312" s="1716"/>
      <c r="UAM312" s="1716"/>
      <c r="UAN312" s="1716"/>
      <c r="UAO312" s="1716"/>
      <c r="UAP312" s="244"/>
      <c r="UAQ312" s="244" t="s">
        <v>68</v>
      </c>
      <c r="UAR312" s="245" t="s">
        <v>68</v>
      </c>
      <c r="UAS312" s="1715" t="s">
        <v>0</v>
      </c>
      <c r="UAT312" s="1716"/>
      <c r="UAU312" s="1716"/>
      <c r="UAV312" s="1716"/>
      <c r="UAW312" s="1716"/>
      <c r="UAX312" s="244"/>
      <c r="UAY312" s="244" t="s">
        <v>68</v>
      </c>
      <c r="UAZ312" s="245" t="s">
        <v>68</v>
      </c>
      <c r="UBA312" s="1715" t="s">
        <v>0</v>
      </c>
      <c r="UBB312" s="1716"/>
      <c r="UBC312" s="1716"/>
      <c r="UBD312" s="1716"/>
      <c r="UBE312" s="1716"/>
      <c r="UBF312" s="244"/>
      <c r="UBG312" s="244" t="s">
        <v>68</v>
      </c>
      <c r="UBH312" s="245" t="s">
        <v>68</v>
      </c>
      <c r="UBI312" s="1715" t="s">
        <v>0</v>
      </c>
      <c r="UBJ312" s="1716"/>
      <c r="UBK312" s="1716"/>
      <c r="UBL312" s="1716"/>
      <c r="UBM312" s="1716"/>
      <c r="UBN312" s="244"/>
      <c r="UBO312" s="244" t="s">
        <v>68</v>
      </c>
      <c r="UBP312" s="245" t="s">
        <v>68</v>
      </c>
      <c r="UBQ312" s="1715" t="s">
        <v>0</v>
      </c>
      <c r="UBR312" s="1716"/>
      <c r="UBS312" s="1716"/>
      <c r="UBT312" s="1716"/>
      <c r="UBU312" s="1716"/>
      <c r="UBV312" s="244"/>
      <c r="UBW312" s="244" t="s">
        <v>68</v>
      </c>
      <c r="UBX312" s="245" t="s">
        <v>68</v>
      </c>
      <c r="UBY312" s="1715" t="s">
        <v>0</v>
      </c>
      <c r="UBZ312" s="1716"/>
      <c r="UCA312" s="1716"/>
      <c r="UCB312" s="1716"/>
      <c r="UCC312" s="1716"/>
      <c r="UCD312" s="244"/>
      <c r="UCE312" s="244" t="s">
        <v>68</v>
      </c>
      <c r="UCF312" s="245" t="s">
        <v>68</v>
      </c>
      <c r="UCG312" s="1715" t="s">
        <v>0</v>
      </c>
      <c r="UCH312" s="1716"/>
      <c r="UCI312" s="1716"/>
      <c r="UCJ312" s="1716"/>
      <c r="UCK312" s="1716"/>
      <c r="UCL312" s="244"/>
      <c r="UCM312" s="244" t="s">
        <v>68</v>
      </c>
      <c r="UCN312" s="245" t="s">
        <v>68</v>
      </c>
      <c r="UCO312" s="1715" t="s">
        <v>0</v>
      </c>
      <c r="UCP312" s="1716"/>
      <c r="UCQ312" s="1716"/>
      <c r="UCR312" s="1716"/>
      <c r="UCS312" s="1716"/>
      <c r="UCT312" s="244"/>
      <c r="UCU312" s="244" t="s">
        <v>68</v>
      </c>
      <c r="UCV312" s="245" t="s">
        <v>68</v>
      </c>
      <c r="UCW312" s="1715" t="s">
        <v>0</v>
      </c>
      <c r="UCX312" s="1716"/>
      <c r="UCY312" s="1716"/>
      <c r="UCZ312" s="1716"/>
      <c r="UDA312" s="1716"/>
      <c r="UDB312" s="244"/>
      <c r="UDC312" s="244" t="s">
        <v>68</v>
      </c>
      <c r="UDD312" s="245" t="s">
        <v>68</v>
      </c>
      <c r="UDE312" s="1715" t="s">
        <v>0</v>
      </c>
      <c r="UDF312" s="1716"/>
      <c r="UDG312" s="1716"/>
      <c r="UDH312" s="1716"/>
      <c r="UDI312" s="1716"/>
      <c r="UDJ312" s="244"/>
      <c r="UDK312" s="244" t="s">
        <v>68</v>
      </c>
      <c r="UDL312" s="245" t="s">
        <v>68</v>
      </c>
      <c r="UDM312" s="1715" t="s">
        <v>0</v>
      </c>
      <c r="UDN312" s="1716"/>
      <c r="UDO312" s="1716"/>
      <c r="UDP312" s="1716"/>
      <c r="UDQ312" s="1716"/>
      <c r="UDR312" s="244"/>
      <c r="UDS312" s="244" t="s">
        <v>68</v>
      </c>
      <c r="UDT312" s="245" t="s">
        <v>68</v>
      </c>
      <c r="UDU312" s="1715" t="s">
        <v>0</v>
      </c>
      <c r="UDV312" s="1716"/>
      <c r="UDW312" s="1716"/>
      <c r="UDX312" s="1716"/>
      <c r="UDY312" s="1716"/>
      <c r="UDZ312" s="244"/>
      <c r="UEA312" s="244" t="s">
        <v>68</v>
      </c>
      <c r="UEB312" s="245" t="s">
        <v>68</v>
      </c>
      <c r="UEC312" s="1715" t="s">
        <v>0</v>
      </c>
      <c r="UED312" s="1716"/>
      <c r="UEE312" s="1716"/>
      <c r="UEF312" s="1716"/>
      <c r="UEG312" s="1716"/>
      <c r="UEH312" s="244"/>
      <c r="UEI312" s="244" t="s">
        <v>68</v>
      </c>
      <c r="UEJ312" s="245" t="s">
        <v>68</v>
      </c>
      <c r="UEK312" s="1715" t="s">
        <v>0</v>
      </c>
      <c r="UEL312" s="1716"/>
      <c r="UEM312" s="1716"/>
      <c r="UEN312" s="1716"/>
      <c r="UEO312" s="1716"/>
      <c r="UEP312" s="244"/>
      <c r="UEQ312" s="244" t="s">
        <v>68</v>
      </c>
      <c r="UER312" s="245" t="s">
        <v>68</v>
      </c>
      <c r="UES312" s="1715" t="s">
        <v>0</v>
      </c>
      <c r="UET312" s="1716"/>
      <c r="UEU312" s="1716"/>
      <c r="UEV312" s="1716"/>
      <c r="UEW312" s="1716"/>
      <c r="UEX312" s="244"/>
      <c r="UEY312" s="244" t="s">
        <v>68</v>
      </c>
      <c r="UEZ312" s="245" t="s">
        <v>68</v>
      </c>
      <c r="UFA312" s="1715" t="s">
        <v>0</v>
      </c>
      <c r="UFB312" s="1716"/>
      <c r="UFC312" s="1716"/>
      <c r="UFD312" s="1716"/>
      <c r="UFE312" s="1716"/>
      <c r="UFF312" s="244"/>
      <c r="UFG312" s="244" t="s">
        <v>68</v>
      </c>
      <c r="UFH312" s="245" t="s">
        <v>68</v>
      </c>
      <c r="UFI312" s="1715" t="s">
        <v>0</v>
      </c>
      <c r="UFJ312" s="1716"/>
      <c r="UFK312" s="1716"/>
      <c r="UFL312" s="1716"/>
      <c r="UFM312" s="1716"/>
      <c r="UFN312" s="244"/>
      <c r="UFO312" s="244" t="s">
        <v>68</v>
      </c>
      <c r="UFP312" s="245" t="s">
        <v>68</v>
      </c>
      <c r="UFQ312" s="1715" t="s">
        <v>0</v>
      </c>
      <c r="UFR312" s="1716"/>
      <c r="UFS312" s="1716"/>
      <c r="UFT312" s="1716"/>
      <c r="UFU312" s="1716"/>
      <c r="UFV312" s="244"/>
      <c r="UFW312" s="244" t="s">
        <v>68</v>
      </c>
      <c r="UFX312" s="245" t="s">
        <v>68</v>
      </c>
      <c r="UFY312" s="1715" t="s">
        <v>0</v>
      </c>
      <c r="UFZ312" s="1716"/>
      <c r="UGA312" s="1716"/>
      <c r="UGB312" s="1716"/>
      <c r="UGC312" s="1716"/>
      <c r="UGD312" s="244"/>
      <c r="UGE312" s="244" t="s">
        <v>68</v>
      </c>
      <c r="UGF312" s="245" t="s">
        <v>68</v>
      </c>
      <c r="UGG312" s="1715" t="s">
        <v>0</v>
      </c>
      <c r="UGH312" s="1716"/>
      <c r="UGI312" s="1716"/>
      <c r="UGJ312" s="1716"/>
      <c r="UGK312" s="1716"/>
      <c r="UGL312" s="244"/>
      <c r="UGM312" s="244" t="s">
        <v>68</v>
      </c>
      <c r="UGN312" s="245" t="s">
        <v>68</v>
      </c>
      <c r="UGO312" s="1715" t="s">
        <v>0</v>
      </c>
      <c r="UGP312" s="1716"/>
      <c r="UGQ312" s="1716"/>
      <c r="UGR312" s="1716"/>
      <c r="UGS312" s="1716"/>
      <c r="UGT312" s="244"/>
      <c r="UGU312" s="244" t="s">
        <v>68</v>
      </c>
      <c r="UGV312" s="245" t="s">
        <v>68</v>
      </c>
      <c r="UGW312" s="1715" t="s">
        <v>0</v>
      </c>
      <c r="UGX312" s="1716"/>
      <c r="UGY312" s="1716"/>
      <c r="UGZ312" s="1716"/>
      <c r="UHA312" s="1716"/>
      <c r="UHB312" s="244"/>
      <c r="UHC312" s="244" t="s">
        <v>68</v>
      </c>
      <c r="UHD312" s="245" t="s">
        <v>68</v>
      </c>
      <c r="UHE312" s="1715" t="s">
        <v>0</v>
      </c>
      <c r="UHF312" s="1716"/>
      <c r="UHG312" s="1716"/>
      <c r="UHH312" s="1716"/>
      <c r="UHI312" s="1716"/>
      <c r="UHJ312" s="244"/>
      <c r="UHK312" s="244" t="s">
        <v>68</v>
      </c>
      <c r="UHL312" s="245" t="s">
        <v>68</v>
      </c>
      <c r="UHM312" s="1715" t="s">
        <v>0</v>
      </c>
      <c r="UHN312" s="1716"/>
      <c r="UHO312" s="1716"/>
      <c r="UHP312" s="1716"/>
      <c r="UHQ312" s="1716"/>
      <c r="UHR312" s="244"/>
      <c r="UHS312" s="244" t="s">
        <v>68</v>
      </c>
      <c r="UHT312" s="245" t="s">
        <v>68</v>
      </c>
      <c r="UHU312" s="1715" t="s">
        <v>0</v>
      </c>
      <c r="UHV312" s="1716"/>
      <c r="UHW312" s="1716"/>
      <c r="UHX312" s="1716"/>
      <c r="UHY312" s="1716"/>
      <c r="UHZ312" s="244"/>
      <c r="UIA312" s="244" t="s">
        <v>68</v>
      </c>
      <c r="UIB312" s="245" t="s">
        <v>68</v>
      </c>
      <c r="UIC312" s="1715" t="s">
        <v>0</v>
      </c>
      <c r="UID312" s="1716"/>
      <c r="UIE312" s="1716"/>
      <c r="UIF312" s="1716"/>
      <c r="UIG312" s="1716"/>
      <c r="UIH312" s="244"/>
      <c r="UII312" s="244" t="s">
        <v>68</v>
      </c>
      <c r="UIJ312" s="245" t="s">
        <v>68</v>
      </c>
      <c r="UIK312" s="1715" t="s">
        <v>0</v>
      </c>
      <c r="UIL312" s="1716"/>
      <c r="UIM312" s="1716"/>
      <c r="UIN312" s="1716"/>
      <c r="UIO312" s="1716"/>
      <c r="UIP312" s="244"/>
      <c r="UIQ312" s="244" t="s">
        <v>68</v>
      </c>
      <c r="UIR312" s="245" t="s">
        <v>68</v>
      </c>
      <c r="UIS312" s="1715" t="s">
        <v>0</v>
      </c>
      <c r="UIT312" s="1716"/>
      <c r="UIU312" s="1716"/>
      <c r="UIV312" s="1716"/>
      <c r="UIW312" s="1716"/>
      <c r="UIX312" s="244"/>
      <c r="UIY312" s="244" t="s">
        <v>68</v>
      </c>
      <c r="UIZ312" s="245" t="s">
        <v>68</v>
      </c>
      <c r="UJA312" s="1715" t="s">
        <v>0</v>
      </c>
      <c r="UJB312" s="1716"/>
      <c r="UJC312" s="1716"/>
      <c r="UJD312" s="1716"/>
      <c r="UJE312" s="1716"/>
      <c r="UJF312" s="244"/>
      <c r="UJG312" s="244" t="s">
        <v>68</v>
      </c>
      <c r="UJH312" s="245" t="s">
        <v>68</v>
      </c>
      <c r="UJI312" s="1715" t="s">
        <v>0</v>
      </c>
      <c r="UJJ312" s="1716"/>
      <c r="UJK312" s="1716"/>
      <c r="UJL312" s="1716"/>
      <c r="UJM312" s="1716"/>
      <c r="UJN312" s="244"/>
      <c r="UJO312" s="244" t="s">
        <v>68</v>
      </c>
      <c r="UJP312" s="245" t="s">
        <v>68</v>
      </c>
      <c r="UJQ312" s="1715" t="s">
        <v>0</v>
      </c>
      <c r="UJR312" s="1716"/>
      <c r="UJS312" s="1716"/>
      <c r="UJT312" s="1716"/>
      <c r="UJU312" s="1716"/>
      <c r="UJV312" s="244"/>
      <c r="UJW312" s="244" t="s">
        <v>68</v>
      </c>
      <c r="UJX312" s="245" t="s">
        <v>68</v>
      </c>
      <c r="UJY312" s="1715" t="s">
        <v>0</v>
      </c>
      <c r="UJZ312" s="1716"/>
      <c r="UKA312" s="1716"/>
      <c r="UKB312" s="1716"/>
      <c r="UKC312" s="1716"/>
      <c r="UKD312" s="244"/>
      <c r="UKE312" s="244" t="s">
        <v>68</v>
      </c>
      <c r="UKF312" s="245" t="s">
        <v>68</v>
      </c>
      <c r="UKG312" s="1715" t="s">
        <v>0</v>
      </c>
      <c r="UKH312" s="1716"/>
      <c r="UKI312" s="1716"/>
      <c r="UKJ312" s="1716"/>
      <c r="UKK312" s="1716"/>
      <c r="UKL312" s="244"/>
      <c r="UKM312" s="244" t="s">
        <v>68</v>
      </c>
      <c r="UKN312" s="245" t="s">
        <v>68</v>
      </c>
      <c r="UKO312" s="1715" t="s">
        <v>0</v>
      </c>
      <c r="UKP312" s="1716"/>
      <c r="UKQ312" s="1716"/>
      <c r="UKR312" s="1716"/>
      <c r="UKS312" s="1716"/>
      <c r="UKT312" s="244"/>
      <c r="UKU312" s="244" t="s">
        <v>68</v>
      </c>
      <c r="UKV312" s="245" t="s">
        <v>68</v>
      </c>
      <c r="UKW312" s="1715" t="s">
        <v>0</v>
      </c>
      <c r="UKX312" s="1716"/>
      <c r="UKY312" s="1716"/>
      <c r="UKZ312" s="1716"/>
      <c r="ULA312" s="1716"/>
      <c r="ULB312" s="244"/>
      <c r="ULC312" s="244" t="s">
        <v>68</v>
      </c>
      <c r="ULD312" s="245" t="s">
        <v>68</v>
      </c>
      <c r="ULE312" s="1715" t="s">
        <v>0</v>
      </c>
      <c r="ULF312" s="1716"/>
      <c r="ULG312" s="1716"/>
      <c r="ULH312" s="1716"/>
      <c r="ULI312" s="1716"/>
      <c r="ULJ312" s="244"/>
      <c r="ULK312" s="244" t="s">
        <v>68</v>
      </c>
      <c r="ULL312" s="245" t="s">
        <v>68</v>
      </c>
      <c r="ULM312" s="1715" t="s">
        <v>0</v>
      </c>
      <c r="ULN312" s="1716"/>
      <c r="ULO312" s="1716"/>
      <c r="ULP312" s="1716"/>
      <c r="ULQ312" s="1716"/>
      <c r="ULR312" s="244"/>
      <c r="ULS312" s="244" t="s">
        <v>68</v>
      </c>
      <c r="ULT312" s="245" t="s">
        <v>68</v>
      </c>
      <c r="ULU312" s="1715" t="s">
        <v>0</v>
      </c>
      <c r="ULV312" s="1716"/>
      <c r="ULW312" s="1716"/>
      <c r="ULX312" s="1716"/>
      <c r="ULY312" s="1716"/>
      <c r="ULZ312" s="244"/>
      <c r="UMA312" s="244" t="s">
        <v>68</v>
      </c>
      <c r="UMB312" s="245" t="s">
        <v>68</v>
      </c>
      <c r="UMC312" s="1715" t="s">
        <v>0</v>
      </c>
      <c r="UMD312" s="1716"/>
      <c r="UME312" s="1716"/>
      <c r="UMF312" s="1716"/>
      <c r="UMG312" s="1716"/>
      <c r="UMH312" s="244"/>
      <c r="UMI312" s="244" t="s">
        <v>68</v>
      </c>
      <c r="UMJ312" s="245" t="s">
        <v>68</v>
      </c>
      <c r="UMK312" s="1715" t="s">
        <v>0</v>
      </c>
      <c r="UML312" s="1716"/>
      <c r="UMM312" s="1716"/>
      <c r="UMN312" s="1716"/>
      <c r="UMO312" s="1716"/>
      <c r="UMP312" s="244"/>
      <c r="UMQ312" s="244" t="s">
        <v>68</v>
      </c>
      <c r="UMR312" s="245" t="s">
        <v>68</v>
      </c>
      <c r="UMS312" s="1715" t="s">
        <v>0</v>
      </c>
      <c r="UMT312" s="1716"/>
      <c r="UMU312" s="1716"/>
      <c r="UMV312" s="1716"/>
      <c r="UMW312" s="1716"/>
      <c r="UMX312" s="244"/>
      <c r="UMY312" s="244" t="s">
        <v>68</v>
      </c>
      <c r="UMZ312" s="245" t="s">
        <v>68</v>
      </c>
      <c r="UNA312" s="1715" t="s">
        <v>0</v>
      </c>
      <c r="UNB312" s="1716"/>
      <c r="UNC312" s="1716"/>
      <c r="UND312" s="1716"/>
      <c r="UNE312" s="1716"/>
      <c r="UNF312" s="244"/>
      <c r="UNG312" s="244" t="s">
        <v>68</v>
      </c>
      <c r="UNH312" s="245" t="s">
        <v>68</v>
      </c>
      <c r="UNI312" s="1715" t="s">
        <v>0</v>
      </c>
      <c r="UNJ312" s="1716"/>
      <c r="UNK312" s="1716"/>
      <c r="UNL312" s="1716"/>
      <c r="UNM312" s="1716"/>
      <c r="UNN312" s="244"/>
      <c r="UNO312" s="244" t="s">
        <v>68</v>
      </c>
      <c r="UNP312" s="245" t="s">
        <v>68</v>
      </c>
      <c r="UNQ312" s="1715" t="s">
        <v>0</v>
      </c>
      <c r="UNR312" s="1716"/>
      <c r="UNS312" s="1716"/>
      <c r="UNT312" s="1716"/>
      <c r="UNU312" s="1716"/>
      <c r="UNV312" s="244"/>
      <c r="UNW312" s="244" t="s">
        <v>68</v>
      </c>
      <c r="UNX312" s="245" t="s">
        <v>68</v>
      </c>
      <c r="UNY312" s="1715" t="s">
        <v>0</v>
      </c>
      <c r="UNZ312" s="1716"/>
      <c r="UOA312" s="1716"/>
      <c r="UOB312" s="1716"/>
      <c r="UOC312" s="1716"/>
      <c r="UOD312" s="244"/>
      <c r="UOE312" s="244" t="s">
        <v>68</v>
      </c>
      <c r="UOF312" s="245" t="s">
        <v>68</v>
      </c>
      <c r="UOG312" s="1715" t="s">
        <v>0</v>
      </c>
      <c r="UOH312" s="1716"/>
      <c r="UOI312" s="1716"/>
      <c r="UOJ312" s="1716"/>
      <c r="UOK312" s="1716"/>
      <c r="UOL312" s="244"/>
      <c r="UOM312" s="244" t="s">
        <v>68</v>
      </c>
      <c r="UON312" s="245" t="s">
        <v>68</v>
      </c>
      <c r="UOO312" s="1715" t="s">
        <v>0</v>
      </c>
      <c r="UOP312" s="1716"/>
      <c r="UOQ312" s="1716"/>
      <c r="UOR312" s="1716"/>
      <c r="UOS312" s="1716"/>
      <c r="UOT312" s="244"/>
      <c r="UOU312" s="244" t="s">
        <v>68</v>
      </c>
      <c r="UOV312" s="245" t="s">
        <v>68</v>
      </c>
      <c r="UOW312" s="1715" t="s">
        <v>0</v>
      </c>
      <c r="UOX312" s="1716"/>
      <c r="UOY312" s="1716"/>
      <c r="UOZ312" s="1716"/>
      <c r="UPA312" s="1716"/>
      <c r="UPB312" s="244"/>
      <c r="UPC312" s="244" t="s">
        <v>68</v>
      </c>
      <c r="UPD312" s="245" t="s">
        <v>68</v>
      </c>
      <c r="UPE312" s="1715" t="s">
        <v>0</v>
      </c>
      <c r="UPF312" s="1716"/>
      <c r="UPG312" s="1716"/>
      <c r="UPH312" s="1716"/>
      <c r="UPI312" s="1716"/>
      <c r="UPJ312" s="244"/>
      <c r="UPK312" s="244" t="s">
        <v>68</v>
      </c>
      <c r="UPL312" s="245" t="s">
        <v>68</v>
      </c>
      <c r="UPM312" s="1715" t="s">
        <v>0</v>
      </c>
      <c r="UPN312" s="1716"/>
      <c r="UPO312" s="1716"/>
      <c r="UPP312" s="1716"/>
      <c r="UPQ312" s="1716"/>
      <c r="UPR312" s="244"/>
      <c r="UPS312" s="244" t="s">
        <v>68</v>
      </c>
      <c r="UPT312" s="245" t="s">
        <v>68</v>
      </c>
      <c r="UPU312" s="1715" t="s">
        <v>0</v>
      </c>
      <c r="UPV312" s="1716"/>
      <c r="UPW312" s="1716"/>
      <c r="UPX312" s="1716"/>
      <c r="UPY312" s="1716"/>
      <c r="UPZ312" s="244"/>
      <c r="UQA312" s="244" t="s">
        <v>68</v>
      </c>
      <c r="UQB312" s="245" t="s">
        <v>68</v>
      </c>
      <c r="UQC312" s="1715" t="s">
        <v>0</v>
      </c>
      <c r="UQD312" s="1716"/>
      <c r="UQE312" s="1716"/>
      <c r="UQF312" s="1716"/>
      <c r="UQG312" s="1716"/>
      <c r="UQH312" s="244"/>
      <c r="UQI312" s="244" t="s">
        <v>68</v>
      </c>
      <c r="UQJ312" s="245" t="s">
        <v>68</v>
      </c>
      <c r="UQK312" s="1715" t="s">
        <v>0</v>
      </c>
      <c r="UQL312" s="1716"/>
      <c r="UQM312" s="1716"/>
      <c r="UQN312" s="1716"/>
      <c r="UQO312" s="1716"/>
      <c r="UQP312" s="244"/>
      <c r="UQQ312" s="244" t="s">
        <v>68</v>
      </c>
      <c r="UQR312" s="245" t="s">
        <v>68</v>
      </c>
      <c r="UQS312" s="1715" t="s">
        <v>0</v>
      </c>
      <c r="UQT312" s="1716"/>
      <c r="UQU312" s="1716"/>
      <c r="UQV312" s="1716"/>
      <c r="UQW312" s="1716"/>
      <c r="UQX312" s="244"/>
      <c r="UQY312" s="244" t="s">
        <v>68</v>
      </c>
      <c r="UQZ312" s="245" t="s">
        <v>68</v>
      </c>
      <c r="URA312" s="1715" t="s">
        <v>0</v>
      </c>
      <c r="URB312" s="1716"/>
      <c r="URC312" s="1716"/>
      <c r="URD312" s="1716"/>
      <c r="URE312" s="1716"/>
      <c r="URF312" s="244"/>
      <c r="URG312" s="244" t="s">
        <v>68</v>
      </c>
      <c r="URH312" s="245" t="s">
        <v>68</v>
      </c>
      <c r="URI312" s="1715" t="s">
        <v>0</v>
      </c>
      <c r="URJ312" s="1716"/>
      <c r="URK312" s="1716"/>
      <c r="URL312" s="1716"/>
      <c r="URM312" s="1716"/>
      <c r="URN312" s="244"/>
      <c r="URO312" s="244" t="s">
        <v>68</v>
      </c>
      <c r="URP312" s="245" t="s">
        <v>68</v>
      </c>
      <c r="URQ312" s="1715" t="s">
        <v>0</v>
      </c>
      <c r="URR312" s="1716"/>
      <c r="URS312" s="1716"/>
      <c r="URT312" s="1716"/>
      <c r="URU312" s="1716"/>
      <c r="URV312" s="244"/>
      <c r="URW312" s="244" t="s">
        <v>68</v>
      </c>
      <c r="URX312" s="245" t="s">
        <v>68</v>
      </c>
      <c r="URY312" s="1715" t="s">
        <v>0</v>
      </c>
      <c r="URZ312" s="1716"/>
      <c r="USA312" s="1716"/>
      <c r="USB312" s="1716"/>
      <c r="USC312" s="1716"/>
      <c r="USD312" s="244"/>
      <c r="USE312" s="244" t="s">
        <v>68</v>
      </c>
      <c r="USF312" s="245" t="s">
        <v>68</v>
      </c>
      <c r="USG312" s="1715" t="s">
        <v>0</v>
      </c>
      <c r="USH312" s="1716"/>
      <c r="USI312" s="1716"/>
      <c r="USJ312" s="1716"/>
      <c r="USK312" s="1716"/>
      <c r="USL312" s="244"/>
      <c r="USM312" s="244" t="s">
        <v>68</v>
      </c>
      <c r="USN312" s="245" t="s">
        <v>68</v>
      </c>
      <c r="USO312" s="1715" t="s">
        <v>0</v>
      </c>
      <c r="USP312" s="1716"/>
      <c r="USQ312" s="1716"/>
      <c r="USR312" s="1716"/>
      <c r="USS312" s="1716"/>
      <c r="UST312" s="244"/>
      <c r="USU312" s="244" t="s">
        <v>68</v>
      </c>
      <c r="USV312" s="245" t="s">
        <v>68</v>
      </c>
      <c r="USW312" s="1715" t="s">
        <v>0</v>
      </c>
      <c r="USX312" s="1716"/>
      <c r="USY312" s="1716"/>
      <c r="USZ312" s="1716"/>
      <c r="UTA312" s="1716"/>
      <c r="UTB312" s="244"/>
      <c r="UTC312" s="244" t="s">
        <v>68</v>
      </c>
      <c r="UTD312" s="245" t="s">
        <v>68</v>
      </c>
      <c r="UTE312" s="1715" t="s">
        <v>0</v>
      </c>
      <c r="UTF312" s="1716"/>
      <c r="UTG312" s="1716"/>
      <c r="UTH312" s="1716"/>
      <c r="UTI312" s="1716"/>
      <c r="UTJ312" s="244"/>
      <c r="UTK312" s="244" t="s">
        <v>68</v>
      </c>
      <c r="UTL312" s="245" t="s">
        <v>68</v>
      </c>
      <c r="UTM312" s="1715" t="s">
        <v>0</v>
      </c>
      <c r="UTN312" s="1716"/>
      <c r="UTO312" s="1716"/>
      <c r="UTP312" s="1716"/>
      <c r="UTQ312" s="1716"/>
      <c r="UTR312" s="244"/>
      <c r="UTS312" s="244" t="s">
        <v>68</v>
      </c>
      <c r="UTT312" s="245" t="s">
        <v>68</v>
      </c>
      <c r="UTU312" s="1715" t="s">
        <v>0</v>
      </c>
      <c r="UTV312" s="1716"/>
      <c r="UTW312" s="1716"/>
      <c r="UTX312" s="1716"/>
      <c r="UTY312" s="1716"/>
      <c r="UTZ312" s="244"/>
      <c r="UUA312" s="244" t="s">
        <v>68</v>
      </c>
      <c r="UUB312" s="245" t="s">
        <v>68</v>
      </c>
      <c r="UUC312" s="1715" t="s">
        <v>0</v>
      </c>
      <c r="UUD312" s="1716"/>
      <c r="UUE312" s="1716"/>
      <c r="UUF312" s="1716"/>
      <c r="UUG312" s="1716"/>
      <c r="UUH312" s="244"/>
      <c r="UUI312" s="244" t="s">
        <v>68</v>
      </c>
      <c r="UUJ312" s="245" t="s">
        <v>68</v>
      </c>
      <c r="UUK312" s="1715" t="s">
        <v>0</v>
      </c>
      <c r="UUL312" s="1716"/>
      <c r="UUM312" s="1716"/>
      <c r="UUN312" s="1716"/>
      <c r="UUO312" s="1716"/>
      <c r="UUP312" s="244"/>
      <c r="UUQ312" s="244" t="s">
        <v>68</v>
      </c>
      <c r="UUR312" s="245" t="s">
        <v>68</v>
      </c>
      <c r="UUS312" s="1715" t="s">
        <v>0</v>
      </c>
      <c r="UUT312" s="1716"/>
      <c r="UUU312" s="1716"/>
      <c r="UUV312" s="1716"/>
      <c r="UUW312" s="1716"/>
      <c r="UUX312" s="244"/>
      <c r="UUY312" s="244" t="s">
        <v>68</v>
      </c>
      <c r="UUZ312" s="245" t="s">
        <v>68</v>
      </c>
      <c r="UVA312" s="1715" t="s">
        <v>0</v>
      </c>
      <c r="UVB312" s="1716"/>
      <c r="UVC312" s="1716"/>
      <c r="UVD312" s="1716"/>
      <c r="UVE312" s="1716"/>
      <c r="UVF312" s="244"/>
      <c r="UVG312" s="244" t="s">
        <v>68</v>
      </c>
      <c r="UVH312" s="245" t="s">
        <v>68</v>
      </c>
      <c r="UVI312" s="1715" t="s">
        <v>0</v>
      </c>
      <c r="UVJ312" s="1716"/>
      <c r="UVK312" s="1716"/>
      <c r="UVL312" s="1716"/>
      <c r="UVM312" s="1716"/>
      <c r="UVN312" s="244"/>
      <c r="UVO312" s="244" t="s">
        <v>68</v>
      </c>
      <c r="UVP312" s="245" t="s">
        <v>68</v>
      </c>
      <c r="UVQ312" s="1715" t="s">
        <v>0</v>
      </c>
      <c r="UVR312" s="1716"/>
      <c r="UVS312" s="1716"/>
      <c r="UVT312" s="1716"/>
      <c r="UVU312" s="1716"/>
      <c r="UVV312" s="244"/>
      <c r="UVW312" s="244" t="s">
        <v>68</v>
      </c>
      <c r="UVX312" s="245" t="s">
        <v>68</v>
      </c>
      <c r="UVY312" s="1715" t="s">
        <v>0</v>
      </c>
      <c r="UVZ312" s="1716"/>
      <c r="UWA312" s="1716"/>
      <c r="UWB312" s="1716"/>
      <c r="UWC312" s="1716"/>
      <c r="UWD312" s="244"/>
      <c r="UWE312" s="244" t="s">
        <v>68</v>
      </c>
      <c r="UWF312" s="245" t="s">
        <v>68</v>
      </c>
      <c r="UWG312" s="1715" t="s">
        <v>0</v>
      </c>
      <c r="UWH312" s="1716"/>
      <c r="UWI312" s="1716"/>
      <c r="UWJ312" s="1716"/>
      <c r="UWK312" s="1716"/>
      <c r="UWL312" s="244"/>
      <c r="UWM312" s="244" t="s">
        <v>68</v>
      </c>
      <c r="UWN312" s="245" t="s">
        <v>68</v>
      </c>
      <c r="UWO312" s="1715" t="s">
        <v>0</v>
      </c>
      <c r="UWP312" s="1716"/>
      <c r="UWQ312" s="1716"/>
      <c r="UWR312" s="1716"/>
      <c r="UWS312" s="1716"/>
      <c r="UWT312" s="244"/>
      <c r="UWU312" s="244" t="s">
        <v>68</v>
      </c>
      <c r="UWV312" s="245" t="s">
        <v>68</v>
      </c>
      <c r="UWW312" s="1715" t="s">
        <v>0</v>
      </c>
      <c r="UWX312" s="1716"/>
      <c r="UWY312" s="1716"/>
      <c r="UWZ312" s="1716"/>
      <c r="UXA312" s="1716"/>
      <c r="UXB312" s="244"/>
      <c r="UXC312" s="244" t="s">
        <v>68</v>
      </c>
      <c r="UXD312" s="245" t="s">
        <v>68</v>
      </c>
      <c r="UXE312" s="1715" t="s">
        <v>0</v>
      </c>
      <c r="UXF312" s="1716"/>
      <c r="UXG312" s="1716"/>
      <c r="UXH312" s="1716"/>
      <c r="UXI312" s="1716"/>
      <c r="UXJ312" s="244"/>
      <c r="UXK312" s="244" t="s">
        <v>68</v>
      </c>
      <c r="UXL312" s="245" t="s">
        <v>68</v>
      </c>
      <c r="UXM312" s="1715" t="s">
        <v>0</v>
      </c>
      <c r="UXN312" s="1716"/>
      <c r="UXO312" s="1716"/>
      <c r="UXP312" s="1716"/>
      <c r="UXQ312" s="1716"/>
      <c r="UXR312" s="244"/>
      <c r="UXS312" s="244" t="s">
        <v>68</v>
      </c>
      <c r="UXT312" s="245" t="s">
        <v>68</v>
      </c>
      <c r="UXU312" s="1715" t="s">
        <v>0</v>
      </c>
      <c r="UXV312" s="1716"/>
      <c r="UXW312" s="1716"/>
      <c r="UXX312" s="1716"/>
      <c r="UXY312" s="1716"/>
      <c r="UXZ312" s="244"/>
      <c r="UYA312" s="244" t="s">
        <v>68</v>
      </c>
      <c r="UYB312" s="245" t="s">
        <v>68</v>
      </c>
      <c r="UYC312" s="1715" t="s">
        <v>0</v>
      </c>
      <c r="UYD312" s="1716"/>
      <c r="UYE312" s="1716"/>
      <c r="UYF312" s="1716"/>
      <c r="UYG312" s="1716"/>
      <c r="UYH312" s="244"/>
      <c r="UYI312" s="244" t="s">
        <v>68</v>
      </c>
      <c r="UYJ312" s="245" t="s">
        <v>68</v>
      </c>
      <c r="UYK312" s="1715" t="s">
        <v>0</v>
      </c>
      <c r="UYL312" s="1716"/>
      <c r="UYM312" s="1716"/>
      <c r="UYN312" s="1716"/>
      <c r="UYO312" s="1716"/>
      <c r="UYP312" s="244"/>
      <c r="UYQ312" s="244" t="s">
        <v>68</v>
      </c>
      <c r="UYR312" s="245" t="s">
        <v>68</v>
      </c>
      <c r="UYS312" s="1715" t="s">
        <v>0</v>
      </c>
      <c r="UYT312" s="1716"/>
      <c r="UYU312" s="1716"/>
      <c r="UYV312" s="1716"/>
      <c r="UYW312" s="1716"/>
      <c r="UYX312" s="244"/>
      <c r="UYY312" s="244" t="s">
        <v>68</v>
      </c>
      <c r="UYZ312" s="245" t="s">
        <v>68</v>
      </c>
      <c r="UZA312" s="1715" t="s">
        <v>0</v>
      </c>
      <c r="UZB312" s="1716"/>
      <c r="UZC312" s="1716"/>
      <c r="UZD312" s="1716"/>
      <c r="UZE312" s="1716"/>
      <c r="UZF312" s="244"/>
      <c r="UZG312" s="244" t="s">
        <v>68</v>
      </c>
      <c r="UZH312" s="245" t="s">
        <v>68</v>
      </c>
      <c r="UZI312" s="1715" t="s">
        <v>0</v>
      </c>
      <c r="UZJ312" s="1716"/>
      <c r="UZK312" s="1716"/>
      <c r="UZL312" s="1716"/>
      <c r="UZM312" s="1716"/>
      <c r="UZN312" s="244"/>
      <c r="UZO312" s="244" t="s">
        <v>68</v>
      </c>
      <c r="UZP312" s="245" t="s">
        <v>68</v>
      </c>
      <c r="UZQ312" s="1715" t="s">
        <v>0</v>
      </c>
      <c r="UZR312" s="1716"/>
      <c r="UZS312" s="1716"/>
      <c r="UZT312" s="1716"/>
      <c r="UZU312" s="1716"/>
      <c r="UZV312" s="244"/>
      <c r="UZW312" s="244" t="s">
        <v>68</v>
      </c>
      <c r="UZX312" s="245" t="s">
        <v>68</v>
      </c>
      <c r="UZY312" s="1715" t="s">
        <v>0</v>
      </c>
      <c r="UZZ312" s="1716"/>
      <c r="VAA312" s="1716"/>
      <c r="VAB312" s="1716"/>
      <c r="VAC312" s="1716"/>
      <c r="VAD312" s="244"/>
      <c r="VAE312" s="244" t="s">
        <v>68</v>
      </c>
      <c r="VAF312" s="245" t="s">
        <v>68</v>
      </c>
      <c r="VAG312" s="1715" t="s">
        <v>0</v>
      </c>
      <c r="VAH312" s="1716"/>
      <c r="VAI312" s="1716"/>
      <c r="VAJ312" s="1716"/>
      <c r="VAK312" s="1716"/>
      <c r="VAL312" s="244"/>
      <c r="VAM312" s="244" t="s">
        <v>68</v>
      </c>
      <c r="VAN312" s="245" t="s">
        <v>68</v>
      </c>
      <c r="VAO312" s="1715" t="s">
        <v>0</v>
      </c>
      <c r="VAP312" s="1716"/>
      <c r="VAQ312" s="1716"/>
      <c r="VAR312" s="1716"/>
      <c r="VAS312" s="1716"/>
      <c r="VAT312" s="244"/>
      <c r="VAU312" s="244" t="s">
        <v>68</v>
      </c>
      <c r="VAV312" s="245" t="s">
        <v>68</v>
      </c>
      <c r="VAW312" s="1715" t="s">
        <v>0</v>
      </c>
      <c r="VAX312" s="1716"/>
      <c r="VAY312" s="1716"/>
      <c r="VAZ312" s="1716"/>
      <c r="VBA312" s="1716"/>
      <c r="VBB312" s="244"/>
      <c r="VBC312" s="244" t="s">
        <v>68</v>
      </c>
      <c r="VBD312" s="245" t="s">
        <v>68</v>
      </c>
      <c r="VBE312" s="1715" t="s">
        <v>0</v>
      </c>
      <c r="VBF312" s="1716"/>
      <c r="VBG312" s="1716"/>
      <c r="VBH312" s="1716"/>
      <c r="VBI312" s="1716"/>
      <c r="VBJ312" s="244"/>
      <c r="VBK312" s="244" t="s">
        <v>68</v>
      </c>
      <c r="VBL312" s="245" t="s">
        <v>68</v>
      </c>
      <c r="VBM312" s="1715" t="s">
        <v>0</v>
      </c>
      <c r="VBN312" s="1716"/>
      <c r="VBO312" s="1716"/>
      <c r="VBP312" s="1716"/>
      <c r="VBQ312" s="1716"/>
      <c r="VBR312" s="244"/>
      <c r="VBS312" s="244" t="s">
        <v>68</v>
      </c>
      <c r="VBT312" s="245" t="s">
        <v>68</v>
      </c>
      <c r="VBU312" s="1715" t="s">
        <v>0</v>
      </c>
      <c r="VBV312" s="1716"/>
      <c r="VBW312" s="1716"/>
      <c r="VBX312" s="1716"/>
      <c r="VBY312" s="1716"/>
      <c r="VBZ312" s="244"/>
      <c r="VCA312" s="244" t="s">
        <v>68</v>
      </c>
      <c r="VCB312" s="245" t="s">
        <v>68</v>
      </c>
      <c r="VCC312" s="1715" t="s">
        <v>0</v>
      </c>
      <c r="VCD312" s="1716"/>
      <c r="VCE312" s="1716"/>
      <c r="VCF312" s="1716"/>
      <c r="VCG312" s="1716"/>
      <c r="VCH312" s="244"/>
      <c r="VCI312" s="244" t="s">
        <v>68</v>
      </c>
      <c r="VCJ312" s="245" t="s">
        <v>68</v>
      </c>
      <c r="VCK312" s="1715" t="s">
        <v>0</v>
      </c>
      <c r="VCL312" s="1716"/>
      <c r="VCM312" s="1716"/>
      <c r="VCN312" s="1716"/>
      <c r="VCO312" s="1716"/>
      <c r="VCP312" s="244"/>
      <c r="VCQ312" s="244" t="s">
        <v>68</v>
      </c>
      <c r="VCR312" s="245" t="s">
        <v>68</v>
      </c>
      <c r="VCS312" s="1715" t="s">
        <v>0</v>
      </c>
      <c r="VCT312" s="1716"/>
      <c r="VCU312" s="1716"/>
      <c r="VCV312" s="1716"/>
      <c r="VCW312" s="1716"/>
      <c r="VCX312" s="244"/>
      <c r="VCY312" s="244" t="s">
        <v>68</v>
      </c>
      <c r="VCZ312" s="245" t="s">
        <v>68</v>
      </c>
      <c r="VDA312" s="1715" t="s">
        <v>0</v>
      </c>
      <c r="VDB312" s="1716"/>
      <c r="VDC312" s="1716"/>
      <c r="VDD312" s="1716"/>
      <c r="VDE312" s="1716"/>
      <c r="VDF312" s="244"/>
      <c r="VDG312" s="244" t="s">
        <v>68</v>
      </c>
      <c r="VDH312" s="245" t="s">
        <v>68</v>
      </c>
      <c r="VDI312" s="1715" t="s">
        <v>0</v>
      </c>
      <c r="VDJ312" s="1716"/>
      <c r="VDK312" s="1716"/>
      <c r="VDL312" s="1716"/>
      <c r="VDM312" s="1716"/>
      <c r="VDN312" s="244"/>
      <c r="VDO312" s="244" t="s">
        <v>68</v>
      </c>
      <c r="VDP312" s="245" t="s">
        <v>68</v>
      </c>
      <c r="VDQ312" s="1715" t="s">
        <v>0</v>
      </c>
      <c r="VDR312" s="1716"/>
      <c r="VDS312" s="1716"/>
      <c r="VDT312" s="1716"/>
      <c r="VDU312" s="1716"/>
      <c r="VDV312" s="244"/>
      <c r="VDW312" s="244" t="s">
        <v>68</v>
      </c>
      <c r="VDX312" s="245" t="s">
        <v>68</v>
      </c>
      <c r="VDY312" s="1715" t="s">
        <v>0</v>
      </c>
      <c r="VDZ312" s="1716"/>
      <c r="VEA312" s="1716"/>
      <c r="VEB312" s="1716"/>
      <c r="VEC312" s="1716"/>
      <c r="VED312" s="244"/>
      <c r="VEE312" s="244" t="s">
        <v>68</v>
      </c>
      <c r="VEF312" s="245" t="s">
        <v>68</v>
      </c>
      <c r="VEG312" s="1715" t="s">
        <v>0</v>
      </c>
      <c r="VEH312" s="1716"/>
      <c r="VEI312" s="1716"/>
      <c r="VEJ312" s="1716"/>
      <c r="VEK312" s="1716"/>
      <c r="VEL312" s="244"/>
      <c r="VEM312" s="244" t="s">
        <v>68</v>
      </c>
      <c r="VEN312" s="245" t="s">
        <v>68</v>
      </c>
      <c r="VEO312" s="1715" t="s">
        <v>0</v>
      </c>
      <c r="VEP312" s="1716"/>
      <c r="VEQ312" s="1716"/>
      <c r="VER312" s="1716"/>
      <c r="VES312" s="1716"/>
      <c r="VET312" s="244"/>
      <c r="VEU312" s="244" t="s">
        <v>68</v>
      </c>
      <c r="VEV312" s="245" t="s">
        <v>68</v>
      </c>
      <c r="VEW312" s="1715" t="s">
        <v>0</v>
      </c>
      <c r="VEX312" s="1716"/>
      <c r="VEY312" s="1716"/>
      <c r="VEZ312" s="1716"/>
      <c r="VFA312" s="1716"/>
      <c r="VFB312" s="244"/>
      <c r="VFC312" s="244" t="s">
        <v>68</v>
      </c>
      <c r="VFD312" s="245" t="s">
        <v>68</v>
      </c>
      <c r="VFE312" s="1715" t="s">
        <v>0</v>
      </c>
      <c r="VFF312" s="1716"/>
      <c r="VFG312" s="1716"/>
      <c r="VFH312" s="1716"/>
      <c r="VFI312" s="1716"/>
      <c r="VFJ312" s="244"/>
      <c r="VFK312" s="244" t="s">
        <v>68</v>
      </c>
      <c r="VFL312" s="245" t="s">
        <v>68</v>
      </c>
      <c r="VFM312" s="1715" t="s">
        <v>0</v>
      </c>
      <c r="VFN312" s="1716"/>
      <c r="VFO312" s="1716"/>
      <c r="VFP312" s="1716"/>
      <c r="VFQ312" s="1716"/>
      <c r="VFR312" s="244"/>
      <c r="VFS312" s="244" t="s">
        <v>68</v>
      </c>
      <c r="VFT312" s="245" t="s">
        <v>68</v>
      </c>
      <c r="VFU312" s="1715" t="s">
        <v>0</v>
      </c>
      <c r="VFV312" s="1716"/>
      <c r="VFW312" s="1716"/>
      <c r="VFX312" s="1716"/>
      <c r="VFY312" s="1716"/>
      <c r="VFZ312" s="244"/>
      <c r="VGA312" s="244" t="s">
        <v>68</v>
      </c>
      <c r="VGB312" s="245" t="s">
        <v>68</v>
      </c>
      <c r="VGC312" s="1715" t="s">
        <v>0</v>
      </c>
      <c r="VGD312" s="1716"/>
      <c r="VGE312" s="1716"/>
      <c r="VGF312" s="1716"/>
      <c r="VGG312" s="1716"/>
      <c r="VGH312" s="244"/>
      <c r="VGI312" s="244" t="s">
        <v>68</v>
      </c>
      <c r="VGJ312" s="245" t="s">
        <v>68</v>
      </c>
      <c r="VGK312" s="1715" t="s">
        <v>0</v>
      </c>
      <c r="VGL312" s="1716"/>
      <c r="VGM312" s="1716"/>
      <c r="VGN312" s="1716"/>
      <c r="VGO312" s="1716"/>
      <c r="VGP312" s="244"/>
      <c r="VGQ312" s="244" t="s">
        <v>68</v>
      </c>
      <c r="VGR312" s="245" t="s">
        <v>68</v>
      </c>
      <c r="VGS312" s="1715" t="s">
        <v>0</v>
      </c>
      <c r="VGT312" s="1716"/>
      <c r="VGU312" s="1716"/>
      <c r="VGV312" s="1716"/>
      <c r="VGW312" s="1716"/>
      <c r="VGX312" s="244"/>
      <c r="VGY312" s="244" t="s">
        <v>68</v>
      </c>
      <c r="VGZ312" s="245" t="s">
        <v>68</v>
      </c>
      <c r="VHA312" s="1715" t="s">
        <v>0</v>
      </c>
      <c r="VHB312" s="1716"/>
      <c r="VHC312" s="1716"/>
      <c r="VHD312" s="1716"/>
      <c r="VHE312" s="1716"/>
      <c r="VHF312" s="244"/>
      <c r="VHG312" s="244" t="s">
        <v>68</v>
      </c>
      <c r="VHH312" s="245" t="s">
        <v>68</v>
      </c>
      <c r="VHI312" s="1715" t="s">
        <v>0</v>
      </c>
      <c r="VHJ312" s="1716"/>
      <c r="VHK312" s="1716"/>
      <c r="VHL312" s="1716"/>
      <c r="VHM312" s="1716"/>
      <c r="VHN312" s="244"/>
      <c r="VHO312" s="244" t="s">
        <v>68</v>
      </c>
      <c r="VHP312" s="245" t="s">
        <v>68</v>
      </c>
      <c r="VHQ312" s="1715" t="s">
        <v>0</v>
      </c>
      <c r="VHR312" s="1716"/>
      <c r="VHS312" s="1716"/>
      <c r="VHT312" s="1716"/>
      <c r="VHU312" s="1716"/>
      <c r="VHV312" s="244"/>
      <c r="VHW312" s="244" t="s">
        <v>68</v>
      </c>
      <c r="VHX312" s="245" t="s">
        <v>68</v>
      </c>
      <c r="VHY312" s="1715" t="s">
        <v>0</v>
      </c>
      <c r="VHZ312" s="1716"/>
      <c r="VIA312" s="1716"/>
      <c r="VIB312" s="1716"/>
      <c r="VIC312" s="1716"/>
      <c r="VID312" s="244"/>
      <c r="VIE312" s="244" t="s">
        <v>68</v>
      </c>
      <c r="VIF312" s="245" t="s">
        <v>68</v>
      </c>
      <c r="VIG312" s="1715" t="s">
        <v>0</v>
      </c>
      <c r="VIH312" s="1716"/>
      <c r="VII312" s="1716"/>
      <c r="VIJ312" s="1716"/>
      <c r="VIK312" s="1716"/>
      <c r="VIL312" s="244"/>
      <c r="VIM312" s="244" t="s">
        <v>68</v>
      </c>
      <c r="VIN312" s="245" t="s">
        <v>68</v>
      </c>
      <c r="VIO312" s="1715" t="s">
        <v>0</v>
      </c>
      <c r="VIP312" s="1716"/>
      <c r="VIQ312" s="1716"/>
      <c r="VIR312" s="1716"/>
      <c r="VIS312" s="1716"/>
      <c r="VIT312" s="244"/>
      <c r="VIU312" s="244" t="s">
        <v>68</v>
      </c>
      <c r="VIV312" s="245" t="s">
        <v>68</v>
      </c>
      <c r="VIW312" s="1715" t="s">
        <v>0</v>
      </c>
      <c r="VIX312" s="1716"/>
      <c r="VIY312" s="1716"/>
      <c r="VIZ312" s="1716"/>
      <c r="VJA312" s="1716"/>
      <c r="VJB312" s="244"/>
      <c r="VJC312" s="244" t="s">
        <v>68</v>
      </c>
      <c r="VJD312" s="245" t="s">
        <v>68</v>
      </c>
      <c r="VJE312" s="1715" t="s">
        <v>0</v>
      </c>
      <c r="VJF312" s="1716"/>
      <c r="VJG312" s="1716"/>
      <c r="VJH312" s="1716"/>
      <c r="VJI312" s="1716"/>
      <c r="VJJ312" s="244"/>
      <c r="VJK312" s="244" t="s">
        <v>68</v>
      </c>
      <c r="VJL312" s="245" t="s">
        <v>68</v>
      </c>
      <c r="VJM312" s="1715" t="s">
        <v>0</v>
      </c>
      <c r="VJN312" s="1716"/>
      <c r="VJO312" s="1716"/>
      <c r="VJP312" s="1716"/>
      <c r="VJQ312" s="1716"/>
      <c r="VJR312" s="244"/>
      <c r="VJS312" s="244" t="s">
        <v>68</v>
      </c>
      <c r="VJT312" s="245" t="s">
        <v>68</v>
      </c>
      <c r="VJU312" s="1715" t="s">
        <v>0</v>
      </c>
      <c r="VJV312" s="1716"/>
      <c r="VJW312" s="1716"/>
      <c r="VJX312" s="1716"/>
      <c r="VJY312" s="1716"/>
      <c r="VJZ312" s="244"/>
      <c r="VKA312" s="244" t="s">
        <v>68</v>
      </c>
      <c r="VKB312" s="245" t="s">
        <v>68</v>
      </c>
      <c r="VKC312" s="1715" t="s">
        <v>0</v>
      </c>
      <c r="VKD312" s="1716"/>
      <c r="VKE312" s="1716"/>
      <c r="VKF312" s="1716"/>
      <c r="VKG312" s="1716"/>
      <c r="VKH312" s="244"/>
      <c r="VKI312" s="244" t="s">
        <v>68</v>
      </c>
      <c r="VKJ312" s="245" t="s">
        <v>68</v>
      </c>
      <c r="VKK312" s="1715" t="s">
        <v>0</v>
      </c>
      <c r="VKL312" s="1716"/>
      <c r="VKM312" s="1716"/>
      <c r="VKN312" s="1716"/>
      <c r="VKO312" s="1716"/>
      <c r="VKP312" s="244"/>
      <c r="VKQ312" s="244" t="s">
        <v>68</v>
      </c>
      <c r="VKR312" s="245" t="s">
        <v>68</v>
      </c>
      <c r="VKS312" s="1715" t="s">
        <v>0</v>
      </c>
      <c r="VKT312" s="1716"/>
      <c r="VKU312" s="1716"/>
      <c r="VKV312" s="1716"/>
      <c r="VKW312" s="1716"/>
      <c r="VKX312" s="244"/>
      <c r="VKY312" s="244" t="s">
        <v>68</v>
      </c>
      <c r="VKZ312" s="245" t="s">
        <v>68</v>
      </c>
      <c r="VLA312" s="1715" t="s">
        <v>0</v>
      </c>
      <c r="VLB312" s="1716"/>
      <c r="VLC312" s="1716"/>
      <c r="VLD312" s="1716"/>
      <c r="VLE312" s="1716"/>
      <c r="VLF312" s="244"/>
      <c r="VLG312" s="244" t="s">
        <v>68</v>
      </c>
      <c r="VLH312" s="245" t="s">
        <v>68</v>
      </c>
      <c r="VLI312" s="1715" t="s">
        <v>0</v>
      </c>
      <c r="VLJ312" s="1716"/>
      <c r="VLK312" s="1716"/>
      <c r="VLL312" s="1716"/>
      <c r="VLM312" s="1716"/>
      <c r="VLN312" s="244"/>
      <c r="VLO312" s="244" t="s">
        <v>68</v>
      </c>
      <c r="VLP312" s="245" t="s">
        <v>68</v>
      </c>
      <c r="VLQ312" s="1715" t="s">
        <v>0</v>
      </c>
      <c r="VLR312" s="1716"/>
      <c r="VLS312" s="1716"/>
      <c r="VLT312" s="1716"/>
      <c r="VLU312" s="1716"/>
      <c r="VLV312" s="244"/>
      <c r="VLW312" s="244" t="s">
        <v>68</v>
      </c>
      <c r="VLX312" s="245" t="s">
        <v>68</v>
      </c>
      <c r="VLY312" s="1715" t="s">
        <v>0</v>
      </c>
      <c r="VLZ312" s="1716"/>
      <c r="VMA312" s="1716"/>
      <c r="VMB312" s="1716"/>
      <c r="VMC312" s="1716"/>
      <c r="VMD312" s="244"/>
      <c r="VME312" s="244" t="s">
        <v>68</v>
      </c>
      <c r="VMF312" s="245" t="s">
        <v>68</v>
      </c>
      <c r="VMG312" s="1715" t="s">
        <v>0</v>
      </c>
      <c r="VMH312" s="1716"/>
      <c r="VMI312" s="1716"/>
      <c r="VMJ312" s="1716"/>
      <c r="VMK312" s="1716"/>
      <c r="VML312" s="244"/>
      <c r="VMM312" s="244" t="s">
        <v>68</v>
      </c>
      <c r="VMN312" s="245" t="s">
        <v>68</v>
      </c>
      <c r="VMO312" s="1715" t="s">
        <v>0</v>
      </c>
      <c r="VMP312" s="1716"/>
      <c r="VMQ312" s="1716"/>
      <c r="VMR312" s="1716"/>
      <c r="VMS312" s="1716"/>
      <c r="VMT312" s="244"/>
      <c r="VMU312" s="244" t="s">
        <v>68</v>
      </c>
      <c r="VMV312" s="245" t="s">
        <v>68</v>
      </c>
      <c r="VMW312" s="1715" t="s">
        <v>0</v>
      </c>
      <c r="VMX312" s="1716"/>
      <c r="VMY312" s="1716"/>
      <c r="VMZ312" s="1716"/>
      <c r="VNA312" s="1716"/>
      <c r="VNB312" s="244"/>
      <c r="VNC312" s="244" t="s">
        <v>68</v>
      </c>
      <c r="VND312" s="245" t="s">
        <v>68</v>
      </c>
      <c r="VNE312" s="1715" t="s">
        <v>0</v>
      </c>
      <c r="VNF312" s="1716"/>
      <c r="VNG312" s="1716"/>
      <c r="VNH312" s="1716"/>
      <c r="VNI312" s="1716"/>
      <c r="VNJ312" s="244"/>
      <c r="VNK312" s="244" t="s">
        <v>68</v>
      </c>
      <c r="VNL312" s="245" t="s">
        <v>68</v>
      </c>
      <c r="VNM312" s="1715" t="s">
        <v>0</v>
      </c>
      <c r="VNN312" s="1716"/>
      <c r="VNO312" s="1716"/>
      <c r="VNP312" s="1716"/>
      <c r="VNQ312" s="1716"/>
      <c r="VNR312" s="244"/>
      <c r="VNS312" s="244" t="s">
        <v>68</v>
      </c>
      <c r="VNT312" s="245" t="s">
        <v>68</v>
      </c>
      <c r="VNU312" s="1715" t="s">
        <v>0</v>
      </c>
      <c r="VNV312" s="1716"/>
      <c r="VNW312" s="1716"/>
      <c r="VNX312" s="1716"/>
      <c r="VNY312" s="1716"/>
      <c r="VNZ312" s="244"/>
      <c r="VOA312" s="244" t="s">
        <v>68</v>
      </c>
      <c r="VOB312" s="245" t="s">
        <v>68</v>
      </c>
      <c r="VOC312" s="1715" t="s">
        <v>0</v>
      </c>
      <c r="VOD312" s="1716"/>
      <c r="VOE312" s="1716"/>
      <c r="VOF312" s="1716"/>
      <c r="VOG312" s="1716"/>
      <c r="VOH312" s="244"/>
      <c r="VOI312" s="244" t="s">
        <v>68</v>
      </c>
      <c r="VOJ312" s="245" t="s">
        <v>68</v>
      </c>
      <c r="VOK312" s="1715" t="s">
        <v>0</v>
      </c>
      <c r="VOL312" s="1716"/>
      <c r="VOM312" s="1716"/>
      <c r="VON312" s="1716"/>
      <c r="VOO312" s="1716"/>
      <c r="VOP312" s="244"/>
      <c r="VOQ312" s="244" t="s">
        <v>68</v>
      </c>
      <c r="VOR312" s="245" t="s">
        <v>68</v>
      </c>
      <c r="VOS312" s="1715" t="s">
        <v>0</v>
      </c>
      <c r="VOT312" s="1716"/>
      <c r="VOU312" s="1716"/>
      <c r="VOV312" s="1716"/>
      <c r="VOW312" s="1716"/>
      <c r="VOX312" s="244"/>
      <c r="VOY312" s="244" t="s">
        <v>68</v>
      </c>
      <c r="VOZ312" s="245" t="s">
        <v>68</v>
      </c>
      <c r="VPA312" s="1715" t="s">
        <v>0</v>
      </c>
      <c r="VPB312" s="1716"/>
      <c r="VPC312" s="1716"/>
      <c r="VPD312" s="1716"/>
      <c r="VPE312" s="1716"/>
      <c r="VPF312" s="244"/>
      <c r="VPG312" s="244" t="s">
        <v>68</v>
      </c>
      <c r="VPH312" s="245" t="s">
        <v>68</v>
      </c>
      <c r="VPI312" s="1715" t="s">
        <v>0</v>
      </c>
      <c r="VPJ312" s="1716"/>
      <c r="VPK312" s="1716"/>
      <c r="VPL312" s="1716"/>
      <c r="VPM312" s="1716"/>
      <c r="VPN312" s="244"/>
      <c r="VPO312" s="244" t="s">
        <v>68</v>
      </c>
      <c r="VPP312" s="245" t="s">
        <v>68</v>
      </c>
      <c r="VPQ312" s="1715" t="s">
        <v>0</v>
      </c>
      <c r="VPR312" s="1716"/>
      <c r="VPS312" s="1716"/>
      <c r="VPT312" s="1716"/>
      <c r="VPU312" s="1716"/>
      <c r="VPV312" s="244"/>
      <c r="VPW312" s="244" t="s">
        <v>68</v>
      </c>
      <c r="VPX312" s="245" t="s">
        <v>68</v>
      </c>
      <c r="VPY312" s="1715" t="s">
        <v>0</v>
      </c>
      <c r="VPZ312" s="1716"/>
      <c r="VQA312" s="1716"/>
      <c r="VQB312" s="1716"/>
      <c r="VQC312" s="1716"/>
      <c r="VQD312" s="244"/>
      <c r="VQE312" s="244" t="s">
        <v>68</v>
      </c>
      <c r="VQF312" s="245" t="s">
        <v>68</v>
      </c>
      <c r="VQG312" s="1715" t="s">
        <v>0</v>
      </c>
      <c r="VQH312" s="1716"/>
      <c r="VQI312" s="1716"/>
      <c r="VQJ312" s="1716"/>
      <c r="VQK312" s="1716"/>
      <c r="VQL312" s="244"/>
      <c r="VQM312" s="244" t="s">
        <v>68</v>
      </c>
      <c r="VQN312" s="245" t="s">
        <v>68</v>
      </c>
      <c r="VQO312" s="1715" t="s">
        <v>0</v>
      </c>
      <c r="VQP312" s="1716"/>
      <c r="VQQ312" s="1716"/>
      <c r="VQR312" s="1716"/>
      <c r="VQS312" s="1716"/>
      <c r="VQT312" s="244"/>
      <c r="VQU312" s="244" t="s">
        <v>68</v>
      </c>
      <c r="VQV312" s="245" t="s">
        <v>68</v>
      </c>
      <c r="VQW312" s="1715" t="s">
        <v>0</v>
      </c>
      <c r="VQX312" s="1716"/>
      <c r="VQY312" s="1716"/>
      <c r="VQZ312" s="1716"/>
      <c r="VRA312" s="1716"/>
      <c r="VRB312" s="244"/>
      <c r="VRC312" s="244" t="s">
        <v>68</v>
      </c>
      <c r="VRD312" s="245" t="s">
        <v>68</v>
      </c>
      <c r="VRE312" s="1715" t="s">
        <v>0</v>
      </c>
      <c r="VRF312" s="1716"/>
      <c r="VRG312" s="1716"/>
      <c r="VRH312" s="1716"/>
      <c r="VRI312" s="1716"/>
      <c r="VRJ312" s="244"/>
      <c r="VRK312" s="244" t="s">
        <v>68</v>
      </c>
      <c r="VRL312" s="245" t="s">
        <v>68</v>
      </c>
      <c r="VRM312" s="1715" t="s">
        <v>0</v>
      </c>
      <c r="VRN312" s="1716"/>
      <c r="VRO312" s="1716"/>
      <c r="VRP312" s="1716"/>
      <c r="VRQ312" s="1716"/>
      <c r="VRR312" s="244"/>
      <c r="VRS312" s="244" t="s">
        <v>68</v>
      </c>
      <c r="VRT312" s="245" t="s">
        <v>68</v>
      </c>
      <c r="VRU312" s="1715" t="s">
        <v>0</v>
      </c>
      <c r="VRV312" s="1716"/>
      <c r="VRW312" s="1716"/>
      <c r="VRX312" s="1716"/>
      <c r="VRY312" s="1716"/>
      <c r="VRZ312" s="244"/>
      <c r="VSA312" s="244" t="s">
        <v>68</v>
      </c>
      <c r="VSB312" s="245" t="s">
        <v>68</v>
      </c>
      <c r="VSC312" s="1715" t="s">
        <v>0</v>
      </c>
      <c r="VSD312" s="1716"/>
      <c r="VSE312" s="1716"/>
      <c r="VSF312" s="1716"/>
      <c r="VSG312" s="1716"/>
      <c r="VSH312" s="244"/>
      <c r="VSI312" s="244" t="s">
        <v>68</v>
      </c>
      <c r="VSJ312" s="245" t="s">
        <v>68</v>
      </c>
      <c r="VSK312" s="1715" t="s">
        <v>0</v>
      </c>
      <c r="VSL312" s="1716"/>
      <c r="VSM312" s="1716"/>
      <c r="VSN312" s="1716"/>
      <c r="VSO312" s="1716"/>
      <c r="VSP312" s="244"/>
      <c r="VSQ312" s="244" t="s">
        <v>68</v>
      </c>
      <c r="VSR312" s="245" t="s">
        <v>68</v>
      </c>
      <c r="VSS312" s="1715" t="s">
        <v>0</v>
      </c>
      <c r="VST312" s="1716"/>
      <c r="VSU312" s="1716"/>
      <c r="VSV312" s="1716"/>
      <c r="VSW312" s="1716"/>
      <c r="VSX312" s="244"/>
      <c r="VSY312" s="244" t="s">
        <v>68</v>
      </c>
      <c r="VSZ312" s="245" t="s">
        <v>68</v>
      </c>
      <c r="VTA312" s="1715" t="s">
        <v>0</v>
      </c>
      <c r="VTB312" s="1716"/>
      <c r="VTC312" s="1716"/>
      <c r="VTD312" s="1716"/>
      <c r="VTE312" s="1716"/>
      <c r="VTF312" s="244"/>
      <c r="VTG312" s="244" t="s">
        <v>68</v>
      </c>
      <c r="VTH312" s="245" t="s">
        <v>68</v>
      </c>
      <c r="VTI312" s="1715" t="s">
        <v>0</v>
      </c>
      <c r="VTJ312" s="1716"/>
      <c r="VTK312" s="1716"/>
      <c r="VTL312" s="1716"/>
      <c r="VTM312" s="1716"/>
      <c r="VTN312" s="244"/>
      <c r="VTO312" s="244" t="s">
        <v>68</v>
      </c>
      <c r="VTP312" s="245" t="s">
        <v>68</v>
      </c>
      <c r="VTQ312" s="1715" t="s">
        <v>0</v>
      </c>
      <c r="VTR312" s="1716"/>
      <c r="VTS312" s="1716"/>
      <c r="VTT312" s="1716"/>
      <c r="VTU312" s="1716"/>
      <c r="VTV312" s="244"/>
      <c r="VTW312" s="244" t="s">
        <v>68</v>
      </c>
      <c r="VTX312" s="245" t="s">
        <v>68</v>
      </c>
      <c r="VTY312" s="1715" t="s">
        <v>0</v>
      </c>
      <c r="VTZ312" s="1716"/>
      <c r="VUA312" s="1716"/>
      <c r="VUB312" s="1716"/>
      <c r="VUC312" s="1716"/>
      <c r="VUD312" s="244"/>
      <c r="VUE312" s="244" t="s">
        <v>68</v>
      </c>
      <c r="VUF312" s="245" t="s">
        <v>68</v>
      </c>
      <c r="VUG312" s="1715" t="s">
        <v>0</v>
      </c>
      <c r="VUH312" s="1716"/>
      <c r="VUI312" s="1716"/>
      <c r="VUJ312" s="1716"/>
      <c r="VUK312" s="1716"/>
      <c r="VUL312" s="244"/>
      <c r="VUM312" s="244" t="s">
        <v>68</v>
      </c>
      <c r="VUN312" s="245" t="s">
        <v>68</v>
      </c>
      <c r="VUO312" s="1715" t="s">
        <v>0</v>
      </c>
      <c r="VUP312" s="1716"/>
      <c r="VUQ312" s="1716"/>
      <c r="VUR312" s="1716"/>
      <c r="VUS312" s="1716"/>
      <c r="VUT312" s="244"/>
      <c r="VUU312" s="244" t="s">
        <v>68</v>
      </c>
      <c r="VUV312" s="245" t="s">
        <v>68</v>
      </c>
      <c r="VUW312" s="1715" t="s">
        <v>0</v>
      </c>
      <c r="VUX312" s="1716"/>
      <c r="VUY312" s="1716"/>
      <c r="VUZ312" s="1716"/>
      <c r="VVA312" s="1716"/>
      <c r="VVB312" s="244"/>
      <c r="VVC312" s="244" t="s">
        <v>68</v>
      </c>
      <c r="VVD312" s="245" t="s">
        <v>68</v>
      </c>
      <c r="VVE312" s="1715" t="s">
        <v>0</v>
      </c>
      <c r="VVF312" s="1716"/>
      <c r="VVG312" s="1716"/>
      <c r="VVH312" s="1716"/>
      <c r="VVI312" s="1716"/>
      <c r="VVJ312" s="244"/>
      <c r="VVK312" s="244" t="s">
        <v>68</v>
      </c>
      <c r="VVL312" s="245" t="s">
        <v>68</v>
      </c>
      <c r="VVM312" s="1715" t="s">
        <v>0</v>
      </c>
      <c r="VVN312" s="1716"/>
      <c r="VVO312" s="1716"/>
      <c r="VVP312" s="1716"/>
      <c r="VVQ312" s="1716"/>
      <c r="VVR312" s="244"/>
      <c r="VVS312" s="244" t="s">
        <v>68</v>
      </c>
      <c r="VVT312" s="245" t="s">
        <v>68</v>
      </c>
      <c r="VVU312" s="1715" t="s">
        <v>0</v>
      </c>
      <c r="VVV312" s="1716"/>
      <c r="VVW312" s="1716"/>
      <c r="VVX312" s="1716"/>
      <c r="VVY312" s="1716"/>
      <c r="VVZ312" s="244"/>
      <c r="VWA312" s="244" t="s">
        <v>68</v>
      </c>
      <c r="VWB312" s="245" t="s">
        <v>68</v>
      </c>
      <c r="VWC312" s="1715" t="s">
        <v>0</v>
      </c>
      <c r="VWD312" s="1716"/>
      <c r="VWE312" s="1716"/>
      <c r="VWF312" s="1716"/>
      <c r="VWG312" s="1716"/>
      <c r="VWH312" s="244"/>
      <c r="VWI312" s="244" t="s">
        <v>68</v>
      </c>
      <c r="VWJ312" s="245" t="s">
        <v>68</v>
      </c>
      <c r="VWK312" s="1715" t="s">
        <v>0</v>
      </c>
      <c r="VWL312" s="1716"/>
      <c r="VWM312" s="1716"/>
      <c r="VWN312" s="1716"/>
      <c r="VWO312" s="1716"/>
      <c r="VWP312" s="244"/>
      <c r="VWQ312" s="244" t="s">
        <v>68</v>
      </c>
      <c r="VWR312" s="245" t="s">
        <v>68</v>
      </c>
      <c r="VWS312" s="1715" t="s">
        <v>0</v>
      </c>
      <c r="VWT312" s="1716"/>
      <c r="VWU312" s="1716"/>
      <c r="VWV312" s="1716"/>
      <c r="VWW312" s="1716"/>
      <c r="VWX312" s="244"/>
      <c r="VWY312" s="244" t="s">
        <v>68</v>
      </c>
      <c r="VWZ312" s="245" t="s">
        <v>68</v>
      </c>
      <c r="VXA312" s="1715" t="s">
        <v>0</v>
      </c>
      <c r="VXB312" s="1716"/>
      <c r="VXC312" s="1716"/>
      <c r="VXD312" s="1716"/>
      <c r="VXE312" s="1716"/>
      <c r="VXF312" s="244"/>
      <c r="VXG312" s="244" t="s">
        <v>68</v>
      </c>
      <c r="VXH312" s="245" t="s">
        <v>68</v>
      </c>
      <c r="VXI312" s="1715" t="s">
        <v>0</v>
      </c>
      <c r="VXJ312" s="1716"/>
      <c r="VXK312" s="1716"/>
      <c r="VXL312" s="1716"/>
      <c r="VXM312" s="1716"/>
      <c r="VXN312" s="244"/>
      <c r="VXO312" s="244" t="s">
        <v>68</v>
      </c>
      <c r="VXP312" s="245" t="s">
        <v>68</v>
      </c>
      <c r="VXQ312" s="1715" t="s">
        <v>0</v>
      </c>
      <c r="VXR312" s="1716"/>
      <c r="VXS312" s="1716"/>
      <c r="VXT312" s="1716"/>
      <c r="VXU312" s="1716"/>
      <c r="VXV312" s="244"/>
      <c r="VXW312" s="244" t="s">
        <v>68</v>
      </c>
      <c r="VXX312" s="245" t="s">
        <v>68</v>
      </c>
      <c r="VXY312" s="1715" t="s">
        <v>0</v>
      </c>
      <c r="VXZ312" s="1716"/>
      <c r="VYA312" s="1716"/>
      <c r="VYB312" s="1716"/>
      <c r="VYC312" s="1716"/>
      <c r="VYD312" s="244"/>
      <c r="VYE312" s="244" t="s">
        <v>68</v>
      </c>
      <c r="VYF312" s="245" t="s">
        <v>68</v>
      </c>
      <c r="VYG312" s="1715" t="s">
        <v>0</v>
      </c>
      <c r="VYH312" s="1716"/>
      <c r="VYI312" s="1716"/>
      <c r="VYJ312" s="1716"/>
      <c r="VYK312" s="1716"/>
      <c r="VYL312" s="244"/>
      <c r="VYM312" s="244" t="s">
        <v>68</v>
      </c>
      <c r="VYN312" s="245" t="s">
        <v>68</v>
      </c>
      <c r="VYO312" s="1715" t="s">
        <v>0</v>
      </c>
      <c r="VYP312" s="1716"/>
      <c r="VYQ312" s="1716"/>
      <c r="VYR312" s="1716"/>
      <c r="VYS312" s="1716"/>
      <c r="VYT312" s="244"/>
      <c r="VYU312" s="244" t="s">
        <v>68</v>
      </c>
      <c r="VYV312" s="245" t="s">
        <v>68</v>
      </c>
      <c r="VYW312" s="1715" t="s">
        <v>0</v>
      </c>
      <c r="VYX312" s="1716"/>
      <c r="VYY312" s="1716"/>
      <c r="VYZ312" s="1716"/>
      <c r="VZA312" s="1716"/>
      <c r="VZB312" s="244"/>
      <c r="VZC312" s="244" t="s">
        <v>68</v>
      </c>
      <c r="VZD312" s="245" t="s">
        <v>68</v>
      </c>
      <c r="VZE312" s="1715" t="s">
        <v>0</v>
      </c>
      <c r="VZF312" s="1716"/>
      <c r="VZG312" s="1716"/>
      <c r="VZH312" s="1716"/>
      <c r="VZI312" s="1716"/>
      <c r="VZJ312" s="244"/>
      <c r="VZK312" s="244" t="s">
        <v>68</v>
      </c>
      <c r="VZL312" s="245" t="s">
        <v>68</v>
      </c>
      <c r="VZM312" s="1715" t="s">
        <v>0</v>
      </c>
      <c r="VZN312" s="1716"/>
      <c r="VZO312" s="1716"/>
      <c r="VZP312" s="1716"/>
      <c r="VZQ312" s="1716"/>
      <c r="VZR312" s="244"/>
      <c r="VZS312" s="244" t="s">
        <v>68</v>
      </c>
      <c r="VZT312" s="245" t="s">
        <v>68</v>
      </c>
      <c r="VZU312" s="1715" t="s">
        <v>0</v>
      </c>
      <c r="VZV312" s="1716"/>
      <c r="VZW312" s="1716"/>
      <c r="VZX312" s="1716"/>
      <c r="VZY312" s="1716"/>
      <c r="VZZ312" s="244"/>
      <c r="WAA312" s="244" t="s">
        <v>68</v>
      </c>
      <c r="WAB312" s="245" t="s">
        <v>68</v>
      </c>
      <c r="WAC312" s="1715" t="s">
        <v>0</v>
      </c>
      <c r="WAD312" s="1716"/>
      <c r="WAE312" s="1716"/>
      <c r="WAF312" s="1716"/>
      <c r="WAG312" s="1716"/>
      <c r="WAH312" s="244"/>
      <c r="WAI312" s="244" t="s">
        <v>68</v>
      </c>
      <c r="WAJ312" s="245" t="s">
        <v>68</v>
      </c>
      <c r="WAK312" s="1715" t="s">
        <v>0</v>
      </c>
      <c r="WAL312" s="1716"/>
      <c r="WAM312" s="1716"/>
      <c r="WAN312" s="1716"/>
      <c r="WAO312" s="1716"/>
      <c r="WAP312" s="244"/>
      <c r="WAQ312" s="244" t="s">
        <v>68</v>
      </c>
      <c r="WAR312" s="245" t="s">
        <v>68</v>
      </c>
      <c r="WAS312" s="1715" t="s">
        <v>0</v>
      </c>
      <c r="WAT312" s="1716"/>
      <c r="WAU312" s="1716"/>
      <c r="WAV312" s="1716"/>
      <c r="WAW312" s="1716"/>
      <c r="WAX312" s="244"/>
      <c r="WAY312" s="244" t="s">
        <v>68</v>
      </c>
      <c r="WAZ312" s="245" t="s">
        <v>68</v>
      </c>
      <c r="WBA312" s="1715" t="s">
        <v>0</v>
      </c>
      <c r="WBB312" s="1716"/>
      <c r="WBC312" s="1716"/>
      <c r="WBD312" s="1716"/>
      <c r="WBE312" s="1716"/>
      <c r="WBF312" s="244"/>
      <c r="WBG312" s="244" t="s">
        <v>68</v>
      </c>
      <c r="WBH312" s="245" t="s">
        <v>68</v>
      </c>
      <c r="WBI312" s="1715" t="s">
        <v>0</v>
      </c>
      <c r="WBJ312" s="1716"/>
      <c r="WBK312" s="1716"/>
      <c r="WBL312" s="1716"/>
      <c r="WBM312" s="1716"/>
      <c r="WBN312" s="244"/>
      <c r="WBO312" s="244" t="s">
        <v>68</v>
      </c>
      <c r="WBP312" s="245" t="s">
        <v>68</v>
      </c>
      <c r="WBQ312" s="1715" t="s">
        <v>0</v>
      </c>
      <c r="WBR312" s="1716"/>
      <c r="WBS312" s="1716"/>
      <c r="WBT312" s="1716"/>
      <c r="WBU312" s="1716"/>
      <c r="WBV312" s="244"/>
      <c r="WBW312" s="244" t="s">
        <v>68</v>
      </c>
      <c r="WBX312" s="245" t="s">
        <v>68</v>
      </c>
      <c r="WBY312" s="1715" t="s">
        <v>0</v>
      </c>
      <c r="WBZ312" s="1716"/>
      <c r="WCA312" s="1716"/>
      <c r="WCB312" s="1716"/>
      <c r="WCC312" s="1716"/>
      <c r="WCD312" s="244"/>
      <c r="WCE312" s="244" t="s">
        <v>68</v>
      </c>
      <c r="WCF312" s="245" t="s">
        <v>68</v>
      </c>
      <c r="WCG312" s="1715" t="s">
        <v>0</v>
      </c>
      <c r="WCH312" s="1716"/>
      <c r="WCI312" s="1716"/>
      <c r="WCJ312" s="1716"/>
      <c r="WCK312" s="1716"/>
      <c r="WCL312" s="244"/>
      <c r="WCM312" s="244" t="s">
        <v>68</v>
      </c>
      <c r="WCN312" s="245" t="s">
        <v>68</v>
      </c>
      <c r="WCO312" s="1715" t="s">
        <v>0</v>
      </c>
      <c r="WCP312" s="1716"/>
      <c r="WCQ312" s="1716"/>
      <c r="WCR312" s="1716"/>
      <c r="WCS312" s="1716"/>
      <c r="WCT312" s="244"/>
      <c r="WCU312" s="244" t="s">
        <v>68</v>
      </c>
      <c r="WCV312" s="245" t="s">
        <v>68</v>
      </c>
      <c r="WCW312" s="1715" t="s">
        <v>0</v>
      </c>
      <c r="WCX312" s="1716"/>
      <c r="WCY312" s="1716"/>
      <c r="WCZ312" s="1716"/>
      <c r="WDA312" s="1716"/>
      <c r="WDB312" s="244"/>
      <c r="WDC312" s="244" t="s">
        <v>68</v>
      </c>
      <c r="WDD312" s="245" t="s">
        <v>68</v>
      </c>
      <c r="WDE312" s="1715" t="s">
        <v>0</v>
      </c>
      <c r="WDF312" s="1716"/>
      <c r="WDG312" s="1716"/>
      <c r="WDH312" s="1716"/>
      <c r="WDI312" s="1716"/>
      <c r="WDJ312" s="244"/>
      <c r="WDK312" s="244" t="s">
        <v>68</v>
      </c>
      <c r="WDL312" s="245" t="s">
        <v>68</v>
      </c>
      <c r="WDM312" s="1715" t="s">
        <v>0</v>
      </c>
      <c r="WDN312" s="1716"/>
      <c r="WDO312" s="1716"/>
      <c r="WDP312" s="1716"/>
      <c r="WDQ312" s="1716"/>
      <c r="WDR312" s="244"/>
      <c r="WDS312" s="244" t="s">
        <v>68</v>
      </c>
      <c r="WDT312" s="245" t="s">
        <v>68</v>
      </c>
      <c r="WDU312" s="1715" t="s">
        <v>0</v>
      </c>
      <c r="WDV312" s="1716"/>
      <c r="WDW312" s="1716"/>
      <c r="WDX312" s="1716"/>
      <c r="WDY312" s="1716"/>
      <c r="WDZ312" s="244"/>
      <c r="WEA312" s="244" t="s">
        <v>68</v>
      </c>
      <c r="WEB312" s="245" t="s">
        <v>68</v>
      </c>
      <c r="WEC312" s="1715" t="s">
        <v>0</v>
      </c>
      <c r="WED312" s="1716"/>
      <c r="WEE312" s="1716"/>
      <c r="WEF312" s="1716"/>
      <c r="WEG312" s="1716"/>
      <c r="WEH312" s="244"/>
      <c r="WEI312" s="244" t="s">
        <v>68</v>
      </c>
      <c r="WEJ312" s="245" t="s">
        <v>68</v>
      </c>
      <c r="WEK312" s="1715" t="s">
        <v>0</v>
      </c>
      <c r="WEL312" s="1716"/>
      <c r="WEM312" s="1716"/>
      <c r="WEN312" s="1716"/>
      <c r="WEO312" s="1716"/>
      <c r="WEP312" s="244"/>
      <c r="WEQ312" s="244" t="s">
        <v>68</v>
      </c>
      <c r="WER312" s="245" t="s">
        <v>68</v>
      </c>
      <c r="WES312" s="1715" t="s">
        <v>0</v>
      </c>
      <c r="WET312" s="1716"/>
      <c r="WEU312" s="1716"/>
      <c r="WEV312" s="1716"/>
      <c r="WEW312" s="1716"/>
      <c r="WEX312" s="244"/>
      <c r="WEY312" s="244" t="s">
        <v>68</v>
      </c>
      <c r="WEZ312" s="245" t="s">
        <v>68</v>
      </c>
      <c r="WFA312" s="1715" t="s">
        <v>0</v>
      </c>
      <c r="WFB312" s="1716"/>
      <c r="WFC312" s="1716"/>
      <c r="WFD312" s="1716"/>
      <c r="WFE312" s="1716"/>
      <c r="WFF312" s="244"/>
      <c r="WFG312" s="244" t="s">
        <v>68</v>
      </c>
      <c r="WFH312" s="245" t="s">
        <v>68</v>
      </c>
      <c r="WFI312" s="1715" t="s">
        <v>0</v>
      </c>
      <c r="WFJ312" s="1716"/>
      <c r="WFK312" s="1716"/>
      <c r="WFL312" s="1716"/>
      <c r="WFM312" s="1716"/>
      <c r="WFN312" s="244"/>
      <c r="WFO312" s="244" t="s">
        <v>68</v>
      </c>
      <c r="WFP312" s="245" t="s">
        <v>68</v>
      </c>
      <c r="WFQ312" s="1715" t="s">
        <v>0</v>
      </c>
      <c r="WFR312" s="1716"/>
      <c r="WFS312" s="1716"/>
      <c r="WFT312" s="1716"/>
      <c r="WFU312" s="1716"/>
      <c r="WFV312" s="244"/>
      <c r="WFW312" s="244" t="s">
        <v>68</v>
      </c>
      <c r="WFX312" s="245" t="s">
        <v>68</v>
      </c>
      <c r="WFY312" s="1715" t="s">
        <v>0</v>
      </c>
      <c r="WFZ312" s="1716"/>
      <c r="WGA312" s="1716"/>
      <c r="WGB312" s="1716"/>
      <c r="WGC312" s="1716"/>
      <c r="WGD312" s="244"/>
      <c r="WGE312" s="244" t="s">
        <v>68</v>
      </c>
      <c r="WGF312" s="245" t="s">
        <v>68</v>
      </c>
      <c r="WGG312" s="1715" t="s">
        <v>0</v>
      </c>
      <c r="WGH312" s="1716"/>
      <c r="WGI312" s="1716"/>
      <c r="WGJ312" s="1716"/>
      <c r="WGK312" s="1716"/>
      <c r="WGL312" s="244"/>
      <c r="WGM312" s="244" t="s">
        <v>68</v>
      </c>
      <c r="WGN312" s="245" t="s">
        <v>68</v>
      </c>
      <c r="WGO312" s="1715" t="s">
        <v>0</v>
      </c>
      <c r="WGP312" s="1716"/>
      <c r="WGQ312" s="1716"/>
      <c r="WGR312" s="1716"/>
      <c r="WGS312" s="1716"/>
      <c r="WGT312" s="244"/>
      <c r="WGU312" s="244" t="s">
        <v>68</v>
      </c>
      <c r="WGV312" s="245" t="s">
        <v>68</v>
      </c>
      <c r="WGW312" s="1715" t="s">
        <v>0</v>
      </c>
      <c r="WGX312" s="1716"/>
      <c r="WGY312" s="1716"/>
      <c r="WGZ312" s="1716"/>
      <c r="WHA312" s="1716"/>
      <c r="WHB312" s="244"/>
      <c r="WHC312" s="244" t="s">
        <v>68</v>
      </c>
      <c r="WHD312" s="245" t="s">
        <v>68</v>
      </c>
      <c r="WHE312" s="1715" t="s">
        <v>0</v>
      </c>
      <c r="WHF312" s="1716"/>
      <c r="WHG312" s="1716"/>
      <c r="WHH312" s="1716"/>
      <c r="WHI312" s="1716"/>
      <c r="WHJ312" s="244"/>
      <c r="WHK312" s="244" t="s">
        <v>68</v>
      </c>
      <c r="WHL312" s="245" t="s">
        <v>68</v>
      </c>
      <c r="WHM312" s="1715" t="s">
        <v>0</v>
      </c>
      <c r="WHN312" s="1716"/>
      <c r="WHO312" s="1716"/>
      <c r="WHP312" s="1716"/>
      <c r="WHQ312" s="1716"/>
      <c r="WHR312" s="244"/>
      <c r="WHS312" s="244" t="s">
        <v>68</v>
      </c>
      <c r="WHT312" s="245" t="s">
        <v>68</v>
      </c>
      <c r="WHU312" s="1715" t="s">
        <v>0</v>
      </c>
      <c r="WHV312" s="1716"/>
      <c r="WHW312" s="1716"/>
      <c r="WHX312" s="1716"/>
      <c r="WHY312" s="1716"/>
      <c r="WHZ312" s="244"/>
      <c r="WIA312" s="244" t="s">
        <v>68</v>
      </c>
      <c r="WIB312" s="245" t="s">
        <v>68</v>
      </c>
      <c r="WIC312" s="1715" t="s">
        <v>0</v>
      </c>
      <c r="WID312" s="1716"/>
      <c r="WIE312" s="1716"/>
      <c r="WIF312" s="1716"/>
      <c r="WIG312" s="1716"/>
      <c r="WIH312" s="244"/>
      <c r="WII312" s="244" t="s">
        <v>68</v>
      </c>
      <c r="WIJ312" s="245" t="s">
        <v>68</v>
      </c>
      <c r="WIK312" s="1715" t="s">
        <v>0</v>
      </c>
      <c r="WIL312" s="1716"/>
      <c r="WIM312" s="1716"/>
      <c r="WIN312" s="1716"/>
      <c r="WIO312" s="1716"/>
      <c r="WIP312" s="244"/>
      <c r="WIQ312" s="244" t="s">
        <v>68</v>
      </c>
      <c r="WIR312" s="245" t="s">
        <v>68</v>
      </c>
      <c r="WIS312" s="1715" t="s">
        <v>0</v>
      </c>
      <c r="WIT312" s="1716"/>
      <c r="WIU312" s="1716"/>
      <c r="WIV312" s="1716"/>
      <c r="WIW312" s="1716"/>
      <c r="WIX312" s="244"/>
      <c r="WIY312" s="244" t="s">
        <v>68</v>
      </c>
      <c r="WIZ312" s="245" t="s">
        <v>68</v>
      </c>
      <c r="WJA312" s="1715" t="s">
        <v>0</v>
      </c>
      <c r="WJB312" s="1716"/>
      <c r="WJC312" s="1716"/>
      <c r="WJD312" s="1716"/>
      <c r="WJE312" s="1716"/>
      <c r="WJF312" s="244"/>
      <c r="WJG312" s="244" t="s">
        <v>68</v>
      </c>
      <c r="WJH312" s="245" t="s">
        <v>68</v>
      </c>
      <c r="WJI312" s="1715" t="s">
        <v>0</v>
      </c>
      <c r="WJJ312" s="1716"/>
      <c r="WJK312" s="1716"/>
      <c r="WJL312" s="1716"/>
      <c r="WJM312" s="1716"/>
      <c r="WJN312" s="244"/>
      <c r="WJO312" s="244" t="s">
        <v>68</v>
      </c>
      <c r="WJP312" s="245" t="s">
        <v>68</v>
      </c>
      <c r="WJQ312" s="1715" t="s">
        <v>0</v>
      </c>
      <c r="WJR312" s="1716"/>
      <c r="WJS312" s="1716"/>
      <c r="WJT312" s="1716"/>
      <c r="WJU312" s="1716"/>
      <c r="WJV312" s="244"/>
      <c r="WJW312" s="244" t="s">
        <v>68</v>
      </c>
      <c r="WJX312" s="245" t="s">
        <v>68</v>
      </c>
      <c r="WJY312" s="1715" t="s">
        <v>0</v>
      </c>
      <c r="WJZ312" s="1716"/>
      <c r="WKA312" s="1716"/>
      <c r="WKB312" s="1716"/>
      <c r="WKC312" s="1716"/>
      <c r="WKD312" s="244"/>
      <c r="WKE312" s="244" t="s">
        <v>68</v>
      </c>
      <c r="WKF312" s="245" t="s">
        <v>68</v>
      </c>
      <c r="WKG312" s="1715" t="s">
        <v>0</v>
      </c>
      <c r="WKH312" s="1716"/>
      <c r="WKI312" s="1716"/>
      <c r="WKJ312" s="1716"/>
      <c r="WKK312" s="1716"/>
      <c r="WKL312" s="244"/>
      <c r="WKM312" s="244" t="s">
        <v>68</v>
      </c>
      <c r="WKN312" s="245" t="s">
        <v>68</v>
      </c>
      <c r="WKO312" s="1715" t="s">
        <v>0</v>
      </c>
      <c r="WKP312" s="1716"/>
      <c r="WKQ312" s="1716"/>
      <c r="WKR312" s="1716"/>
      <c r="WKS312" s="1716"/>
      <c r="WKT312" s="244"/>
      <c r="WKU312" s="244" t="s">
        <v>68</v>
      </c>
      <c r="WKV312" s="245" t="s">
        <v>68</v>
      </c>
      <c r="WKW312" s="1715" t="s">
        <v>0</v>
      </c>
      <c r="WKX312" s="1716"/>
      <c r="WKY312" s="1716"/>
      <c r="WKZ312" s="1716"/>
      <c r="WLA312" s="1716"/>
      <c r="WLB312" s="244"/>
      <c r="WLC312" s="244" t="s">
        <v>68</v>
      </c>
      <c r="WLD312" s="245" t="s">
        <v>68</v>
      </c>
      <c r="WLE312" s="1715" t="s">
        <v>0</v>
      </c>
      <c r="WLF312" s="1716"/>
      <c r="WLG312" s="1716"/>
      <c r="WLH312" s="1716"/>
      <c r="WLI312" s="1716"/>
      <c r="WLJ312" s="244"/>
      <c r="WLK312" s="244" t="s">
        <v>68</v>
      </c>
      <c r="WLL312" s="245" t="s">
        <v>68</v>
      </c>
      <c r="WLM312" s="1715" t="s">
        <v>0</v>
      </c>
      <c r="WLN312" s="1716"/>
      <c r="WLO312" s="1716"/>
      <c r="WLP312" s="1716"/>
      <c r="WLQ312" s="1716"/>
      <c r="WLR312" s="244"/>
      <c r="WLS312" s="244" t="s">
        <v>68</v>
      </c>
      <c r="WLT312" s="245" t="s">
        <v>68</v>
      </c>
      <c r="WLU312" s="1715" t="s">
        <v>0</v>
      </c>
      <c r="WLV312" s="1716"/>
      <c r="WLW312" s="1716"/>
      <c r="WLX312" s="1716"/>
      <c r="WLY312" s="1716"/>
      <c r="WLZ312" s="244"/>
      <c r="WMA312" s="244" t="s">
        <v>68</v>
      </c>
      <c r="WMB312" s="245" t="s">
        <v>68</v>
      </c>
      <c r="WMC312" s="1715" t="s">
        <v>0</v>
      </c>
      <c r="WMD312" s="1716"/>
      <c r="WME312" s="1716"/>
      <c r="WMF312" s="1716"/>
      <c r="WMG312" s="1716"/>
      <c r="WMH312" s="244"/>
      <c r="WMI312" s="244" t="s">
        <v>68</v>
      </c>
      <c r="WMJ312" s="245" t="s">
        <v>68</v>
      </c>
      <c r="WMK312" s="1715" t="s">
        <v>0</v>
      </c>
      <c r="WML312" s="1716"/>
      <c r="WMM312" s="1716"/>
      <c r="WMN312" s="1716"/>
      <c r="WMO312" s="1716"/>
      <c r="WMP312" s="244"/>
      <c r="WMQ312" s="244" t="s">
        <v>68</v>
      </c>
      <c r="WMR312" s="245" t="s">
        <v>68</v>
      </c>
      <c r="WMS312" s="1715" t="s">
        <v>0</v>
      </c>
      <c r="WMT312" s="1716"/>
      <c r="WMU312" s="1716"/>
      <c r="WMV312" s="1716"/>
      <c r="WMW312" s="1716"/>
      <c r="WMX312" s="244"/>
      <c r="WMY312" s="244" t="s">
        <v>68</v>
      </c>
      <c r="WMZ312" s="245" t="s">
        <v>68</v>
      </c>
      <c r="WNA312" s="1715" t="s">
        <v>0</v>
      </c>
      <c r="WNB312" s="1716"/>
      <c r="WNC312" s="1716"/>
      <c r="WND312" s="1716"/>
      <c r="WNE312" s="1716"/>
      <c r="WNF312" s="244"/>
      <c r="WNG312" s="244" t="s">
        <v>68</v>
      </c>
      <c r="WNH312" s="245" t="s">
        <v>68</v>
      </c>
      <c r="WNI312" s="1715" t="s">
        <v>0</v>
      </c>
      <c r="WNJ312" s="1716"/>
      <c r="WNK312" s="1716"/>
      <c r="WNL312" s="1716"/>
      <c r="WNM312" s="1716"/>
      <c r="WNN312" s="244"/>
      <c r="WNO312" s="244" t="s">
        <v>68</v>
      </c>
      <c r="WNP312" s="245" t="s">
        <v>68</v>
      </c>
      <c r="WNQ312" s="1715" t="s">
        <v>0</v>
      </c>
      <c r="WNR312" s="1716"/>
      <c r="WNS312" s="1716"/>
      <c r="WNT312" s="1716"/>
      <c r="WNU312" s="1716"/>
      <c r="WNV312" s="244"/>
      <c r="WNW312" s="244" t="s">
        <v>68</v>
      </c>
      <c r="WNX312" s="245" t="s">
        <v>68</v>
      </c>
      <c r="WNY312" s="1715" t="s">
        <v>0</v>
      </c>
      <c r="WNZ312" s="1716"/>
      <c r="WOA312" s="1716"/>
      <c r="WOB312" s="1716"/>
      <c r="WOC312" s="1716"/>
      <c r="WOD312" s="244"/>
      <c r="WOE312" s="244" t="s">
        <v>68</v>
      </c>
      <c r="WOF312" s="245" t="s">
        <v>68</v>
      </c>
      <c r="WOG312" s="1715" t="s">
        <v>0</v>
      </c>
      <c r="WOH312" s="1716"/>
      <c r="WOI312" s="1716"/>
      <c r="WOJ312" s="1716"/>
      <c r="WOK312" s="1716"/>
      <c r="WOL312" s="244"/>
      <c r="WOM312" s="244" t="s">
        <v>68</v>
      </c>
      <c r="WON312" s="245" t="s">
        <v>68</v>
      </c>
      <c r="WOO312" s="1715" t="s">
        <v>0</v>
      </c>
      <c r="WOP312" s="1716"/>
      <c r="WOQ312" s="1716"/>
      <c r="WOR312" s="1716"/>
      <c r="WOS312" s="1716"/>
      <c r="WOT312" s="244"/>
      <c r="WOU312" s="244" t="s">
        <v>68</v>
      </c>
      <c r="WOV312" s="245" t="s">
        <v>68</v>
      </c>
      <c r="WOW312" s="1715" t="s">
        <v>0</v>
      </c>
      <c r="WOX312" s="1716"/>
      <c r="WOY312" s="1716"/>
      <c r="WOZ312" s="1716"/>
      <c r="WPA312" s="1716"/>
      <c r="WPB312" s="244"/>
      <c r="WPC312" s="244" t="s">
        <v>68</v>
      </c>
      <c r="WPD312" s="245" t="s">
        <v>68</v>
      </c>
      <c r="WPE312" s="1715" t="s">
        <v>0</v>
      </c>
      <c r="WPF312" s="1716"/>
      <c r="WPG312" s="1716"/>
      <c r="WPH312" s="1716"/>
      <c r="WPI312" s="1716"/>
      <c r="WPJ312" s="244"/>
      <c r="WPK312" s="244" t="s">
        <v>68</v>
      </c>
      <c r="WPL312" s="245" t="s">
        <v>68</v>
      </c>
      <c r="WPM312" s="1715" t="s">
        <v>0</v>
      </c>
      <c r="WPN312" s="1716"/>
      <c r="WPO312" s="1716"/>
      <c r="WPP312" s="1716"/>
      <c r="WPQ312" s="1716"/>
      <c r="WPR312" s="244"/>
      <c r="WPS312" s="244" t="s">
        <v>68</v>
      </c>
      <c r="WPT312" s="245" t="s">
        <v>68</v>
      </c>
      <c r="WPU312" s="1715" t="s">
        <v>0</v>
      </c>
      <c r="WPV312" s="1716"/>
      <c r="WPW312" s="1716"/>
      <c r="WPX312" s="1716"/>
      <c r="WPY312" s="1716"/>
      <c r="WPZ312" s="244"/>
      <c r="WQA312" s="244" t="s">
        <v>68</v>
      </c>
      <c r="WQB312" s="245" t="s">
        <v>68</v>
      </c>
      <c r="WQC312" s="1715" t="s">
        <v>0</v>
      </c>
      <c r="WQD312" s="1716"/>
      <c r="WQE312" s="1716"/>
      <c r="WQF312" s="1716"/>
      <c r="WQG312" s="1716"/>
      <c r="WQH312" s="244"/>
      <c r="WQI312" s="244" t="s">
        <v>68</v>
      </c>
      <c r="WQJ312" s="245" t="s">
        <v>68</v>
      </c>
      <c r="WQK312" s="1715" t="s">
        <v>0</v>
      </c>
      <c r="WQL312" s="1716"/>
      <c r="WQM312" s="1716"/>
      <c r="WQN312" s="1716"/>
      <c r="WQO312" s="1716"/>
      <c r="WQP312" s="244"/>
      <c r="WQQ312" s="244" t="s">
        <v>68</v>
      </c>
      <c r="WQR312" s="245" t="s">
        <v>68</v>
      </c>
      <c r="WQS312" s="1715" t="s">
        <v>0</v>
      </c>
      <c r="WQT312" s="1716"/>
      <c r="WQU312" s="1716"/>
      <c r="WQV312" s="1716"/>
      <c r="WQW312" s="1716"/>
      <c r="WQX312" s="244"/>
      <c r="WQY312" s="244" t="s">
        <v>68</v>
      </c>
      <c r="WQZ312" s="245" t="s">
        <v>68</v>
      </c>
      <c r="WRA312" s="1715" t="s">
        <v>0</v>
      </c>
      <c r="WRB312" s="1716"/>
      <c r="WRC312" s="1716"/>
      <c r="WRD312" s="1716"/>
      <c r="WRE312" s="1716"/>
      <c r="WRF312" s="244"/>
      <c r="WRG312" s="244" t="s">
        <v>68</v>
      </c>
      <c r="WRH312" s="245" t="s">
        <v>68</v>
      </c>
      <c r="WRI312" s="1715" t="s">
        <v>0</v>
      </c>
      <c r="WRJ312" s="1716"/>
      <c r="WRK312" s="1716"/>
      <c r="WRL312" s="1716"/>
      <c r="WRM312" s="1716"/>
      <c r="WRN312" s="244"/>
      <c r="WRO312" s="244" t="s">
        <v>68</v>
      </c>
      <c r="WRP312" s="245" t="s">
        <v>68</v>
      </c>
      <c r="WRQ312" s="1715" t="s">
        <v>0</v>
      </c>
      <c r="WRR312" s="1716"/>
      <c r="WRS312" s="1716"/>
      <c r="WRT312" s="1716"/>
      <c r="WRU312" s="1716"/>
      <c r="WRV312" s="244"/>
      <c r="WRW312" s="244" t="s">
        <v>68</v>
      </c>
      <c r="WRX312" s="245" t="s">
        <v>68</v>
      </c>
      <c r="WRY312" s="1715" t="s">
        <v>0</v>
      </c>
      <c r="WRZ312" s="1716"/>
      <c r="WSA312" s="1716"/>
      <c r="WSB312" s="1716"/>
      <c r="WSC312" s="1716"/>
      <c r="WSD312" s="244"/>
      <c r="WSE312" s="244" t="s">
        <v>68</v>
      </c>
      <c r="WSF312" s="245" t="s">
        <v>68</v>
      </c>
      <c r="WSG312" s="1715" t="s">
        <v>0</v>
      </c>
      <c r="WSH312" s="1716"/>
      <c r="WSI312" s="1716"/>
      <c r="WSJ312" s="1716"/>
      <c r="WSK312" s="1716"/>
      <c r="WSL312" s="244"/>
      <c r="WSM312" s="244" t="s">
        <v>68</v>
      </c>
      <c r="WSN312" s="245" t="s">
        <v>68</v>
      </c>
      <c r="WSO312" s="1715" t="s">
        <v>0</v>
      </c>
      <c r="WSP312" s="1716"/>
      <c r="WSQ312" s="1716"/>
      <c r="WSR312" s="1716"/>
      <c r="WSS312" s="1716"/>
      <c r="WST312" s="244"/>
      <c r="WSU312" s="244" t="s">
        <v>68</v>
      </c>
      <c r="WSV312" s="245" t="s">
        <v>68</v>
      </c>
      <c r="WSW312" s="1715" t="s">
        <v>0</v>
      </c>
      <c r="WSX312" s="1716"/>
      <c r="WSY312" s="1716"/>
      <c r="WSZ312" s="1716"/>
      <c r="WTA312" s="1716"/>
      <c r="WTB312" s="244"/>
      <c r="WTC312" s="244" t="s">
        <v>68</v>
      </c>
      <c r="WTD312" s="245" t="s">
        <v>68</v>
      </c>
      <c r="WTE312" s="1715" t="s">
        <v>0</v>
      </c>
      <c r="WTF312" s="1716"/>
      <c r="WTG312" s="1716"/>
      <c r="WTH312" s="1716"/>
      <c r="WTI312" s="1716"/>
      <c r="WTJ312" s="244"/>
      <c r="WTK312" s="244" t="s">
        <v>68</v>
      </c>
      <c r="WTL312" s="245" t="s">
        <v>68</v>
      </c>
      <c r="WTM312" s="1715" t="s">
        <v>0</v>
      </c>
      <c r="WTN312" s="1716"/>
      <c r="WTO312" s="1716"/>
      <c r="WTP312" s="1716"/>
      <c r="WTQ312" s="1716"/>
      <c r="WTR312" s="244"/>
      <c r="WTS312" s="244" t="s">
        <v>68</v>
      </c>
      <c r="WTT312" s="245" t="s">
        <v>68</v>
      </c>
      <c r="WTU312" s="1715" t="s">
        <v>0</v>
      </c>
      <c r="WTV312" s="1716"/>
      <c r="WTW312" s="1716"/>
      <c r="WTX312" s="1716"/>
      <c r="WTY312" s="1716"/>
      <c r="WTZ312" s="244"/>
      <c r="WUA312" s="244" t="s">
        <v>68</v>
      </c>
      <c r="WUB312" s="245" t="s">
        <v>68</v>
      </c>
      <c r="WUC312" s="1715" t="s">
        <v>0</v>
      </c>
      <c r="WUD312" s="1716"/>
      <c r="WUE312" s="1716"/>
      <c r="WUF312" s="1716"/>
      <c r="WUG312" s="1716"/>
      <c r="WUH312" s="244"/>
      <c r="WUI312" s="244" t="s">
        <v>68</v>
      </c>
      <c r="WUJ312" s="245" t="s">
        <v>68</v>
      </c>
      <c r="WUK312" s="1715" t="s">
        <v>0</v>
      </c>
      <c r="WUL312" s="1716"/>
      <c r="WUM312" s="1716"/>
      <c r="WUN312" s="1716"/>
      <c r="WUO312" s="1716"/>
      <c r="WUP312" s="244"/>
      <c r="WUQ312" s="244" t="s">
        <v>68</v>
      </c>
      <c r="WUR312" s="245" t="s">
        <v>68</v>
      </c>
      <c r="WUS312" s="1715" t="s">
        <v>0</v>
      </c>
      <c r="WUT312" s="1716"/>
      <c r="WUU312" s="1716"/>
      <c r="WUV312" s="1716"/>
      <c r="WUW312" s="1716"/>
      <c r="WUX312" s="244"/>
      <c r="WUY312" s="244" t="s">
        <v>68</v>
      </c>
      <c r="WUZ312" s="245" t="s">
        <v>68</v>
      </c>
      <c r="WVA312" s="1715" t="s">
        <v>0</v>
      </c>
      <c r="WVB312" s="1716"/>
      <c r="WVC312" s="1716"/>
      <c r="WVD312" s="1716"/>
      <c r="WVE312" s="1716"/>
      <c r="WVF312" s="244"/>
      <c r="WVG312" s="244" t="s">
        <v>68</v>
      </c>
      <c r="WVH312" s="245" t="s">
        <v>68</v>
      </c>
      <c r="WVI312" s="1715" t="s">
        <v>0</v>
      </c>
      <c r="WVJ312" s="1716"/>
      <c r="WVK312" s="1716"/>
      <c r="WVL312" s="1716"/>
      <c r="WVM312" s="1716"/>
      <c r="WVN312" s="244"/>
      <c r="WVO312" s="244" t="s">
        <v>68</v>
      </c>
      <c r="WVP312" s="245" t="s">
        <v>68</v>
      </c>
      <c r="WVQ312" s="1715" t="s">
        <v>0</v>
      </c>
      <c r="WVR312" s="1716"/>
      <c r="WVS312" s="1716"/>
      <c r="WVT312" s="1716"/>
      <c r="WVU312" s="1716"/>
      <c r="WVV312" s="244"/>
      <c r="WVW312" s="244" t="s">
        <v>68</v>
      </c>
      <c r="WVX312" s="245" t="s">
        <v>68</v>
      </c>
      <c r="WVY312" s="1715" t="s">
        <v>0</v>
      </c>
      <c r="WVZ312" s="1716"/>
      <c r="WWA312" s="1716"/>
      <c r="WWB312" s="1716"/>
      <c r="WWC312" s="1716"/>
      <c r="WWD312" s="244"/>
      <c r="WWE312" s="244" t="s">
        <v>68</v>
      </c>
      <c r="WWF312" s="245" t="s">
        <v>68</v>
      </c>
      <c r="WWG312" s="1715" t="s">
        <v>0</v>
      </c>
      <c r="WWH312" s="1716"/>
      <c r="WWI312" s="1716"/>
      <c r="WWJ312" s="1716"/>
      <c r="WWK312" s="1716"/>
      <c r="WWL312" s="244"/>
      <c r="WWM312" s="244" t="s">
        <v>68</v>
      </c>
      <c r="WWN312" s="245" t="s">
        <v>68</v>
      </c>
      <c r="WWO312" s="1715" t="s">
        <v>0</v>
      </c>
      <c r="WWP312" s="1716"/>
      <c r="WWQ312" s="1716"/>
      <c r="WWR312" s="1716"/>
      <c r="WWS312" s="1716"/>
      <c r="WWT312" s="244"/>
      <c r="WWU312" s="244" t="s">
        <v>68</v>
      </c>
      <c r="WWV312" s="245" t="s">
        <v>68</v>
      </c>
      <c r="WWW312" s="1715" t="s">
        <v>0</v>
      </c>
      <c r="WWX312" s="1716"/>
      <c r="WWY312" s="1716"/>
      <c r="WWZ312" s="1716"/>
      <c r="WXA312" s="1716"/>
      <c r="WXB312" s="244"/>
      <c r="WXC312" s="244" t="s">
        <v>68</v>
      </c>
      <c r="WXD312" s="245" t="s">
        <v>68</v>
      </c>
      <c r="WXE312" s="1715" t="s">
        <v>0</v>
      </c>
      <c r="WXF312" s="1716"/>
      <c r="WXG312" s="1716"/>
      <c r="WXH312" s="1716"/>
      <c r="WXI312" s="1716"/>
      <c r="WXJ312" s="244"/>
      <c r="WXK312" s="244" t="s">
        <v>68</v>
      </c>
      <c r="WXL312" s="245" t="s">
        <v>68</v>
      </c>
      <c r="WXM312" s="1715" t="s">
        <v>0</v>
      </c>
      <c r="WXN312" s="1716"/>
      <c r="WXO312" s="1716"/>
      <c r="WXP312" s="1716"/>
      <c r="WXQ312" s="1716"/>
      <c r="WXR312" s="244"/>
      <c r="WXS312" s="244" t="s">
        <v>68</v>
      </c>
      <c r="WXT312" s="245" t="s">
        <v>68</v>
      </c>
      <c r="WXU312" s="1715" t="s">
        <v>0</v>
      </c>
      <c r="WXV312" s="1716"/>
      <c r="WXW312" s="1716"/>
      <c r="WXX312" s="1716"/>
      <c r="WXY312" s="1716"/>
      <c r="WXZ312" s="244"/>
      <c r="WYA312" s="244" t="s">
        <v>68</v>
      </c>
      <c r="WYB312" s="245" t="s">
        <v>68</v>
      </c>
      <c r="WYC312" s="1715" t="s">
        <v>0</v>
      </c>
      <c r="WYD312" s="1716"/>
      <c r="WYE312" s="1716"/>
      <c r="WYF312" s="1716"/>
      <c r="WYG312" s="1716"/>
      <c r="WYH312" s="244"/>
      <c r="WYI312" s="244" t="s">
        <v>68</v>
      </c>
      <c r="WYJ312" s="245" t="s">
        <v>68</v>
      </c>
      <c r="WYK312" s="1715" t="s">
        <v>0</v>
      </c>
      <c r="WYL312" s="1716"/>
      <c r="WYM312" s="1716"/>
      <c r="WYN312" s="1716"/>
      <c r="WYO312" s="1716"/>
      <c r="WYP312" s="244"/>
      <c r="WYQ312" s="244" t="s">
        <v>68</v>
      </c>
      <c r="WYR312" s="245" t="s">
        <v>68</v>
      </c>
      <c r="WYS312" s="1715" t="s">
        <v>0</v>
      </c>
      <c r="WYT312" s="1716"/>
      <c r="WYU312" s="1716"/>
      <c r="WYV312" s="1716"/>
      <c r="WYW312" s="1716"/>
      <c r="WYX312" s="244"/>
      <c r="WYY312" s="244" t="s">
        <v>68</v>
      </c>
      <c r="WYZ312" s="245" t="s">
        <v>68</v>
      </c>
      <c r="WZA312" s="1715" t="s">
        <v>0</v>
      </c>
      <c r="WZB312" s="1716"/>
      <c r="WZC312" s="1716"/>
      <c r="WZD312" s="1716"/>
      <c r="WZE312" s="1716"/>
      <c r="WZF312" s="244"/>
      <c r="WZG312" s="244" t="s">
        <v>68</v>
      </c>
      <c r="WZH312" s="245" t="s">
        <v>68</v>
      </c>
      <c r="WZI312" s="1715" t="s">
        <v>0</v>
      </c>
      <c r="WZJ312" s="1716"/>
      <c r="WZK312" s="1716"/>
      <c r="WZL312" s="1716"/>
      <c r="WZM312" s="1716"/>
      <c r="WZN312" s="244"/>
      <c r="WZO312" s="244" t="s">
        <v>68</v>
      </c>
      <c r="WZP312" s="245" t="s">
        <v>68</v>
      </c>
      <c r="WZQ312" s="1715" t="s">
        <v>0</v>
      </c>
      <c r="WZR312" s="1716"/>
      <c r="WZS312" s="1716"/>
      <c r="WZT312" s="1716"/>
      <c r="WZU312" s="1716"/>
      <c r="WZV312" s="244"/>
      <c r="WZW312" s="244" t="s">
        <v>68</v>
      </c>
      <c r="WZX312" s="245" t="s">
        <v>68</v>
      </c>
      <c r="WZY312" s="1715" t="s">
        <v>0</v>
      </c>
      <c r="WZZ312" s="1716"/>
      <c r="XAA312" s="1716"/>
      <c r="XAB312" s="1716"/>
      <c r="XAC312" s="1716"/>
      <c r="XAD312" s="244"/>
      <c r="XAE312" s="244" t="s">
        <v>68</v>
      </c>
      <c r="XAF312" s="245" t="s">
        <v>68</v>
      </c>
      <c r="XAG312" s="1715" t="s">
        <v>0</v>
      </c>
      <c r="XAH312" s="1716"/>
      <c r="XAI312" s="1716"/>
      <c r="XAJ312" s="1716"/>
      <c r="XAK312" s="1716"/>
      <c r="XAL312" s="244"/>
      <c r="XAM312" s="244" t="s">
        <v>68</v>
      </c>
      <c r="XAN312" s="245" t="s">
        <v>68</v>
      </c>
      <c r="XAO312" s="1715" t="s">
        <v>0</v>
      </c>
      <c r="XAP312" s="1716"/>
      <c r="XAQ312" s="1716"/>
      <c r="XAR312" s="1716"/>
      <c r="XAS312" s="1716"/>
      <c r="XAT312" s="244"/>
      <c r="XAU312" s="244" t="s">
        <v>68</v>
      </c>
      <c r="XAV312" s="245" t="s">
        <v>68</v>
      </c>
      <c r="XAW312" s="1715" t="s">
        <v>0</v>
      </c>
      <c r="XAX312" s="1716"/>
      <c r="XAY312" s="1716"/>
      <c r="XAZ312" s="1716"/>
      <c r="XBA312" s="1716"/>
      <c r="XBB312" s="244"/>
      <c r="XBC312" s="244" t="s">
        <v>68</v>
      </c>
      <c r="XBD312" s="245" t="s">
        <v>68</v>
      </c>
      <c r="XBE312" s="1715" t="s">
        <v>0</v>
      </c>
      <c r="XBF312" s="1716"/>
      <c r="XBG312" s="1716"/>
      <c r="XBH312" s="1716"/>
      <c r="XBI312" s="1716"/>
      <c r="XBJ312" s="244"/>
      <c r="XBK312" s="244" t="s">
        <v>68</v>
      </c>
      <c r="XBL312" s="245" t="s">
        <v>68</v>
      </c>
      <c r="XBM312" s="1715" t="s">
        <v>0</v>
      </c>
      <c r="XBN312" s="1716"/>
      <c r="XBO312" s="1716"/>
      <c r="XBP312" s="1716"/>
      <c r="XBQ312" s="1716"/>
      <c r="XBR312" s="244"/>
      <c r="XBS312" s="244" t="s">
        <v>68</v>
      </c>
      <c r="XBT312" s="245" t="s">
        <v>68</v>
      </c>
      <c r="XBU312" s="1715" t="s">
        <v>0</v>
      </c>
      <c r="XBV312" s="1716"/>
      <c r="XBW312" s="1716"/>
      <c r="XBX312" s="1716"/>
      <c r="XBY312" s="1716"/>
      <c r="XBZ312" s="244"/>
      <c r="XCA312" s="244" t="s">
        <v>68</v>
      </c>
      <c r="XCB312" s="245" t="s">
        <v>68</v>
      </c>
      <c r="XCC312" s="1715" t="s">
        <v>0</v>
      </c>
      <c r="XCD312" s="1716"/>
      <c r="XCE312" s="1716"/>
      <c r="XCF312" s="1716"/>
      <c r="XCG312" s="1716"/>
      <c r="XCH312" s="244"/>
      <c r="XCI312" s="244" t="s">
        <v>68</v>
      </c>
      <c r="XCJ312" s="245" t="s">
        <v>68</v>
      </c>
      <c r="XCK312" s="1715" t="s">
        <v>0</v>
      </c>
      <c r="XCL312" s="1716"/>
      <c r="XCM312" s="1716"/>
      <c r="XCN312" s="1716"/>
      <c r="XCO312" s="1716"/>
      <c r="XCP312" s="244"/>
      <c r="XCQ312" s="244" t="s">
        <v>68</v>
      </c>
      <c r="XCR312" s="245" t="s">
        <v>68</v>
      </c>
      <c r="XCS312" s="1715" t="s">
        <v>0</v>
      </c>
      <c r="XCT312" s="1716"/>
      <c r="XCU312" s="1716"/>
      <c r="XCV312" s="1716"/>
      <c r="XCW312" s="1716"/>
      <c r="XCX312" s="244"/>
      <c r="XCY312" s="244" t="s">
        <v>68</v>
      </c>
      <c r="XCZ312" s="245" t="s">
        <v>68</v>
      </c>
      <c r="XDA312" s="1715" t="s">
        <v>0</v>
      </c>
      <c r="XDB312" s="1716"/>
      <c r="XDC312" s="1716"/>
      <c r="XDD312" s="1716"/>
      <c r="XDE312" s="1716"/>
      <c r="XDF312" s="244"/>
      <c r="XDG312" s="244" t="s">
        <v>68</v>
      </c>
      <c r="XDH312" s="245" t="s">
        <v>68</v>
      </c>
      <c r="XDI312" s="1715" t="s">
        <v>0</v>
      </c>
      <c r="XDJ312" s="1716"/>
      <c r="XDK312" s="1716"/>
      <c r="XDL312" s="1716"/>
      <c r="XDM312" s="1716"/>
      <c r="XDN312" s="244"/>
      <c r="XDO312" s="244" t="s">
        <v>68</v>
      </c>
      <c r="XDP312" s="245" t="s">
        <v>68</v>
      </c>
      <c r="XDQ312" s="1715" t="s">
        <v>0</v>
      </c>
      <c r="XDR312" s="1716"/>
      <c r="XDS312" s="1716"/>
      <c r="XDT312" s="1716"/>
      <c r="XDU312" s="1716"/>
      <c r="XDV312" s="244"/>
      <c r="XDW312" s="244" t="s">
        <v>68</v>
      </c>
      <c r="XDX312" s="245" t="s">
        <v>68</v>
      </c>
      <c r="XDY312" s="1715" t="s">
        <v>0</v>
      </c>
      <c r="XDZ312" s="1716"/>
      <c r="XEA312" s="1716"/>
      <c r="XEB312" s="1716"/>
      <c r="XEC312" s="1716"/>
      <c r="XED312" s="244"/>
      <c r="XEE312" s="244" t="s">
        <v>68</v>
      </c>
      <c r="XEF312" s="245" t="s">
        <v>68</v>
      </c>
      <c r="XEG312" s="1715" t="s">
        <v>0</v>
      </c>
      <c r="XEH312" s="1716"/>
      <c r="XEI312" s="1716"/>
      <c r="XEJ312" s="1716"/>
      <c r="XEK312" s="1716"/>
      <c r="XEL312" s="244"/>
      <c r="XEM312" s="244" t="s">
        <v>68</v>
      </c>
      <c r="XEN312" s="245" t="s">
        <v>68</v>
      </c>
      <c r="XEO312" s="1715" t="s">
        <v>0</v>
      </c>
      <c r="XEP312" s="1716"/>
      <c r="XEQ312" s="1716"/>
      <c r="XER312" s="1716"/>
      <c r="XES312" s="1716"/>
      <c r="XET312" s="244"/>
      <c r="XEU312" s="244" t="s">
        <v>68</v>
      </c>
      <c r="XEV312" s="245" t="s">
        <v>68</v>
      </c>
      <c r="XEW312" s="1715" t="s">
        <v>0</v>
      </c>
      <c r="XEX312" s="1716"/>
      <c r="XEY312" s="1716"/>
      <c r="XEZ312" s="1716"/>
      <c r="XFA312" s="1716"/>
      <c r="XFB312" s="244"/>
      <c r="XFC312" s="244" t="s">
        <v>68</v>
      </c>
      <c r="XFD312" s="245" t="s">
        <v>68</v>
      </c>
    </row>
    <row r="313" spans="1:16384" s="95" customFormat="1" ht="15.75" thickBot="1" x14ac:dyDescent="0.3">
      <c r="A313" s="1717"/>
      <c r="B313" s="1718"/>
      <c r="C313" s="1718"/>
      <c r="D313" s="1718"/>
      <c r="E313" s="1718"/>
      <c r="F313" s="246"/>
      <c r="G313" s="246" t="str">
        <f>BS!$D$5</f>
        <v>31 March 2026</v>
      </c>
      <c r="H313" s="247" t="str">
        <f>BS!$E$5</f>
        <v>31 March 2025</v>
      </c>
      <c r="I313" s="1717"/>
      <c r="J313" s="1718"/>
      <c r="K313" s="1718"/>
      <c r="L313" s="1718"/>
      <c r="M313" s="1718"/>
      <c r="N313" s="246"/>
      <c r="O313" s="246" t="str">
        <f>BS!$D$5</f>
        <v>31 March 2026</v>
      </c>
      <c r="P313" s="247" t="str">
        <f>BS!$E$5</f>
        <v>31 March 2025</v>
      </c>
      <c r="Q313" s="1717"/>
      <c r="R313" s="1718"/>
      <c r="S313" s="1718"/>
      <c r="T313" s="1718"/>
      <c r="U313" s="1718"/>
      <c r="V313" s="246"/>
      <c r="W313" s="246" t="str">
        <f>BS!$D$5</f>
        <v>31 March 2026</v>
      </c>
      <c r="X313" s="247" t="str">
        <f>BS!$E$5</f>
        <v>31 March 2025</v>
      </c>
      <c r="Y313" s="1717"/>
      <c r="Z313" s="1718"/>
      <c r="AA313" s="1718"/>
      <c r="AB313" s="1718"/>
      <c r="AC313" s="1718"/>
      <c r="AD313" s="246"/>
      <c r="AE313" s="246" t="str">
        <f>BS!$D$5</f>
        <v>31 March 2026</v>
      </c>
      <c r="AF313" s="247" t="str">
        <f>BS!$E$5</f>
        <v>31 March 2025</v>
      </c>
      <c r="AG313" s="1717"/>
      <c r="AH313" s="1718"/>
      <c r="AI313" s="1718"/>
      <c r="AJ313" s="1718"/>
      <c r="AK313" s="1718"/>
      <c r="AL313" s="246"/>
      <c r="AM313" s="246" t="str">
        <f>BS!$D$5</f>
        <v>31 March 2026</v>
      </c>
      <c r="AN313" s="247" t="str">
        <f>BS!$E$5</f>
        <v>31 March 2025</v>
      </c>
      <c r="AO313" s="1717"/>
      <c r="AP313" s="1718"/>
      <c r="AQ313" s="1718"/>
      <c r="AR313" s="1718"/>
      <c r="AS313" s="1718"/>
      <c r="AT313" s="246"/>
      <c r="AU313" s="246" t="str">
        <f>BS!$D$5</f>
        <v>31 March 2026</v>
      </c>
      <c r="AV313" s="247" t="str">
        <f>BS!$E$5</f>
        <v>31 March 2025</v>
      </c>
      <c r="AW313" s="1717"/>
      <c r="AX313" s="1718"/>
      <c r="AY313" s="1718"/>
      <c r="AZ313" s="1718"/>
      <c r="BA313" s="1718"/>
      <c r="BB313" s="246"/>
      <c r="BC313" s="246" t="str">
        <f>BS!$D$5</f>
        <v>31 March 2026</v>
      </c>
      <c r="BD313" s="247" t="str">
        <f>BS!$E$5</f>
        <v>31 March 2025</v>
      </c>
      <c r="BE313" s="1717"/>
      <c r="BF313" s="1718"/>
      <c r="BG313" s="1718"/>
      <c r="BH313" s="1718"/>
      <c r="BI313" s="1718"/>
      <c r="BJ313" s="246"/>
      <c r="BK313" s="246" t="str">
        <f>BS!$D$5</f>
        <v>31 March 2026</v>
      </c>
      <c r="BL313" s="247" t="str">
        <f>BS!$E$5</f>
        <v>31 March 2025</v>
      </c>
      <c r="BM313" s="1717"/>
      <c r="BN313" s="1718"/>
      <c r="BO313" s="1718"/>
      <c r="BP313" s="1718"/>
      <c r="BQ313" s="1718"/>
      <c r="BR313" s="246"/>
      <c r="BS313" s="246" t="str">
        <f>BS!$D$5</f>
        <v>31 March 2026</v>
      </c>
      <c r="BT313" s="247" t="str">
        <f>BS!$E$5</f>
        <v>31 March 2025</v>
      </c>
      <c r="BU313" s="1717"/>
      <c r="BV313" s="1718"/>
      <c r="BW313" s="1718"/>
      <c r="BX313" s="1718"/>
      <c r="BY313" s="1718"/>
      <c r="BZ313" s="246"/>
      <c r="CA313" s="246" t="str">
        <f>BS!$D$5</f>
        <v>31 March 2026</v>
      </c>
      <c r="CB313" s="247" t="str">
        <f>BS!$E$5</f>
        <v>31 March 2025</v>
      </c>
      <c r="CC313" s="1717"/>
      <c r="CD313" s="1718"/>
      <c r="CE313" s="1718"/>
      <c r="CF313" s="1718"/>
      <c r="CG313" s="1718"/>
      <c r="CH313" s="246"/>
      <c r="CI313" s="246" t="str">
        <f>BS!$D$5</f>
        <v>31 March 2026</v>
      </c>
      <c r="CJ313" s="247" t="str">
        <f>BS!$E$5</f>
        <v>31 March 2025</v>
      </c>
      <c r="CK313" s="1717"/>
      <c r="CL313" s="1718"/>
      <c r="CM313" s="1718"/>
      <c r="CN313" s="1718"/>
      <c r="CO313" s="1718"/>
      <c r="CP313" s="246"/>
      <c r="CQ313" s="246" t="str">
        <f>BS!$D$5</f>
        <v>31 March 2026</v>
      </c>
      <c r="CR313" s="247" t="str">
        <f>BS!$E$5</f>
        <v>31 March 2025</v>
      </c>
      <c r="CS313" s="1717"/>
      <c r="CT313" s="1718"/>
      <c r="CU313" s="1718"/>
      <c r="CV313" s="1718"/>
      <c r="CW313" s="1718"/>
      <c r="CX313" s="246"/>
      <c r="CY313" s="246" t="str">
        <f>BS!$D$5</f>
        <v>31 March 2026</v>
      </c>
      <c r="CZ313" s="247" t="str">
        <f>BS!$E$5</f>
        <v>31 March 2025</v>
      </c>
      <c r="DA313" s="1717"/>
      <c r="DB313" s="1718"/>
      <c r="DC313" s="1718"/>
      <c r="DD313" s="1718"/>
      <c r="DE313" s="1718"/>
      <c r="DF313" s="246"/>
      <c r="DG313" s="246" t="str">
        <f>BS!$D$5</f>
        <v>31 March 2026</v>
      </c>
      <c r="DH313" s="247" t="str">
        <f>BS!$E$5</f>
        <v>31 March 2025</v>
      </c>
      <c r="DI313" s="1717"/>
      <c r="DJ313" s="1718"/>
      <c r="DK313" s="1718"/>
      <c r="DL313" s="1718"/>
      <c r="DM313" s="1718"/>
      <c r="DN313" s="246"/>
      <c r="DO313" s="246" t="str">
        <f>BS!$D$5</f>
        <v>31 March 2026</v>
      </c>
      <c r="DP313" s="247" t="str">
        <f>BS!$E$5</f>
        <v>31 March 2025</v>
      </c>
      <c r="DQ313" s="1717"/>
      <c r="DR313" s="1718"/>
      <c r="DS313" s="1718"/>
      <c r="DT313" s="1718"/>
      <c r="DU313" s="1718"/>
      <c r="DV313" s="246"/>
      <c r="DW313" s="246" t="str">
        <f>BS!$D$5</f>
        <v>31 March 2026</v>
      </c>
      <c r="DX313" s="247" t="str">
        <f>BS!$E$5</f>
        <v>31 March 2025</v>
      </c>
      <c r="DY313" s="1717"/>
      <c r="DZ313" s="1718"/>
      <c r="EA313" s="1718"/>
      <c r="EB313" s="1718"/>
      <c r="EC313" s="1718"/>
      <c r="ED313" s="246"/>
      <c r="EE313" s="246" t="str">
        <f>BS!$D$5</f>
        <v>31 March 2026</v>
      </c>
      <c r="EF313" s="247" t="str">
        <f>BS!$E$5</f>
        <v>31 March 2025</v>
      </c>
      <c r="EG313" s="1717"/>
      <c r="EH313" s="1718"/>
      <c r="EI313" s="1718"/>
      <c r="EJ313" s="1718"/>
      <c r="EK313" s="1718"/>
      <c r="EL313" s="246"/>
      <c r="EM313" s="246" t="str">
        <f>BS!$D$5</f>
        <v>31 March 2026</v>
      </c>
      <c r="EN313" s="247" t="str">
        <f>BS!$E$5</f>
        <v>31 March 2025</v>
      </c>
      <c r="EO313" s="1717"/>
      <c r="EP313" s="1718"/>
      <c r="EQ313" s="1718"/>
      <c r="ER313" s="1718"/>
      <c r="ES313" s="1718"/>
      <c r="ET313" s="246"/>
      <c r="EU313" s="246" t="str">
        <f>BS!$D$5</f>
        <v>31 March 2026</v>
      </c>
      <c r="EV313" s="247" t="str">
        <f>BS!$E$5</f>
        <v>31 March 2025</v>
      </c>
      <c r="EW313" s="1717"/>
      <c r="EX313" s="1718"/>
      <c r="EY313" s="1718"/>
      <c r="EZ313" s="1718"/>
      <c r="FA313" s="1718"/>
      <c r="FB313" s="246"/>
      <c r="FC313" s="246" t="str">
        <f>BS!$D$5</f>
        <v>31 March 2026</v>
      </c>
      <c r="FD313" s="247" t="str">
        <f>BS!$E$5</f>
        <v>31 March 2025</v>
      </c>
      <c r="FE313" s="1717"/>
      <c r="FF313" s="1718"/>
      <c r="FG313" s="1718"/>
      <c r="FH313" s="1718"/>
      <c r="FI313" s="1718"/>
      <c r="FJ313" s="246"/>
      <c r="FK313" s="246" t="str">
        <f>BS!$D$5</f>
        <v>31 March 2026</v>
      </c>
      <c r="FL313" s="247" t="str">
        <f>BS!$E$5</f>
        <v>31 March 2025</v>
      </c>
      <c r="FM313" s="1717"/>
      <c r="FN313" s="1718"/>
      <c r="FO313" s="1718"/>
      <c r="FP313" s="1718"/>
      <c r="FQ313" s="1718"/>
      <c r="FR313" s="246"/>
      <c r="FS313" s="246" t="str">
        <f>BS!$D$5</f>
        <v>31 March 2026</v>
      </c>
      <c r="FT313" s="247" t="str">
        <f>BS!$E$5</f>
        <v>31 March 2025</v>
      </c>
      <c r="FU313" s="1717"/>
      <c r="FV313" s="1718"/>
      <c r="FW313" s="1718"/>
      <c r="FX313" s="1718"/>
      <c r="FY313" s="1718"/>
      <c r="FZ313" s="246"/>
      <c r="GA313" s="246" t="str">
        <f>BS!$D$5</f>
        <v>31 March 2026</v>
      </c>
      <c r="GB313" s="247" t="str">
        <f>BS!$E$5</f>
        <v>31 March 2025</v>
      </c>
      <c r="GC313" s="1717"/>
      <c r="GD313" s="1718"/>
      <c r="GE313" s="1718"/>
      <c r="GF313" s="1718"/>
      <c r="GG313" s="1718"/>
      <c r="GH313" s="246"/>
      <c r="GI313" s="246" t="str">
        <f>BS!$D$5</f>
        <v>31 March 2026</v>
      </c>
      <c r="GJ313" s="247" t="str">
        <f>BS!$E$5</f>
        <v>31 March 2025</v>
      </c>
      <c r="GK313" s="1717"/>
      <c r="GL313" s="1718"/>
      <c r="GM313" s="1718"/>
      <c r="GN313" s="1718"/>
      <c r="GO313" s="1718"/>
      <c r="GP313" s="246"/>
      <c r="GQ313" s="246" t="str">
        <f>BS!$D$5</f>
        <v>31 March 2026</v>
      </c>
      <c r="GR313" s="247" t="str">
        <f>BS!$E$5</f>
        <v>31 March 2025</v>
      </c>
      <c r="GS313" s="1717"/>
      <c r="GT313" s="1718"/>
      <c r="GU313" s="1718"/>
      <c r="GV313" s="1718"/>
      <c r="GW313" s="1718"/>
      <c r="GX313" s="246"/>
      <c r="GY313" s="246" t="str">
        <f>BS!$D$5</f>
        <v>31 March 2026</v>
      </c>
      <c r="GZ313" s="247" t="str">
        <f>BS!$E$5</f>
        <v>31 March 2025</v>
      </c>
      <c r="HA313" s="1717"/>
      <c r="HB313" s="1718"/>
      <c r="HC313" s="1718"/>
      <c r="HD313" s="1718"/>
      <c r="HE313" s="1718"/>
      <c r="HF313" s="246"/>
      <c r="HG313" s="246" t="str">
        <f>BS!$D$5</f>
        <v>31 March 2026</v>
      </c>
      <c r="HH313" s="247" t="str">
        <f>BS!$E$5</f>
        <v>31 March 2025</v>
      </c>
      <c r="HI313" s="1717"/>
      <c r="HJ313" s="1718"/>
      <c r="HK313" s="1718"/>
      <c r="HL313" s="1718"/>
      <c r="HM313" s="1718"/>
      <c r="HN313" s="246"/>
      <c r="HO313" s="246" t="str">
        <f>BS!$D$5</f>
        <v>31 March 2026</v>
      </c>
      <c r="HP313" s="247" t="str">
        <f>BS!$E$5</f>
        <v>31 March 2025</v>
      </c>
      <c r="HQ313" s="1717"/>
      <c r="HR313" s="1718"/>
      <c r="HS313" s="1718"/>
      <c r="HT313" s="1718"/>
      <c r="HU313" s="1718"/>
      <c r="HV313" s="246"/>
      <c r="HW313" s="246" t="str">
        <f>BS!$D$5</f>
        <v>31 March 2026</v>
      </c>
      <c r="HX313" s="247" t="str">
        <f>BS!$E$5</f>
        <v>31 March 2025</v>
      </c>
      <c r="HY313" s="1717"/>
      <c r="HZ313" s="1718"/>
      <c r="IA313" s="1718"/>
      <c r="IB313" s="1718"/>
      <c r="IC313" s="1718"/>
      <c r="ID313" s="246"/>
      <c r="IE313" s="246" t="str">
        <f>BS!$D$5</f>
        <v>31 March 2026</v>
      </c>
      <c r="IF313" s="247" t="str">
        <f>BS!$E$5</f>
        <v>31 March 2025</v>
      </c>
      <c r="IG313" s="1717"/>
      <c r="IH313" s="1718"/>
      <c r="II313" s="1718"/>
      <c r="IJ313" s="1718"/>
      <c r="IK313" s="1718"/>
      <c r="IL313" s="246"/>
      <c r="IM313" s="246" t="str">
        <f>BS!$D$5</f>
        <v>31 March 2026</v>
      </c>
      <c r="IN313" s="247" t="str">
        <f>BS!$E$5</f>
        <v>31 March 2025</v>
      </c>
      <c r="IO313" s="1717"/>
      <c r="IP313" s="1718"/>
      <c r="IQ313" s="1718"/>
      <c r="IR313" s="1718"/>
      <c r="IS313" s="1718"/>
      <c r="IT313" s="246"/>
      <c r="IU313" s="246" t="str">
        <f>BS!$D$5</f>
        <v>31 March 2026</v>
      </c>
      <c r="IV313" s="247" t="str">
        <f>BS!$E$5</f>
        <v>31 March 2025</v>
      </c>
      <c r="IW313" s="1717"/>
      <c r="IX313" s="1718"/>
      <c r="IY313" s="1718"/>
      <c r="IZ313" s="1718"/>
      <c r="JA313" s="1718"/>
      <c r="JB313" s="246"/>
      <c r="JC313" s="246" t="str">
        <f>BS!$D$5</f>
        <v>31 March 2026</v>
      </c>
      <c r="JD313" s="247" t="str">
        <f>BS!$E$5</f>
        <v>31 March 2025</v>
      </c>
      <c r="JE313" s="1717"/>
      <c r="JF313" s="1718"/>
      <c r="JG313" s="1718"/>
      <c r="JH313" s="1718"/>
      <c r="JI313" s="1718"/>
      <c r="JJ313" s="246"/>
      <c r="JK313" s="246" t="str">
        <f>BS!$D$5</f>
        <v>31 March 2026</v>
      </c>
      <c r="JL313" s="247" t="str">
        <f>BS!$E$5</f>
        <v>31 March 2025</v>
      </c>
      <c r="JM313" s="1717"/>
      <c r="JN313" s="1718"/>
      <c r="JO313" s="1718"/>
      <c r="JP313" s="1718"/>
      <c r="JQ313" s="1718"/>
      <c r="JR313" s="246"/>
      <c r="JS313" s="246" t="str">
        <f>BS!$D$5</f>
        <v>31 March 2026</v>
      </c>
      <c r="JT313" s="247" t="str">
        <f>BS!$E$5</f>
        <v>31 March 2025</v>
      </c>
      <c r="JU313" s="1717"/>
      <c r="JV313" s="1718"/>
      <c r="JW313" s="1718"/>
      <c r="JX313" s="1718"/>
      <c r="JY313" s="1718"/>
      <c r="JZ313" s="246"/>
      <c r="KA313" s="246" t="str">
        <f>BS!$D$5</f>
        <v>31 March 2026</v>
      </c>
      <c r="KB313" s="247" t="str">
        <f>BS!$E$5</f>
        <v>31 March 2025</v>
      </c>
      <c r="KC313" s="1717"/>
      <c r="KD313" s="1718"/>
      <c r="KE313" s="1718"/>
      <c r="KF313" s="1718"/>
      <c r="KG313" s="1718"/>
      <c r="KH313" s="246"/>
      <c r="KI313" s="246" t="str">
        <f>BS!$D$5</f>
        <v>31 March 2026</v>
      </c>
      <c r="KJ313" s="247" t="str">
        <f>BS!$E$5</f>
        <v>31 March 2025</v>
      </c>
      <c r="KK313" s="1717"/>
      <c r="KL313" s="1718"/>
      <c r="KM313" s="1718"/>
      <c r="KN313" s="1718"/>
      <c r="KO313" s="1718"/>
      <c r="KP313" s="246"/>
      <c r="KQ313" s="246" t="str">
        <f>BS!$D$5</f>
        <v>31 March 2026</v>
      </c>
      <c r="KR313" s="247" t="str">
        <f>BS!$E$5</f>
        <v>31 March 2025</v>
      </c>
      <c r="KS313" s="1717"/>
      <c r="KT313" s="1718"/>
      <c r="KU313" s="1718"/>
      <c r="KV313" s="1718"/>
      <c r="KW313" s="1718"/>
      <c r="KX313" s="246"/>
      <c r="KY313" s="246" t="str">
        <f>BS!$D$5</f>
        <v>31 March 2026</v>
      </c>
      <c r="KZ313" s="247" t="str">
        <f>BS!$E$5</f>
        <v>31 March 2025</v>
      </c>
      <c r="LA313" s="1717"/>
      <c r="LB313" s="1718"/>
      <c r="LC313" s="1718"/>
      <c r="LD313" s="1718"/>
      <c r="LE313" s="1718"/>
      <c r="LF313" s="246"/>
      <c r="LG313" s="246" t="str">
        <f>BS!$D$5</f>
        <v>31 March 2026</v>
      </c>
      <c r="LH313" s="247" t="str">
        <f>BS!$E$5</f>
        <v>31 March 2025</v>
      </c>
      <c r="LI313" s="1717"/>
      <c r="LJ313" s="1718"/>
      <c r="LK313" s="1718"/>
      <c r="LL313" s="1718"/>
      <c r="LM313" s="1718"/>
      <c r="LN313" s="246"/>
      <c r="LO313" s="246" t="str">
        <f>BS!$D$5</f>
        <v>31 March 2026</v>
      </c>
      <c r="LP313" s="247" t="str">
        <f>BS!$E$5</f>
        <v>31 March 2025</v>
      </c>
      <c r="LQ313" s="1717"/>
      <c r="LR313" s="1718"/>
      <c r="LS313" s="1718"/>
      <c r="LT313" s="1718"/>
      <c r="LU313" s="1718"/>
      <c r="LV313" s="246"/>
      <c r="LW313" s="246" t="str">
        <f>BS!$D$5</f>
        <v>31 March 2026</v>
      </c>
      <c r="LX313" s="247" t="str">
        <f>BS!$E$5</f>
        <v>31 March 2025</v>
      </c>
      <c r="LY313" s="1717"/>
      <c r="LZ313" s="1718"/>
      <c r="MA313" s="1718"/>
      <c r="MB313" s="1718"/>
      <c r="MC313" s="1718"/>
      <c r="MD313" s="246"/>
      <c r="ME313" s="246" t="str">
        <f>BS!$D$5</f>
        <v>31 March 2026</v>
      </c>
      <c r="MF313" s="247" t="str">
        <f>BS!$E$5</f>
        <v>31 March 2025</v>
      </c>
      <c r="MG313" s="1717"/>
      <c r="MH313" s="1718"/>
      <c r="MI313" s="1718"/>
      <c r="MJ313" s="1718"/>
      <c r="MK313" s="1718"/>
      <c r="ML313" s="246"/>
      <c r="MM313" s="246" t="str">
        <f>BS!$D$5</f>
        <v>31 March 2026</v>
      </c>
      <c r="MN313" s="247" t="str">
        <f>BS!$E$5</f>
        <v>31 March 2025</v>
      </c>
      <c r="MO313" s="1717"/>
      <c r="MP313" s="1718"/>
      <c r="MQ313" s="1718"/>
      <c r="MR313" s="1718"/>
      <c r="MS313" s="1718"/>
      <c r="MT313" s="246"/>
      <c r="MU313" s="246" t="str">
        <f>BS!$D$5</f>
        <v>31 March 2026</v>
      </c>
      <c r="MV313" s="247" t="str">
        <f>BS!$E$5</f>
        <v>31 March 2025</v>
      </c>
      <c r="MW313" s="1717"/>
      <c r="MX313" s="1718"/>
      <c r="MY313" s="1718"/>
      <c r="MZ313" s="1718"/>
      <c r="NA313" s="1718"/>
      <c r="NB313" s="246"/>
      <c r="NC313" s="246" t="str">
        <f>BS!$D$5</f>
        <v>31 March 2026</v>
      </c>
      <c r="ND313" s="247" t="str">
        <f>BS!$E$5</f>
        <v>31 March 2025</v>
      </c>
      <c r="NE313" s="1717"/>
      <c r="NF313" s="1718"/>
      <c r="NG313" s="1718"/>
      <c r="NH313" s="1718"/>
      <c r="NI313" s="1718"/>
      <c r="NJ313" s="246"/>
      <c r="NK313" s="246" t="str">
        <f>BS!$D$5</f>
        <v>31 March 2026</v>
      </c>
      <c r="NL313" s="247" t="str">
        <f>BS!$E$5</f>
        <v>31 March 2025</v>
      </c>
      <c r="NM313" s="1717"/>
      <c r="NN313" s="1718"/>
      <c r="NO313" s="1718"/>
      <c r="NP313" s="1718"/>
      <c r="NQ313" s="1718"/>
      <c r="NR313" s="246"/>
      <c r="NS313" s="246" t="str">
        <f>BS!$D$5</f>
        <v>31 March 2026</v>
      </c>
      <c r="NT313" s="247" t="str">
        <f>BS!$E$5</f>
        <v>31 March 2025</v>
      </c>
      <c r="NU313" s="1717"/>
      <c r="NV313" s="1718"/>
      <c r="NW313" s="1718"/>
      <c r="NX313" s="1718"/>
      <c r="NY313" s="1718"/>
      <c r="NZ313" s="246"/>
      <c r="OA313" s="246" t="str">
        <f>BS!$D$5</f>
        <v>31 March 2026</v>
      </c>
      <c r="OB313" s="247" t="str">
        <f>BS!$E$5</f>
        <v>31 March 2025</v>
      </c>
      <c r="OC313" s="1717"/>
      <c r="OD313" s="1718"/>
      <c r="OE313" s="1718"/>
      <c r="OF313" s="1718"/>
      <c r="OG313" s="1718"/>
      <c r="OH313" s="246"/>
      <c r="OI313" s="246" t="str">
        <f>BS!$D$5</f>
        <v>31 March 2026</v>
      </c>
      <c r="OJ313" s="247" t="str">
        <f>BS!$E$5</f>
        <v>31 March 2025</v>
      </c>
      <c r="OK313" s="1717"/>
      <c r="OL313" s="1718"/>
      <c r="OM313" s="1718"/>
      <c r="ON313" s="1718"/>
      <c r="OO313" s="1718"/>
      <c r="OP313" s="246"/>
      <c r="OQ313" s="246" t="str">
        <f>BS!$D$5</f>
        <v>31 March 2026</v>
      </c>
      <c r="OR313" s="247" t="str">
        <f>BS!$E$5</f>
        <v>31 March 2025</v>
      </c>
      <c r="OS313" s="1717"/>
      <c r="OT313" s="1718"/>
      <c r="OU313" s="1718"/>
      <c r="OV313" s="1718"/>
      <c r="OW313" s="1718"/>
      <c r="OX313" s="246"/>
      <c r="OY313" s="246" t="str">
        <f>BS!$D$5</f>
        <v>31 March 2026</v>
      </c>
      <c r="OZ313" s="247" t="str">
        <f>BS!$E$5</f>
        <v>31 March 2025</v>
      </c>
      <c r="PA313" s="1717"/>
      <c r="PB313" s="1718"/>
      <c r="PC313" s="1718"/>
      <c r="PD313" s="1718"/>
      <c r="PE313" s="1718"/>
      <c r="PF313" s="246"/>
      <c r="PG313" s="246" t="str">
        <f>BS!$D$5</f>
        <v>31 March 2026</v>
      </c>
      <c r="PH313" s="247" t="str">
        <f>BS!$E$5</f>
        <v>31 March 2025</v>
      </c>
      <c r="PI313" s="1717"/>
      <c r="PJ313" s="1718"/>
      <c r="PK313" s="1718"/>
      <c r="PL313" s="1718"/>
      <c r="PM313" s="1718"/>
      <c r="PN313" s="246"/>
      <c r="PO313" s="246" t="str">
        <f>BS!$D$5</f>
        <v>31 March 2026</v>
      </c>
      <c r="PP313" s="247" t="str">
        <f>BS!$E$5</f>
        <v>31 March 2025</v>
      </c>
      <c r="PQ313" s="1717"/>
      <c r="PR313" s="1718"/>
      <c r="PS313" s="1718"/>
      <c r="PT313" s="1718"/>
      <c r="PU313" s="1718"/>
      <c r="PV313" s="246"/>
      <c r="PW313" s="246" t="str">
        <f>BS!$D$5</f>
        <v>31 March 2026</v>
      </c>
      <c r="PX313" s="247" t="str">
        <f>BS!$E$5</f>
        <v>31 March 2025</v>
      </c>
      <c r="PY313" s="1717"/>
      <c r="PZ313" s="1718"/>
      <c r="QA313" s="1718"/>
      <c r="QB313" s="1718"/>
      <c r="QC313" s="1718"/>
      <c r="QD313" s="246"/>
      <c r="QE313" s="246" t="str">
        <f>BS!$D$5</f>
        <v>31 March 2026</v>
      </c>
      <c r="QF313" s="247" t="str">
        <f>BS!$E$5</f>
        <v>31 March 2025</v>
      </c>
      <c r="QG313" s="1717"/>
      <c r="QH313" s="1718"/>
      <c r="QI313" s="1718"/>
      <c r="QJ313" s="1718"/>
      <c r="QK313" s="1718"/>
      <c r="QL313" s="246"/>
      <c r="QM313" s="246" t="str">
        <f>BS!$D$5</f>
        <v>31 March 2026</v>
      </c>
      <c r="QN313" s="247" t="str">
        <f>BS!$E$5</f>
        <v>31 March 2025</v>
      </c>
      <c r="QO313" s="1717"/>
      <c r="QP313" s="1718"/>
      <c r="QQ313" s="1718"/>
      <c r="QR313" s="1718"/>
      <c r="QS313" s="1718"/>
      <c r="QT313" s="246"/>
      <c r="QU313" s="246" t="str">
        <f>BS!$D$5</f>
        <v>31 March 2026</v>
      </c>
      <c r="QV313" s="247" t="str">
        <f>BS!$E$5</f>
        <v>31 March 2025</v>
      </c>
      <c r="QW313" s="1717"/>
      <c r="QX313" s="1718"/>
      <c r="QY313" s="1718"/>
      <c r="QZ313" s="1718"/>
      <c r="RA313" s="1718"/>
      <c r="RB313" s="246"/>
      <c r="RC313" s="246" t="str">
        <f>BS!$D$5</f>
        <v>31 March 2026</v>
      </c>
      <c r="RD313" s="247" t="str">
        <f>BS!$E$5</f>
        <v>31 March 2025</v>
      </c>
      <c r="RE313" s="1717"/>
      <c r="RF313" s="1718"/>
      <c r="RG313" s="1718"/>
      <c r="RH313" s="1718"/>
      <c r="RI313" s="1718"/>
      <c r="RJ313" s="246"/>
      <c r="RK313" s="246" t="str">
        <f>BS!$D$5</f>
        <v>31 March 2026</v>
      </c>
      <c r="RL313" s="247" t="str">
        <f>BS!$E$5</f>
        <v>31 March 2025</v>
      </c>
      <c r="RM313" s="1717"/>
      <c r="RN313" s="1718"/>
      <c r="RO313" s="1718"/>
      <c r="RP313" s="1718"/>
      <c r="RQ313" s="1718"/>
      <c r="RR313" s="246"/>
      <c r="RS313" s="246" t="str">
        <f>BS!$D$5</f>
        <v>31 March 2026</v>
      </c>
      <c r="RT313" s="247" t="str">
        <f>BS!$E$5</f>
        <v>31 March 2025</v>
      </c>
      <c r="RU313" s="1717"/>
      <c r="RV313" s="1718"/>
      <c r="RW313" s="1718"/>
      <c r="RX313" s="1718"/>
      <c r="RY313" s="1718"/>
      <c r="RZ313" s="246"/>
      <c r="SA313" s="246" t="str">
        <f>BS!$D$5</f>
        <v>31 March 2026</v>
      </c>
      <c r="SB313" s="247" t="str">
        <f>BS!$E$5</f>
        <v>31 March 2025</v>
      </c>
      <c r="SC313" s="1717"/>
      <c r="SD313" s="1718"/>
      <c r="SE313" s="1718"/>
      <c r="SF313" s="1718"/>
      <c r="SG313" s="1718"/>
      <c r="SH313" s="246"/>
      <c r="SI313" s="246" t="str">
        <f>BS!$D$5</f>
        <v>31 March 2026</v>
      </c>
      <c r="SJ313" s="247" t="str">
        <f>BS!$E$5</f>
        <v>31 March 2025</v>
      </c>
      <c r="SK313" s="1717"/>
      <c r="SL313" s="1718"/>
      <c r="SM313" s="1718"/>
      <c r="SN313" s="1718"/>
      <c r="SO313" s="1718"/>
      <c r="SP313" s="246"/>
      <c r="SQ313" s="246" t="str">
        <f>BS!$D$5</f>
        <v>31 March 2026</v>
      </c>
      <c r="SR313" s="247" t="str">
        <f>BS!$E$5</f>
        <v>31 March 2025</v>
      </c>
      <c r="SS313" s="1717"/>
      <c r="ST313" s="1718"/>
      <c r="SU313" s="1718"/>
      <c r="SV313" s="1718"/>
      <c r="SW313" s="1718"/>
      <c r="SX313" s="246"/>
      <c r="SY313" s="246" t="str">
        <f>BS!$D$5</f>
        <v>31 March 2026</v>
      </c>
      <c r="SZ313" s="247" t="str">
        <f>BS!$E$5</f>
        <v>31 March 2025</v>
      </c>
      <c r="TA313" s="1717"/>
      <c r="TB313" s="1718"/>
      <c r="TC313" s="1718"/>
      <c r="TD313" s="1718"/>
      <c r="TE313" s="1718"/>
      <c r="TF313" s="246"/>
      <c r="TG313" s="246" t="str">
        <f>BS!$D$5</f>
        <v>31 March 2026</v>
      </c>
      <c r="TH313" s="247" t="str">
        <f>BS!$E$5</f>
        <v>31 March 2025</v>
      </c>
      <c r="TI313" s="1717"/>
      <c r="TJ313" s="1718"/>
      <c r="TK313" s="1718"/>
      <c r="TL313" s="1718"/>
      <c r="TM313" s="1718"/>
      <c r="TN313" s="246"/>
      <c r="TO313" s="246" t="str">
        <f>BS!$D$5</f>
        <v>31 March 2026</v>
      </c>
      <c r="TP313" s="247" t="str">
        <f>BS!$E$5</f>
        <v>31 March 2025</v>
      </c>
      <c r="TQ313" s="1717"/>
      <c r="TR313" s="1718"/>
      <c r="TS313" s="1718"/>
      <c r="TT313" s="1718"/>
      <c r="TU313" s="1718"/>
      <c r="TV313" s="246"/>
      <c r="TW313" s="246" t="str">
        <f>BS!$D$5</f>
        <v>31 March 2026</v>
      </c>
      <c r="TX313" s="247" t="str">
        <f>BS!$E$5</f>
        <v>31 March 2025</v>
      </c>
      <c r="TY313" s="1717"/>
      <c r="TZ313" s="1718"/>
      <c r="UA313" s="1718"/>
      <c r="UB313" s="1718"/>
      <c r="UC313" s="1718"/>
      <c r="UD313" s="246"/>
      <c r="UE313" s="246" t="str">
        <f>BS!$D$5</f>
        <v>31 March 2026</v>
      </c>
      <c r="UF313" s="247" t="str">
        <f>BS!$E$5</f>
        <v>31 March 2025</v>
      </c>
      <c r="UG313" s="1717"/>
      <c r="UH313" s="1718"/>
      <c r="UI313" s="1718"/>
      <c r="UJ313" s="1718"/>
      <c r="UK313" s="1718"/>
      <c r="UL313" s="246"/>
      <c r="UM313" s="246" t="str">
        <f>BS!$D$5</f>
        <v>31 March 2026</v>
      </c>
      <c r="UN313" s="247" t="str">
        <f>BS!$E$5</f>
        <v>31 March 2025</v>
      </c>
      <c r="UO313" s="1717"/>
      <c r="UP313" s="1718"/>
      <c r="UQ313" s="1718"/>
      <c r="UR313" s="1718"/>
      <c r="US313" s="1718"/>
      <c r="UT313" s="246"/>
      <c r="UU313" s="246" t="str">
        <f>BS!$D$5</f>
        <v>31 March 2026</v>
      </c>
      <c r="UV313" s="247" t="str">
        <f>BS!$E$5</f>
        <v>31 March 2025</v>
      </c>
      <c r="UW313" s="1717"/>
      <c r="UX313" s="1718"/>
      <c r="UY313" s="1718"/>
      <c r="UZ313" s="1718"/>
      <c r="VA313" s="1718"/>
      <c r="VB313" s="246"/>
      <c r="VC313" s="246" t="str">
        <f>BS!$D$5</f>
        <v>31 March 2026</v>
      </c>
      <c r="VD313" s="247" t="str">
        <f>BS!$E$5</f>
        <v>31 March 2025</v>
      </c>
      <c r="VE313" s="1717"/>
      <c r="VF313" s="1718"/>
      <c r="VG313" s="1718"/>
      <c r="VH313" s="1718"/>
      <c r="VI313" s="1718"/>
      <c r="VJ313" s="246"/>
      <c r="VK313" s="246" t="str">
        <f>BS!$D$5</f>
        <v>31 March 2026</v>
      </c>
      <c r="VL313" s="247" t="str">
        <f>BS!$E$5</f>
        <v>31 March 2025</v>
      </c>
      <c r="VM313" s="1717"/>
      <c r="VN313" s="1718"/>
      <c r="VO313" s="1718"/>
      <c r="VP313" s="1718"/>
      <c r="VQ313" s="1718"/>
      <c r="VR313" s="246"/>
      <c r="VS313" s="246" t="str">
        <f>BS!$D$5</f>
        <v>31 March 2026</v>
      </c>
      <c r="VT313" s="247" t="str">
        <f>BS!$E$5</f>
        <v>31 March 2025</v>
      </c>
      <c r="VU313" s="1717"/>
      <c r="VV313" s="1718"/>
      <c r="VW313" s="1718"/>
      <c r="VX313" s="1718"/>
      <c r="VY313" s="1718"/>
      <c r="VZ313" s="246"/>
      <c r="WA313" s="246" t="str">
        <f>BS!$D$5</f>
        <v>31 March 2026</v>
      </c>
      <c r="WB313" s="247" t="str">
        <f>BS!$E$5</f>
        <v>31 March 2025</v>
      </c>
      <c r="WC313" s="1717"/>
      <c r="WD313" s="1718"/>
      <c r="WE313" s="1718"/>
      <c r="WF313" s="1718"/>
      <c r="WG313" s="1718"/>
      <c r="WH313" s="246"/>
      <c r="WI313" s="246" t="str">
        <f>BS!$D$5</f>
        <v>31 March 2026</v>
      </c>
      <c r="WJ313" s="247" t="str">
        <f>BS!$E$5</f>
        <v>31 March 2025</v>
      </c>
      <c r="WK313" s="1717"/>
      <c r="WL313" s="1718"/>
      <c r="WM313" s="1718"/>
      <c r="WN313" s="1718"/>
      <c r="WO313" s="1718"/>
      <c r="WP313" s="246"/>
      <c r="WQ313" s="246" t="str">
        <f>BS!$D$5</f>
        <v>31 March 2026</v>
      </c>
      <c r="WR313" s="247" t="str">
        <f>BS!$E$5</f>
        <v>31 March 2025</v>
      </c>
      <c r="WS313" s="1717"/>
      <c r="WT313" s="1718"/>
      <c r="WU313" s="1718"/>
      <c r="WV313" s="1718"/>
      <c r="WW313" s="1718"/>
      <c r="WX313" s="246"/>
      <c r="WY313" s="246" t="str">
        <f>BS!$D$5</f>
        <v>31 March 2026</v>
      </c>
      <c r="WZ313" s="247" t="str">
        <f>BS!$E$5</f>
        <v>31 March 2025</v>
      </c>
      <c r="XA313" s="1717"/>
      <c r="XB313" s="1718"/>
      <c r="XC313" s="1718"/>
      <c r="XD313" s="1718"/>
      <c r="XE313" s="1718"/>
      <c r="XF313" s="246"/>
      <c r="XG313" s="246" t="str">
        <f>BS!$D$5</f>
        <v>31 March 2026</v>
      </c>
      <c r="XH313" s="247" t="str">
        <f>BS!$E$5</f>
        <v>31 March 2025</v>
      </c>
      <c r="XI313" s="1717"/>
      <c r="XJ313" s="1718"/>
      <c r="XK313" s="1718"/>
      <c r="XL313" s="1718"/>
      <c r="XM313" s="1718"/>
      <c r="XN313" s="246"/>
      <c r="XO313" s="246" t="str">
        <f>BS!$D$5</f>
        <v>31 March 2026</v>
      </c>
      <c r="XP313" s="247" t="str">
        <f>BS!$E$5</f>
        <v>31 March 2025</v>
      </c>
      <c r="XQ313" s="1717"/>
      <c r="XR313" s="1718"/>
      <c r="XS313" s="1718"/>
      <c r="XT313" s="1718"/>
      <c r="XU313" s="1718"/>
      <c r="XV313" s="246"/>
      <c r="XW313" s="246" t="str">
        <f>BS!$D$5</f>
        <v>31 March 2026</v>
      </c>
      <c r="XX313" s="247" t="str">
        <f>BS!$E$5</f>
        <v>31 March 2025</v>
      </c>
      <c r="XY313" s="1717"/>
      <c r="XZ313" s="1718"/>
      <c r="YA313" s="1718"/>
      <c r="YB313" s="1718"/>
      <c r="YC313" s="1718"/>
      <c r="YD313" s="246"/>
      <c r="YE313" s="246" t="str">
        <f>BS!$D$5</f>
        <v>31 March 2026</v>
      </c>
      <c r="YF313" s="247" t="str">
        <f>BS!$E$5</f>
        <v>31 March 2025</v>
      </c>
      <c r="YG313" s="1717"/>
      <c r="YH313" s="1718"/>
      <c r="YI313" s="1718"/>
      <c r="YJ313" s="1718"/>
      <c r="YK313" s="1718"/>
      <c r="YL313" s="246"/>
      <c r="YM313" s="246" t="str">
        <f>BS!$D$5</f>
        <v>31 March 2026</v>
      </c>
      <c r="YN313" s="247" t="str">
        <f>BS!$E$5</f>
        <v>31 March 2025</v>
      </c>
      <c r="YO313" s="1717"/>
      <c r="YP313" s="1718"/>
      <c r="YQ313" s="1718"/>
      <c r="YR313" s="1718"/>
      <c r="YS313" s="1718"/>
      <c r="YT313" s="246"/>
      <c r="YU313" s="246" t="str">
        <f>BS!$D$5</f>
        <v>31 March 2026</v>
      </c>
      <c r="YV313" s="247" t="str">
        <f>BS!$E$5</f>
        <v>31 March 2025</v>
      </c>
      <c r="YW313" s="1717"/>
      <c r="YX313" s="1718"/>
      <c r="YY313" s="1718"/>
      <c r="YZ313" s="1718"/>
      <c r="ZA313" s="1718"/>
      <c r="ZB313" s="246"/>
      <c r="ZC313" s="246" t="str">
        <f>BS!$D$5</f>
        <v>31 March 2026</v>
      </c>
      <c r="ZD313" s="247" t="str">
        <f>BS!$E$5</f>
        <v>31 March 2025</v>
      </c>
      <c r="ZE313" s="1717"/>
      <c r="ZF313" s="1718"/>
      <c r="ZG313" s="1718"/>
      <c r="ZH313" s="1718"/>
      <c r="ZI313" s="1718"/>
      <c r="ZJ313" s="246"/>
      <c r="ZK313" s="246" t="str">
        <f>BS!$D$5</f>
        <v>31 March 2026</v>
      </c>
      <c r="ZL313" s="247" t="str">
        <f>BS!$E$5</f>
        <v>31 March 2025</v>
      </c>
      <c r="ZM313" s="1717"/>
      <c r="ZN313" s="1718"/>
      <c r="ZO313" s="1718"/>
      <c r="ZP313" s="1718"/>
      <c r="ZQ313" s="1718"/>
      <c r="ZR313" s="246"/>
      <c r="ZS313" s="246" t="str">
        <f>BS!$D$5</f>
        <v>31 March 2026</v>
      </c>
      <c r="ZT313" s="247" t="str">
        <f>BS!$E$5</f>
        <v>31 March 2025</v>
      </c>
      <c r="ZU313" s="1717"/>
      <c r="ZV313" s="1718"/>
      <c r="ZW313" s="1718"/>
      <c r="ZX313" s="1718"/>
      <c r="ZY313" s="1718"/>
      <c r="ZZ313" s="246"/>
      <c r="AAA313" s="246" t="str">
        <f>BS!$D$5</f>
        <v>31 March 2026</v>
      </c>
      <c r="AAB313" s="247" t="str">
        <f>BS!$E$5</f>
        <v>31 March 2025</v>
      </c>
      <c r="AAC313" s="1717"/>
      <c r="AAD313" s="1718"/>
      <c r="AAE313" s="1718"/>
      <c r="AAF313" s="1718"/>
      <c r="AAG313" s="1718"/>
      <c r="AAH313" s="246"/>
      <c r="AAI313" s="246" t="str">
        <f>BS!$D$5</f>
        <v>31 March 2026</v>
      </c>
      <c r="AAJ313" s="247" t="str">
        <f>BS!$E$5</f>
        <v>31 March 2025</v>
      </c>
      <c r="AAK313" s="1717"/>
      <c r="AAL313" s="1718"/>
      <c r="AAM313" s="1718"/>
      <c r="AAN313" s="1718"/>
      <c r="AAO313" s="1718"/>
      <c r="AAP313" s="246"/>
      <c r="AAQ313" s="246" t="str">
        <f>BS!$D$5</f>
        <v>31 March 2026</v>
      </c>
      <c r="AAR313" s="247" t="str">
        <f>BS!$E$5</f>
        <v>31 March 2025</v>
      </c>
      <c r="AAS313" s="1717"/>
      <c r="AAT313" s="1718"/>
      <c r="AAU313" s="1718"/>
      <c r="AAV313" s="1718"/>
      <c r="AAW313" s="1718"/>
      <c r="AAX313" s="246"/>
      <c r="AAY313" s="246" t="str">
        <f>BS!$D$5</f>
        <v>31 March 2026</v>
      </c>
      <c r="AAZ313" s="247" t="str">
        <f>BS!$E$5</f>
        <v>31 March 2025</v>
      </c>
      <c r="ABA313" s="1717"/>
      <c r="ABB313" s="1718"/>
      <c r="ABC313" s="1718"/>
      <c r="ABD313" s="1718"/>
      <c r="ABE313" s="1718"/>
      <c r="ABF313" s="246"/>
      <c r="ABG313" s="246" t="str">
        <f>BS!$D$5</f>
        <v>31 March 2026</v>
      </c>
      <c r="ABH313" s="247" t="str">
        <f>BS!$E$5</f>
        <v>31 March 2025</v>
      </c>
      <c r="ABI313" s="1717"/>
      <c r="ABJ313" s="1718"/>
      <c r="ABK313" s="1718"/>
      <c r="ABL313" s="1718"/>
      <c r="ABM313" s="1718"/>
      <c r="ABN313" s="246"/>
      <c r="ABO313" s="246" t="str">
        <f>BS!$D$5</f>
        <v>31 March 2026</v>
      </c>
      <c r="ABP313" s="247" t="str">
        <f>BS!$E$5</f>
        <v>31 March 2025</v>
      </c>
      <c r="ABQ313" s="1717"/>
      <c r="ABR313" s="1718"/>
      <c r="ABS313" s="1718"/>
      <c r="ABT313" s="1718"/>
      <c r="ABU313" s="1718"/>
      <c r="ABV313" s="246"/>
      <c r="ABW313" s="246" t="str">
        <f>BS!$D$5</f>
        <v>31 March 2026</v>
      </c>
      <c r="ABX313" s="247" t="str">
        <f>BS!$E$5</f>
        <v>31 March 2025</v>
      </c>
      <c r="ABY313" s="1717"/>
      <c r="ABZ313" s="1718"/>
      <c r="ACA313" s="1718"/>
      <c r="ACB313" s="1718"/>
      <c r="ACC313" s="1718"/>
      <c r="ACD313" s="246"/>
      <c r="ACE313" s="246" t="str">
        <f>BS!$D$5</f>
        <v>31 March 2026</v>
      </c>
      <c r="ACF313" s="247" t="str">
        <f>BS!$E$5</f>
        <v>31 March 2025</v>
      </c>
      <c r="ACG313" s="1717"/>
      <c r="ACH313" s="1718"/>
      <c r="ACI313" s="1718"/>
      <c r="ACJ313" s="1718"/>
      <c r="ACK313" s="1718"/>
      <c r="ACL313" s="246"/>
      <c r="ACM313" s="246" t="str">
        <f>BS!$D$5</f>
        <v>31 March 2026</v>
      </c>
      <c r="ACN313" s="247" t="str">
        <f>BS!$E$5</f>
        <v>31 March 2025</v>
      </c>
      <c r="ACO313" s="1717"/>
      <c r="ACP313" s="1718"/>
      <c r="ACQ313" s="1718"/>
      <c r="ACR313" s="1718"/>
      <c r="ACS313" s="1718"/>
      <c r="ACT313" s="246"/>
      <c r="ACU313" s="246" t="str">
        <f>BS!$D$5</f>
        <v>31 March 2026</v>
      </c>
      <c r="ACV313" s="247" t="str">
        <f>BS!$E$5</f>
        <v>31 March 2025</v>
      </c>
      <c r="ACW313" s="1717"/>
      <c r="ACX313" s="1718"/>
      <c r="ACY313" s="1718"/>
      <c r="ACZ313" s="1718"/>
      <c r="ADA313" s="1718"/>
      <c r="ADB313" s="246"/>
      <c r="ADC313" s="246" t="str">
        <f>BS!$D$5</f>
        <v>31 March 2026</v>
      </c>
      <c r="ADD313" s="247" t="str">
        <f>BS!$E$5</f>
        <v>31 March 2025</v>
      </c>
      <c r="ADE313" s="1717"/>
      <c r="ADF313" s="1718"/>
      <c r="ADG313" s="1718"/>
      <c r="ADH313" s="1718"/>
      <c r="ADI313" s="1718"/>
      <c r="ADJ313" s="246"/>
      <c r="ADK313" s="246" t="str">
        <f>BS!$D$5</f>
        <v>31 March 2026</v>
      </c>
      <c r="ADL313" s="247" t="str">
        <f>BS!$E$5</f>
        <v>31 March 2025</v>
      </c>
      <c r="ADM313" s="1717"/>
      <c r="ADN313" s="1718"/>
      <c r="ADO313" s="1718"/>
      <c r="ADP313" s="1718"/>
      <c r="ADQ313" s="1718"/>
      <c r="ADR313" s="246"/>
      <c r="ADS313" s="246" t="str">
        <f>BS!$D$5</f>
        <v>31 March 2026</v>
      </c>
      <c r="ADT313" s="247" t="str">
        <f>BS!$E$5</f>
        <v>31 March 2025</v>
      </c>
      <c r="ADU313" s="1717"/>
      <c r="ADV313" s="1718"/>
      <c r="ADW313" s="1718"/>
      <c r="ADX313" s="1718"/>
      <c r="ADY313" s="1718"/>
      <c r="ADZ313" s="246"/>
      <c r="AEA313" s="246" t="str">
        <f>BS!$D$5</f>
        <v>31 March 2026</v>
      </c>
      <c r="AEB313" s="247" t="str">
        <f>BS!$E$5</f>
        <v>31 March 2025</v>
      </c>
      <c r="AEC313" s="1717"/>
      <c r="AED313" s="1718"/>
      <c r="AEE313" s="1718"/>
      <c r="AEF313" s="1718"/>
      <c r="AEG313" s="1718"/>
      <c r="AEH313" s="246"/>
      <c r="AEI313" s="246" t="str">
        <f>BS!$D$5</f>
        <v>31 March 2026</v>
      </c>
      <c r="AEJ313" s="247" t="str">
        <f>BS!$E$5</f>
        <v>31 March 2025</v>
      </c>
      <c r="AEK313" s="1717"/>
      <c r="AEL313" s="1718"/>
      <c r="AEM313" s="1718"/>
      <c r="AEN313" s="1718"/>
      <c r="AEO313" s="1718"/>
      <c r="AEP313" s="246"/>
      <c r="AEQ313" s="246" t="str">
        <f>BS!$D$5</f>
        <v>31 March 2026</v>
      </c>
      <c r="AER313" s="247" t="str">
        <f>BS!$E$5</f>
        <v>31 March 2025</v>
      </c>
      <c r="AES313" s="1717"/>
      <c r="AET313" s="1718"/>
      <c r="AEU313" s="1718"/>
      <c r="AEV313" s="1718"/>
      <c r="AEW313" s="1718"/>
      <c r="AEX313" s="246"/>
      <c r="AEY313" s="246" t="str">
        <f>BS!$D$5</f>
        <v>31 March 2026</v>
      </c>
      <c r="AEZ313" s="247" t="str">
        <f>BS!$E$5</f>
        <v>31 March 2025</v>
      </c>
      <c r="AFA313" s="1717"/>
      <c r="AFB313" s="1718"/>
      <c r="AFC313" s="1718"/>
      <c r="AFD313" s="1718"/>
      <c r="AFE313" s="1718"/>
      <c r="AFF313" s="246"/>
      <c r="AFG313" s="246" t="str">
        <f>BS!$D$5</f>
        <v>31 March 2026</v>
      </c>
      <c r="AFH313" s="247" t="str">
        <f>BS!$E$5</f>
        <v>31 March 2025</v>
      </c>
      <c r="AFI313" s="1717"/>
      <c r="AFJ313" s="1718"/>
      <c r="AFK313" s="1718"/>
      <c r="AFL313" s="1718"/>
      <c r="AFM313" s="1718"/>
      <c r="AFN313" s="246"/>
      <c r="AFO313" s="246" t="str">
        <f>BS!$D$5</f>
        <v>31 March 2026</v>
      </c>
      <c r="AFP313" s="247" t="str">
        <f>BS!$E$5</f>
        <v>31 March 2025</v>
      </c>
      <c r="AFQ313" s="1717"/>
      <c r="AFR313" s="1718"/>
      <c r="AFS313" s="1718"/>
      <c r="AFT313" s="1718"/>
      <c r="AFU313" s="1718"/>
      <c r="AFV313" s="246"/>
      <c r="AFW313" s="246" t="str">
        <f>BS!$D$5</f>
        <v>31 March 2026</v>
      </c>
      <c r="AFX313" s="247" t="str">
        <f>BS!$E$5</f>
        <v>31 March 2025</v>
      </c>
      <c r="AFY313" s="1717"/>
      <c r="AFZ313" s="1718"/>
      <c r="AGA313" s="1718"/>
      <c r="AGB313" s="1718"/>
      <c r="AGC313" s="1718"/>
      <c r="AGD313" s="246"/>
      <c r="AGE313" s="246" t="str">
        <f>BS!$D$5</f>
        <v>31 March 2026</v>
      </c>
      <c r="AGF313" s="247" t="str">
        <f>BS!$E$5</f>
        <v>31 March 2025</v>
      </c>
      <c r="AGG313" s="1717"/>
      <c r="AGH313" s="1718"/>
      <c r="AGI313" s="1718"/>
      <c r="AGJ313" s="1718"/>
      <c r="AGK313" s="1718"/>
      <c r="AGL313" s="246"/>
      <c r="AGM313" s="246" t="str">
        <f>BS!$D$5</f>
        <v>31 March 2026</v>
      </c>
      <c r="AGN313" s="247" t="str">
        <f>BS!$E$5</f>
        <v>31 March 2025</v>
      </c>
      <c r="AGO313" s="1717"/>
      <c r="AGP313" s="1718"/>
      <c r="AGQ313" s="1718"/>
      <c r="AGR313" s="1718"/>
      <c r="AGS313" s="1718"/>
      <c r="AGT313" s="246"/>
      <c r="AGU313" s="246" t="str">
        <f>BS!$D$5</f>
        <v>31 March 2026</v>
      </c>
      <c r="AGV313" s="247" t="str">
        <f>BS!$E$5</f>
        <v>31 March 2025</v>
      </c>
      <c r="AGW313" s="1717"/>
      <c r="AGX313" s="1718"/>
      <c r="AGY313" s="1718"/>
      <c r="AGZ313" s="1718"/>
      <c r="AHA313" s="1718"/>
      <c r="AHB313" s="246"/>
      <c r="AHC313" s="246" t="str">
        <f>BS!$D$5</f>
        <v>31 March 2026</v>
      </c>
      <c r="AHD313" s="247" t="str">
        <f>BS!$E$5</f>
        <v>31 March 2025</v>
      </c>
      <c r="AHE313" s="1717"/>
      <c r="AHF313" s="1718"/>
      <c r="AHG313" s="1718"/>
      <c r="AHH313" s="1718"/>
      <c r="AHI313" s="1718"/>
      <c r="AHJ313" s="246"/>
      <c r="AHK313" s="246" t="str">
        <f>BS!$D$5</f>
        <v>31 March 2026</v>
      </c>
      <c r="AHL313" s="247" t="str">
        <f>BS!$E$5</f>
        <v>31 March 2025</v>
      </c>
      <c r="AHM313" s="1717"/>
      <c r="AHN313" s="1718"/>
      <c r="AHO313" s="1718"/>
      <c r="AHP313" s="1718"/>
      <c r="AHQ313" s="1718"/>
      <c r="AHR313" s="246"/>
      <c r="AHS313" s="246" t="str">
        <f>BS!$D$5</f>
        <v>31 March 2026</v>
      </c>
      <c r="AHT313" s="247" t="str">
        <f>BS!$E$5</f>
        <v>31 March 2025</v>
      </c>
      <c r="AHU313" s="1717"/>
      <c r="AHV313" s="1718"/>
      <c r="AHW313" s="1718"/>
      <c r="AHX313" s="1718"/>
      <c r="AHY313" s="1718"/>
      <c r="AHZ313" s="246"/>
      <c r="AIA313" s="246" t="str">
        <f>BS!$D$5</f>
        <v>31 March 2026</v>
      </c>
      <c r="AIB313" s="247" t="str">
        <f>BS!$E$5</f>
        <v>31 March 2025</v>
      </c>
      <c r="AIC313" s="1717"/>
      <c r="AID313" s="1718"/>
      <c r="AIE313" s="1718"/>
      <c r="AIF313" s="1718"/>
      <c r="AIG313" s="1718"/>
      <c r="AIH313" s="246"/>
      <c r="AII313" s="246" t="str">
        <f>BS!$D$5</f>
        <v>31 March 2026</v>
      </c>
      <c r="AIJ313" s="247" t="str">
        <f>BS!$E$5</f>
        <v>31 March 2025</v>
      </c>
      <c r="AIK313" s="1717"/>
      <c r="AIL313" s="1718"/>
      <c r="AIM313" s="1718"/>
      <c r="AIN313" s="1718"/>
      <c r="AIO313" s="1718"/>
      <c r="AIP313" s="246"/>
      <c r="AIQ313" s="246" t="str">
        <f>BS!$D$5</f>
        <v>31 March 2026</v>
      </c>
      <c r="AIR313" s="247" t="str">
        <f>BS!$E$5</f>
        <v>31 March 2025</v>
      </c>
      <c r="AIS313" s="1717"/>
      <c r="AIT313" s="1718"/>
      <c r="AIU313" s="1718"/>
      <c r="AIV313" s="1718"/>
      <c r="AIW313" s="1718"/>
      <c r="AIX313" s="246"/>
      <c r="AIY313" s="246" t="str">
        <f>BS!$D$5</f>
        <v>31 March 2026</v>
      </c>
      <c r="AIZ313" s="247" t="str">
        <f>BS!$E$5</f>
        <v>31 March 2025</v>
      </c>
      <c r="AJA313" s="1717"/>
      <c r="AJB313" s="1718"/>
      <c r="AJC313" s="1718"/>
      <c r="AJD313" s="1718"/>
      <c r="AJE313" s="1718"/>
      <c r="AJF313" s="246"/>
      <c r="AJG313" s="246" t="str">
        <f>BS!$D$5</f>
        <v>31 March 2026</v>
      </c>
      <c r="AJH313" s="247" t="str">
        <f>BS!$E$5</f>
        <v>31 March 2025</v>
      </c>
      <c r="AJI313" s="1717"/>
      <c r="AJJ313" s="1718"/>
      <c r="AJK313" s="1718"/>
      <c r="AJL313" s="1718"/>
      <c r="AJM313" s="1718"/>
      <c r="AJN313" s="246"/>
      <c r="AJO313" s="246" t="str">
        <f>BS!$D$5</f>
        <v>31 March 2026</v>
      </c>
      <c r="AJP313" s="247" t="str">
        <f>BS!$E$5</f>
        <v>31 March 2025</v>
      </c>
      <c r="AJQ313" s="1717"/>
      <c r="AJR313" s="1718"/>
      <c r="AJS313" s="1718"/>
      <c r="AJT313" s="1718"/>
      <c r="AJU313" s="1718"/>
      <c r="AJV313" s="246"/>
      <c r="AJW313" s="246" t="str">
        <f>BS!$D$5</f>
        <v>31 March 2026</v>
      </c>
      <c r="AJX313" s="247" t="str">
        <f>BS!$E$5</f>
        <v>31 March 2025</v>
      </c>
      <c r="AJY313" s="1717"/>
      <c r="AJZ313" s="1718"/>
      <c r="AKA313" s="1718"/>
      <c r="AKB313" s="1718"/>
      <c r="AKC313" s="1718"/>
      <c r="AKD313" s="246"/>
      <c r="AKE313" s="246" t="str">
        <f>BS!$D$5</f>
        <v>31 March 2026</v>
      </c>
      <c r="AKF313" s="247" t="str">
        <f>BS!$E$5</f>
        <v>31 March 2025</v>
      </c>
      <c r="AKG313" s="1717"/>
      <c r="AKH313" s="1718"/>
      <c r="AKI313" s="1718"/>
      <c r="AKJ313" s="1718"/>
      <c r="AKK313" s="1718"/>
      <c r="AKL313" s="246"/>
      <c r="AKM313" s="246" t="str">
        <f>BS!$D$5</f>
        <v>31 March 2026</v>
      </c>
      <c r="AKN313" s="247" t="str">
        <f>BS!$E$5</f>
        <v>31 March 2025</v>
      </c>
      <c r="AKO313" s="1717"/>
      <c r="AKP313" s="1718"/>
      <c r="AKQ313" s="1718"/>
      <c r="AKR313" s="1718"/>
      <c r="AKS313" s="1718"/>
      <c r="AKT313" s="246"/>
      <c r="AKU313" s="246" t="str">
        <f>BS!$D$5</f>
        <v>31 March 2026</v>
      </c>
      <c r="AKV313" s="247" t="str">
        <f>BS!$E$5</f>
        <v>31 March 2025</v>
      </c>
      <c r="AKW313" s="1717"/>
      <c r="AKX313" s="1718"/>
      <c r="AKY313" s="1718"/>
      <c r="AKZ313" s="1718"/>
      <c r="ALA313" s="1718"/>
      <c r="ALB313" s="246"/>
      <c r="ALC313" s="246" t="str">
        <f>BS!$D$5</f>
        <v>31 March 2026</v>
      </c>
      <c r="ALD313" s="247" t="str">
        <f>BS!$E$5</f>
        <v>31 March 2025</v>
      </c>
      <c r="ALE313" s="1717"/>
      <c r="ALF313" s="1718"/>
      <c r="ALG313" s="1718"/>
      <c r="ALH313" s="1718"/>
      <c r="ALI313" s="1718"/>
      <c r="ALJ313" s="246"/>
      <c r="ALK313" s="246" t="str">
        <f>BS!$D$5</f>
        <v>31 March 2026</v>
      </c>
      <c r="ALL313" s="247" t="str">
        <f>BS!$E$5</f>
        <v>31 March 2025</v>
      </c>
      <c r="ALM313" s="1717"/>
      <c r="ALN313" s="1718"/>
      <c r="ALO313" s="1718"/>
      <c r="ALP313" s="1718"/>
      <c r="ALQ313" s="1718"/>
      <c r="ALR313" s="246"/>
      <c r="ALS313" s="246" t="str">
        <f>BS!$D$5</f>
        <v>31 March 2026</v>
      </c>
      <c r="ALT313" s="247" t="str">
        <f>BS!$E$5</f>
        <v>31 March 2025</v>
      </c>
      <c r="ALU313" s="1717"/>
      <c r="ALV313" s="1718"/>
      <c r="ALW313" s="1718"/>
      <c r="ALX313" s="1718"/>
      <c r="ALY313" s="1718"/>
      <c r="ALZ313" s="246"/>
      <c r="AMA313" s="246" t="str">
        <f>BS!$D$5</f>
        <v>31 March 2026</v>
      </c>
      <c r="AMB313" s="247" t="str">
        <f>BS!$E$5</f>
        <v>31 March 2025</v>
      </c>
      <c r="AMC313" s="1717"/>
      <c r="AMD313" s="1718"/>
      <c r="AME313" s="1718"/>
      <c r="AMF313" s="1718"/>
      <c r="AMG313" s="1718"/>
      <c r="AMH313" s="246"/>
      <c r="AMI313" s="246" t="str">
        <f>BS!$D$5</f>
        <v>31 March 2026</v>
      </c>
      <c r="AMJ313" s="247" t="str">
        <f>BS!$E$5</f>
        <v>31 March 2025</v>
      </c>
      <c r="AMK313" s="1717"/>
      <c r="AML313" s="1718"/>
      <c r="AMM313" s="1718"/>
      <c r="AMN313" s="1718"/>
      <c r="AMO313" s="1718"/>
      <c r="AMP313" s="246"/>
      <c r="AMQ313" s="246" t="str">
        <f>BS!$D$5</f>
        <v>31 March 2026</v>
      </c>
      <c r="AMR313" s="247" t="str">
        <f>BS!$E$5</f>
        <v>31 March 2025</v>
      </c>
      <c r="AMS313" s="1717"/>
      <c r="AMT313" s="1718"/>
      <c r="AMU313" s="1718"/>
      <c r="AMV313" s="1718"/>
      <c r="AMW313" s="1718"/>
      <c r="AMX313" s="246"/>
      <c r="AMY313" s="246" t="str">
        <f>BS!$D$5</f>
        <v>31 March 2026</v>
      </c>
      <c r="AMZ313" s="247" t="str">
        <f>BS!$E$5</f>
        <v>31 March 2025</v>
      </c>
      <c r="ANA313" s="1717"/>
      <c r="ANB313" s="1718"/>
      <c r="ANC313" s="1718"/>
      <c r="AND313" s="1718"/>
      <c r="ANE313" s="1718"/>
      <c r="ANF313" s="246"/>
      <c r="ANG313" s="246" t="str">
        <f>BS!$D$5</f>
        <v>31 March 2026</v>
      </c>
      <c r="ANH313" s="247" t="str">
        <f>BS!$E$5</f>
        <v>31 March 2025</v>
      </c>
      <c r="ANI313" s="1717"/>
      <c r="ANJ313" s="1718"/>
      <c r="ANK313" s="1718"/>
      <c r="ANL313" s="1718"/>
      <c r="ANM313" s="1718"/>
      <c r="ANN313" s="246"/>
      <c r="ANO313" s="246" t="str">
        <f>BS!$D$5</f>
        <v>31 March 2026</v>
      </c>
      <c r="ANP313" s="247" t="str">
        <f>BS!$E$5</f>
        <v>31 March 2025</v>
      </c>
      <c r="ANQ313" s="1717"/>
      <c r="ANR313" s="1718"/>
      <c r="ANS313" s="1718"/>
      <c r="ANT313" s="1718"/>
      <c r="ANU313" s="1718"/>
      <c r="ANV313" s="246"/>
      <c r="ANW313" s="246" t="str">
        <f>BS!$D$5</f>
        <v>31 March 2026</v>
      </c>
      <c r="ANX313" s="247" t="str">
        <f>BS!$E$5</f>
        <v>31 March 2025</v>
      </c>
      <c r="ANY313" s="1717"/>
      <c r="ANZ313" s="1718"/>
      <c r="AOA313" s="1718"/>
      <c r="AOB313" s="1718"/>
      <c r="AOC313" s="1718"/>
      <c r="AOD313" s="246"/>
      <c r="AOE313" s="246" t="str">
        <f>BS!$D$5</f>
        <v>31 March 2026</v>
      </c>
      <c r="AOF313" s="247" t="str">
        <f>BS!$E$5</f>
        <v>31 March 2025</v>
      </c>
      <c r="AOG313" s="1717"/>
      <c r="AOH313" s="1718"/>
      <c r="AOI313" s="1718"/>
      <c r="AOJ313" s="1718"/>
      <c r="AOK313" s="1718"/>
      <c r="AOL313" s="246"/>
      <c r="AOM313" s="246" t="str">
        <f>BS!$D$5</f>
        <v>31 March 2026</v>
      </c>
      <c r="AON313" s="247" t="str">
        <f>BS!$E$5</f>
        <v>31 March 2025</v>
      </c>
      <c r="AOO313" s="1717"/>
      <c r="AOP313" s="1718"/>
      <c r="AOQ313" s="1718"/>
      <c r="AOR313" s="1718"/>
      <c r="AOS313" s="1718"/>
      <c r="AOT313" s="246"/>
      <c r="AOU313" s="246" t="str">
        <f>BS!$D$5</f>
        <v>31 March 2026</v>
      </c>
      <c r="AOV313" s="247" t="str">
        <f>BS!$E$5</f>
        <v>31 March 2025</v>
      </c>
      <c r="AOW313" s="1717"/>
      <c r="AOX313" s="1718"/>
      <c r="AOY313" s="1718"/>
      <c r="AOZ313" s="1718"/>
      <c r="APA313" s="1718"/>
      <c r="APB313" s="246"/>
      <c r="APC313" s="246" t="str">
        <f>BS!$D$5</f>
        <v>31 March 2026</v>
      </c>
      <c r="APD313" s="247" t="str">
        <f>BS!$E$5</f>
        <v>31 March 2025</v>
      </c>
      <c r="APE313" s="1717"/>
      <c r="APF313" s="1718"/>
      <c r="APG313" s="1718"/>
      <c r="APH313" s="1718"/>
      <c r="API313" s="1718"/>
      <c r="APJ313" s="246"/>
      <c r="APK313" s="246" t="str">
        <f>BS!$D$5</f>
        <v>31 March 2026</v>
      </c>
      <c r="APL313" s="247" t="str">
        <f>BS!$E$5</f>
        <v>31 March 2025</v>
      </c>
      <c r="APM313" s="1717"/>
      <c r="APN313" s="1718"/>
      <c r="APO313" s="1718"/>
      <c r="APP313" s="1718"/>
      <c r="APQ313" s="1718"/>
      <c r="APR313" s="246"/>
      <c r="APS313" s="246" t="str">
        <f>BS!$D$5</f>
        <v>31 March 2026</v>
      </c>
      <c r="APT313" s="247" t="str">
        <f>BS!$E$5</f>
        <v>31 March 2025</v>
      </c>
      <c r="APU313" s="1717"/>
      <c r="APV313" s="1718"/>
      <c r="APW313" s="1718"/>
      <c r="APX313" s="1718"/>
      <c r="APY313" s="1718"/>
      <c r="APZ313" s="246"/>
      <c r="AQA313" s="246" t="str">
        <f>BS!$D$5</f>
        <v>31 March 2026</v>
      </c>
      <c r="AQB313" s="247" t="str">
        <f>BS!$E$5</f>
        <v>31 March 2025</v>
      </c>
      <c r="AQC313" s="1717"/>
      <c r="AQD313" s="1718"/>
      <c r="AQE313" s="1718"/>
      <c r="AQF313" s="1718"/>
      <c r="AQG313" s="1718"/>
      <c r="AQH313" s="246"/>
      <c r="AQI313" s="246" t="str">
        <f>BS!$D$5</f>
        <v>31 March 2026</v>
      </c>
      <c r="AQJ313" s="247" t="str">
        <f>BS!$E$5</f>
        <v>31 March 2025</v>
      </c>
      <c r="AQK313" s="1717"/>
      <c r="AQL313" s="1718"/>
      <c r="AQM313" s="1718"/>
      <c r="AQN313" s="1718"/>
      <c r="AQO313" s="1718"/>
      <c r="AQP313" s="246"/>
      <c r="AQQ313" s="246" t="str">
        <f>BS!$D$5</f>
        <v>31 March 2026</v>
      </c>
      <c r="AQR313" s="247" t="str">
        <f>BS!$E$5</f>
        <v>31 March 2025</v>
      </c>
      <c r="AQS313" s="1717"/>
      <c r="AQT313" s="1718"/>
      <c r="AQU313" s="1718"/>
      <c r="AQV313" s="1718"/>
      <c r="AQW313" s="1718"/>
      <c r="AQX313" s="246"/>
      <c r="AQY313" s="246" t="str">
        <f>BS!$D$5</f>
        <v>31 March 2026</v>
      </c>
      <c r="AQZ313" s="247" t="str">
        <f>BS!$E$5</f>
        <v>31 March 2025</v>
      </c>
      <c r="ARA313" s="1717"/>
      <c r="ARB313" s="1718"/>
      <c r="ARC313" s="1718"/>
      <c r="ARD313" s="1718"/>
      <c r="ARE313" s="1718"/>
      <c r="ARF313" s="246"/>
      <c r="ARG313" s="246" t="str">
        <f>BS!$D$5</f>
        <v>31 March 2026</v>
      </c>
      <c r="ARH313" s="247" t="str">
        <f>BS!$E$5</f>
        <v>31 March 2025</v>
      </c>
      <c r="ARI313" s="1717"/>
      <c r="ARJ313" s="1718"/>
      <c r="ARK313" s="1718"/>
      <c r="ARL313" s="1718"/>
      <c r="ARM313" s="1718"/>
      <c r="ARN313" s="246"/>
      <c r="ARO313" s="246" t="str">
        <f>BS!$D$5</f>
        <v>31 March 2026</v>
      </c>
      <c r="ARP313" s="247" t="str">
        <f>BS!$E$5</f>
        <v>31 March 2025</v>
      </c>
      <c r="ARQ313" s="1717"/>
      <c r="ARR313" s="1718"/>
      <c r="ARS313" s="1718"/>
      <c r="ART313" s="1718"/>
      <c r="ARU313" s="1718"/>
      <c r="ARV313" s="246"/>
      <c r="ARW313" s="246" t="str">
        <f>BS!$D$5</f>
        <v>31 March 2026</v>
      </c>
      <c r="ARX313" s="247" t="str">
        <f>BS!$E$5</f>
        <v>31 March 2025</v>
      </c>
      <c r="ARY313" s="1717"/>
      <c r="ARZ313" s="1718"/>
      <c r="ASA313" s="1718"/>
      <c r="ASB313" s="1718"/>
      <c r="ASC313" s="1718"/>
      <c r="ASD313" s="246"/>
      <c r="ASE313" s="246" t="str">
        <f>BS!$D$5</f>
        <v>31 March 2026</v>
      </c>
      <c r="ASF313" s="247" t="str">
        <f>BS!$E$5</f>
        <v>31 March 2025</v>
      </c>
      <c r="ASG313" s="1717"/>
      <c r="ASH313" s="1718"/>
      <c r="ASI313" s="1718"/>
      <c r="ASJ313" s="1718"/>
      <c r="ASK313" s="1718"/>
      <c r="ASL313" s="246"/>
      <c r="ASM313" s="246" t="str">
        <f>BS!$D$5</f>
        <v>31 March 2026</v>
      </c>
      <c r="ASN313" s="247" t="str">
        <f>BS!$E$5</f>
        <v>31 March 2025</v>
      </c>
      <c r="ASO313" s="1717"/>
      <c r="ASP313" s="1718"/>
      <c r="ASQ313" s="1718"/>
      <c r="ASR313" s="1718"/>
      <c r="ASS313" s="1718"/>
      <c r="AST313" s="246"/>
      <c r="ASU313" s="246" t="str">
        <f>BS!$D$5</f>
        <v>31 March 2026</v>
      </c>
      <c r="ASV313" s="247" t="str">
        <f>BS!$E$5</f>
        <v>31 March 2025</v>
      </c>
      <c r="ASW313" s="1717"/>
      <c r="ASX313" s="1718"/>
      <c r="ASY313" s="1718"/>
      <c r="ASZ313" s="1718"/>
      <c r="ATA313" s="1718"/>
      <c r="ATB313" s="246"/>
      <c r="ATC313" s="246" t="str">
        <f>BS!$D$5</f>
        <v>31 March 2026</v>
      </c>
      <c r="ATD313" s="247" t="str">
        <f>BS!$E$5</f>
        <v>31 March 2025</v>
      </c>
      <c r="ATE313" s="1717"/>
      <c r="ATF313" s="1718"/>
      <c r="ATG313" s="1718"/>
      <c r="ATH313" s="1718"/>
      <c r="ATI313" s="1718"/>
      <c r="ATJ313" s="246"/>
      <c r="ATK313" s="246" t="str">
        <f>BS!$D$5</f>
        <v>31 March 2026</v>
      </c>
      <c r="ATL313" s="247" t="str">
        <f>BS!$E$5</f>
        <v>31 March 2025</v>
      </c>
      <c r="ATM313" s="1717"/>
      <c r="ATN313" s="1718"/>
      <c r="ATO313" s="1718"/>
      <c r="ATP313" s="1718"/>
      <c r="ATQ313" s="1718"/>
      <c r="ATR313" s="246"/>
      <c r="ATS313" s="246" t="str">
        <f>BS!$D$5</f>
        <v>31 March 2026</v>
      </c>
      <c r="ATT313" s="247" t="str">
        <f>BS!$E$5</f>
        <v>31 March 2025</v>
      </c>
      <c r="ATU313" s="1717"/>
      <c r="ATV313" s="1718"/>
      <c r="ATW313" s="1718"/>
      <c r="ATX313" s="1718"/>
      <c r="ATY313" s="1718"/>
      <c r="ATZ313" s="246"/>
      <c r="AUA313" s="246" t="str">
        <f>BS!$D$5</f>
        <v>31 March 2026</v>
      </c>
      <c r="AUB313" s="247" t="str">
        <f>BS!$E$5</f>
        <v>31 March 2025</v>
      </c>
      <c r="AUC313" s="1717"/>
      <c r="AUD313" s="1718"/>
      <c r="AUE313" s="1718"/>
      <c r="AUF313" s="1718"/>
      <c r="AUG313" s="1718"/>
      <c r="AUH313" s="246"/>
      <c r="AUI313" s="246" t="str">
        <f>BS!$D$5</f>
        <v>31 March 2026</v>
      </c>
      <c r="AUJ313" s="247" t="str">
        <f>BS!$E$5</f>
        <v>31 March 2025</v>
      </c>
      <c r="AUK313" s="1717"/>
      <c r="AUL313" s="1718"/>
      <c r="AUM313" s="1718"/>
      <c r="AUN313" s="1718"/>
      <c r="AUO313" s="1718"/>
      <c r="AUP313" s="246"/>
      <c r="AUQ313" s="246" t="str">
        <f>BS!$D$5</f>
        <v>31 March 2026</v>
      </c>
      <c r="AUR313" s="247" t="str">
        <f>BS!$E$5</f>
        <v>31 March 2025</v>
      </c>
      <c r="AUS313" s="1717"/>
      <c r="AUT313" s="1718"/>
      <c r="AUU313" s="1718"/>
      <c r="AUV313" s="1718"/>
      <c r="AUW313" s="1718"/>
      <c r="AUX313" s="246"/>
      <c r="AUY313" s="246" t="str">
        <f>BS!$D$5</f>
        <v>31 March 2026</v>
      </c>
      <c r="AUZ313" s="247" t="str">
        <f>BS!$E$5</f>
        <v>31 March 2025</v>
      </c>
      <c r="AVA313" s="1717"/>
      <c r="AVB313" s="1718"/>
      <c r="AVC313" s="1718"/>
      <c r="AVD313" s="1718"/>
      <c r="AVE313" s="1718"/>
      <c r="AVF313" s="246"/>
      <c r="AVG313" s="246" t="str">
        <f>BS!$D$5</f>
        <v>31 March 2026</v>
      </c>
      <c r="AVH313" s="247" t="str">
        <f>BS!$E$5</f>
        <v>31 March 2025</v>
      </c>
      <c r="AVI313" s="1717"/>
      <c r="AVJ313" s="1718"/>
      <c r="AVK313" s="1718"/>
      <c r="AVL313" s="1718"/>
      <c r="AVM313" s="1718"/>
      <c r="AVN313" s="246"/>
      <c r="AVO313" s="246" t="str">
        <f>BS!$D$5</f>
        <v>31 March 2026</v>
      </c>
      <c r="AVP313" s="247" t="str">
        <f>BS!$E$5</f>
        <v>31 March 2025</v>
      </c>
      <c r="AVQ313" s="1717"/>
      <c r="AVR313" s="1718"/>
      <c r="AVS313" s="1718"/>
      <c r="AVT313" s="1718"/>
      <c r="AVU313" s="1718"/>
      <c r="AVV313" s="246"/>
      <c r="AVW313" s="246" t="str">
        <f>BS!$D$5</f>
        <v>31 March 2026</v>
      </c>
      <c r="AVX313" s="247" t="str">
        <f>BS!$E$5</f>
        <v>31 March 2025</v>
      </c>
      <c r="AVY313" s="1717"/>
      <c r="AVZ313" s="1718"/>
      <c r="AWA313" s="1718"/>
      <c r="AWB313" s="1718"/>
      <c r="AWC313" s="1718"/>
      <c r="AWD313" s="246"/>
      <c r="AWE313" s="246" t="str">
        <f>BS!$D$5</f>
        <v>31 March 2026</v>
      </c>
      <c r="AWF313" s="247" t="str">
        <f>BS!$E$5</f>
        <v>31 March 2025</v>
      </c>
      <c r="AWG313" s="1717"/>
      <c r="AWH313" s="1718"/>
      <c r="AWI313" s="1718"/>
      <c r="AWJ313" s="1718"/>
      <c r="AWK313" s="1718"/>
      <c r="AWL313" s="246"/>
      <c r="AWM313" s="246" t="str">
        <f>BS!$D$5</f>
        <v>31 March 2026</v>
      </c>
      <c r="AWN313" s="247" t="str">
        <f>BS!$E$5</f>
        <v>31 March 2025</v>
      </c>
      <c r="AWO313" s="1717"/>
      <c r="AWP313" s="1718"/>
      <c r="AWQ313" s="1718"/>
      <c r="AWR313" s="1718"/>
      <c r="AWS313" s="1718"/>
      <c r="AWT313" s="246"/>
      <c r="AWU313" s="246" t="str">
        <f>BS!$D$5</f>
        <v>31 March 2026</v>
      </c>
      <c r="AWV313" s="247" t="str">
        <f>BS!$E$5</f>
        <v>31 March 2025</v>
      </c>
      <c r="AWW313" s="1717"/>
      <c r="AWX313" s="1718"/>
      <c r="AWY313" s="1718"/>
      <c r="AWZ313" s="1718"/>
      <c r="AXA313" s="1718"/>
      <c r="AXB313" s="246"/>
      <c r="AXC313" s="246" t="str">
        <f>BS!$D$5</f>
        <v>31 March 2026</v>
      </c>
      <c r="AXD313" s="247" t="str">
        <f>BS!$E$5</f>
        <v>31 March 2025</v>
      </c>
      <c r="AXE313" s="1717"/>
      <c r="AXF313" s="1718"/>
      <c r="AXG313" s="1718"/>
      <c r="AXH313" s="1718"/>
      <c r="AXI313" s="1718"/>
      <c r="AXJ313" s="246"/>
      <c r="AXK313" s="246" t="str">
        <f>BS!$D$5</f>
        <v>31 March 2026</v>
      </c>
      <c r="AXL313" s="247" t="str">
        <f>BS!$E$5</f>
        <v>31 March 2025</v>
      </c>
      <c r="AXM313" s="1717"/>
      <c r="AXN313" s="1718"/>
      <c r="AXO313" s="1718"/>
      <c r="AXP313" s="1718"/>
      <c r="AXQ313" s="1718"/>
      <c r="AXR313" s="246"/>
      <c r="AXS313" s="246" t="str">
        <f>BS!$D$5</f>
        <v>31 March 2026</v>
      </c>
      <c r="AXT313" s="247" t="str">
        <f>BS!$E$5</f>
        <v>31 March 2025</v>
      </c>
      <c r="AXU313" s="1717"/>
      <c r="AXV313" s="1718"/>
      <c r="AXW313" s="1718"/>
      <c r="AXX313" s="1718"/>
      <c r="AXY313" s="1718"/>
      <c r="AXZ313" s="246"/>
      <c r="AYA313" s="246" t="str">
        <f>BS!$D$5</f>
        <v>31 March 2026</v>
      </c>
      <c r="AYB313" s="247" t="str">
        <f>BS!$E$5</f>
        <v>31 March 2025</v>
      </c>
      <c r="AYC313" s="1717"/>
      <c r="AYD313" s="1718"/>
      <c r="AYE313" s="1718"/>
      <c r="AYF313" s="1718"/>
      <c r="AYG313" s="1718"/>
      <c r="AYH313" s="246"/>
      <c r="AYI313" s="246" t="str">
        <f>BS!$D$5</f>
        <v>31 March 2026</v>
      </c>
      <c r="AYJ313" s="247" t="str">
        <f>BS!$E$5</f>
        <v>31 March 2025</v>
      </c>
      <c r="AYK313" s="1717"/>
      <c r="AYL313" s="1718"/>
      <c r="AYM313" s="1718"/>
      <c r="AYN313" s="1718"/>
      <c r="AYO313" s="1718"/>
      <c r="AYP313" s="246"/>
      <c r="AYQ313" s="246" t="str">
        <f>BS!$D$5</f>
        <v>31 March 2026</v>
      </c>
      <c r="AYR313" s="247" t="str">
        <f>BS!$E$5</f>
        <v>31 March 2025</v>
      </c>
      <c r="AYS313" s="1717"/>
      <c r="AYT313" s="1718"/>
      <c r="AYU313" s="1718"/>
      <c r="AYV313" s="1718"/>
      <c r="AYW313" s="1718"/>
      <c r="AYX313" s="246"/>
      <c r="AYY313" s="246" t="str">
        <f>BS!$D$5</f>
        <v>31 March 2026</v>
      </c>
      <c r="AYZ313" s="247" t="str">
        <f>BS!$E$5</f>
        <v>31 March 2025</v>
      </c>
      <c r="AZA313" s="1717"/>
      <c r="AZB313" s="1718"/>
      <c r="AZC313" s="1718"/>
      <c r="AZD313" s="1718"/>
      <c r="AZE313" s="1718"/>
      <c r="AZF313" s="246"/>
      <c r="AZG313" s="246" t="str">
        <f>BS!$D$5</f>
        <v>31 March 2026</v>
      </c>
      <c r="AZH313" s="247" t="str">
        <f>BS!$E$5</f>
        <v>31 March 2025</v>
      </c>
      <c r="AZI313" s="1717"/>
      <c r="AZJ313" s="1718"/>
      <c r="AZK313" s="1718"/>
      <c r="AZL313" s="1718"/>
      <c r="AZM313" s="1718"/>
      <c r="AZN313" s="246"/>
      <c r="AZO313" s="246" t="str">
        <f>BS!$D$5</f>
        <v>31 March 2026</v>
      </c>
      <c r="AZP313" s="247" t="str">
        <f>BS!$E$5</f>
        <v>31 March 2025</v>
      </c>
      <c r="AZQ313" s="1717"/>
      <c r="AZR313" s="1718"/>
      <c r="AZS313" s="1718"/>
      <c r="AZT313" s="1718"/>
      <c r="AZU313" s="1718"/>
      <c r="AZV313" s="246"/>
      <c r="AZW313" s="246" t="str">
        <f>BS!$D$5</f>
        <v>31 March 2026</v>
      </c>
      <c r="AZX313" s="247" t="str">
        <f>BS!$E$5</f>
        <v>31 March 2025</v>
      </c>
      <c r="AZY313" s="1717"/>
      <c r="AZZ313" s="1718"/>
      <c r="BAA313" s="1718"/>
      <c r="BAB313" s="1718"/>
      <c r="BAC313" s="1718"/>
      <c r="BAD313" s="246"/>
      <c r="BAE313" s="246" t="str">
        <f>BS!$D$5</f>
        <v>31 March 2026</v>
      </c>
      <c r="BAF313" s="247" t="str">
        <f>BS!$E$5</f>
        <v>31 March 2025</v>
      </c>
      <c r="BAG313" s="1717"/>
      <c r="BAH313" s="1718"/>
      <c r="BAI313" s="1718"/>
      <c r="BAJ313" s="1718"/>
      <c r="BAK313" s="1718"/>
      <c r="BAL313" s="246"/>
      <c r="BAM313" s="246" t="str">
        <f>BS!$D$5</f>
        <v>31 March 2026</v>
      </c>
      <c r="BAN313" s="247" t="str">
        <f>BS!$E$5</f>
        <v>31 March 2025</v>
      </c>
      <c r="BAO313" s="1717"/>
      <c r="BAP313" s="1718"/>
      <c r="BAQ313" s="1718"/>
      <c r="BAR313" s="1718"/>
      <c r="BAS313" s="1718"/>
      <c r="BAT313" s="246"/>
      <c r="BAU313" s="246" t="str">
        <f>BS!$D$5</f>
        <v>31 March 2026</v>
      </c>
      <c r="BAV313" s="247" t="str">
        <f>BS!$E$5</f>
        <v>31 March 2025</v>
      </c>
      <c r="BAW313" s="1717"/>
      <c r="BAX313" s="1718"/>
      <c r="BAY313" s="1718"/>
      <c r="BAZ313" s="1718"/>
      <c r="BBA313" s="1718"/>
      <c r="BBB313" s="246"/>
      <c r="BBC313" s="246" t="str">
        <f>BS!$D$5</f>
        <v>31 March 2026</v>
      </c>
      <c r="BBD313" s="247" t="str">
        <f>BS!$E$5</f>
        <v>31 March 2025</v>
      </c>
      <c r="BBE313" s="1717"/>
      <c r="BBF313" s="1718"/>
      <c r="BBG313" s="1718"/>
      <c r="BBH313" s="1718"/>
      <c r="BBI313" s="1718"/>
      <c r="BBJ313" s="246"/>
      <c r="BBK313" s="246" t="str">
        <f>BS!$D$5</f>
        <v>31 March 2026</v>
      </c>
      <c r="BBL313" s="247" t="str">
        <f>BS!$E$5</f>
        <v>31 March 2025</v>
      </c>
      <c r="BBM313" s="1717"/>
      <c r="BBN313" s="1718"/>
      <c r="BBO313" s="1718"/>
      <c r="BBP313" s="1718"/>
      <c r="BBQ313" s="1718"/>
      <c r="BBR313" s="246"/>
      <c r="BBS313" s="246" t="str">
        <f>BS!$D$5</f>
        <v>31 March 2026</v>
      </c>
      <c r="BBT313" s="247" t="str">
        <f>BS!$E$5</f>
        <v>31 March 2025</v>
      </c>
      <c r="BBU313" s="1717"/>
      <c r="BBV313" s="1718"/>
      <c r="BBW313" s="1718"/>
      <c r="BBX313" s="1718"/>
      <c r="BBY313" s="1718"/>
      <c r="BBZ313" s="246"/>
      <c r="BCA313" s="246" t="str">
        <f>BS!$D$5</f>
        <v>31 March 2026</v>
      </c>
      <c r="BCB313" s="247" t="str">
        <f>BS!$E$5</f>
        <v>31 March 2025</v>
      </c>
      <c r="BCC313" s="1717"/>
      <c r="BCD313" s="1718"/>
      <c r="BCE313" s="1718"/>
      <c r="BCF313" s="1718"/>
      <c r="BCG313" s="1718"/>
      <c r="BCH313" s="246"/>
      <c r="BCI313" s="246" t="str">
        <f>BS!$D$5</f>
        <v>31 March 2026</v>
      </c>
      <c r="BCJ313" s="247" t="str">
        <f>BS!$E$5</f>
        <v>31 March 2025</v>
      </c>
      <c r="BCK313" s="1717"/>
      <c r="BCL313" s="1718"/>
      <c r="BCM313" s="1718"/>
      <c r="BCN313" s="1718"/>
      <c r="BCO313" s="1718"/>
      <c r="BCP313" s="246"/>
      <c r="BCQ313" s="246" t="str">
        <f>BS!$D$5</f>
        <v>31 March 2026</v>
      </c>
      <c r="BCR313" s="247" t="str">
        <f>BS!$E$5</f>
        <v>31 March 2025</v>
      </c>
      <c r="BCS313" s="1717"/>
      <c r="BCT313" s="1718"/>
      <c r="BCU313" s="1718"/>
      <c r="BCV313" s="1718"/>
      <c r="BCW313" s="1718"/>
      <c r="BCX313" s="246"/>
      <c r="BCY313" s="246" t="str">
        <f>BS!$D$5</f>
        <v>31 March 2026</v>
      </c>
      <c r="BCZ313" s="247" t="str">
        <f>BS!$E$5</f>
        <v>31 March 2025</v>
      </c>
      <c r="BDA313" s="1717"/>
      <c r="BDB313" s="1718"/>
      <c r="BDC313" s="1718"/>
      <c r="BDD313" s="1718"/>
      <c r="BDE313" s="1718"/>
      <c r="BDF313" s="246"/>
      <c r="BDG313" s="246" t="str">
        <f>BS!$D$5</f>
        <v>31 March 2026</v>
      </c>
      <c r="BDH313" s="247" t="str">
        <f>BS!$E$5</f>
        <v>31 March 2025</v>
      </c>
      <c r="BDI313" s="1717"/>
      <c r="BDJ313" s="1718"/>
      <c r="BDK313" s="1718"/>
      <c r="BDL313" s="1718"/>
      <c r="BDM313" s="1718"/>
      <c r="BDN313" s="246"/>
      <c r="BDO313" s="246" t="str">
        <f>BS!$D$5</f>
        <v>31 March 2026</v>
      </c>
      <c r="BDP313" s="247" t="str">
        <f>BS!$E$5</f>
        <v>31 March 2025</v>
      </c>
      <c r="BDQ313" s="1717"/>
      <c r="BDR313" s="1718"/>
      <c r="BDS313" s="1718"/>
      <c r="BDT313" s="1718"/>
      <c r="BDU313" s="1718"/>
      <c r="BDV313" s="246"/>
      <c r="BDW313" s="246" t="str">
        <f>BS!$D$5</f>
        <v>31 March 2026</v>
      </c>
      <c r="BDX313" s="247" t="str">
        <f>BS!$E$5</f>
        <v>31 March 2025</v>
      </c>
      <c r="BDY313" s="1717"/>
      <c r="BDZ313" s="1718"/>
      <c r="BEA313" s="1718"/>
      <c r="BEB313" s="1718"/>
      <c r="BEC313" s="1718"/>
      <c r="BED313" s="246"/>
      <c r="BEE313" s="246" t="str">
        <f>BS!$D$5</f>
        <v>31 March 2026</v>
      </c>
      <c r="BEF313" s="247" t="str">
        <f>BS!$E$5</f>
        <v>31 March 2025</v>
      </c>
      <c r="BEG313" s="1717"/>
      <c r="BEH313" s="1718"/>
      <c r="BEI313" s="1718"/>
      <c r="BEJ313" s="1718"/>
      <c r="BEK313" s="1718"/>
      <c r="BEL313" s="246"/>
      <c r="BEM313" s="246" t="str">
        <f>BS!$D$5</f>
        <v>31 March 2026</v>
      </c>
      <c r="BEN313" s="247" t="str">
        <f>BS!$E$5</f>
        <v>31 March 2025</v>
      </c>
      <c r="BEO313" s="1717"/>
      <c r="BEP313" s="1718"/>
      <c r="BEQ313" s="1718"/>
      <c r="BER313" s="1718"/>
      <c r="BES313" s="1718"/>
      <c r="BET313" s="246"/>
      <c r="BEU313" s="246" t="str">
        <f>BS!$D$5</f>
        <v>31 March 2026</v>
      </c>
      <c r="BEV313" s="247" t="str">
        <f>BS!$E$5</f>
        <v>31 March 2025</v>
      </c>
      <c r="BEW313" s="1717"/>
      <c r="BEX313" s="1718"/>
      <c r="BEY313" s="1718"/>
      <c r="BEZ313" s="1718"/>
      <c r="BFA313" s="1718"/>
      <c r="BFB313" s="246"/>
      <c r="BFC313" s="246" t="str">
        <f>BS!$D$5</f>
        <v>31 March 2026</v>
      </c>
      <c r="BFD313" s="247" t="str">
        <f>BS!$E$5</f>
        <v>31 March 2025</v>
      </c>
      <c r="BFE313" s="1717"/>
      <c r="BFF313" s="1718"/>
      <c r="BFG313" s="1718"/>
      <c r="BFH313" s="1718"/>
      <c r="BFI313" s="1718"/>
      <c r="BFJ313" s="246"/>
      <c r="BFK313" s="246" t="str">
        <f>BS!$D$5</f>
        <v>31 March 2026</v>
      </c>
      <c r="BFL313" s="247" t="str">
        <f>BS!$E$5</f>
        <v>31 March 2025</v>
      </c>
      <c r="BFM313" s="1717"/>
      <c r="BFN313" s="1718"/>
      <c r="BFO313" s="1718"/>
      <c r="BFP313" s="1718"/>
      <c r="BFQ313" s="1718"/>
      <c r="BFR313" s="246"/>
      <c r="BFS313" s="246" t="str">
        <f>BS!$D$5</f>
        <v>31 March 2026</v>
      </c>
      <c r="BFT313" s="247" t="str">
        <f>BS!$E$5</f>
        <v>31 March 2025</v>
      </c>
      <c r="BFU313" s="1717"/>
      <c r="BFV313" s="1718"/>
      <c r="BFW313" s="1718"/>
      <c r="BFX313" s="1718"/>
      <c r="BFY313" s="1718"/>
      <c r="BFZ313" s="246"/>
      <c r="BGA313" s="246" t="str">
        <f>BS!$D$5</f>
        <v>31 March 2026</v>
      </c>
      <c r="BGB313" s="247" t="str">
        <f>BS!$E$5</f>
        <v>31 March 2025</v>
      </c>
      <c r="BGC313" s="1717"/>
      <c r="BGD313" s="1718"/>
      <c r="BGE313" s="1718"/>
      <c r="BGF313" s="1718"/>
      <c r="BGG313" s="1718"/>
      <c r="BGH313" s="246"/>
      <c r="BGI313" s="246" t="str">
        <f>BS!$D$5</f>
        <v>31 March 2026</v>
      </c>
      <c r="BGJ313" s="247" t="str">
        <f>BS!$E$5</f>
        <v>31 March 2025</v>
      </c>
      <c r="BGK313" s="1717"/>
      <c r="BGL313" s="1718"/>
      <c r="BGM313" s="1718"/>
      <c r="BGN313" s="1718"/>
      <c r="BGO313" s="1718"/>
      <c r="BGP313" s="246"/>
      <c r="BGQ313" s="246" t="str">
        <f>BS!$D$5</f>
        <v>31 March 2026</v>
      </c>
      <c r="BGR313" s="247" t="str">
        <f>BS!$E$5</f>
        <v>31 March 2025</v>
      </c>
      <c r="BGS313" s="1717"/>
      <c r="BGT313" s="1718"/>
      <c r="BGU313" s="1718"/>
      <c r="BGV313" s="1718"/>
      <c r="BGW313" s="1718"/>
      <c r="BGX313" s="246"/>
      <c r="BGY313" s="246" t="str">
        <f>BS!$D$5</f>
        <v>31 March 2026</v>
      </c>
      <c r="BGZ313" s="247" t="str">
        <f>BS!$E$5</f>
        <v>31 March 2025</v>
      </c>
      <c r="BHA313" s="1717"/>
      <c r="BHB313" s="1718"/>
      <c r="BHC313" s="1718"/>
      <c r="BHD313" s="1718"/>
      <c r="BHE313" s="1718"/>
      <c r="BHF313" s="246"/>
      <c r="BHG313" s="246" t="str">
        <f>BS!$D$5</f>
        <v>31 March 2026</v>
      </c>
      <c r="BHH313" s="247" t="str">
        <f>BS!$E$5</f>
        <v>31 March 2025</v>
      </c>
      <c r="BHI313" s="1717"/>
      <c r="BHJ313" s="1718"/>
      <c r="BHK313" s="1718"/>
      <c r="BHL313" s="1718"/>
      <c r="BHM313" s="1718"/>
      <c r="BHN313" s="246"/>
      <c r="BHO313" s="246" t="str">
        <f>BS!$D$5</f>
        <v>31 March 2026</v>
      </c>
      <c r="BHP313" s="247" t="str">
        <f>BS!$E$5</f>
        <v>31 March 2025</v>
      </c>
      <c r="BHQ313" s="1717"/>
      <c r="BHR313" s="1718"/>
      <c r="BHS313" s="1718"/>
      <c r="BHT313" s="1718"/>
      <c r="BHU313" s="1718"/>
      <c r="BHV313" s="246"/>
      <c r="BHW313" s="246" t="str">
        <f>BS!$D$5</f>
        <v>31 March 2026</v>
      </c>
      <c r="BHX313" s="247" t="str">
        <f>BS!$E$5</f>
        <v>31 March 2025</v>
      </c>
      <c r="BHY313" s="1717"/>
      <c r="BHZ313" s="1718"/>
      <c r="BIA313" s="1718"/>
      <c r="BIB313" s="1718"/>
      <c r="BIC313" s="1718"/>
      <c r="BID313" s="246"/>
      <c r="BIE313" s="246" t="str">
        <f>BS!$D$5</f>
        <v>31 March 2026</v>
      </c>
      <c r="BIF313" s="247" t="str">
        <f>BS!$E$5</f>
        <v>31 March 2025</v>
      </c>
      <c r="BIG313" s="1717"/>
      <c r="BIH313" s="1718"/>
      <c r="BII313" s="1718"/>
      <c r="BIJ313" s="1718"/>
      <c r="BIK313" s="1718"/>
      <c r="BIL313" s="246"/>
      <c r="BIM313" s="246" t="str">
        <f>BS!$D$5</f>
        <v>31 March 2026</v>
      </c>
      <c r="BIN313" s="247" t="str">
        <f>BS!$E$5</f>
        <v>31 March 2025</v>
      </c>
      <c r="BIO313" s="1717"/>
      <c r="BIP313" s="1718"/>
      <c r="BIQ313" s="1718"/>
      <c r="BIR313" s="1718"/>
      <c r="BIS313" s="1718"/>
      <c r="BIT313" s="246"/>
      <c r="BIU313" s="246" t="str">
        <f>BS!$D$5</f>
        <v>31 March 2026</v>
      </c>
      <c r="BIV313" s="247" t="str">
        <f>BS!$E$5</f>
        <v>31 March 2025</v>
      </c>
      <c r="BIW313" s="1717"/>
      <c r="BIX313" s="1718"/>
      <c r="BIY313" s="1718"/>
      <c r="BIZ313" s="1718"/>
      <c r="BJA313" s="1718"/>
      <c r="BJB313" s="246"/>
      <c r="BJC313" s="246" t="str">
        <f>BS!$D$5</f>
        <v>31 March 2026</v>
      </c>
      <c r="BJD313" s="247" t="str">
        <f>BS!$E$5</f>
        <v>31 March 2025</v>
      </c>
      <c r="BJE313" s="1717"/>
      <c r="BJF313" s="1718"/>
      <c r="BJG313" s="1718"/>
      <c r="BJH313" s="1718"/>
      <c r="BJI313" s="1718"/>
      <c r="BJJ313" s="246"/>
      <c r="BJK313" s="246" t="str">
        <f>BS!$D$5</f>
        <v>31 March 2026</v>
      </c>
      <c r="BJL313" s="247" t="str">
        <f>BS!$E$5</f>
        <v>31 March 2025</v>
      </c>
      <c r="BJM313" s="1717"/>
      <c r="BJN313" s="1718"/>
      <c r="BJO313" s="1718"/>
      <c r="BJP313" s="1718"/>
      <c r="BJQ313" s="1718"/>
      <c r="BJR313" s="246"/>
      <c r="BJS313" s="246" t="str">
        <f>BS!$D$5</f>
        <v>31 March 2026</v>
      </c>
      <c r="BJT313" s="247" t="str">
        <f>BS!$E$5</f>
        <v>31 March 2025</v>
      </c>
      <c r="BJU313" s="1717"/>
      <c r="BJV313" s="1718"/>
      <c r="BJW313" s="1718"/>
      <c r="BJX313" s="1718"/>
      <c r="BJY313" s="1718"/>
      <c r="BJZ313" s="246"/>
      <c r="BKA313" s="246" t="str">
        <f>BS!$D$5</f>
        <v>31 March 2026</v>
      </c>
      <c r="BKB313" s="247" t="str">
        <f>BS!$E$5</f>
        <v>31 March 2025</v>
      </c>
      <c r="BKC313" s="1717"/>
      <c r="BKD313" s="1718"/>
      <c r="BKE313" s="1718"/>
      <c r="BKF313" s="1718"/>
      <c r="BKG313" s="1718"/>
      <c r="BKH313" s="246"/>
      <c r="BKI313" s="246" t="str">
        <f>BS!$D$5</f>
        <v>31 March 2026</v>
      </c>
      <c r="BKJ313" s="247" t="str">
        <f>BS!$E$5</f>
        <v>31 March 2025</v>
      </c>
      <c r="BKK313" s="1717"/>
      <c r="BKL313" s="1718"/>
      <c r="BKM313" s="1718"/>
      <c r="BKN313" s="1718"/>
      <c r="BKO313" s="1718"/>
      <c r="BKP313" s="246"/>
      <c r="BKQ313" s="246" t="str">
        <f>BS!$D$5</f>
        <v>31 March 2026</v>
      </c>
      <c r="BKR313" s="247" t="str">
        <f>BS!$E$5</f>
        <v>31 March 2025</v>
      </c>
      <c r="BKS313" s="1717"/>
      <c r="BKT313" s="1718"/>
      <c r="BKU313" s="1718"/>
      <c r="BKV313" s="1718"/>
      <c r="BKW313" s="1718"/>
      <c r="BKX313" s="246"/>
      <c r="BKY313" s="246" t="str">
        <f>BS!$D$5</f>
        <v>31 March 2026</v>
      </c>
      <c r="BKZ313" s="247" t="str">
        <f>BS!$E$5</f>
        <v>31 March 2025</v>
      </c>
      <c r="BLA313" s="1717"/>
      <c r="BLB313" s="1718"/>
      <c r="BLC313" s="1718"/>
      <c r="BLD313" s="1718"/>
      <c r="BLE313" s="1718"/>
      <c r="BLF313" s="246"/>
      <c r="BLG313" s="246" t="str">
        <f>BS!$D$5</f>
        <v>31 March 2026</v>
      </c>
      <c r="BLH313" s="247" t="str">
        <f>BS!$E$5</f>
        <v>31 March 2025</v>
      </c>
      <c r="BLI313" s="1717"/>
      <c r="BLJ313" s="1718"/>
      <c r="BLK313" s="1718"/>
      <c r="BLL313" s="1718"/>
      <c r="BLM313" s="1718"/>
      <c r="BLN313" s="246"/>
      <c r="BLO313" s="246" t="str">
        <f>BS!$D$5</f>
        <v>31 March 2026</v>
      </c>
      <c r="BLP313" s="247" t="str">
        <f>BS!$E$5</f>
        <v>31 March 2025</v>
      </c>
      <c r="BLQ313" s="1717"/>
      <c r="BLR313" s="1718"/>
      <c r="BLS313" s="1718"/>
      <c r="BLT313" s="1718"/>
      <c r="BLU313" s="1718"/>
      <c r="BLV313" s="246"/>
      <c r="BLW313" s="246" t="str">
        <f>BS!$D$5</f>
        <v>31 March 2026</v>
      </c>
      <c r="BLX313" s="247" t="str">
        <f>BS!$E$5</f>
        <v>31 March 2025</v>
      </c>
      <c r="BLY313" s="1717"/>
      <c r="BLZ313" s="1718"/>
      <c r="BMA313" s="1718"/>
      <c r="BMB313" s="1718"/>
      <c r="BMC313" s="1718"/>
      <c r="BMD313" s="246"/>
      <c r="BME313" s="246" t="str">
        <f>BS!$D$5</f>
        <v>31 March 2026</v>
      </c>
      <c r="BMF313" s="247" t="str">
        <f>BS!$E$5</f>
        <v>31 March 2025</v>
      </c>
      <c r="BMG313" s="1717"/>
      <c r="BMH313" s="1718"/>
      <c r="BMI313" s="1718"/>
      <c r="BMJ313" s="1718"/>
      <c r="BMK313" s="1718"/>
      <c r="BML313" s="246"/>
      <c r="BMM313" s="246" t="str">
        <f>BS!$D$5</f>
        <v>31 March 2026</v>
      </c>
      <c r="BMN313" s="247" t="str">
        <f>BS!$E$5</f>
        <v>31 March 2025</v>
      </c>
      <c r="BMO313" s="1717"/>
      <c r="BMP313" s="1718"/>
      <c r="BMQ313" s="1718"/>
      <c r="BMR313" s="1718"/>
      <c r="BMS313" s="1718"/>
      <c r="BMT313" s="246"/>
      <c r="BMU313" s="246" t="str">
        <f>BS!$D$5</f>
        <v>31 March 2026</v>
      </c>
      <c r="BMV313" s="247" t="str">
        <f>BS!$E$5</f>
        <v>31 March 2025</v>
      </c>
      <c r="BMW313" s="1717"/>
      <c r="BMX313" s="1718"/>
      <c r="BMY313" s="1718"/>
      <c r="BMZ313" s="1718"/>
      <c r="BNA313" s="1718"/>
      <c r="BNB313" s="246"/>
      <c r="BNC313" s="246" t="str">
        <f>BS!$D$5</f>
        <v>31 March 2026</v>
      </c>
      <c r="BND313" s="247" t="str">
        <f>BS!$E$5</f>
        <v>31 March 2025</v>
      </c>
      <c r="BNE313" s="1717"/>
      <c r="BNF313" s="1718"/>
      <c r="BNG313" s="1718"/>
      <c r="BNH313" s="1718"/>
      <c r="BNI313" s="1718"/>
      <c r="BNJ313" s="246"/>
      <c r="BNK313" s="246" t="str">
        <f>BS!$D$5</f>
        <v>31 March 2026</v>
      </c>
      <c r="BNL313" s="247" t="str">
        <f>BS!$E$5</f>
        <v>31 March 2025</v>
      </c>
      <c r="BNM313" s="1717"/>
      <c r="BNN313" s="1718"/>
      <c r="BNO313" s="1718"/>
      <c r="BNP313" s="1718"/>
      <c r="BNQ313" s="1718"/>
      <c r="BNR313" s="246"/>
      <c r="BNS313" s="246" t="str">
        <f>BS!$D$5</f>
        <v>31 March 2026</v>
      </c>
      <c r="BNT313" s="247" t="str">
        <f>BS!$E$5</f>
        <v>31 March 2025</v>
      </c>
      <c r="BNU313" s="1717"/>
      <c r="BNV313" s="1718"/>
      <c r="BNW313" s="1718"/>
      <c r="BNX313" s="1718"/>
      <c r="BNY313" s="1718"/>
      <c r="BNZ313" s="246"/>
      <c r="BOA313" s="246" t="str">
        <f>BS!$D$5</f>
        <v>31 March 2026</v>
      </c>
      <c r="BOB313" s="247" t="str">
        <f>BS!$E$5</f>
        <v>31 March 2025</v>
      </c>
      <c r="BOC313" s="1717"/>
      <c r="BOD313" s="1718"/>
      <c r="BOE313" s="1718"/>
      <c r="BOF313" s="1718"/>
      <c r="BOG313" s="1718"/>
      <c r="BOH313" s="246"/>
      <c r="BOI313" s="246" t="str">
        <f>BS!$D$5</f>
        <v>31 March 2026</v>
      </c>
      <c r="BOJ313" s="247" t="str">
        <f>BS!$E$5</f>
        <v>31 March 2025</v>
      </c>
      <c r="BOK313" s="1717"/>
      <c r="BOL313" s="1718"/>
      <c r="BOM313" s="1718"/>
      <c r="BON313" s="1718"/>
      <c r="BOO313" s="1718"/>
      <c r="BOP313" s="246"/>
      <c r="BOQ313" s="246" t="str">
        <f>BS!$D$5</f>
        <v>31 March 2026</v>
      </c>
      <c r="BOR313" s="247" t="str">
        <f>BS!$E$5</f>
        <v>31 March 2025</v>
      </c>
      <c r="BOS313" s="1717"/>
      <c r="BOT313" s="1718"/>
      <c r="BOU313" s="1718"/>
      <c r="BOV313" s="1718"/>
      <c r="BOW313" s="1718"/>
      <c r="BOX313" s="246"/>
      <c r="BOY313" s="246" t="str">
        <f>BS!$D$5</f>
        <v>31 March 2026</v>
      </c>
      <c r="BOZ313" s="247" t="str">
        <f>BS!$E$5</f>
        <v>31 March 2025</v>
      </c>
      <c r="BPA313" s="1717"/>
      <c r="BPB313" s="1718"/>
      <c r="BPC313" s="1718"/>
      <c r="BPD313" s="1718"/>
      <c r="BPE313" s="1718"/>
      <c r="BPF313" s="246"/>
      <c r="BPG313" s="246" t="str">
        <f>BS!$D$5</f>
        <v>31 March 2026</v>
      </c>
      <c r="BPH313" s="247" t="str">
        <f>BS!$E$5</f>
        <v>31 March 2025</v>
      </c>
      <c r="BPI313" s="1717"/>
      <c r="BPJ313" s="1718"/>
      <c r="BPK313" s="1718"/>
      <c r="BPL313" s="1718"/>
      <c r="BPM313" s="1718"/>
      <c r="BPN313" s="246"/>
      <c r="BPO313" s="246" t="str">
        <f>BS!$D$5</f>
        <v>31 March 2026</v>
      </c>
      <c r="BPP313" s="247" t="str">
        <f>BS!$E$5</f>
        <v>31 March 2025</v>
      </c>
      <c r="BPQ313" s="1717"/>
      <c r="BPR313" s="1718"/>
      <c r="BPS313" s="1718"/>
      <c r="BPT313" s="1718"/>
      <c r="BPU313" s="1718"/>
      <c r="BPV313" s="246"/>
      <c r="BPW313" s="246" t="str">
        <f>BS!$D$5</f>
        <v>31 March 2026</v>
      </c>
      <c r="BPX313" s="247" t="str">
        <f>BS!$E$5</f>
        <v>31 March 2025</v>
      </c>
      <c r="BPY313" s="1717"/>
      <c r="BPZ313" s="1718"/>
      <c r="BQA313" s="1718"/>
      <c r="BQB313" s="1718"/>
      <c r="BQC313" s="1718"/>
      <c r="BQD313" s="246"/>
      <c r="BQE313" s="246" t="str">
        <f>BS!$D$5</f>
        <v>31 March 2026</v>
      </c>
      <c r="BQF313" s="247" t="str">
        <f>BS!$E$5</f>
        <v>31 March 2025</v>
      </c>
      <c r="BQG313" s="1717"/>
      <c r="BQH313" s="1718"/>
      <c r="BQI313" s="1718"/>
      <c r="BQJ313" s="1718"/>
      <c r="BQK313" s="1718"/>
      <c r="BQL313" s="246"/>
      <c r="BQM313" s="246" t="str">
        <f>BS!$D$5</f>
        <v>31 March 2026</v>
      </c>
      <c r="BQN313" s="247" t="str">
        <f>BS!$E$5</f>
        <v>31 March 2025</v>
      </c>
      <c r="BQO313" s="1717"/>
      <c r="BQP313" s="1718"/>
      <c r="BQQ313" s="1718"/>
      <c r="BQR313" s="1718"/>
      <c r="BQS313" s="1718"/>
      <c r="BQT313" s="246"/>
      <c r="BQU313" s="246" t="str">
        <f>BS!$D$5</f>
        <v>31 March 2026</v>
      </c>
      <c r="BQV313" s="247" t="str">
        <f>BS!$E$5</f>
        <v>31 March 2025</v>
      </c>
      <c r="BQW313" s="1717"/>
      <c r="BQX313" s="1718"/>
      <c r="BQY313" s="1718"/>
      <c r="BQZ313" s="1718"/>
      <c r="BRA313" s="1718"/>
      <c r="BRB313" s="246"/>
      <c r="BRC313" s="246" t="str">
        <f>BS!$D$5</f>
        <v>31 March 2026</v>
      </c>
      <c r="BRD313" s="247" t="str">
        <f>BS!$E$5</f>
        <v>31 March 2025</v>
      </c>
      <c r="BRE313" s="1717"/>
      <c r="BRF313" s="1718"/>
      <c r="BRG313" s="1718"/>
      <c r="BRH313" s="1718"/>
      <c r="BRI313" s="1718"/>
      <c r="BRJ313" s="246"/>
      <c r="BRK313" s="246" t="str">
        <f>BS!$D$5</f>
        <v>31 March 2026</v>
      </c>
      <c r="BRL313" s="247" t="str">
        <f>BS!$E$5</f>
        <v>31 March 2025</v>
      </c>
      <c r="BRM313" s="1717"/>
      <c r="BRN313" s="1718"/>
      <c r="BRO313" s="1718"/>
      <c r="BRP313" s="1718"/>
      <c r="BRQ313" s="1718"/>
      <c r="BRR313" s="246"/>
      <c r="BRS313" s="246" t="str">
        <f>BS!$D$5</f>
        <v>31 March 2026</v>
      </c>
      <c r="BRT313" s="247" t="str">
        <f>BS!$E$5</f>
        <v>31 March 2025</v>
      </c>
      <c r="BRU313" s="1717"/>
      <c r="BRV313" s="1718"/>
      <c r="BRW313" s="1718"/>
      <c r="BRX313" s="1718"/>
      <c r="BRY313" s="1718"/>
      <c r="BRZ313" s="246"/>
      <c r="BSA313" s="246" t="str">
        <f>BS!$D$5</f>
        <v>31 March 2026</v>
      </c>
      <c r="BSB313" s="247" t="str">
        <f>BS!$E$5</f>
        <v>31 March 2025</v>
      </c>
      <c r="BSC313" s="1717"/>
      <c r="BSD313" s="1718"/>
      <c r="BSE313" s="1718"/>
      <c r="BSF313" s="1718"/>
      <c r="BSG313" s="1718"/>
      <c r="BSH313" s="246"/>
      <c r="BSI313" s="246" t="str">
        <f>BS!$D$5</f>
        <v>31 March 2026</v>
      </c>
      <c r="BSJ313" s="247" t="str">
        <f>BS!$E$5</f>
        <v>31 March 2025</v>
      </c>
      <c r="BSK313" s="1717"/>
      <c r="BSL313" s="1718"/>
      <c r="BSM313" s="1718"/>
      <c r="BSN313" s="1718"/>
      <c r="BSO313" s="1718"/>
      <c r="BSP313" s="246"/>
      <c r="BSQ313" s="246" t="str">
        <f>BS!$D$5</f>
        <v>31 March 2026</v>
      </c>
      <c r="BSR313" s="247" t="str">
        <f>BS!$E$5</f>
        <v>31 March 2025</v>
      </c>
      <c r="BSS313" s="1717"/>
      <c r="BST313" s="1718"/>
      <c r="BSU313" s="1718"/>
      <c r="BSV313" s="1718"/>
      <c r="BSW313" s="1718"/>
      <c r="BSX313" s="246"/>
      <c r="BSY313" s="246" t="str">
        <f>BS!$D$5</f>
        <v>31 March 2026</v>
      </c>
      <c r="BSZ313" s="247" t="str">
        <f>BS!$E$5</f>
        <v>31 March 2025</v>
      </c>
      <c r="BTA313" s="1717"/>
      <c r="BTB313" s="1718"/>
      <c r="BTC313" s="1718"/>
      <c r="BTD313" s="1718"/>
      <c r="BTE313" s="1718"/>
      <c r="BTF313" s="246"/>
      <c r="BTG313" s="246" t="str">
        <f>BS!$D$5</f>
        <v>31 March 2026</v>
      </c>
      <c r="BTH313" s="247" t="str">
        <f>BS!$E$5</f>
        <v>31 March 2025</v>
      </c>
      <c r="BTI313" s="1717"/>
      <c r="BTJ313" s="1718"/>
      <c r="BTK313" s="1718"/>
      <c r="BTL313" s="1718"/>
      <c r="BTM313" s="1718"/>
      <c r="BTN313" s="246"/>
      <c r="BTO313" s="246" t="str">
        <f>BS!$D$5</f>
        <v>31 March 2026</v>
      </c>
      <c r="BTP313" s="247" t="str">
        <f>BS!$E$5</f>
        <v>31 March 2025</v>
      </c>
      <c r="BTQ313" s="1717"/>
      <c r="BTR313" s="1718"/>
      <c r="BTS313" s="1718"/>
      <c r="BTT313" s="1718"/>
      <c r="BTU313" s="1718"/>
      <c r="BTV313" s="246"/>
      <c r="BTW313" s="246" t="str">
        <f>BS!$D$5</f>
        <v>31 March 2026</v>
      </c>
      <c r="BTX313" s="247" t="str">
        <f>BS!$E$5</f>
        <v>31 March 2025</v>
      </c>
      <c r="BTY313" s="1717"/>
      <c r="BTZ313" s="1718"/>
      <c r="BUA313" s="1718"/>
      <c r="BUB313" s="1718"/>
      <c r="BUC313" s="1718"/>
      <c r="BUD313" s="246"/>
      <c r="BUE313" s="246" t="str">
        <f>BS!$D$5</f>
        <v>31 March 2026</v>
      </c>
      <c r="BUF313" s="247" t="str">
        <f>BS!$E$5</f>
        <v>31 March 2025</v>
      </c>
      <c r="BUG313" s="1717"/>
      <c r="BUH313" s="1718"/>
      <c r="BUI313" s="1718"/>
      <c r="BUJ313" s="1718"/>
      <c r="BUK313" s="1718"/>
      <c r="BUL313" s="246"/>
      <c r="BUM313" s="246" t="str">
        <f>BS!$D$5</f>
        <v>31 March 2026</v>
      </c>
      <c r="BUN313" s="247" t="str">
        <f>BS!$E$5</f>
        <v>31 March 2025</v>
      </c>
      <c r="BUO313" s="1717"/>
      <c r="BUP313" s="1718"/>
      <c r="BUQ313" s="1718"/>
      <c r="BUR313" s="1718"/>
      <c r="BUS313" s="1718"/>
      <c r="BUT313" s="246"/>
      <c r="BUU313" s="246" t="str">
        <f>BS!$D$5</f>
        <v>31 March 2026</v>
      </c>
      <c r="BUV313" s="247" t="str">
        <f>BS!$E$5</f>
        <v>31 March 2025</v>
      </c>
      <c r="BUW313" s="1717"/>
      <c r="BUX313" s="1718"/>
      <c r="BUY313" s="1718"/>
      <c r="BUZ313" s="1718"/>
      <c r="BVA313" s="1718"/>
      <c r="BVB313" s="246"/>
      <c r="BVC313" s="246" t="str">
        <f>BS!$D$5</f>
        <v>31 March 2026</v>
      </c>
      <c r="BVD313" s="247" t="str">
        <f>BS!$E$5</f>
        <v>31 March 2025</v>
      </c>
      <c r="BVE313" s="1717"/>
      <c r="BVF313" s="1718"/>
      <c r="BVG313" s="1718"/>
      <c r="BVH313" s="1718"/>
      <c r="BVI313" s="1718"/>
      <c r="BVJ313" s="246"/>
      <c r="BVK313" s="246" t="str">
        <f>BS!$D$5</f>
        <v>31 March 2026</v>
      </c>
      <c r="BVL313" s="247" t="str">
        <f>BS!$E$5</f>
        <v>31 March 2025</v>
      </c>
      <c r="BVM313" s="1717"/>
      <c r="BVN313" s="1718"/>
      <c r="BVO313" s="1718"/>
      <c r="BVP313" s="1718"/>
      <c r="BVQ313" s="1718"/>
      <c r="BVR313" s="246"/>
      <c r="BVS313" s="246" t="str">
        <f>BS!$D$5</f>
        <v>31 March 2026</v>
      </c>
      <c r="BVT313" s="247" t="str">
        <f>BS!$E$5</f>
        <v>31 March 2025</v>
      </c>
      <c r="BVU313" s="1717"/>
      <c r="BVV313" s="1718"/>
      <c r="BVW313" s="1718"/>
      <c r="BVX313" s="1718"/>
      <c r="BVY313" s="1718"/>
      <c r="BVZ313" s="246"/>
      <c r="BWA313" s="246" t="str">
        <f>BS!$D$5</f>
        <v>31 March 2026</v>
      </c>
      <c r="BWB313" s="247" t="str">
        <f>BS!$E$5</f>
        <v>31 March 2025</v>
      </c>
      <c r="BWC313" s="1717"/>
      <c r="BWD313" s="1718"/>
      <c r="BWE313" s="1718"/>
      <c r="BWF313" s="1718"/>
      <c r="BWG313" s="1718"/>
      <c r="BWH313" s="246"/>
      <c r="BWI313" s="246" t="str">
        <f>BS!$D$5</f>
        <v>31 March 2026</v>
      </c>
      <c r="BWJ313" s="247" t="str">
        <f>BS!$E$5</f>
        <v>31 March 2025</v>
      </c>
      <c r="BWK313" s="1717"/>
      <c r="BWL313" s="1718"/>
      <c r="BWM313" s="1718"/>
      <c r="BWN313" s="1718"/>
      <c r="BWO313" s="1718"/>
      <c r="BWP313" s="246"/>
      <c r="BWQ313" s="246" t="str">
        <f>BS!$D$5</f>
        <v>31 March 2026</v>
      </c>
      <c r="BWR313" s="247" t="str">
        <f>BS!$E$5</f>
        <v>31 March 2025</v>
      </c>
      <c r="BWS313" s="1717"/>
      <c r="BWT313" s="1718"/>
      <c r="BWU313" s="1718"/>
      <c r="BWV313" s="1718"/>
      <c r="BWW313" s="1718"/>
      <c r="BWX313" s="246"/>
      <c r="BWY313" s="246" t="str">
        <f>BS!$D$5</f>
        <v>31 March 2026</v>
      </c>
      <c r="BWZ313" s="247" t="str">
        <f>BS!$E$5</f>
        <v>31 March 2025</v>
      </c>
      <c r="BXA313" s="1717"/>
      <c r="BXB313" s="1718"/>
      <c r="BXC313" s="1718"/>
      <c r="BXD313" s="1718"/>
      <c r="BXE313" s="1718"/>
      <c r="BXF313" s="246"/>
      <c r="BXG313" s="246" t="str">
        <f>BS!$D$5</f>
        <v>31 March 2026</v>
      </c>
      <c r="BXH313" s="247" t="str">
        <f>BS!$E$5</f>
        <v>31 March 2025</v>
      </c>
      <c r="BXI313" s="1717"/>
      <c r="BXJ313" s="1718"/>
      <c r="BXK313" s="1718"/>
      <c r="BXL313" s="1718"/>
      <c r="BXM313" s="1718"/>
      <c r="BXN313" s="246"/>
      <c r="BXO313" s="246" t="str">
        <f>BS!$D$5</f>
        <v>31 March 2026</v>
      </c>
      <c r="BXP313" s="247" t="str">
        <f>BS!$E$5</f>
        <v>31 March 2025</v>
      </c>
      <c r="BXQ313" s="1717"/>
      <c r="BXR313" s="1718"/>
      <c r="BXS313" s="1718"/>
      <c r="BXT313" s="1718"/>
      <c r="BXU313" s="1718"/>
      <c r="BXV313" s="246"/>
      <c r="BXW313" s="246" t="str">
        <f>BS!$D$5</f>
        <v>31 March 2026</v>
      </c>
      <c r="BXX313" s="247" t="str">
        <f>BS!$E$5</f>
        <v>31 March 2025</v>
      </c>
      <c r="BXY313" s="1717"/>
      <c r="BXZ313" s="1718"/>
      <c r="BYA313" s="1718"/>
      <c r="BYB313" s="1718"/>
      <c r="BYC313" s="1718"/>
      <c r="BYD313" s="246"/>
      <c r="BYE313" s="246" t="str">
        <f>BS!$D$5</f>
        <v>31 March 2026</v>
      </c>
      <c r="BYF313" s="247" t="str">
        <f>BS!$E$5</f>
        <v>31 March 2025</v>
      </c>
      <c r="BYG313" s="1717"/>
      <c r="BYH313" s="1718"/>
      <c r="BYI313" s="1718"/>
      <c r="BYJ313" s="1718"/>
      <c r="BYK313" s="1718"/>
      <c r="BYL313" s="246"/>
      <c r="BYM313" s="246" t="str">
        <f>BS!$D$5</f>
        <v>31 March 2026</v>
      </c>
      <c r="BYN313" s="247" t="str">
        <f>BS!$E$5</f>
        <v>31 March 2025</v>
      </c>
      <c r="BYO313" s="1717"/>
      <c r="BYP313" s="1718"/>
      <c r="BYQ313" s="1718"/>
      <c r="BYR313" s="1718"/>
      <c r="BYS313" s="1718"/>
      <c r="BYT313" s="246"/>
      <c r="BYU313" s="246" t="str">
        <f>BS!$D$5</f>
        <v>31 March 2026</v>
      </c>
      <c r="BYV313" s="247" t="str">
        <f>BS!$E$5</f>
        <v>31 March 2025</v>
      </c>
      <c r="BYW313" s="1717"/>
      <c r="BYX313" s="1718"/>
      <c r="BYY313" s="1718"/>
      <c r="BYZ313" s="1718"/>
      <c r="BZA313" s="1718"/>
      <c r="BZB313" s="246"/>
      <c r="BZC313" s="246" t="str">
        <f>BS!$D$5</f>
        <v>31 March 2026</v>
      </c>
      <c r="BZD313" s="247" t="str">
        <f>BS!$E$5</f>
        <v>31 March 2025</v>
      </c>
      <c r="BZE313" s="1717"/>
      <c r="BZF313" s="1718"/>
      <c r="BZG313" s="1718"/>
      <c r="BZH313" s="1718"/>
      <c r="BZI313" s="1718"/>
      <c r="BZJ313" s="246"/>
      <c r="BZK313" s="246" t="str">
        <f>BS!$D$5</f>
        <v>31 March 2026</v>
      </c>
      <c r="BZL313" s="247" t="str">
        <f>BS!$E$5</f>
        <v>31 March 2025</v>
      </c>
      <c r="BZM313" s="1717"/>
      <c r="BZN313" s="1718"/>
      <c r="BZO313" s="1718"/>
      <c r="BZP313" s="1718"/>
      <c r="BZQ313" s="1718"/>
      <c r="BZR313" s="246"/>
      <c r="BZS313" s="246" t="str">
        <f>BS!$D$5</f>
        <v>31 March 2026</v>
      </c>
      <c r="BZT313" s="247" t="str">
        <f>BS!$E$5</f>
        <v>31 March 2025</v>
      </c>
      <c r="BZU313" s="1717"/>
      <c r="BZV313" s="1718"/>
      <c r="BZW313" s="1718"/>
      <c r="BZX313" s="1718"/>
      <c r="BZY313" s="1718"/>
      <c r="BZZ313" s="246"/>
      <c r="CAA313" s="246" t="str">
        <f>BS!$D$5</f>
        <v>31 March 2026</v>
      </c>
      <c r="CAB313" s="247" t="str">
        <f>BS!$E$5</f>
        <v>31 March 2025</v>
      </c>
      <c r="CAC313" s="1717"/>
      <c r="CAD313" s="1718"/>
      <c r="CAE313" s="1718"/>
      <c r="CAF313" s="1718"/>
      <c r="CAG313" s="1718"/>
      <c r="CAH313" s="246"/>
      <c r="CAI313" s="246" t="str">
        <f>BS!$D$5</f>
        <v>31 March 2026</v>
      </c>
      <c r="CAJ313" s="247" t="str">
        <f>BS!$E$5</f>
        <v>31 March 2025</v>
      </c>
      <c r="CAK313" s="1717"/>
      <c r="CAL313" s="1718"/>
      <c r="CAM313" s="1718"/>
      <c r="CAN313" s="1718"/>
      <c r="CAO313" s="1718"/>
      <c r="CAP313" s="246"/>
      <c r="CAQ313" s="246" t="str">
        <f>BS!$D$5</f>
        <v>31 March 2026</v>
      </c>
      <c r="CAR313" s="247" t="str">
        <f>BS!$E$5</f>
        <v>31 March 2025</v>
      </c>
      <c r="CAS313" s="1717"/>
      <c r="CAT313" s="1718"/>
      <c r="CAU313" s="1718"/>
      <c r="CAV313" s="1718"/>
      <c r="CAW313" s="1718"/>
      <c r="CAX313" s="246"/>
      <c r="CAY313" s="246" t="str">
        <f>BS!$D$5</f>
        <v>31 March 2026</v>
      </c>
      <c r="CAZ313" s="247" t="str">
        <f>BS!$E$5</f>
        <v>31 March 2025</v>
      </c>
      <c r="CBA313" s="1717"/>
      <c r="CBB313" s="1718"/>
      <c r="CBC313" s="1718"/>
      <c r="CBD313" s="1718"/>
      <c r="CBE313" s="1718"/>
      <c r="CBF313" s="246"/>
      <c r="CBG313" s="246" t="str">
        <f>BS!$D$5</f>
        <v>31 March 2026</v>
      </c>
      <c r="CBH313" s="247" t="str">
        <f>BS!$E$5</f>
        <v>31 March 2025</v>
      </c>
      <c r="CBI313" s="1717"/>
      <c r="CBJ313" s="1718"/>
      <c r="CBK313" s="1718"/>
      <c r="CBL313" s="1718"/>
      <c r="CBM313" s="1718"/>
      <c r="CBN313" s="246"/>
      <c r="CBO313" s="246" t="str">
        <f>BS!$D$5</f>
        <v>31 March 2026</v>
      </c>
      <c r="CBP313" s="247" t="str">
        <f>BS!$E$5</f>
        <v>31 March 2025</v>
      </c>
      <c r="CBQ313" s="1717"/>
      <c r="CBR313" s="1718"/>
      <c r="CBS313" s="1718"/>
      <c r="CBT313" s="1718"/>
      <c r="CBU313" s="1718"/>
      <c r="CBV313" s="246"/>
      <c r="CBW313" s="246" t="str">
        <f>BS!$D$5</f>
        <v>31 March 2026</v>
      </c>
      <c r="CBX313" s="247" t="str">
        <f>BS!$E$5</f>
        <v>31 March 2025</v>
      </c>
      <c r="CBY313" s="1717"/>
      <c r="CBZ313" s="1718"/>
      <c r="CCA313" s="1718"/>
      <c r="CCB313" s="1718"/>
      <c r="CCC313" s="1718"/>
      <c r="CCD313" s="246"/>
      <c r="CCE313" s="246" t="str">
        <f>BS!$D$5</f>
        <v>31 March 2026</v>
      </c>
      <c r="CCF313" s="247" t="str">
        <f>BS!$E$5</f>
        <v>31 March 2025</v>
      </c>
      <c r="CCG313" s="1717"/>
      <c r="CCH313" s="1718"/>
      <c r="CCI313" s="1718"/>
      <c r="CCJ313" s="1718"/>
      <c r="CCK313" s="1718"/>
      <c r="CCL313" s="246"/>
      <c r="CCM313" s="246" t="str">
        <f>BS!$D$5</f>
        <v>31 March 2026</v>
      </c>
      <c r="CCN313" s="247" t="str">
        <f>BS!$E$5</f>
        <v>31 March 2025</v>
      </c>
      <c r="CCO313" s="1717"/>
      <c r="CCP313" s="1718"/>
      <c r="CCQ313" s="1718"/>
      <c r="CCR313" s="1718"/>
      <c r="CCS313" s="1718"/>
      <c r="CCT313" s="246"/>
      <c r="CCU313" s="246" t="str">
        <f>BS!$D$5</f>
        <v>31 March 2026</v>
      </c>
      <c r="CCV313" s="247" t="str">
        <f>BS!$E$5</f>
        <v>31 March 2025</v>
      </c>
      <c r="CCW313" s="1717"/>
      <c r="CCX313" s="1718"/>
      <c r="CCY313" s="1718"/>
      <c r="CCZ313" s="1718"/>
      <c r="CDA313" s="1718"/>
      <c r="CDB313" s="246"/>
      <c r="CDC313" s="246" t="str">
        <f>BS!$D$5</f>
        <v>31 March 2026</v>
      </c>
      <c r="CDD313" s="247" t="str">
        <f>BS!$E$5</f>
        <v>31 March 2025</v>
      </c>
      <c r="CDE313" s="1717"/>
      <c r="CDF313" s="1718"/>
      <c r="CDG313" s="1718"/>
      <c r="CDH313" s="1718"/>
      <c r="CDI313" s="1718"/>
      <c r="CDJ313" s="246"/>
      <c r="CDK313" s="246" t="str">
        <f>BS!$D$5</f>
        <v>31 March 2026</v>
      </c>
      <c r="CDL313" s="247" t="str">
        <f>BS!$E$5</f>
        <v>31 March 2025</v>
      </c>
      <c r="CDM313" s="1717"/>
      <c r="CDN313" s="1718"/>
      <c r="CDO313" s="1718"/>
      <c r="CDP313" s="1718"/>
      <c r="CDQ313" s="1718"/>
      <c r="CDR313" s="246"/>
      <c r="CDS313" s="246" t="str">
        <f>BS!$D$5</f>
        <v>31 March 2026</v>
      </c>
      <c r="CDT313" s="247" t="str">
        <f>BS!$E$5</f>
        <v>31 March 2025</v>
      </c>
      <c r="CDU313" s="1717"/>
      <c r="CDV313" s="1718"/>
      <c r="CDW313" s="1718"/>
      <c r="CDX313" s="1718"/>
      <c r="CDY313" s="1718"/>
      <c r="CDZ313" s="246"/>
      <c r="CEA313" s="246" t="str">
        <f>BS!$D$5</f>
        <v>31 March 2026</v>
      </c>
      <c r="CEB313" s="247" t="str">
        <f>BS!$E$5</f>
        <v>31 March 2025</v>
      </c>
      <c r="CEC313" s="1717"/>
      <c r="CED313" s="1718"/>
      <c r="CEE313" s="1718"/>
      <c r="CEF313" s="1718"/>
      <c r="CEG313" s="1718"/>
      <c r="CEH313" s="246"/>
      <c r="CEI313" s="246" t="str">
        <f>BS!$D$5</f>
        <v>31 March 2026</v>
      </c>
      <c r="CEJ313" s="247" t="str">
        <f>BS!$E$5</f>
        <v>31 March 2025</v>
      </c>
      <c r="CEK313" s="1717"/>
      <c r="CEL313" s="1718"/>
      <c r="CEM313" s="1718"/>
      <c r="CEN313" s="1718"/>
      <c r="CEO313" s="1718"/>
      <c r="CEP313" s="246"/>
      <c r="CEQ313" s="246" t="str">
        <f>BS!$D$5</f>
        <v>31 March 2026</v>
      </c>
      <c r="CER313" s="247" t="str">
        <f>BS!$E$5</f>
        <v>31 March 2025</v>
      </c>
      <c r="CES313" s="1717"/>
      <c r="CET313" s="1718"/>
      <c r="CEU313" s="1718"/>
      <c r="CEV313" s="1718"/>
      <c r="CEW313" s="1718"/>
      <c r="CEX313" s="246"/>
      <c r="CEY313" s="246" t="str">
        <f>BS!$D$5</f>
        <v>31 March 2026</v>
      </c>
      <c r="CEZ313" s="247" t="str">
        <f>BS!$E$5</f>
        <v>31 March 2025</v>
      </c>
      <c r="CFA313" s="1717"/>
      <c r="CFB313" s="1718"/>
      <c r="CFC313" s="1718"/>
      <c r="CFD313" s="1718"/>
      <c r="CFE313" s="1718"/>
      <c r="CFF313" s="246"/>
      <c r="CFG313" s="246" t="str">
        <f>BS!$D$5</f>
        <v>31 March 2026</v>
      </c>
      <c r="CFH313" s="247" t="str">
        <f>BS!$E$5</f>
        <v>31 March 2025</v>
      </c>
      <c r="CFI313" s="1717"/>
      <c r="CFJ313" s="1718"/>
      <c r="CFK313" s="1718"/>
      <c r="CFL313" s="1718"/>
      <c r="CFM313" s="1718"/>
      <c r="CFN313" s="246"/>
      <c r="CFO313" s="246" t="str">
        <f>BS!$D$5</f>
        <v>31 March 2026</v>
      </c>
      <c r="CFP313" s="247" t="str">
        <f>BS!$E$5</f>
        <v>31 March 2025</v>
      </c>
      <c r="CFQ313" s="1717"/>
      <c r="CFR313" s="1718"/>
      <c r="CFS313" s="1718"/>
      <c r="CFT313" s="1718"/>
      <c r="CFU313" s="1718"/>
      <c r="CFV313" s="246"/>
      <c r="CFW313" s="246" t="str">
        <f>BS!$D$5</f>
        <v>31 March 2026</v>
      </c>
      <c r="CFX313" s="247" t="str">
        <f>BS!$E$5</f>
        <v>31 March 2025</v>
      </c>
      <c r="CFY313" s="1717"/>
      <c r="CFZ313" s="1718"/>
      <c r="CGA313" s="1718"/>
      <c r="CGB313" s="1718"/>
      <c r="CGC313" s="1718"/>
      <c r="CGD313" s="246"/>
      <c r="CGE313" s="246" t="str">
        <f>BS!$D$5</f>
        <v>31 March 2026</v>
      </c>
      <c r="CGF313" s="247" t="str">
        <f>BS!$E$5</f>
        <v>31 March 2025</v>
      </c>
      <c r="CGG313" s="1717"/>
      <c r="CGH313" s="1718"/>
      <c r="CGI313" s="1718"/>
      <c r="CGJ313" s="1718"/>
      <c r="CGK313" s="1718"/>
      <c r="CGL313" s="246"/>
      <c r="CGM313" s="246" t="str">
        <f>BS!$D$5</f>
        <v>31 March 2026</v>
      </c>
      <c r="CGN313" s="247" t="str">
        <f>BS!$E$5</f>
        <v>31 March 2025</v>
      </c>
      <c r="CGO313" s="1717"/>
      <c r="CGP313" s="1718"/>
      <c r="CGQ313" s="1718"/>
      <c r="CGR313" s="1718"/>
      <c r="CGS313" s="1718"/>
      <c r="CGT313" s="246"/>
      <c r="CGU313" s="246" t="str">
        <f>BS!$D$5</f>
        <v>31 March 2026</v>
      </c>
      <c r="CGV313" s="247" t="str">
        <f>BS!$E$5</f>
        <v>31 March 2025</v>
      </c>
      <c r="CGW313" s="1717"/>
      <c r="CGX313" s="1718"/>
      <c r="CGY313" s="1718"/>
      <c r="CGZ313" s="1718"/>
      <c r="CHA313" s="1718"/>
      <c r="CHB313" s="246"/>
      <c r="CHC313" s="246" t="str">
        <f>BS!$D$5</f>
        <v>31 March 2026</v>
      </c>
      <c r="CHD313" s="247" t="str">
        <f>BS!$E$5</f>
        <v>31 March 2025</v>
      </c>
      <c r="CHE313" s="1717"/>
      <c r="CHF313" s="1718"/>
      <c r="CHG313" s="1718"/>
      <c r="CHH313" s="1718"/>
      <c r="CHI313" s="1718"/>
      <c r="CHJ313" s="246"/>
      <c r="CHK313" s="246" t="str">
        <f>BS!$D$5</f>
        <v>31 March 2026</v>
      </c>
      <c r="CHL313" s="247" t="str">
        <f>BS!$E$5</f>
        <v>31 March 2025</v>
      </c>
      <c r="CHM313" s="1717"/>
      <c r="CHN313" s="1718"/>
      <c r="CHO313" s="1718"/>
      <c r="CHP313" s="1718"/>
      <c r="CHQ313" s="1718"/>
      <c r="CHR313" s="246"/>
      <c r="CHS313" s="246" t="str">
        <f>BS!$D$5</f>
        <v>31 March 2026</v>
      </c>
      <c r="CHT313" s="247" t="str">
        <f>BS!$E$5</f>
        <v>31 March 2025</v>
      </c>
      <c r="CHU313" s="1717"/>
      <c r="CHV313" s="1718"/>
      <c r="CHW313" s="1718"/>
      <c r="CHX313" s="1718"/>
      <c r="CHY313" s="1718"/>
      <c r="CHZ313" s="246"/>
      <c r="CIA313" s="246" t="str">
        <f>BS!$D$5</f>
        <v>31 March 2026</v>
      </c>
      <c r="CIB313" s="247" t="str">
        <f>BS!$E$5</f>
        <v>31 March 2025</v>
      </c>
      <c r="CIC313" s="1717"/>
      <c r="CID313" s="1718"/>
      <c r="CIE313" s="1718"/>
      <c r="CIF313" s="1718"/>
      <c r="CIG313" s="1718"/>
      <c r="CIH313" s="246"/>
      <c r="CII313" s="246" t="str">
        <f>BS!$D$5</f>
        <v>31 March 2026</v>
      </c>
      <c r="CIJ313" s="247" t="str">
        <f>BS!$E$5</f>
        <v>31 March 2025</v>
      </c>
      <c r="CIK313" s="1717"/>
      <c r="CIL313" s="1718"/>
      <c r="CIM313" s="1718"/>
      <c r="CIN313" s="1718"/>
      <c r="CIO313" s="1718"/>
      <c r="CIP313" s="246"/>
      <c r="CIQ313" s="246" t="str">
        <f>BS!$D$5</f>
        <v>31 March 2026</v>
      </c>
      <c r="CIR313" s="247" t="str">
        <f>BS!$E$5</f>
        <v>31 March 2025</v>
      </c>
      <c r="CIS313" s="1717"/>
      <c r="CIT313" s="1718"/>
      <c r="CIU313" s="1718"/>
      <c r="CIV313" s="1718"/>
      <c r="CIW313" s="1718"/>
      <c r="CIX313" s="246"/>
      <c r="CIY313" s="246" t="str">
        <f>BS!$D$5</f>
        <v>31 March 2026</v>
      </c>
      <c r="CIZ313" s="247" t="str">
        <f>BS!$E$5</f>
        <v>31 March 2025</v>
      </c>
      <c r="CJA313" s="1717"/>
      <c r="CJB313" s="1718"/>
      <c r="CJC313" s="1718"/>
      <c r="CJD313" s="1718"/>
      <c r="CJE313" s="1718"/>
      <c r="CJF313" s="246"/>
      <c r="CJG313" s="246" t="str">
        <f>BS!$D$5</f>
        <v>31 March 2026</v>
      </c>
      <c r="CJH313" s="247" t="str">
        <f>BS!$E$5</f>
        <v>31 March 2025</v>
      </c>
      <c r="CJI313" s="1717"/>
      <c r="CJJ313" s="1718"/>
      <c r="CJK313" s="1718"/>
      <c r="CJL313" s="1718"/>
      <c r="CJM313" s="1718"/>
      <c r="CJN313" s="246"/>
      <c r="CJO313" s="246" t="str">
        <f>BS!$D$5</f>
        <v>31 March 2026</v>
      </c>
      <c r="CJP313" s="247" t="str">
        <f>BS!$E$5</f>
        <v>31 March 2025</v>
      </c>
      <c r="CJQ313" s="1717"/>
      <c r="CJR313" s="1718"/>
      <c r="CJS313" s="1718"/>
      <c r="CJT313" s="1718"/>
      <c r="CJU313" s="1718"/>
      <c r="CJV313" s="246"/>
      <c r="CJW313" s="246" t="str">
        <f>BS!$D$5</f>
        <v>31 March 2026</v>
      </c>
      <c r="CJX313" s="247" t="str">
        <f>BS!$E$5</f>
        <v>31 March 2025</v>
      </c>
      <c r="CJY313" s="1717"/>
      <c r="CJZ313" s="1718"/>
      <c r="CKA313" s="1718"/>
      <c r="CKB313" s="1718"/>
      <c r="CKC313" s="1718"/>
      <c r="CKD313" s="246"/>
      <c r="CKE313" s="246" t="str">
        <f>BS!$D$5</f>
        <v>31 March 2026</v>
      </c>
      <c r="CKF313" s="247" t="str">
        <f>BS!$E$5</f>
        <v>31 March 2025</v>
      </c>
      <c r="CKG313" s="1717"/>
      <c r="CKH313" s="1718"/>
      <c r="CKI313" s="1718"/>
      <c r="CKJ313" s="1718"/>
      <c r="CKK313" s="1718"/>
      <c r="CKL313" s="246"/>
      <c r="CKM313" s="246" t="str">
        <f>BS!$D$5</f>
        <v>31 March 2026</v>
      </c>
      <c r="CKN313" s="247" t="str">
        <f>BS!$E$5</f>
        <v>31 March 2025</v>
      </c>
      <c r="CKO313" s="1717"/>
      <c r="CKP313" s="1718"/>
      <c r="CKQ313" s="1718"/>
      <c r="CKR313" s="1718"/>
      <c r="CKS313" s="1718"/>
      <c r="CKT313" s="246"/>
      <c r="CKU313" s="246" t="str">
        <f>BS!$D$5</f>
        <v>31 March 2026</v>
      </c>
      <c r="CKV313" s="247" t="str">
        <f>BS!$E$5</f>
        <v>31 March 2025</v>
      </c>
      <c r="CKW313" s="1717"/>
      <c r="CKX313" s="1718"/>
      <c r="CKY313" s="1718"/>
      <c r="CKZ313" s="1718"/>
      <c r="CLA313" s="1718"/>
      <c r="CLB313" s="246"/>
      <c r="CLC313" s="246" t="str">
        <f>BS!$D$5</f>
        <v>31 March 2026</v>
      </c>
      <c r="CLD313" s="247" t="str">
        <f>BS!$E$5</f>
        <v>31 March 2025</v>
      </c>
      <c r="CLE313" s="1717"/>
      <c r="CLF313" s="1718"/>
      <c r="CLG313" s="1718"/>
      <c r="CLH313" s="1718"/>
      <c r="CLI313" s="1718"/>
      <c r="CLJ313" s="246"/>
      <c r="CLK313" s="246" t="str">
        <f>BS!$D$5</f>
        <v>31 March 2026</v>
      </c>
      <c r="CLL313" s="247" t="str">
        <f>BS!$E$5</f>
        <v>31 March 2025</v>
      </c>
      <c r="CLM313" s="1717"/>
      <c r="CLN313" s="1718"/>
      <c r="CLO313" s="1718"/>
      <c r="CLP313" s="1718"/>
      <c r="CLQ313" s="1718"/>
      <c r="CLR313" s="246"/>
      <c r="CLS313" s="246" t="str">
        <f>BS!$D$5</f>
        <v>31 March 2026</v>
      </c>
      <c r="CLT313" s="247" t="str">
        <f>BS!$E$5</f>
        <v>31 March 2025</v>
      </c>
      <c r="CLU313" s="1717"/>
      <c r="CLV313" s="1718"/>
      <c r="CLW313" s="1718"/>
      <c r="CLX313" s="1718"/>
      <c r="CLY313" s="1718"/>
      <c r="CLZ313" s="246"/>
      <c r="CMA313" s="246" t="str">
        <f>BS!$D$5</f>
        <v>31 March 2026</v>
      </c>
      <c r="CMB313" s="247" t="str">
        <f>BS!$E$5</f>
        <v>31 March 2025</v>
      </c>
      <c r="CMC313" s="1717"/>
      <c r="CMD313" s="1718"/>
      <c r="CME313" s="1718"/>
      <c r="CMF313" s="1718"/>
      <c r="CMG313" s="1718"/>
      <c r="CMH313" s="246"/>
      <c r="CMI313" s="246" t="str">
        <f>BS!$D$5</f>
        <v>31 March 2026</v>
      </c>
      <c r="CMJ313" s="247" t="str">
        <f>BS!$E$5</f>
        <v>31 March 2025</v>
      </c>
      <c r="CMK313" s="1717"/>
      <c r="CML313" s="1718"/>
      <c r="CMM313" s="1718"/>
      <c r="CMN313" s="1718"/>
      <c r="CMO313" s="1718"/>
      <c r="CMP313" s="246"/>
      <c r="CMQ313" s="246" t="str">
        <f>BS!$D$5</f>
        <v>31 March 2026</v>
      </c>
      <c r="CMR313" s="247" t="str">
        <f>BS!$E$5</f>
        <v>31 March 2025</v>
      </c>
      <c r="CMS313" s="1717"/>
      <c r="CMT313" s="1718"/>
      <c r="CMU313" s="1718"/>
      <c r="CMV313" s="1718"/>
      <c r="CMW313" s="1718"/>
      <c r="CMX313" s="246"/>
      <c r="CMY313" s="246" t="str">
        <f>BS!$D$5</f>
        <v>31 March 2026</v>
      </c>
      <c r="CMZ313" s="247" t="str">
        <f>BS!$E$5</f>
        <v>31 March 2025</v>
      </c>
      <c r="CNA313" s="1717"/>
      <c r="CNB313" s="1718"/>
      <c r="CNC313" s="1718"/>
      <c r="CND313" s="1718"/>
      <c r="CNE313" s="1718"/>
      <c r="CNF313" s="246"/>
      <c r="CNG313" s="246" t="str">
        <f>BS!$D$5</f>
        <v>31 March 2026</v>
      </c>
      <c r="CNH313" s="247" t="str">
        <f>BS!$E$5</f>
        <v>31 March 2025</v>
      </c>
      <c r="CNI313" s="1717"/>
      <c r="CNJ313" s="1718"/>
      <c r="CNK313" s="1718"/>
      <c r="CNL313" s="1718"/>
      <c r="CNM313" s="1718"/>
      <c r="CNN313" s="246"/>
      <c r="CNO313" s="246" t="str">
        <f>BS!$D$5</f>
        <v>31 March 2026</v>
      </c>
      <c r="CNP313" s="247" t="str">
        <f>BS!$E$5</f>
        <v>31 March 2025</v>
      </c>
      <c r="CNQ313" s="1717"/>
      <c r="CNR313" s="1718"/>
      <c r="CNS313" s="1718"/>
      <c r="CNT313" s="1718"/>
      <c r="CNU313" s="1718"/>
      <c r="CNV313" s="246"/>
      <c r="CNW313" s="246" t="str">
        <f>BS!$D$5</f>
        <v>31 March 2026</v>
      </c>
      <c r="CNX313" s="247" t="str">
        <f>BS!$E$5</f>
        <v>31 March 2025</v>
      </c>
      <c r="CNY313" s="1717"/>
      <c r="CNZ313" s="1718"/>
      <c r="COA313" s="1718"/>
      <c r="COB313" s="1718"/>
      <c r="COC313" s="1718"/>
      <c r="COD313" s="246"/>
      <c r="COE313" s="246" t="str">
        <f>BS!$D$5</f>
        <v>31 March 2026</v>
      </c>
      <c r="COF313" s="247" t="str">
        <f>BS!$E$5</f>
        <v>31 March 2025</v>
      </c>
      <c r="COG313" s="1717"/>
      <c r="COH313" s="1718"/>
      <c r="COI313" s="1718"/>
      <c r="COJ313" s="1718"/>
      <c r="COK313" s="1718"/>
      <c r="COL313" s="246"/>
      <c r="COM313" s="246" t="str">
        <f>BS!$D$5</f>
        <v>31 March 2026</v>
      </c>
      <c r="CON313" s="247" t="str">
        <f>BS!$E$5</f>
        <v>31 March 2025</v>
      </c>
      <c r="COO313" s="1717"/>
      <c r="COP313" s="1718"/>
      <c r="COQ313" s="1718"/>
      <c r="COR313" s="1718"/>
      <c r="COS313" s="1718"/>
      <c r="COT313" s="246"/>
      <c r="COU313" s="246" t="str">
        <f>BS!$D$5</f>
        <v>31 March 2026</v>
      </c>
      <c r="COV313" s="247" t="str">
        <f>BS!$E$5</f>
        <v>31 March 2025</v>
      </c>
      <c r="COW313" s="1717"/>
      <c r="COX313" s="1718"/>
      <c r="COY313" s="1718"/>
      <c r="COZ313" s="1718"/>
      <c r="CPA313" s="1718"/>
      <c r="CPB313" s="246"/>
      <c r="CPC313" s="246" t="str">
        <f>BS!$D$5</f>
        <v>31 March 2026</v>
      </c>
      <c r="CPD313" s="247" t="str">
        <f>BS!$E$5</f>
        <v>31 March 2025</v>
      </c>
      <c r="CPE313" s="1717"/>
      <c r="CPF313" s="1718"/>
      <c r="CPG313" s="1718"/>
      <c r="CPH313" s="1718"/>
      <c r="CPI313" s="1718"/>
      <c r="CPJ313" s="246"/>
      <c r="CPK313" s="246" t="str">
        <f>BS!$D$5</f>
        <v>31 March 2026</v>
      </c>
      <c r="CPL313" s="247" t="str">
        <f>BS!$E$5</f>
        <v>31 March 2025</v>
      </c>
      <c r="CPM313" s="1717"/>
      <c r="CPN313" s="1718"/>
      <c r="CPO313" s="1718"/>
      <c r="CPP313" s="1718"/>
      <c r="CPQ313" s="1718"/>
      <c r="CPR313" s="246"/>
      <c r="CPS313" s="246" t="str">
        <f>BS!$D$5</f>
        <v>31 March 2026</v>
      </c>
      <c r="CPT313" s="247" t="str">
        <f>BS!$E$5</f>
        <v>31 March 2025</v>
      </c>
      <c r="CPU313" s="1717"/>
      <c r="CPV313" s="1718"/>
      <c r="CPW313" s="1718"/>
      <c r="CPX313" s="1718"/>
      <c r="CPY313" s="1718"/>
      <c r="CPZ313" s="246"/>
      <c r="CQA313" s="246" t="str">
        <f>BS!$D$5</f>
        <v>31 March 2026</v>
      </c>
      <c r="CQB313" s="247" t="str">
        <f>BS!$E$5</f>
        <v>31 March 2025</v>
      </c>
      <c r="CQC313" s="1717"/>
      <c r="CQD313" s="1718"/>
      <c r="CQE313" s="1718"/>
      <c r="CQF313" s="1718"/>
      <c r="CQG313" s="1718"/>
      <c r="CQH313" s="246"/>
      <c r="CQI313" s="246" t="str">
        <f>BS!$D$5</f>
        <v>31 March 2026</v>
      </c>
      <c r="CQJ313" s="247" t="str">
        <f>BS!$E$5</f>
        <v>31 March 2025</v>
      </c>
      <c r="CQK313" s="1717"/>
      <c r="CQL313" s="1718"/>
      <c r="CQM313" s="1718"/>
      <c r="CQN313" s="1718"/>
      <c r="CQO313" s="1718"/>
      <c r="CQP313" s="246"/>
      <c r="CQQ313" s="246" t="str">
        <f>BS!$D$5</f>
        <v>31 March 2026</v>
      </c>
      <c r="CQR313" s="247" t="str">
        <f>BS!$E$5</f>
        <v>31 March 2025</v>
      </c>
      <c r="CQS313" s="1717"/>
      <c r="CQT313" s="1718"/>
      <c r="CQU313" s="1718"/>
      <c r="CQV313" s="1718"/>
      <c r="CQW313" s="1718"/>
      <c r="CQX313" s="246"/>
      <c r="CQY313" s="246" t="str">
        <f>BS!$D$5</f>
        <v>31 March 2026</v>
      </c>
      <c r="CQZ313" s="247" t="str">
        <f>BS!$E$5</f>
        <v>31 March 2025</v>
      </c>
      <c r="CRA313" s="1717"/>
      <c r="CRB313" s="1718"/>
      <c r="CRC313" s="1718"/>
      <c r="CRD313" s="1718"/>
      <c r="CRE313" s="1718"/>
      <c r="CRF313" s="246"/>
      <c r="CRG313" s="246" t="str">
        <f>BS!$D$5</f>
        <v>31 March 2026</v>
      </c>
      <c r="CRH313" s="247" t="str">
        <f>BS!$E$5</f>
        <v>31 March 2025</v>
      </c>
      <c r="CRI313" s="1717"/>
      <c r="CRJ313" s="1718"/>
      <c r="CRK313" s="1718"/>
      <c r="CRL313" s="1718"/>
      <c r="CRM313" s="1718"/>
      <c r="CRN313" s="246"/>
      <c r="CRO313" s="246" t="str">
        <f>BS!$D$5</f>
        <v>31 March 2026</v>
      </c>
      <c r="CRP313" s="247" t="str">
        <f>BS!$E$5</f>
        <v>31 March 2025</v>
      </c>
      <c r="CRQ313" s="1717"/>
      <c r="CRR313" s="1718"/>
      <c r="CRS313" s="1718"/>
      <c r="CRT313" s="1718"/>
      <c r="CRU313" s="1718"/>
      <c r="CRV313" s="246"/>
      <c r="CRW313" s="246" t="str">
        <f>BS!$D$5</f>
        <v>31 March 2026</v>
      </c>
      <c r="CRX313" s="247" t="str">
        <f>BS!$E$5</f>
        <v>31 March 2025</v>
      </c>
      <c r="CRY313" s="1717"/>
      <c r="CRZ313" s="1718"/>
      <c r="CSA313" s="1718"/>
      <c r="CSB313" s="1718"/>
      <c r="CSC313" s="1718"/>
      <c r="CSD313" s="246"/>
      <c r="CSE313" s="246" t="str">
        <f>BS!$D$5</f>
        <v>31 March 2026</v>
      </c>
      <c r="CSF313" s="247" t="str">
        <f>BS!$E$5</f>
        <v>31 March 2025</v>
      </c>
      <c r="CSG313" s="1717"/>
      <c r="CSH313" s="1718"/>
      <c r="CSI313" s="1718"/>
      <c r="CSJ313" s="1718"/>
      <c r="CSK313" s="1718"/>
      <c r="CSL313" s="246"/>
      <c r="CSM313" s="246" t="str">
        <f>BS!$D$5</f>
        <v>31 March 2026</v>
      </c>
      <c r="CSN313" s="247" t="str">
        <f>BS!$E$5</f>
        <v>31 March 2025</v>
      </c>
      <c r="CSO313" s="1717"/>
      <c r="CSP313" s="1718"/>
      <c r="CSQ313" s="1718"/>
      <c r="CSR313" s="1718"/>
      <c r="CSS313" s="1718"/>
      <c r="CST313" s="246"/>
      <c r="CSU313" s="246" t="str">
        <f>BS!$D$5</f>
        <v>31 March 2026</v>
      </c>
      <c r="CSV313" s="247" t="str">
        <f>BS!$E$5</f>
        <v>31 March 2025</v>
      </c>
      <c r="CSW313" s="1717"/>
      <c r="CSX313" s="1718"/>
      <c r="CSY313" s="1718"/>
      <c r="CSZ313" s="1718"/>
      <c r="CTA313" s="1718"/>
      <c r="CTB313" s="246"/>
      <c r="CTC313" s="246" t="str">
        <f>BS!$D$5</f>
        <v>31 March 2026</v>
      </c>
      <c r="CTD313" s="247" t="str">
        <f>BS!$E$5</f>
        <v>31 March 2025</v>
      </c>
      <c r="CTE313" s="1717"/>
      <c r="CTF313" s="1718"/>
      <c r="CTG313" s="1718"/>
      <c r="CTH313" s="1718"/>
      <c r="CTI313" s="1718"/>
      <c r="CTJ313" s="246"/>
      <c r="CTK313" s="246" t="str">
        <f>BS!$D$5</f>
        <v>31 March 2026</v>
      </c>
      <c r="CTL313" s="247" t="str">
        <f>BS!$E$5</f>
        <v>31 March 2025</v>
      </c>
      <c r="CTM313" s="1717"/>
      <c r="CTN313" s="1718"/>
      <c r="CTO313" s="1718"/>
      <c r="CTP313" s="1718"/>
      <c r="CTQ313" s="1718"/>
      <c r="CTR313" s="246"/>
      <c r="CTS313" s="246" t="str">
        <f>BS!$D$5</f>
        <v>31 March 2026</v>
      </c>
      <c r="CTT313" s="247" t="str">
        <f>BS!$E$5</f>
        <v>31 March 2025</v>
      </c>
      <c r="CTU313" s="1717"/>
      <c r="CTV313" s="1718"/>
      <c r="CTW313" s="1718"/>
      <c r="CTX313" s="1718"/>
      <c r="CTY313" s="1718"/>
      <c r="CTZ313" s="246"/>
      <c r="CUA313" s="246" t="str">
        <f>BS!$D$5</f>
        <v>31 March 2026</v>
      </c>
      <c r="CUB313" s="247" t="str">
        <f>BS!$E$5</f>
        <v>31 March 2025</v>
      </c>
      <c r="CUC313" s="1717"/>
      <c r="CUD313" s="1718"/>
      <c r="CUE313" s="1718"/>
      <c r="CUF313" s="1718"/>
      <c r="CUG313" s="1718"/>
      <c r="CUH313" s="246"/>
      <c r="CUI313" s="246" t="str">
        <f>BS!$D$5</f>
        <v>31 March 2026</v>
      </c>
      <c r="CUJ313" s="247" t="str">
        <f>BS!$E$5</f>
        <v>31 March 2025</v>
      </c>
      <c r="CUK313" s="1717"/>
      <c r="CUL313" s="1718"/>
      <c r="CUM313" s="1718"/>
      <c r="CUN313" s="1718"/>
      <c r="CUO313" s="1718"/>
      <c r="CUP313" s="246"/>
      <c r="CUQ313" s="246" t="str">
        <f>BS!$D$5</f>
        <v>31 March 2026</v>
      </c>
      <c r="CUR313" s="247" t="str">
        <f>BS!$E$5</f>
        <v>31 March 2025</v>
      </c>
      <c r="CUS313" s="1717"/>
      <c r="CUT313" s="1718"/>
      <c r="CUU313" s="1718"/>
      <c r="CUV313" s="1718"/>
      <c r="CUW313" s="1718"/>
      <c r="CUX313" s="246"/>
      <c r="CUY313" s="246" t="str">
        <f>BS!$D$5</f>
        <v>31 March 2026</v>
      </c>
      <c r="CUZ313" s="247" t="str">
        <f>BS!$E$5</f>
        <v>31 March 2025</v>
      </c>
      <c r="CVA313" s="1717"/>
      <c r="CVB313" s="1718"/>
      <c r="CVC313" s="1718"/>
      <c r="CVD313" s="1718"/>
      <c r="CVE313" s="1718"/>
      <c r="CVF313" s="246"/>
      <c r="CVG313" s="246" t="str">
        <f>BS!$D$5</f>
        <v>31 March 2026</v>
      </c>
      <c r="CVH313" s="247" t="str">
        <f>BS!$E$5</f>
        <v>31 March 2025</v>
      </c>
      <c r="CVI313" s="1717"/>
      <c r="CVJ313" s="1718"/>
      <c r="CVK313" s="1718"/>
      <c r="CVL313" s="1718"/>
      <c r="CVM313" s="1718"/>
      <c r="CVN313" s="246"/>
      <c r="CVO313" s="246" t="str">
        <f>BS!$D$5</f>
        <v>31 March 2026</v>
      </c>
      <c r="CVP313" s="247" t="str">
        <f>BS!$E$5</f>
        <v>31 March 2025</v>
      </c>
      <c r="CVQ313" s="1717"/>
      <c r="CVR313" s="1718"/>
      <c r="CVS313" s="1718"/>
      <c r="CVT313" s="1718"/>
      <c r="CVU313" s="1718"/>
      <c r="CVV313" s="246"/>
      <c r="CVW313" s="246" t="str">
        <f>BS!$D$5</f>
        <v>31 March 2026</v>
      </c>
      <c r="CVX313" s="247" t="str">
        <f>BS!$E$5</f>
        <v>31 March 2025</v>
      </c>
      <c r="CVY313" s="1717"/>
      <c r="CVZ313" s="1718"/>
      <c r="CWA313" s="1718"/>
      <c r="CWB313" s="1718"/>
      <c r="CWC313" s="1718"/>
      <c r="CWD313" s="246"/>
      <c r="CWE313" s="246" t="str">
        <f>BS!$D$5</f>
        <v>31 March 2026</v>
      </c>
      <c r="CWF313" s="247" t="str">
        <f>BS!$E$5</f>
        <v>31 March 2025</v>
      </c>
      <c r="CWG313" s="1717"/>
      <c r="CWH313" s="1718"/>
      <c r="CWI313" s="1718"/>
      <c r="CWJ313" s="1718"/>
      <c r="CWK313" s="1718"/>
      <c r="CWL313" s="246"/>
      <c r="CWM313" s="246" t="str">
        <f>BS!$D$5</f>
        <v>31 March 2026</v>
      </c>
      <c r="CWN313" s="247" t="str">
        <f>BS!$E$5</f>
        <v>31 March 2025</v>
      </c>
      <c r="CWO313" s="1717"/>
      <c r="CWP313" s="1718"/>
      <c r="CWQ313" s="1718"/>
      <c r="CWR313" s="1718"/>
      <c r="CWS313" s="1718"/>
      <c r="CWT313" s="246"/>
      <c r="CWU313" s="246" t="str">
        <f>BS!$D$5</f>
        <v>31 March 2026</v>
      </c>
      <c r="CWV313" s="247" t="str">
        <f>BS!$E$5</f>
        <v>31 March 2025</v>
      </c>
      <c r="CWW313" s="1717"/>
      <c r="CWX313" s="1718"/>
      <c r="CWY313" s="1718"/>
      <c r="CWZ313" s="1718"/>
      <c r="CXA313" s="1718"/>
      <c r="CXB313" s="246"/>
      <c r="CXC313" s="246" t="str">
        <f>BS!$D$5</f>
        <v>31 March 2026</v>
      </c>
      <c r="CXD313" s="247" t="str">
        <f>BS!$E$5</f>
        <v>31 March 2025</v>
      </c>
      <c r="CXE313" s="1717"/>
      <c r="CXF313" s="1718"/>
      <c r="CXG313" s="1718"/>
      <c r="CXH313" s="1718"/>
      <c r="CXI313" s="1718"/>
      <c r="CXJ313" s="246"/>
      <c r="CXK313" s="246" t="str">
        <f>BS!$D$5</f>
        <v>31 March 2026</v>
      </c>
      <c r="CXL313" s="247" t="str">
        <f>BS!$E$5</f>
        <v>31 March 2025</v>
      </c>
      <c r="CXM313" s="1717"/>
      <c r="CXN313" s="1718"/>
      <c r="CXO313" s="1718"/>
      <c r="CXP313" s="1718"/>
      <c r="CXQ313" s="1718"/>
      <c r="CXR313" s="246"/>
      <c r="CXS313" s="246" t="str">
        <f>BS!$D$5</f>
        <v>31 March 2026</v>
      </c>
      <c r="CXT313" s="247" t="str">
        <f>BS!$E$5</f>
        <v>31 March 2025</v>
      </c>
      <c r="CXU313" s="1717"/>
      <c r="CXV313" s="1718"/>
      <c r="CXW313" s="1718"/>
      <c r="CXX313" s="1718"/>
      <c r="CXY313" s="1718"/>
      <c r="CXZ313" s="246"/>
      <c r="CYA313" s="246" t="str">
        <f>BS!$D$5</f>
        <v>31 March 2026</v>
      </c>
      <c r="CYB313" s="247" t="str">
        <f>BS!$E$5</f>
        <v>31 March 2025</v>
      </c>
      <c r="CYC313" s="1717"/>
      <c r="CYD313" s="1718"/>
      <c r="CYE313" s="1718"/>
      <c r="CYF313" s="1718"/>
      <c r="CYG313" s="1718"/>
      <c r="CYH313" s="246"/>
      <c r="CYI313" s="246" t="str">
        <f>BS!$D$5</f>
        <v>31 March 2026</v>
      </c>
      <c r="CYJ313" s="247" t="str">
        <f>BS!$E$5</f>
        <v>31 March 2025</v>
      </c>
      <c r="CYK313" s="1717"/>
      <c r="CYL313" s="1718"/>
      <c r="CYM313" s="1718"/>
      <c r="CYN313" s="1718"/>
      <c r="CYO313" s="1718"/>
      <c r="CYP313" s="246"/>
      <c r="CYQ313" s="246" t="str">
        <f>BS!$D$5</f>
        <v>31 March 2026</v>
      </c>
      <c r="CYR313" s="247" t="str">
        <f>BS!$E$5</f>
        <v>31 March 2025</v>
      </c>
      <c r="CYS313" s="1717"/>
      <c r="CYT313" s="1718"/>
      <c r="CYU313" s="1718"/>
      <c r="CYV313" s="1718"/>
      <c r="CYW313" s="1718"/>
      <c r="CYX313" s="246"/>
      <c r="CYY313" s="246" t="str">
        <f>BS!$D$5</f>
        <v>31 March 2026</v>
      </c>
      <c r="CYZ313" s="247" t="str">
        <f>BS!$E$5</f>
        <v>31 March 2025</v>
      </c>
      <c r="CZA313" s="1717"/>
      <c r="CZB313" s="1718"/>
      <c r="CZC313" s="1718"/>
      <c r="CZD313" s="1718"/>
      <c r="CZE313" s="1718"/>
      <c r="CZF313" s="246"/>
      <c r="CZG313" s="246" t="str">
        <f>BS!$D$5</f>
        <v>31 March 2026</v>
      </c>
      <c r="CZH313" s="247" t="str">
        <f>BS!$E$5</f>
        <v>31 March 2025</v>
      </c>
      <c r="CZI313" s="1717"/>
      <c r="CZJ313" s="1718"/>
      <c r="CZK313" s="1718"/>
      <c r="CZL313" s="1718"/>
      <c r="CZM313" s="1718"/>
      <c r="CZN313" s="246"/>
      <c r="CZO313" s="246" t="str">
        <f>BS!$D$5</f>
        <v>31 March 2026</v>
      </c>
      <c r="CZP313" s="247" t="str">
        <f>BS!$E$5</f>
        <v>31 March 2025</v>
      </c>
      <c r="CZQ313" s="1717"/>
      <c r="CZR313" s="1718"/>
      <c r="CZS313" s="1718"/>
      <c r="CZT313" s="1718"/>
      <c r="CZU313" s="1718"/>
      <c r="CZV313" s="246"/>
      <c r="CZW313" s="246" t="str">
        <f>BS!$D$5</f>
        <v>31 March 2026</v>
      </c>
      <c r="CZX313" s="247" t="str">
        <f>BS!$E$5</f>
        <v>31 March 2025</v>
      </c>
      <c r="CZY313" s="1717"/>
      <c r="CZZ313" s="1718"/>
      <c r="DAA313" s="1718"/>
      <c r="DAB313" s="1718"/>
      <c r="DAC313" s="1718"/>
      <c r="DAD313" s="246"/>
      <c r="DAE313" s="246" t="str">
        <f>BS!$D$5</f>
        <v>31 March 2026</v>
      </c>
      <c r="DAF313" s="247" t="str">
        <f>BS!$E$5</f>
        <v>31 March 2025</v>
      </c>
      <c r="DAG313" s="1717"/>
      <c r="DAH313" s="1718"/>
      <c r="DAI313" s="1718"/>
      <c r="DAJ313" s="1718"/>
      <c r="DAK313" s="1718"/>
      <c r="DAL313" s="246"/>
      <c r="DAM313" s="246" t="str">
        <f>BS!$D$5</f>
        <v>31 March 2026</v>
      </c>
      <c r="DAN313" s="247" t="str">
        <f>BS!$E$5</f>
        <v>31 March 2025</v>
      </c>
      <c r="DAO313" s="1717"/>
      <c r="DAP313" s="1718"/>
      <c r="DAQ313" s="1718"/>
      <c r="DAR313" s="1718"/>
      <c r="DAS313" s="1718"/>
      <c r="DAT313" s="246"/>
      <c r="DAU313" s="246" t="str">
        <f>BS!$D$5</f>
        <v>31 March 2026</v>
      </c>
      <c r="DAV313" s="247" t="str">
        <f>BS!$E$5</f>
        <v>31 March 2025</v>
      </c>
      <c r="DAW313" s="1717"/>
      <c r="DAX313" s="1718"/>
      <c r="DAY313" s="1718"/>
      <c r="DAZ313" s="1718"/>
      <c r="DBA313" s="1718"/>
      <c r="DBB313" s="246"/>
      <c r="DBC313" s="246" t="str">
        <f>BS!$D$5</f>
        <v>31 March 2026</v>
      </c>
      <c r="DBD313" s="247" t="str">
        <f>BS!$E$5</f>
        <v>31 March 2025</v>
      </c>
      <c r="DBE313" s="1717"/>
      <c r="DBF313" s="1718"/>
      <c r="DBG313" s="1718"/>
      <c r="DBH313" s="1718"/>
      <c r="DBI313" s="1718"/>
      <c r="DBJ313" s="246"/>
      <c r="DBK313" s="246" t="str">
        <f>BS!$D$5</f>
        <v>31 March 2026</v>
      </c>
      <c r="DBL313" s="247" t="str">
        <f>BS!$E$5</f>
        <v>31 March 2025</v>
      </c>
      <c r="DBM313" s="1717"/>
      <c r="DBN313" s="1718"/>
      <c r="DBO313" s="1718"/>
      <c r="DBP313" s="1718"/>
      <c r="DBQ313" s="1718"/>
      <c r="DBR313" s="246"/>
      <c r="DBS313" s="246" t="str">
        <f>BS!$D$5</f>
        <v>31 March 2026</v>
      </c>
      <c r="DBT313" s="247" t="str">
        <f>BS!$E$5</f>
        <v>31 March 2025</v>
      </c>
      <c r="DBU313" s="1717"/>
      <c r="DBV313" s="1718"/>
      <c r="DBW313" s="1718"/>
      <c r="DBX313" s="1718"/>
      <c r="DBY313" s="1718"/>
      <c r="DBZ313" s="246"/>
      <c r="DCA313" s="246" t="str">
        <f>BS!$D$5</f>
        <v>31 March 2026</v>
      </c>
      <c r="DCB313" s="247" t="str">
        <f>BS!$E$5</f>
        <v>31 March 2025</v>
      </c>
      <c r="DCC313" s="1717"/>
      <c r="DCD313" s="1718"/>
      <c r="DCE313" s="1718"/>
      <c r="DCF313" s="1718"/>
      <c r="DCG313" s="1718"/>
      <c r="DCH313" s="246"/>
      <c r="DCI313" s="246" t="str">
        <f>BS!$D$5</f>
        <v>31 March 2026</v>
      </c>
      <c r="DCJ313" s="247" t="str">
        <f>BS!$E$5</f>
        <v>31 March 2025</v>
      </c>
      <c r="DCK313" s="1717"/>
      <c r="DCL313" s="1718"/>
      <c r="DCM313" s="1718"/>
      <c r="DCN313" s="1718"/>
      <c r="DCO313" s="1718"/>
      <c r="DCP313" s="246"/>
      <c r="DCQ313" s="246" t="str">
        <f>BS!$D$5</f>
        <v>31 March 2026</v>
      </c>
      <c r="DCR313" s="247" t="str">
        <f>BS!$E$5</f>
        <v>31 March 2025</v>
      </c>
      <c r="DCS313" s="1717"/>
      <c r="DCT313" s="1718"/>
      <c r="DCU313" s="1718"/>
      <c r="DCV313" s="1718"/>
      <c r="DCW313" s="1718"/>
      <c r="DCX313" s="246"/>
      <c r="DCY313" s="246" t="str">
        <f>BS!$D$5</f>
        <v>31 March 2026</v>
      </c>
      <c r="DCZ313" s="247" t="str">
        <f>BS!$E$5</f>
        <v>31 March 2025</v>
      </c>
      <c r="DDA313" s="1717"/>
      <c r="DDB313" s="1718"/>
      <c r="DDC313" s="1718"/>
      <c r="DDD313" s="1718"/>
      <c r="DDE313" s="1718"/>
      <c r="DDF313" s="246"/>
      <c r="DDG313" s="246" t="str">
        <f>BS!$D$5</f>
        <v>31 March 2026</v>
      </c>
      <c r="DDH313" s="247" t="str">
        <f>BS!$E$5</f>
        <v>31 March 2025</v>
      </c>
      <c r="DDI313" s="1717"/>
      <c r="DDJ313" s="1718"/>
      <c r="DDK313" s="1718"/>
      <c r="DDL313" s="1718"/>
      <c r="DDM313" s="1718"/>
      <c r="DDN313" s="246"/>
      <c r="DDO313" s="246" t="str">
        <f>BS!$D$5</f>
        <v>31 March 2026</v>
      </c>
      <c r="DDP313" s="247" t="str">
        <f>BS!$E$5</f>
        <v>31 March 2025</v>
      </c>
      <c r="DDQ313" s="1717"/>
      <c r="DDR313" s="1718"/>
      <c r="DDS313" s="1718"/>
      <c r="DDT313" s="1718"/>
      <c r="DDU313" s="1718"/>
      <c r="DDV313" s="246"/>
      <c r="DDW313" s="246" t="str">
        <f>BS!$D$5</f>
        <v>31 March 2026</v>
      </c>
      <c r="DDX313" s="247" t="str">
        <f>BS!$E$5</f>
        <v>31 March 2025</v>
      </c>
      <c r="DDY313" s="1717"/>
      <c r="DDZ313" s="1718"/>
      <c r="DEA313" s="1718"/>
      <c r="DEB313" s="1718"/>
      <c r="DEC313" s="1718"/>
      <c r="DED313" s="246"/>
      <c r="DEE313" s="246" t="str">
        <f>BS!$D$5</f>
        <v>31 March 2026</v>
      </c>
      <c r="DEF313" s="247" t="str">
        <f>BS!$E$5</f>
        <v>31 March 2025</v>
      </c>
      <c r="DEG313" s="1717"/>
      <c r="DEH313" s="1718"/>
      <c r="DEI313" s="1718"/>
      <c r="DEJ313" s="1718"/>
      <c r="DEK313" s="1718"/>
      <c r="DEL313" s="246"/>
      <c r="DEM313" s="246" t="str">
        <f>BS!$D$5</f>
        <v>31 March 2026</v>
      </c>
      <c r="DEN313" s="247" t="str">
        <f>BS!$E$5</f>
        <v>31 March 2025</v>
      </c>
      <c r="DEO313" s="1717"/>
      <c r="DEP313" s="1718"/>
      <c r="DEQ313" s="1718"/>
      <c r="DER313" s="1718"/>
      <c r="DES313" s="1718"/>
      <c r="DET313" s="246"/>
      <c r="DEU313" s="246" t="str">
        <f>BS!$D$5</f>
        <v>31 March 2026</v>
      </c>
      <c r="DEV313" s="247" t="str">
        <f>BS!$E$5</f>
        <v>31 March 2025</v>
      </c>
      <c r="DEW313" s="1717"/>
      <c r="DEX313" s="1718"/>
      <c r="DEY313" s="1718"/>
      <c r="DEZ313" s="1718"/>
      <c r="DFA313" s="1718"/>
      <c r="DFB313" s="246"/>
      <c r="DFC313" s="246" t="str">
        <f>BS!$D$5</f>
        <v>31 March 2026</v>
      </c>
      <c r="DFD313" s="247" t="str">
        <f>BS!$E$5</f>
        <v>31 March 2025</v>
      </c>
      <c r="DFE313" s="1717"/>
      <c r="DFF313" s="1718"/>
      <c r="DFG313" s="1718"/>
      <c r="DFH313" s="1718"/>
      <c r="DFI313" s="1718"/>
      <c r="DFJ313" s="246"/>
      <c r="DFK313" s="246" t="str">
        <f>BS!$D$5</f>
        <v>31 March 2026</v>
      </c>
      <c r="DFL313" s="247" t="str">
        <f>BS!$E$5</f>
        <v>31 March 2025</v>
      </c>
      <c r="DFM313" s="1717"/>
      <c r="DFN313" s="1718"/>
      <c r="DFO313" s="1718"/>
      <c r="DFP313" s="1718"/>
      <c r="DFQ313" s="1718"/>
      <c r="DFR313" s="246"/>
      <c r="DFS313" s="246" t="str">
        <f>BS!$D$5</f>
        <v>31 March 2026</v>
      </c>
      <c r="DFT313" s="247" t="str">
        <f>BS!$E$5</f>
        <v>31 March 2025</v>
      </c>
      <c r="DFU313" s="1717"/>
      <c r="DFV313" s="1718"/>
      <c r="DFW313" s="1718"/>
      <c r="DFX313" s="1718"/>
      <c r="DFY313" s="1718"/>
      <c r="DFZ313" s="246"/>
      <c r="DGA313" s="246" t="str">
        <f>BS!$D$5</f>
        <v>31 March 2026</v>
      </c>
      <c r="DGB313" s="247" t="str">
        <f>BS!$E$5</f>
        <v>31 March 2025</v>
      </c>
      <c r="DGC313" s="1717"/>
      <c r="DGD313" s="1718"/>
      <c r="DGE313" s="1718"/>
      <c r="DGF313" s="1718"/>
      <c r="DGG313" s="1718"/>
      <c r="DGH313" s="246"/>
      <c r="DGI313" s="246" t="str">
        <f>BS!$D$5</f>
        <v>31 March 2026</v>
      </c>
      <c r="DGJ313" s="247" t="str">
        <f>BS!$E$5</f>
        <v>31 March 2025</v>
      </c>
      <c r="DGK313" s="1717"/>
      <c r="DGL313" s="1718"/>
      <c r="DGM313" s="1718"/>
      <c r="DGN313" s="1718"/>
      <c r="DGO313" s="1718"/>
      <c r="DGP313" s="246"/>
      <c r="DGQ313" s="246" t="str">
        <f>BS!$D$5</f>
        <v>31 March 2026</v>
      </c>
      <c r="DGR313" s="247" t="str">
        <f>BS!$E$5</f>
        <v>31 March 2025</v>
      </c>
      <c r="DGS313" s="1717"/>
      <c r="DGT313" s="1718"/>
      <c r="DGU313" s="1718"/>
      <c r="DGV313" s="1718"/>
      <c r="DGW313" s="1718"/>
      <c r="DGX313" s="246"/>
      <c r="DGY313" s="246" t="str">
        <f>BS!$D$5</f>
        <v>31 March 2026</v>
      </c>
      <c r="DGZ313" s="247" t="str">
        <f>BS!$E$5</f>
        <v>31 March 2025</v>
      </c>
      <c r="DHA313" s="1717"/>
      <c r="DHB313" s="1718"/>
      <c r="DHC313" s="1718"/>
      <c r="DHD313" s="1718"/>
      <c r="DHE313" s="1718"/>
      <c r="DHF313" s="246"/>
      <c r="DHG313" s="246" t="str">
        <f>BS!$D$5</f>
        <v>31 March 2026</v>
      </c>
      <c r="DHH313" s="247" t="str">
        <f>BS!$E$5</f>
        <v>31 March 2025</v>
      </c>
      <c r="DHI313" s="1717"/>
      <c r="DHJ313" s="1718"/>
      <c r="DHK313" s="1718"/>
      <c r="DHL313" s="1718"/>
      <c r="DHM313" s="1718"/>
      <c r="DHN313" s="246"/>
      <c r="DHO313" s="246" t="str">
        <f>BS!$D$5</f>
        <v>31 March 2026</v>
      </c>
      <c r="DHP313" s="247" t="str">
        <f>BS!$E$5</f>
        <v>31 March 2025</v>
      </c>
      <c r="DHQ313" s="1717"/>
      <c r="DHR313" s="1718"/>
      <c r="DHS313" s="1718"/>
      <c r="DHT313" s="1718"/>
      <c r="DHU313" s="1718"/>
      <c r="DHV313" s="246"/>
      <c r="DHW313" s="246" t="str">
        <f>BS!$D$5</f>
        <v>31 March 2026</v>
      </c>
      <c r="DHX313" s="247" t="str">
        <f>BS!$E$5</f>
        <v>31 March 2025</v>
      </c>
      <c r="DHY313" s="1717"/>
      <c r="DHZ313" s="1718"/>
      <c r="DIA313" s="1718"/>
      <c r="DIB313" s="1718"/>
      <c r="DIC313" s="1718"/>
      <c r="DID313" s="246"/>
      <c r="DIE313" s="246" t="str">
        <f>BS!$D$5</f>
        <v>31 March 2026</v>
      </c>
      <c r="DIF313" s="247" t="str">
        <f>BS!$E$5</f>
        <v>31 March 2025</v>
      </c>
      <c r="DIG313" s="1717"/>
      <c r="DIH313" s="1718"/>
      <c r="DII313" s="1718"/>
      <c r="DIJ313" s="1718"/>
      <c r="DIK313" s="1718"/>
      <c r="DIL313" s="246"/>
      <c r="DIM313" s="246" t="str">
        <f>BS!$D$5</f>
        <v>31 March 2026</v>
      </c>
      <c r="DIN313" s="247" t="str">
        <f>BS!$E$5</f>
        <v>31 March 2025</v>
      </c>
      <c r="DIO313" s="1717"/>
      <c r="DIP313" s="1718"/>
      <c r="DIQ313" s="1718"/>
      <c r="DIR313" s="1718"/>
      <c r="DIS313" s="1718"/>
      <c r="DIT313" s="246"/>
      <c r="DIU313" s="246" t="str">
        <f>BS!$D$5</f>
        <v>31 March 2026</v>
      </c>
      <c r="DIV313" s="247" t="str">
        <f>BS!$E$5</f>
        <v>31 March 2025</v>
      </c>
      <c r="DIW313" s="1717"/>
      <c r="DIX313" s="1718"/>
      <c r="DIY313" s="1718"/>
      <c r="DIZ313" s="1718"/>
      <c r="DJA313" s="1718"/>
      <c r="DJB313" s="246"/>
      <c r="DJC313" s="246" t="str">
        <f>BS!$D$5</f>
        <v>31 March 2026</v>
      </c>
      <c r="DJD313" s="247" t="str">
        <f>BS!$E$5</f>
        <v>31 March 2025</v>
      </c>
      <c r="DJE313" s="1717"/>
      <c r="DJF313" s="1718"/>
      <c r="DJG313" s="1718"/>
      <c r="DJH313" s="1718"/>
      <c r="DJI313" s="1718"/>
      <c r="DJJ313" s="246"/>
      <c r="DJK313" s="246" t="str">
        <f>BS!$D$5</f>
        <v>31 March 2026</v>
      </c>
      <c r="DJL313" s="247" t="str">
        <f>BS!$E$5</f>
        <v>31 March 2025</v>
      </c>
      <c r="DJM313" s="1717"/>
      <c r="DJN313" s="1718"/>
      <c r="DJO313" s="1718"/>
      <c r="DJP313" s="1718"/>
      <c r="DJQ313" s="1718"/>
      <c r="DJR313" s="246"/>
      <c r="DJS313" s="246" t="str">
        <f>BS!$D$5</f>
        <v>31 March 2026</v>
      </c>
      <c r="DJT313" s="247" t="str">
        <f>BS!$E$5</f>
        <v>31 March 2025</v>
      </c>
      <c r="DJU313" s="1717"/>
      <c r="DJV313" s="1718"/>
      <c r="DJW313" s="1718"/>
      <c r="DJX313" s="1718"/>
      <c r="DJY313" s="1718"/>
      <c r="DJZ313" s="246"/>
      <c r="DKA313" s="246" t="str">
        <f>BS!$D$5</f>
        <v>31 March 2026</v>
      </c>
      <c r="DKB313" s="247" t="str">
        <f>BS!$E$5</f>
        <v>31 March 2025</v>
      </c>
      <c r="DKC313" s="1717"/>
      <c r="DKD313" s="1718"/>
      <c r="DKE313" s="1718"/>
      <c r="DKF313" s="1718"/>
      <c r="DKG313" s="1718"/>
      <c r="DKH313" s="246"/>
      <c r="DKI313" s="246" t="str">
        <f>BS!$D$5</f>
        <v>31 March 2026</v>
      </c>
      <c r="DKJ313" s="247" t="str">
        <f>BS!$E$5</f>
        <v>31 March 2025</v>
      </c>
      <c r="DKK313" s="1717"/>
      <c r="DKL313" s="1718"/>
      <c r="DKM313" s="1718"/>
      <c r="DKN313" s="1718"/>
      <c r="DKO313" s="1718"/>
      <c r="DKP313" s="246"/>
      <c r="DKQ313" s="246" t="str">
        <f>BS!$D$5</f>
        <v>31 March 2026</v>
      </c>
      <c r="DKR313" s="247" t="str">
        <f>BS!$E$5</f>
        <v>31 March 2025</v>
      </c>
      <c r="DKS313" s="1717"/>
      <c r="DKT313" s="1718"/>
      <c r="DKU313" s="1718"/>
      <c r="DKV313" s="1718"/>
      <c r="DKW313" s="1718"/>
      <c r="DKX313" s="246"/>
      <c r="DKY313" s="246" t="str">
        <f>BS!$D$5</f>
        <v>31 March 2026</v>
      </c>
      <c r="DKZ313" s="247" t="str">
        <f>BS!$E$5</f>
        <v>31 March 2025</v>
      </c>
      <c r="DLA313" s="1717"/>
      <c r="DLB313" s="1718"/>
      <c r="DLC313" s="1718"/>
      <c r="DLD313" s="1718"/>
      <c r="DLE313" s="1718"/>
      <c r="DLF313" s="246"/>
      <c r="DLG313" s="246" t="str">
        <f>BS!$D$5</f>
        <v>31 March 2026</v>
      </c>
      <c r="DLH313" s="247" t="str">
        <f>BS!$E$5</f>
        <v>31 March 2025</v>
      </c>
      <c r="DLI313" s="1717"/>
      <c r="DLJ313" s="1718"/>
      <c r="DLK313" s="1718"/>
      <c r="DLL313" s="1718"/>
      <c r="DLM313" s="1718"/>
      <c r="DLN313" s="246"/>
      <c r="DLO313" s="246" t="str">
        <f>BS!$D$5</f>
        <v>31 March 2026</v>
      </c>
      <c r="DLP313" s="247" t="str">
        <f>BS!$E$5</f>
        <v>31 March 2025</v>
      </c>
      <c r="DLQ313" s="1717"/>
      <c r="DLR313" s="1718"/>
      <c r="DLS313" s="1718"/>
      <c r="DLT313" s="1718"/>
      <c r="DLU313" s="1718"/>
      <c r="DLV313" s="246"/>
      <c r="DLW313" s="246" t="str">
        <f>BS!$D$5</f>
        <v>31 March 2026</v>
      </c>
      <c r="DLX313" s="247" t="str">
        <f>BS!$E$5</f>
        <v>31 March 2025</v>
      </c>
      <c r="DLY313" s="1717"/>
      <c r="DLZ313" s="1718"/>
      <c r="DMA313" s="1718"/>
      <c r="DMB313" s="1718"/>
      <c r="DMC313" s="1718"/>
      <c r="DMD313" s="246"/>
      <c r="DME313" s="246" t="str">
        <f>BS!$D$5</f>
        <v>31 March 2026</v>
      </c>
      <c r="DMF313" s="247" t="str">
        <f>BS!$E$5</f>
        <v>31 March 2025</v>
      </c>
      <c r="DMG313" s="1717"/>
      <c r="DMH313" s="1718"/>
      <c r="DMI313" s="1718"/>
      <c r="DMJ313" s="1718"/>
      <c r="DMK313" s="1718"/>
      <c r="DML313" s="246"/>
      <c r="DMM313" s="246" t="str">
        <f>BS!$D$5</f>
        <v>31 March 2026</v>
      </c>
      <c r="DMN313" s="247" t="str">
        <f>BS!$E$5</f>
        <v>31 March 2025</v>
      </c>
      <c r="DMO313" s="1717"/>
      <c r="DMP313" s="1718"/>
      <c r="DMQ313" s="1718"/>
      <c r="DMR313" s="1718"/>
      <c r="DMS313" s="1718"/>
      <c r="DMT313" s="246"/>
      <c r="DMU313" s="246" t="str">
        <f>BS!$D$5</f>
        <v>31 March 2026</v>
      </c>
      <c r="DMV313" s="247" t="str">
        <f>BS!$E$5</f>
        <v>31 March 2025</v>
      </c>
      <c r="DMW313" s="1717"/>
      <c r="DMX313" s="1718"/>
      <c r="DMY313" s="1718"/>
      <c r="DMZ313" s="1718"/>
      <c r="DNA313" s="1718"/>
      <c r="DNB313" s="246"/>
      <c r="DNC313" s="246" t="str">
        <f>BS!$D$5</f>
        <v>31 March 2026</v>
      </c>
      <c r="DND313" s="247" t="str">
        <f>BS!$E$5</f>
        <v>31 March 2025</v>
      </c>
      <c r="DNE313" s="1717"/>
      <c r="DNF313" s="1718"/>
      <c r="DNG313" s="1718"/>
      <c r="DNH313" s="1718"/>
      <c r="DNI313" s="1718"/>
      <c r="DNJ313" s="246"/>
      <c r="DNK313" s="246" t="str">
        <f>BS!$D$5</f>
        <v>31 March 2026</v>
      </c>
      <c r="DNL313" s="247" t="str">
        <f>BS!$E$5</f>
        <v>31 March 2025</v>
      </c>
      <c r="DNM313" s="1717"/>
      <c r="DNN313" s="1718"/>
      <c r="DNO313" s="1718"/>
      <c r="DNP313" s="1718"/>
      <c r="DNQ313" s="1718"/>
      <c r="DNR313" s="246"/>
      <c r="DNS313" s="246" t="str">
        <f>BS!$D$5</f>
        <v>31 March 2026</v>
      </c>
      <c r="DNT313" s="247" t="str">
        <f>BS!$E$5</f>
        <v>31 March 2025</v>
      </c>
      <c r="DNU313" s="1717"/>
      <c r="DNV313" s="1718"/>
      <c r="DNW313" s="1718"/>
      <c r="DNX313" s="1718"/>
      <c r="DNY313" s="1718"/>
      <c r="DNZ313" s="246"/>
      <c r="DOA313" s="246" t="str">
        <f>BS!$D$5</f>
        <v>31 March 2026</v>
      </c>
      <c r="DOB313" s="247" t="str">
        <f>BS!$E$5</f>
        <v>31 March 2025</v>
      </c>
      <c r="DOC313" s="1717"/>
      <c r="DOD313" s="1718"/>
      <c r="DOE313" s="1718"/>
      <c r="DOF313" s="1718"/>
      <c r="DOG313" s="1718"/>
      <c r="DOH313" s="246"/>
      <c r="DOI313" s="246" t="str">
        <f>BS!$D$5</f>
        <v>31 March 2026</v>
      </c>
      <c r="DOJ313" s="247" t="str">
        <f>BS!$E$5</f>
        <v>31 March 2025</v>
      </c>
      <c r="DOK313" s="1717"/>
      <c r="DOL313" s="1718"/>
      <c r="DOM313" s="1718"/>
      <c r="DON313" s="1718"/>
      <c r="DOO313" s="1718"/>
      <c r="DOP313" s="246"/>
      <c r="DOQ313" s="246" t="str">
        <f>BS!$D$5</f>
        <v>31 March 2026</v>
      </c>
      <c r="DOR313" s="247" t="str">
        <f>BS!$E$5</f>
        <v>31 March 2025</v>
      </c>
      <c r="DOS313" s="1717"/>
      <c r="DOT313" s="1718"/>
      <c r="DOU313" s="1718"/>
      <c r="DOV313" s="1718"/>
      <c r="DOW313" s="1718"/>
      <c r="DOX313" s="246"/>
      <c r="DOY313" s="246" t="str">
        <f>BS!$D$5</f>
        <v>31 March 2026</v>
      </c>
      <c r="DOZ313" s="247" t="str">
        <f>BS!$E$5</f>
        <v>31 March 2025</v>
      </c>
      <c r="DPA313" s="1717"/>
      <c r="DPB313" s="1718"/>
      <c r="DPC313" s="1718"/>
      <c r="DPD313" s="1718"/>
      <c r="DPE313" s="1718"/>
      <c r="DPF313" s="246"/>
      <c r="DPG313" s="246" t="str">
        <f>BS!$D$5</f>
        <v>31 March 2026</v>
      </c>
      <c r="DPH313" s="247" t="str">
        <f>BS!$E$5</f>
        <v>31 March 2025</v>
      </c>
      <c r="DPI313" s="1717"/>
      <c r="DPJ313" s="1718"/>
      <c r="DPK313" s="1718"/>
      <c r="DPL313" s="1718"/>
      <c r="DPM313" s="1718"/>
      <c r="DPN313" s="246"/>
      <c r="DPO313" s="246" t="str">
        <f>BS!$D$5</f>
        <v>31 March 2026</v>
      </c>
      <c r="DPP313" s="247" t="str">
        <f>BS!$E$5</f>
        <v>31 March 2025</v>
      </c>
      <c r="DPQ313" s="1717"/>
      <c r="DPR313" s="1718"/>
      <c r="DPS313" s="1718"/>
      <c r="DPT313" s="1718"/>
      <c r="DPU313" s="1718"/>
      <c r="DPV313" s="246"/>
      <c r="DPW313" s="246" t="str">
        <f>BS!$D$5</f>
        <v>31 March 2026</v>
      </c>
      <c r="DPX313" s="247" t="str">
        <f>BS!$E$5</f>
        <v>31 March 2025</v>
      </c>
      <c r="DPY313" s="1717"/>
      <c r="DPZ313" s="1718"/>
      <c r="DQA313" s="1718"/>
      <c r="DQB313" s="1718"/>
      <c r="DQC313" s="1718"/>
      <c r="DQD313" s="246"/>
      <c r="DQE313" s="246" t="str">
        <f>BS!$D$5</f>
        <v>31 March 2026</v>
      </c>
      <c r="DQF313" s="247" t="str">
        <f>BS!$E$5</f>
        <v>31 March 2025</v>
      </c>
      <c r="DQG313" s="1717"/>
      <c r="DQH313" s="1718"/>
      <c r="DQI313" s="1718"/>
      <c r="DQJ313" s="1718"/>
      <c r="DQK313" s="1718"/>
      <c r="DQL313" s="246"/>
      <c r="DQM313" s="246" t="str">
        <f>BS!$D$5</f>
        <v>31 March 2026</v>
      </c>
      <c r="DQN313" s="247" t="str">
        <f>BS!$E$5</f>
        <v>31 March 2025</v>
      </c>
      <c r="DQO313" s="1717"/>
      <c r="DQP313" s="1718"/>
      <c r="DQQ313" s="1718"/>
      <c r="DQR313" s="1718"/>
      <c r="DQS313" s="1718"/>
      <c r="DQT313" s="246"/>
      <c r="DQU313" s="246" t="str">
        <f>BS!$D$5</f>
        <v>31 March 2026</v>
      </c>
      <c r="DQV313" s="247" t="str">
        <f>BS!$E$5</f>
        <v>31 March 2025</v>
      </c>
      <c r="DQW313" s="1717"/>
      <c r="DQX313" s="1718"/>
      <c r="DQY313" s="1718"/>
      <c r="DQZ313" s="1718"/>
      <c r="DRA313" s="1718"/>
      <c r="DRB313" s="246"/>
      <c r="DRC313" s="246" t="str">
        <f>BS!$D$5</f>
        <v>31 March 2026</v>
      </c>
      <c r="DRD313" s="247" t="str">
        <f>BS!$E$5</f>
        <v>31 March 2025</v>
      </c>
      <c r="DRE313" s="1717"/>
      <c r="DRF313" s="1718"/>
      <c r="DRG313" s="1718"/>
      <c r="DRH313" s="1718"/>
      <c r="DRI313" s="1718"/>
      <c r="DRJ313" s="246"/>
      <c r="DRK313" s="246" t="str">
        <f>BS!$D$5</f>
        <v>31 March 2026</v>
      </c>
      <c r="DRL313" s="247" t="str">
        <f>BS!$E$5</f>
        <v>31 March 2025</v>
      </c>
      <c r="DRM313" s="1717"/>
      <c r="DRN313" s="1718"/>
      <c r="DRO313" s="1718"/>
      <c r="DRP313" s="1718"/>
      <c r="DRQ313" s="1718"/>
      <c r="DRR313" s="246"/>
      <c r="DRS313" s="246" t="str">
        <f>BS!$D$5</f>
        <v>31 March 2026</v>
      </c>
      <c r="DRT313" s="247" t="str">
        <f>BS!$E$5</f>
        <v>31 March 2025</v>
      </c>
      <c r="DRU313" s="1717"/>
      <c r="DRV313" s="1718"/>
      <c r="DRW313" s="1718"/>
      <c r="DRX313" s="1718"/>
      <c r="DRY313" s="1718"/>
      <c r="DRZ313" s="246"/>
      <c r="DSA313" s="246" t="str">
        <f>BS!$D$5</f>
        <v>31 March 2026</v>
      </c>
      <c r="DSB313" s="247" t="str">
        <f>BS!$E$5</f>
        <v>31 March 2025</v>
      </c>
      <c r="DSC313" s="1717"/>
      <c r="DSD313" s="1718"/>
      <c r="DSE313" s="1718"/>
      <c r="DSF313" s="1718"/>
      <c r="DSG313" s="1718"/>
      <c r="DSH313" s="246"/>
      <c r="DSI313" s="246" t="str">
        <f>BS!$D$5</f>
        <v>31 March 2026</v>
      </c>
      <c r="DSJ313" s="247" t="str">
        <f>BS!$E$5</f>
        <v>31 March 2025</v>
      </c>
      <c r="DSK313" s="1717"/>
      <c r="DSL313" s="1718"/>
      <c r="DSM313" s="1718"/>
      <c r="DSN313" s="1718"/>
      <c r="DSO313" s="1718"/>
      <c r="DSP313" s="246"/>
      <c r="DSQ313" s="246" t="str">
        <f>BS!$D$5</f>
        <v>31 March 2026</v>
      </c>
      <c r="DSR313" s="247" t="str">
        <f>BS!$E$5</f>
        <v>31 March 2025</v>
      </c>
      <c r="DSS313" s="1717"/>
      <c r="DST313" s="1718"/>
      <c r="DSU313" s="1718"/>
      <c r="DSV313" s="1718"/>
      <c r="DSW313" s="1718"/>
      <c r="DSX313" s="246"/>
      <c r="DSY313" s="246" t="str">
        <f>BS!$D$5</f>
        <v>31 March 2026</v>
      </c>
      <c r="DSZ313" s="247" t="str">
        <f>BS!$E$5</f>
        <v>31 March 2025</v>
      </c>
      <c r="DTA313" s="1717"/>
      <c r="DTB313" s="1718"/>
      <c r="DTC313" s="1718"/>
      <c r="DTD313" s="1718"/>
      <c r="DTE313" s="1718"/>
      <c r="DTF313" s="246"/>
      <c r="DTG313" s="246" t="str">
        <f>BS!$D$5</f>
        <v>31 March 2026</v>
      </c>
      <c r="DTH313" s="247" t="str">
        <f>BS!$E$5</f>
        <v>31 March 2025</v>
      </c>
      <c r="DTI313" s="1717"/>
      <c r="DTJ313" s="1718"/>
      <c r="DTK313" s="1718"/>
      <c r="DTL313" s="1718"/>
      <c r="DTM313" s="1718"/>
      <c r="DTN313" s="246"/>
      <c r="DTO313" s="246" t="str">
        <f>BS!$D$5</f>
        <v>31 March 2026</v>
      </c>
      <c r="DTP313" s="247" t="str">
        <f>BS!$E$5</f>
        <v>31 March 2025</v>
      </c>
      <c r="DTQ313" s="1717"/>
      <c r="DTR313" s="1718"/>
      <c r="DTS313" s="1718"/>
      <c r="DTT313" s="1718"/>
      <c r="DTU313" s="1718"/>
      <c r="DTV313" s="246"/>
      <c r="DTW313" s="246" t="str">
        <f>BS!$D$5</f>
        <v>31 March 2026</v>
      </c>
      <c r="DTX313" s="247" t="str">
        <f>BS!$E$5</f>
        <v>31 March 2025</v>
      </c>
      <c r="DTY313" s="1717"/>
      <c r="DTZ313" s="1718"/>
      <c r="DUA313" s="1718"/>
      <c r="DUB313" s="1718"/>
      <c r="DUC313" s="1718"/>
      <c r="DUD313" s="246"/>
      <c r="DUE313" s="246" t="str">
        <f>BS!$D$5</f>
        <v>31 March 2026</v>
      </c>
      <c r="DUF313" s="247" t="str">
        <f>BS!$E$5</f>
        <v>31 March 2025</v>
      </c>
      <c r="DUG313" s="1717"/>
      <c r="DUH313" s="1718"/>
      <c r="DUI313" s="1718"/>
      <c r="DUJ313" s="1718"/>
      <c r="DUK313" s="1718"/>
      <c r="DUL313" s="246"/>
      <c r="DUM313" s="246" t="str">
        <f>BS!$D$5</f>
        <v>31 March 2026</v>
      </c>
      <c r="DUN313" s="247" t="str">
        <f>BS!$E$5</f>
        <v>31 March 2025</v>
      </c>
      <c r="DUO313" s="1717"/>
      <c r="DUP313" s="1718"/>
      <c r="DUQ313" s="1718"/>
      <c r="DUR313" s="1718"/>
      <c r="DUS313" s="1718"/>
      <c r="DUT313" s="246"/>
      <c r="DUU313" s="246" t="str">
        <f>BS!$D$5</f>
        <v>31 March 2026</v>
      </c>
      <c r="DUV313" s="247" t="str">
        <f>BS!$E$5</f>
        <v>31 March 2025</v>
      </c>
      <c r="DUW313" s="1717"/>
      <c r="DUX313" s="1718"/>
      <c r="DUY313" s="1718"/>
      <c r="DUZ313" s="1718"/>
      <c r="DVA313" s="1718"/>
      <c r="DVB313" s="246"/>
      <c r="DVC313" s="246" t="str">
        <f>BS!$D$5</f>
        <v>31 March 2026</v>
      </c>
      <c r="DVD313" s="247" t="str">
        <f>BS!$E$5</f>
        <v>31 March 2025</v>
      </c>
      <c r="DVE313" s="1717"/>
      <c r="DVF313" s="1718"/>
      <c r="DVG313" s="1718"/>
      <c r="DVH313" s="1718"/>
      <c r="DVI313" s="1718"/>
      <c r="DVJ313" s="246"/>
      <c r="DVK313" s="246" t="str">
        <f>BS!$D$5</f>
        <v>31 March 2026</v>
      </c>
      <c r="DVL313" s="247" t="str">
        <f>BS!$E$5</f>
        <v>31 March 2025</v>
      </c>
      <c r="DVM313" s="1717"/>
      <c r="DVN313" s="1718"/>
      <c r="DVO313" s="1718"/>
      <c r="DVP313" s="1718"/>
      <c r="DVQ313" s="1718"/>
      <c r="DVR313" s="246"/>
      <c r="DVS313" s="246" t="str">
        <f>BS!$D$5</f>
        <v>31 March 2026</v>
      </c>
      <c r="DVT313" s="247" t="str">
        <f>BS!$E$5</f>
        <v>31 March 2025</v>
      </c>
      <c r="DVU313" s="1717"/>
      <c r="DVV313" s="1718"/>
      <c r="DVW313" s="1718"/>
      <c r="DVX313" s="1718"/>
      <c r="DVY313" s="1718"/>
      <c r="DVZ313" s="246"/>
      <c r="DWA313" s="246" t="str">
        <f>BS!$D$5</f>
        <v>31 March 2026</v>
      </c>
      <c r="DWB313" s="247" t="str">
        <f>BS!$E$5</f>
        <v>31 March 2025</v>
      </c>
      <c r="DWC313" s="1717"/>
      <c r="DWD313" s="1718"/>
      <c r="DWE313" s="1718"/>
      <c r="DWF313" s="1718"/>
      <c r="DWG313" s="1718"/>
      <c r="DWH313" s="246"/>
      <c r="DWI313" s="246" t="str">
        <f>BS!$D$5</f>
        <v>31 March 2026</v>
      </c>
      <c r="DWJ313" s="247" t="str">
        <f>BS!$E$5</f>
        <v>31 March 2025</v>
      </c>
      <c r="DWK313" s="1717"/>
      <c r="DWL313" s="1718"/>
      <c r="DWM313" s="1718"/>
      <c r="DWN313" s="1718"/>
      <c r="DWO313" s="1718"/>
      <c r="DWP313" s="246"/>
      <c r="DWQ313" s="246" t="str">
        <f>BS!$D$5</f>
        <v>31 March 2026</v>
      </c>
      <c r="DWR313" s="247" t="str">
        <f>BS!$E$5</f>
        <v>31 March 2025</v>
      </c>
      <c r="DWS313" s="1717"/>
      <c r="DWT313" s="1718"/>
      <c r="DWU313" s="1718"/>
      <c r="DWV313" s="1718"/>
      <c r="DWW313" s="1718"/>
      <c r="DWX313" s="246"/>
      <c r="DWY313" s="246" t="str">
        <f>BS!$D$5</f>
        <v>31 March 2026</v>
      </c>
      <c r="DWZ313" s="247" t="str">
        <f>BS!$E$5</f>
        <v>31 March 2025</v>
      </c>
      <c r="DXA313" s="1717"/>
      <c r="DXB313" s="1718"/>
      <c r="DXC313" s="1718"/>
      <c r="DXD313" s="1718"/>
      <c r="DXE313" s="1718"/>
      <c r="DXF313" s="246"/>
      <c r="DXG313" s="246" t="str">
        <f>BS!$D$5</f>
        <v>31 March 2026</v>
      </c>
      <c r="DXH313" s="247" t="str">
        <f>BS!$E$5</f>
        <v>31 March 2025</v>
      </c>
      <c r="DXI313" s="1717"/>
      <c r="DXJ313" s="1718"/>
      <c r="DXK313" s="1718"/>
      <c r="DXL313" s="1718"/>
      <c r="DXM313" s="1718"/>
      <c r="DXN313" s="246"/>
      <c r="DXO313" s="246" t="str">
        <f>BS!$D$5</f>
        <v>31 March 2026</v>
      </c>
      <c r="DXP313" s="247" t="str">
        <f>BS!$E$5</f>
        <v>31 March 2025</v>
      </c>
      <c r="DXQ313" s="1717"/>
      <c r="DXR313" s="1718"/>
      <c r="DXS313" s="1718"/>
      <c r="DXT313" s="1718"/>
      <c r="DXU313" s="1718"/>
      <c r="DXV313" s="246"/>
      <c r="DXW313" s="246" t="str">
        <f>BS!$D$5</f>
        <v>31 March 2026</v>
      </c>
      <c r="DXX313" s="247" t="str">
        <f>BS!$E$5</f>
        <v>31 March 2025</v>
      </c>
      <c r="DXY313" s="1717"/>
      <c r="DXZ313" s="1718"/>
      <c r="DYA313" s="1718"/>
      <c r="DYB313" s="1718"/>
      <c r="DYC313" s="1718"/>
      <c r="DYD313" s="246"/>
      <c r="DYE313" s="246" t="str">
        <f>BS!$D$5</f>
        <v>31 March 2026</v>
      </c>
      <c r="DYF313" s="247" t="str">
        <f>BS!$E$5</f>
        <v>31 March 2025</v>
      </c>
      <c r="DYG313" s="1717"/>
      <c r="DYH313" s="1718"/>
      <c r="DYI313" s="1718"/>
      <c r="DYJ313" s="1718"/>
      <c r="DYK313" s="1718"/>
      <c r="DYL313" s="246"/>
      <c r="DYM313" s="246" t="str">
        <f>BS!$D$5</f>
        <v>31 March 2026</v>
      </c>
      <c r="DYN313" s="247" t="str">
        <f>BS!$E$5</f>
        <v>31 March 2025</v>
      </c>
      <c r="DYO313" s="1717"/>
      <c r="DYP313" s="1718"/>
      <c r="DYQ313" s="1718"/>
      <c r="DYR313" s="1718"/>
      <c r="DYS313" s="1718"/>
      <c r="DYT313" s="246"/>
      <c r="DYU313" s="246" t="str">
        <f>BS!$D$5</f>
        <v>31 March 2026</v>
      </c>
      <c r="DYV313" s="247" t="str">
        <f>BS!$E$5</f>
        <v>31 March 2025</v>
      </c>
      <c r="DYW313" s="1717"/>
      <c r="DYX313" s="1718"/>
      <c r="DYY313" s="1718"/>
      <c r="DYZ313" s="1718"/>
      <c r="DZA313" s="1718"/>
      <c r="DZB313" s="246"/>
      <c r="DZC313" s="246" t="str">
        <f>BS!$D$5</f>
        <v>31 March 2026</v>
      </c>
      <c r="DZD313" s="247" t="str">
        <f>BS!$E$5</f>
        <v>31 March 2025</v>
      </c>
      <c r="DZE313" s="1717"/>
      <c r="DZF313" s="1718"/>
      <c r="DZG313" s="1718"/>
      <c r="DZH313" s="1718"/>
      <c r="DZI313" s="1718"/>
      <c r="DZJ313" s="246"/>
      <c r="DZK313" s="246" t="str">
        <f>BS!$D$5</f>
        <v>31 March 2026</v>
      </c>
      <c r="DZL313" s="247" t="str">
        <f>BS!$E$5</f>
        <v>31 March 2025</v>
      </c>
      <c r="DZM313" s="1717"/>
      <c r="DZN313" s="1718"/>
      <c r="DZO313" s="1718"/>
      <c r="DZP313" s="1718"/>
      <c r="DZQ313" s="1718"/>
      <c r="DZR313" s="246"/>
      <c r="DZS313" s="246" t="str">
        <f>BS!$D$5</f>
        <v>31 March 2026</v>
      </c>
      <c r="DZT313" s="247" t="str">
        <f>BS!$E$5</f>
        <v>31 March 2025</v>
      </c>
      <c r="DZU313" s="1717"/>
      <c r="DZV313" s="1718"/>
      <c r="DZW313" s="1718"/>
      <c r="DZX313" s="1718"/>
      <c r="DZY313" s="1718"/>
      <c r="DZZ313" s="246"/>
      <c r="EAA313" s="246" t="str">
        <f>BS!$D$5</f>
        <v>31 March 2026</v>
      </c>
      <c r="EAB313" s="247" t="str">
        <f>BS!$E$5</f>
        <v>31 March 2025</v>
      </c>
      <c r="EAC313" s="1717"/>
      <c r="EAD313" s="1718"/>
      <c r="EAE313" s="1718"/>
      <c r="EAF313" s="1718"/>
      <c r="EAG313" s="1718"/>
      <c r="EAH313" s="246"/>
      <c r="EAI313" s="246" t="str">
        <f>BS!$D$5</f>
        <v>31 March 2026</v>
      </c>
      <c r="EAJ313" s="247" t="str">
        <f>BS!$E$5</f>
        <v>31 March 2025</v>
      </c>
      <c r="EAK313" s="1717"/>
      <c r="EAL313" s="1718"/>
      <c r="EAM313" s="1718"/>
      <c r="EAN313" s="1718"/>
      <c r="EAO313" s="1718"/>
      <c r="EAP313" s="246"/>
      <c r="EAQ313" s="246" t="str">
        <f>BS!$D$5</f>
        <v>31 March 2026</v>
      </c>
      <c r="EAR313" s="247" t="str">
        <f>BS!$E$5</f>
        <v>31 March 2025</v>
      </c>
      <c r="EAS313" s="1717"/>
      <c r="EAT313" s="1718"/>
      <c r="EAU313" s="1718"/>
      <c r="EAV313" s="1718"/>
      <c r="EAW313" s="1718"/>
      <c r="EAX313" s="246"/>
      <c r="EAY313" s="246" t="str">
        <f>BS!$D$5</f>
        <v>31 March 2026</v>
      </c>
      <c r="EAZ313" s="247" t="str">
        <f>BS!$E$5</f>
        <v>31 March 2025</v>
      </c>
      <c r="EBA313" s="1717"/>
      <c r="EBB313" s="1718"/>
      <c r="EBC313" s="1718"/>
      <c r="EBD313" s="1718"/>
      <c r="EBE313" s="1718"/>
      <c r="EBF313" s="246"/>
      <c r="EBG313" s="246" t="str">
        <f>BS!$D$5</f>
        <v>31 March 2026</v>
      </c>
      <c r="EBH313" s="247" t="str">
        <f>BS!$E$5</f>
        <v>31 March 2025</v>
      </c>
      <c r="EBI313" s="1717"/>
      <c r="EBJ313" s="1718"/>
      <c r="EBK313" s="1718"/>
      <c r="EBL313" s="1718"/>
      <c r="EBM313" s="1718"/>
      <c r="EBN313" s="246"/>
      <c r="EBO313" s="246" t="str">
        <f>BS!$D$5</f>
        <v>31 March 2026</v>
      </c>
      <c r="EBP313" s="247" t="str">
        <f>BS!$E$5</f>
        <v>31 March 2025</v>
      </c>
      <c r="EBQ313" s="1717"/>
      <c r="EBR313" s="1718"/>
      <c r="EBS313" s="1718"/>
      <c r="EBT313" s="1718"/>
      <c r="EBU313" s="1718"/>
      <c r="EBV313" s="246"/>
      <c r="EBW313" s="246" t="str">
        <f>BS!$D$5</f>
        <v>31 March 2026</v>
      </c>
      <c r="EBX313" s="247" t="str">
        <f>BS!$E$5</f>
        <v>31 March 2025</v>
      </c>
      <c r="EBY313" s="1717"/>
      <c r="EBZ313" s="1718"/>
      <c r="ECA313" s="1718"/>
      <c r="ECB313" s="1718"/>
      <c r="ECC313" s="1718"/>
      <c r="ECD313" s="246"/>
      <c r="ECE313" s="246" t="str">
        <f>BS!$D$5</f>
        <v>31 March 2026</v>
      </c>
      <c r="ECF313" s="247" t="str">
        <f>BS!$E$5</f>
        <v>31 March 2025</v>
      </c>
      <c r="ECG313" s="1717"/>
      <c r="ECH313" s="1718"/>
      <c r="ECI313" s="1718"/>
      <c r="ECJ313" s="1718"/>
      <c r="ECK313" s="1718"/>
      <c r="ECL313" s="246"/>
      <c r="ECM313" s="246" t="str">
        <f>BS!$D$5</f>
        <v>31 March 2026</v>
      </c>
      <c r="ECN313" s="247" t="str">
        <f>BS!$E$5</f>
        <v>31 March 2025</v>
      </c>
      <c r="ECO313" s="1717"/>
      <c r="ECP313" s="1718"/>
      <c r="ECQ313" s="1718"/>
      <c r="ECR313" s="1718"/>
      <c r="ECS313" s="1718"/>
      <c r="ECT313" s="246"/>
      <c r="ECU313" s="246" t="str">
        <f>BS!$D$5</f>
        <v>31 March 2026</v>
      </c>
      <c r="ECV313" s="247" t="str">
        <f>BS!$E$5</f>
        <v>31 March 2025</v>
      </c>
      <c r="ECW313" s="1717"/>
      <c r="ECX313" s="1718"/>
      <c r="ECY313" s="1718"/>
      <c r="ECZ313" s="1718"/>
      <c r="EDA313" s="1718"/>
      <c r="EDB313" s="246"/>
      <c r="EDC313" s="246" t="str">
        <f>BS!$D$5</f>
        <v>31 March 2026</v>
      </c>
      <c r="EDD313" s="247" t="str">
        <f>BS!$E$5</f>
        <v>31 March 2025</v>
      </c>
      <c r="EDE313" s="1717"/>
      <c r="EDF313" s="1718"/>
      <c r="EDG313" s="1718"/>
      <c r="EDH313" s="1718"/>
      <c r="EDI313" s="1718"/>
      <c r="EDJ313" s="246"/>
      <c r="EDK313" s="246" t="str">
        <f>BS!$D$5</f>
        <v>31 March 2026</v>
      </c>
      <c r="EDL313" s="247" t="str">
        <f>BS!$E$5</f>
        <v>31 March 2025</v>
      </c>
      <c r="EDM313" s="1717"/>
      <c r="EDN313" s="1718"/>
      <c r="EDO313" s="1718"/>
      <c r="EDP313" s="1718"/>
      <c r="EDQ313" s="1718"/>
      <c r="EDR313" s="246"/>
      <c r="EDS313" s="246" t="str">
        <f>BS!$D$5</f>
        <v>31 March 2026</v>
      </c>
      <c r="EDT313" s="247" t="str">
        <f>BS!$E$5</f>
        <v>31 March 2025</v>
      </c>
      <c r="EDU313" s="1717"/>
      <c r="EDV313" s="1718"/>
      <c r="EDW313" s="1718"/>
      <c r="EDX313" s="1718"/>
      <c r="EDY313" s="1718"/>
      <c r="EDZ313" s="246"/>
      <c r="EEA313" s="246" t="str">
        <f>BS!$D$5</f>
        <v>31 March 2026</v>
      </c>
      <c r="EEB313" s="247" t="str">
        <f>BS!$E$5</f>
        <v>31 March 2025</v>
      </c>
      <c r="EEC313" s="1717"/>
      <c r="EED313" s="1718"/>
      <c r="EEE313" s="1718"/>
      <c r="EEF313" s="1718"/>
      <c r="EEG313" s="1718"/>
      <c r="EEH313" s="246"/>
      <c r="EEI313" s="246" t="str">
        <f>BS!$D$5</f>
        <v>31 March 2026</v>
      </c>
      <c r="EEJ313" s="247" t="str">
        <f>BS!$E$5</f>
        <v>31 March 2025</v>
      </c>
      <c r="EEK313" s="1717"/>
      <c r="EEL313" s="1718"/>
      <c r="EEM313" s="1718"/>
      <c r="EEN313" s="1718"/>
      <c r="EEO313" s="1718"/>
      <c r="EEP313" s="246"/>
      <c r="EEQ313" s="246" t="str">
        <f>BS!$D$5</f>
        <v>31 March 2026</v>
      </c>
      <c r="EER313" s="247" t="str">
        <f>BS!$E$5</f>
        <v>31 March 2025</v>
      </c>
      <c r="EES313" s="1717"/>
      <c r="EET313" s="1718"/>
      <c r="EEU313" s="1718"/>
      <c r="EEV313" s="1718"/>
      <c r="EEW313" s="1718"/>
      <c r="EEX313" s="246"/>
      <c r="EEY313" s="246" t="str">
        <f>BS!$D$5</f>
        <v>31 March 2026</v>
      </c>
      <c r="EEZ313" s="247" t="str">
        <f>BS!$E$5</f>
        <v>31 March 2025</v>
      </c>
      <c r="EFA313" s="1717"/>
      <c r="EFB313" s="1718"/>
      <c r="EFC313" s="1718"/>
      <c r="EFD313" s="1718"/>
      <c r="EFE313" s="1718"/>
      <c r="EFF313" s="246"/>
      <c r="EFG313" s="246" t="str">
        <f>BS!$D$5</f>
        <v>31 March 2026</v>
      </c>
      <c r="EFH313" s="247" t="str">
        <f>BS!$E$5</f>
        <v>31 March 2025</v>
      </c>
      <c r="EFI313" s="1717"/>
      <c r="EFJ313" s="1718"/>
      <c r="EFK313" s="1718"/>
      <c r="EFL313" s="1718"/>
      <c r="EFM313" s="1718"/>
      <c r="EFN313" s="246"/>
      <c r="EFO313" s="246" t="str">
        <f>BS!$D$5</f>
        <v>31 March 2026</v>
      </c>
      <c r="EFP313" s="247" t="str">
        <f>BS!$E$5</f>
        <v>31 March 2025</v>
      </c>
      <c r="EFQ313" s="1717"/>
      <c r="EFR313" s="1718"/>
      <c r="EFS313" s="1718"/>
      <c r="EFT313" s="1718"/>
      <c r="EFU313" s="1718"/>
      <c r="EFV313" s="246"/>
      <c r="EFW313" s="246" t="str">
        <f>BS!$D$5</f>
        <v>31 March 2026</v>
      </c>
      <c r="EFX313" s="247" t="str">
        <f>BS!$E$5</f>
        <v>31 March 2025</v>
      </c>
      <c r="EFY313" s="1717"/>
      <c r="EFZ313" s="1718"/>
      <c r="EGA313" s="1718"/>
      <c r="EGB313" s="1718"/>
      <c r="EGC313" s="1718"/>
      <c r="EGD313" s="246"/>
      <c r="EGE313" s="246" t="str">
        <f>BS!$D$5</f>
        <v>31 March 2026</v>
      </c>
      <c r="EGF313" s="247" t="str">
        <f>BS!$E$5</f>
        <v>31 March 2025</v>
      </c>
      <c r="EGG313" s="1717"/>
      <c r="EGH313" s="1718"/>
      <c r="EGI313" s="1718"/>
      <c r="EGJ313" s="1718"/>
      <c r="EGK313" s="1718"/>
      <c r="EGL313" s="246"/>
      <c r="EGM313" s="246" t="str">
        <f>BS!$D$5</f>
        <v>31 March 2026</v>
      </c>
      <c r="EGN313" s="247" t="str">
        <f>BS!$E$5</f>
        <v>31 March 2025</v>
      </c>
      <c r="EGO313" s="1717"/>
      <c r="EGP313" s="1718"/>
      <c r="EGQ313" s="1718"/>
      <c r="EGR313" s="1718"/>
      <c r="EGS313" s="1718"/>
      <c r="EGT313" s="246"/>
      <c r="EGU313" s="246" t="str">
        <f>BS!$D$5</f>
        <v>31 March 2026</v>
      </c>
      <c r="EGV313" s="247" t="str">
        <f>BS!$E$5</f>
        <v>31 March 2025</v>
      </c>
      <c r="EGW313" s="1717"/>
      <c r="EGX313" s="1718"/>
      <c r="EGY313" s="1718"/>
      <c r="EGZ313" s="1718"/>
      <c r="EHA313" s="1718"/>
      <c r="EHB313" s="246"/>
      <c r="EHC313" s="246" t="str">
        <f>BS!$D$5</f>
        <v>31 March 2026</v>
      </c>
      <c r="EHD313" s="247" t="str">
        <f>BS!$E$5</f>
        <v>31 March 2025</v>
      </c>
      <c r="EHE313" s="1717"/>
      <c r="EHF313" s="1718"/>
      <c r="EHG313" s="1718"/>
      <c r="EHH313" s="1718"/>
      <c r="EHI313" s="1718"/>
      <c r="EHJ313" s="246"/>
      <c r="EHK313" s="246" t="str">
        <f>BS!$D$5</f>
        <v>31 March 2026</v>
      </c>
      <c r="EHL313" s="247" t="str">
        <f>BS!$E$5</f>
        <v>31 March 2025</v>
      </c>
      <c r="EHM313" s="1717"/>
      <c r="EHN313" s="1718"/>
      <c r="EHO313" s="1718"/>
      <c r="EHP313" s="1718"/>
      <c r="EHQ313" s="1718"/>
      <c r="EHR313" s="246"/>
      <c r="EHS313" s="246" t="str">
        <f>BS!$D$5</f>
        <v>31 March 2026</v>
      </c>
      <c r="EHT313" s="247" t="str">
        <f>BS!$E$5</f>
        <v>31 March 2025</v>
      </c>
      <c r="EHU313" s="1717"/>
      <c r="EHV313" s="1718"/>
      <c r="EHW313" s="1718"/>
      <c r="EHX313" s="1718"/>
      <c r="EHY313" s="1718"/>
      <c r="EHZ313" s="246"/>
      <c r="EIA313" s="246" t="str">
        <f>BS!$D$5</f>
        <v>31 March 2026</v>
      </c>
      <c r="EIB313" s="247" t="str">
        <f>BS!$E$5</f>
        <v>31 March 2025</v>
      </c>
      <c r="EIC313" s="1717"/>
      <c r="EID313" s="1718"/>
      <c r="EIE313" s="1718"/>
      <c r="EIF313" s="1718"/>
      <c r="EIG313" s="1718"/>
      <c r="EIH313" s="246"/>
      <c r="EII313" s="246" t="str">
        <f>BS!$D$5</f>
        <v>31 March 2026</v>
      </c>
      <c r="EIJ313" s="247" t="str">
        <f>BS!$E$5</f>
        <v>31 March 2025</v>
      </c>
      <c r="EIK313" s="1717"/>
      <c r="EIL313" s="1718"/>
      <c r="EIM313" s="1718"/>
      <c r="EIN313" s="1718"/>
      <c r="EIO313" s="1718"/>
      <c r="EIP313" s="246"/>
      <c r="EIQ313" s="246" t="str">
        <f>BS!$D$5</f>
        <v>31 March 2026</v>
      </c>
      <c r="EIR313" s="247" t="str">
        <f>BS!$E$5</f>
        <v>31 March 2025</v>
      </c>
      <c r="EIS313" s="1717"/>
      <c r="EIT313" s="1718"/>
      <c r="EIU313" s="1718"/>
      <c r="EIV313" s="1718"/>
      <c r="EIW313" s="1718"/>
      <c r="EIX313" s="246"/>
      <c r="EIY313" s="246" t="str">
        <f>BS!$D$5</f>
        <v>31 March 2026</v>
      </c>
      <c r="EIZ313" s="247" t="str">
        <f>BS!$E$5</f>
        <v>31 March 2025</v>
      </c>
      <c r="EJA313" s="1717"/>
      <c r="EJB313" s="1718"/>
      <c r="EJC313" s="1718"/>
      <c r="EJD313" s="1718"/>
      <c r="EJE313" s="1718"/>
      <c r="EJF313" s="246"/>
      <c r="EJG313" s="246" t="str">
        <f>BS!$D$5</f>
        <v>31 March 2026</v>
      </c>
      <c r="EJH313" s="247" t="str">
        <f>BS!$E$5</f>
        <v>31 March 2025</v>
      </c>
      <c r="EJI313" s="1717"/>
      <c r="EJJ313" s="1718"/>
      <c r="EJK313" s="1718"/>
      <c r="EJL313" s="1718"/>
      <c r="EJM313" s="1718"/>
      <c r="EJN313" s="246"/>
      <c r="EJO313" s="246" t="str">
        <f>BS!$D$5</f>
        <v>31 March 2026</v>
      </c>
      <c r="EJP313" s="247" t="str">
        <f>BS!$E$5</f>
        <v>31 March 2025</v>
      </c>
      <c r="EJQ313" s="1717"/>
      <c r="EJR313" s="1718"/>
      <c r="EJS313" s="1718"/>
      <c r="EJT313" s="1718"/>
      <c r="EJU313" s="1718"/>
      <c r="EJV313" s="246"/>
      <c r="EJW313" s="246" t="str">
        <f>BS!$D$5</f>
        <v>31 March 2026</v>
      </c>
      <c r="EJX313" s="247" t="str">
        <f>BS!$E$5</f>
        <v>31 March 2025</v>
      </c>
      <c r="EJY313" s="1717"/>
      <c r="EJZ313" s="1718"/>
      <c r="EKA313" s="1718"/>
      <c r="EKB313" s="1718"/>
      <c r="EKC313" s="1718"/>
      <c r="EKD313" s="246"/>
      <c r="EKE313" s="246" t="str">
        <f>BS!$D$5</f>
        <v>31 March 2026</v>
      </c>
      <c r="EKF313" s="247" t="str">
        <f>BS!$E$5</f>
        <v>31 March 2025</v>
      </c>
      <c r="EKG313" s="1717"/>
      <c r="EKH313" s="1718"/>
      <c r="EKI313" s="1718"/>
      <c r="EKJ313" s="1718"/>
      <c r="EKK313" s="1718"/>
      <c r="EKL313" s="246"/>
      <c r="EKM313" s="246" t="str">
        <f>BS!$D$5</f>
        <v>31 March 2026</v>
      </c>
      <c r="EKN313" s="247" t="str">
        <f>BS!$E$5</f>
        <v>31 March 2025</v>
      </c>
      <c r="EKO313" s="1717"/>
      <c r="EKP313" s="1718"/>
      <c r="EKQ313" s="1718"/>
      <c r="EKR313" s="1718"/>
      <c r="EKS313" s="1718"/>
      <c r="EKT313" s="246"/>
      <c r="EKU313" s="246" t="str">
        <f>BS!$D$5</f>
        <v>31 March 2026</v>
      </c>
      <c r="EKV313" s="247" t="str">
        <f>BS!$E$5</f>
        <v>31 March 2025</v>
      </c>
      <c r="EKW313" s="1717"/>
      <c r="EKX313" s="1718"/>
      <c r="EKY313" s="1718"/>
      <c r="EKZ313" s="1718"/>
      <c r="ELA313" s="1718"/>
      <c r="ELB313" s="246"/>
      <c r="ELC313" s="246" t="str">
        <f>BS!$D$5</f>
        <v>31 March 2026</v>
      </c>
      <c r="ELD313" s="247" t="str">
        <f>BS!$E$5</f>
        <v>31 March 2025</v>
      </c>
      <c r="ELE313" s="1717"/>
      <c r="ELF313" s="1718"/>
      <c r="ELG313" s="1718"/>
      <c r="ELH313" s="1718"/>
      <c r="ELI313" s="1718"/>
      <c r="ELJ313" s="246"/>
      <c r="ELK313" s="246" t="str">
        <f>BS!$D$5</f>
        <v>31 March 2026</v>
      </c>
      <c r="ELL313" s="247" t="str">
        <f>BS!$E$5</f>
        <v>31 March 2025</v>
      </c>
      <c r="ELM313" s="1717"/>
      <c r="ELN313" s="1718"/>
      <c r="ELO313" s="1718"/>
      <c r="ELP313" s="1718"/>
      <c r="ELQ313" s="1718"/>
      <c r="ELR313" s="246"/>
      <c r="ELS313" s="246" t="str">
        <f>BS!$D$5</f>
        <v>31 March 2026</v>
      </c>
      <c r="ELT313" s="247" t="str">
        <f>BS!$E$5</f>
        <v>31 March 2025</v>
      </c>
      <c r="ELU313" s="1717"/>
      <c r="ELV313" s="1718"/>
      <c r="ELW313" s="1718"/>
      <c r="ELX313" s="1718"/>
      <c r="ELY313" s="1718"/>
      <c r="ELZ313" s="246"/>
      <c r="EMA313" s="246" t="str">
        <f>BS!$D$5</f>
        <v>31 March 2026</v>
      </c>
      <c r="EMB313" s="247" t="str">
        <f>BS!$E$5</f>
        <v>31 March 2025</v>
      </c>
      <c r="EMC313" s="1717"/>
      <c r="EMD313" s="1718"/>
      <c r="EME313" s="1718"/>
      <c r="EMF313" s="1718"/>
      <c r="EMG313" s="1718"/>
      <c r="EMH313" s="246"/>
      <c r="EMI313" s="246" t="str">
        <f>BS!$D$5</f>
        <v>31 March 2026</v>
      </c>
      <c r="EMJ313" s="247" t="str">
        <f>BS!$E$5</f>
        <v>31 March 2025</v>
      </c>
      <c r="EMK313" s="1717"/>
      <c r="EML313" s="1718"/>
      <c r="EMM313" s="1718"/>
      <c r="EMN313" s="1718"/>
      <c r="EMO313" s="1718"/>
      <c r="EMP313" s="246"/>
      <c r="EMQ313" s="246" t="str">
        <f>BS!$D$5</f>
        <v>31 March 2026</v>
      </c>
      <c r="EMR313" s="247" t="str">
        <f>BS!$E$5</f>
        <v>31 March 2025</v>
      </c>
      <c r="EMS313" s="1717"/>
      <c r="EMT313" s="1718"/>
      <c r="EMU313" s="1718"/>
      <c r="EMV313" s="1718"/>
      <c r="EMW313" s="1718"/>
      <c r="EMX313" s="246"/>
      <c r="EMY313" s="246" t="str">
        <f>BS!$D$5</f>
        <v>31 March 2026</v>
      </c>
      <c r="EMZ313" s="247" t="str">
        <f>BS!$E$5</f>
        <v>31 March 2025</v>
      </c>
      <c r="ENA313" s="1717"/>
      <c r="ENB313" s="1718"/>
      <c r="ENC313" s="1718"/>
      <c r="END313" s="1718"/>
      <c r="ENE313" s="1718"/>
      <c r="ENF313" s="246"/>
      <c r="ENG313" s="246" t="str">
        <f>BS!$D$5</f>
        <v>31 March 2026</v>
      </c>
      <c r="ENH313" s="247" t="str">
        <f>BS!$E$5</f>
        <v>31 March 2025</v>
      </c>
      <c r="ENI313" s="1717"/>
      <c r="ENJ313" s="1718"/>
      <c r="ENK313" s="1718"/>
      <c r="ENL313" s="1718"/>
      <c r="ENM313" s="1718"/>
      <c r="ENN313" s="246"/>
      <c r="ENO313" s="246" t="str">
        <f>BS!$D$5</f>
        <v>31 March 2026</v>
      </c>
      <c r="ENP313" s="247" t="str">
        <f>BS!$E$5</f>
        <v>31 March 2025</v>
      </c>
      <c r="ENQ313" s="1717"/>
      <c r="ENR313" s="1718"/>
      <c r="ENS313" s="1718"/>
      <c r="ENT313" s="1718"/>
      <c r="ENU313" s="1718"/>
      <c r="ENV313" s="246"/>
      <c r="ENW313" s="246" t="str">
        <f>BS!$D$5</f>
        <v>31 March 2026</v>
      </c>
      <c r="ENX313" s="247" t="str">
        <f>BS!$E$5</f>
        <v>31 March 2025</v>
      </c>
      <c r="ENY313" s="1717"/>
      <c r="ENZ313" s="1718"/>
      <c r="EOA313" s="1718"/>
      <c r="EOB313" s="1718"/>
      <c r="EOC313" s="1718"/>
      <c r="EOD313" s="246"/>
      <c r="EOE313" s="246" t="str">
        <f>BS!$D$5</f>
        <v>31 March 2026</v>
      </c>
      <c r="EOF313" s="247" t="str">
        <f>BS!$E$5</f>
        <v>31 March 2025</v>
      </c>
      <c r="EOG313" s="1717"/>
      <c r="EOH313" s="1718"/>
      <c r="EOI313" s="1718"/>
      <c r="EOJ313" s="1718"/>
      <c r="EOK313" s="1718"/>
      <c r="EOL313" s="246"/>
      <c r="EOM313" s="246" t="str">
        <f>BS!$D$5</f>
        <v>31 March 2026</v>
      </c>
      <c r="EON313" s="247" t="str">
        <f>BS!$E$5</f>
        <v>31 March 2025</v>
      </c>
      <c r="EOO313" s="1717"/>
      <c r="EOP313" s="1718"/>
      <c r="EOQ313" s="1718"/>
      <c r="EOR313" s="1718"/>
      <c r="EOS313" s="1718"/>
      <c r="EOT313" s="246"/>
      <c r="EOU313" s="246" t="str">
        <f>BS!$D$5</f>
        <v>31 March 2026</v>
      </c>
      <c r="EOV313" s="247" t="str">
        <f>BS!$E$5</f>
        <v>31 March 2025</v>
      </c>
      <c r="EOW313" s="1717"/>
      <c r="EOX313" s="1718"/>
      <c r="EOY313" s="1718"/>
      <c r="EOZ313" s="1718"/>
      <c r="EPA313" s="1718"/>
      <c r="EPB313" s="246"/>
      <c r="EPC313" s="246" t="str">
        <f>BS!$D$5</f>
        <v>31 March 2026</v>
      </c>
      <c r="EPD313" s="247" t="str">
        <f>BS!$E$5</f>
        <v>31 March 2025</v>
      </c>
      <c r="EPE313" s="1717"/>
      <c r="EPF313" s="1718"/>
      <c r="EPG313" s="1718"/>
      <c r="EPH313" s="1718"/>
      <c r="EPI313" s="1718"/>
      <c r="EPJ313" s="246"/>
      <c r="EPK313" s="246" t="str">
        <f>BS!$D$5</f>
        <v>31 March 2026</v>
      </c>
      <c r="EPL313" s="247" t="str">
        <f>BS!$E$5</f>
        <v>31 March 2025</v>
      </c>
      <c r="EPM313" s="1717"/>
      <c r="EPN313" s="1718"/>
      <c r="EPO313" s="1718"/>
      <c r="EPP313" s="1718"/>
      <c r="EPQ313" s="1718"/>
      <c r="EPR313" s="246"/>
      <c r="EPS313" s="246" t="str">
        <f>BS!$D$5</f>
        <v>31 March 2026</v>
      </c>
      <c r="EPT313" s="247" t="str">
        <f>BS!$E$5</f>
        <v>31 March 2025</v>
      </c>
      <c r="EPU313" s="1717"/>
      <c r="EPV313" s="1718"/>
      <c r="EPW313" s="1718"/>
      <c r="EPX313" s="1718"/>
      <c r="EPY313" s="1718"/>
      <c r="EPZ313" s="246"/>
      <c r="EQA313" s="246" t="str">
        <f>BS!$D$5</f>
        <v>31 March 2026</v>
      </c>
      <c r="EQB313" s="247" t="str">
        <f>BS!$E$5</f>
        <v>31 March 2025</v>
      </c>
      <c r="EQC313" s="1717"/>
      <c r="EQD313" s="1718"/>
      <c r="EQE313" s="1718"/>
      <c r="EQF313" s="1718"/>
      <c r="EQG313" s="1718"/>
      <c r="EQH313" s="246"/>
      <c r="EQI313" s="246" t="str">
        <f>BS!$D$5</f>
        <v>31 March 2026</v>
      </c>
      <c r="EQJ313" s="247" t="str">
        <f>BS!$E$5</f>
        <v>31 March 2025</v>
      </c>
      <c r="EQK313" s="1717"/>
      <c r="EQL313" s="1718"/>
      <c r="EQM313" s="1718"/>
      <c r="EQN313" s="1718"/>
      <c r="EQO313" s="1718"/>
      <c r="EQP313" s="246"/>
      <c r="EQQ313" s="246" t="str">
        <f>BS!$D$5</f>
        <v>31 March 2026</v>
      </c>
      <c r="EQR313" s="247" t="str">
        <f>BS!$E$5</f>
        <v>31 March 2025</v>
      </c>
      <c r="EQS313" s="1717"/>
      <c r="EQT313" s="1718"/>
      <c r="EQU313" s="1718"/>
      <c r="EQV313" s="1718"/>
      <c r="EQW313" s="1718"/>
      <c r="EQX313" s="246"/>
      <c r="EQY313" s="246" t="str">
        <f>BS!$D$5</f>
        <v>31 March 2026</v>
      </c>
      <c r="EQZ313" s="247" t="str">
        <f>BS!$E$5</f>
        <v>31 March 2025</v>
      </c>
      <c r="ERA313" s="1717"/>
      <c r="ERB313" s="1718"/>
      <c r="ERC313" s="1718"/>
      <c r="ERD313" s="1718"/>
      <c r="ERE313" s="1718"/>
      <c r="ERF313" s="246"/>
      <c r="ERG313" s="246" t="str">
        <f>BS!$D$5</f>
        <v>31 March 2026</v>
      </c>
      <c r="ERH313" s="247" t="str">
        <f>BS!$E$5</f>
        <v>31 March 2025</v>
      </c>
      <c r="ERI313" s="1717"/>
      <c r="ERJ313" s="1718"/>
      <c r="ERK313" s="1718"/>
      <c r="ERL313" s="1718"/>
      <c r="ERM313" s="1718"/>
      <c r="ERN313" s="246"/>
      <c r="ERO313" s="246" t="str">
        <f>BS!$D$5</f>
        <v>31 March 2026</v>
      </c>
      <c r="ERP313" s="247" t="str">
        <f>BS!$E$5</f>
        <v>31 March 2025</v>
      </c>
      <c r="ERQ313" s="1717"/>
      <c r="ERR313" s="1718"/>
      <c r="ERS313" s="1718"/>
      <c r="ERT313" s="1718"/>
      <c r="ERU313" s="1718"/>
      <c r="ERV313" s="246"/>
      <c r="ERW313" s="246" t="str">
        <f>BS!$D$5</f>
        <v>31 March 2026</v>
      </c>
      <c r="ERX313" s="247" t="str">
        <f>BS!$E$5</f>
        <v>31 March 2025</v>
      </c>
      <c r="ERY313" s="1717"/>
      <c r="ERZ313" s="1718"/>
      <c r="ESA313" s="1718"/>
      <c r="ESB313" s="1718"/>
      <c r="ESC313" s="1718"/>
      <c r="ESD313" s="246"/>
      <c r="ESE313" s="246" t="str">
        <f>BS!$D$5</f>
        <v>31 March 2026</v>
      </c>
      <c r="ESF313" s="247" t="str">
        <f>BS!$E$5</f>
        <v>31 March 2025</v>
      </c>
      <c r="ESG313" s="1717"/>
      <c r="ESH313" s="1718"/>
      <c r="ESI313" s="1718"/>
      <c r="ESJ313" s="1718"/>
      <c r="ESK313" s="1718"/>
      <c r="ESL313" s="246"/>
      <c r="ESM313" s="246" t="str">
        <f>BS!$D$5</f>
        <v>31 March 2026</v>
      </c>
      <c r="ESN313" s="247" t="str">
        <f>BS!$E$5</f>
        <v>31 March 2025</v>
      </c>
      <c r="ESO313" s="1717"/>
      <c r="ESP313" s="1718"/>
      <c r="ESQ313" s="1718"/>
      <c r="ESR313" s="1718"/>
      <c r="ESS313" s="1718"/>
      <c r="EST313" s="246"/>
      <c r="ESU313" s="246" t="str">
        <f>BS!$D$5</f>
        <v>31 March 2026</v>
      </c>
      <c r="ESV313" s="247" t="str">
        <f>BS!$E$5</f>
        <v>31 March 2025</v>
      </c>
      <c r="ESW313" s="1717"/>
      <c r="ESX313" s="1718"/>
      <c r="ESY313" s="1718"/>
      <c r="ESZ313" s="1718"/>
      <c r="ETA313" s="1718"/>
      <c r="ETB313" s="246"/>
      <c r="ETC313" s="246" t="str">
        <f>BS!$D$5</f>
        <v>31 March 2026</v>
      </c>
      <c r="ETD313" s="247" t="str">
        <f>BS!$E$5</f>
        <v>31 March 2025</v>
      </c>
      <c r="ETE313" s="1717"/>
      <c r="ETF313" s="1718"/>
      <c r="ETG313" s="1718"/>
      <c r="ETH313" s="1718"/>
      <c r="ETI313" s="1718"/>
      <c r="ETJ313" s="246"/>
      <c r="ETK313" s="246" t="str">
        <f>BS!$D$5</f>
        <v>31 March 2026</v>
      </c>
      <c r="ETL313" s="247" t="str">
        <f>BS!$E$5</f>
        <v>31 March 2025</v>
      </c>
      <c r="ETM313" s="1717"/>
      <c r="ETN313" s="1718"/>
      <c r="ETO313" s="1718"/>
      <c r="ETP313" s="1718"/>
      <c r="ETQ313" s="1718"/>
      <c r="ETR313" s="246"/>
      <c r="ETS313" s="246" t="str">
        <f>BS!$D$5</f>
        <v>31 March 2026</v>
      </c>
      <c r="ETT313" s="247" t="str">
        <f>BS!$E$5</f>
        <v>31 March 2025</v>
      </c>
      <c r="ETU313" s="1717"/>
      <c r="ETV313" s="1718"/>
      <c r="ETW313" s="1718"/>
      <c r="ETX313" s="1718"/>
      <c r="ETY313" s="1718"/>
      <c r="ETZ313" s="246"/>
      <c r="EUA313" s="246" t="str">
        <f>BS!$D$5</f>
        <v>31 March 2026</v>
      </c>
      <c r="EUB313" s="247" t="str">
        <f>BS!$E$5</f>
        <v>31 March 2025</v>
      </c>
      <c r="EUC313" s="1717"/>
      <c r="EUD313" s="1718"/>
      <c r="EUE313" s="1718"/>
      <c r="EUF313" s="1718"/>
      <c r="EUG313" s="1718"/>
      <c r="EUH313" s="246"/>
      <c r="EUI313" s="246" t="str">
        <f>BS!$D$5</f>
        <v>31 March 2026</v>
      </c>
      <c r="EUJ313" s="247" t="str">
        <f>BS!$E$5</f>
        <v>31 March 2025</v>
      </c>
      <c r="EUK313" s="1717"/>
      <c r="EUL313" s="1718"/>
      <c r="EUM313" s="1718"/>
      <c r="EUN313" s="1718"/>
      <c r="EUO313" s="1718"/>
      <c r="EUP313" s="246"/>
      <c r="EUQ313" s="246" t="str">
        <f>BS!$D$5</f>
        <v>31 March 2026</v>
      </c>
      <c r="EUR313" s="247" t="str">
        <f>BS!$E$5</f>
        <v>31 March 2025</v>
      </c>
      <c r="EUS313" s="1717"/>
      <c r="EUT313" s="1718"/>
      <c r="EUU313" s="1718"/>
      <c r="EUV313" s="1718"/>
      <c r="EUW313" s="1718"/>
      <c r="EUX313" s="246"/>
      <c r="EUY313" s="246" t="str">
        <f>BS!$D$5</f>
        <v>31 March 2026</v>
      </c>
      <c r="EUZ313" s="247" t="str">
        <f>BS!$E$5</f>
        <v>31 March 2025</v>
      </c>
      <c r="EVA313" s="1717"/>
      <c r="EVB313" s="1718"/>
      <c r="EVC313" s="1718"/>
      <c r="EVD313" s="1718"/>
      <c r="EVE313" s="1718"/>
      <c r="EVF313" s="246"/>
      <c r="EVG313" s="246" t="str">
        <f>BS!$D$5</f>
        <v>31 March 2026</v>
      </c>
      <c r="EVH313" s="247" t="str">
        <f>BS!$E$5</f>
        <v>31 March 2025</v>
      </c>
      <c r="EVI313" s="1717"/>
      <c r="EVJ313" s="1718"/>
      <c r="EVK313" s="1718"/>
      <c r="EVL313" s="1718"/>
      <c r="EVM313" s="1718"/>
      <c r="EVN313" s="246"/>
      <c r="EVO313" s="246" t="str">
        <f>BS!$D$5</f>
        <v>31 March 2026</v>
      </c>
      <c r="EVP313" s="247" t="str">
        <f>BS!$E$5</f>
        <v>31 March 2025</v>
      </c>
      <c r="EVQ313" s="1717"/>
      <c r="EVR313" s="1718"/>
      <c r="EVS313" s="1718"/>
      <c r="EVT313" s="1718"/>
      <c r="EVU313" s="1718"/>
      <c r="EVV313" s="246"/>
      <c r="EVW313" s="246" t="str">
        <f>BS!$D$5</f>
        <v>31 March 2026</v>
      </c>
      <c r="EVX313" s="247" t="str">
        <f>BS!$E$5</f>
        <v>31 March 2025</v>
      </c>
      <c r="EVY313" s="1717"/>
      <c r="EVZ313" s="1718"/>
      <c r="EWA313" s="1718"/>
      <c r="EWB313" s="1718"/>
      <c r="EWC313" s="1718"/>
      <c r="EWD313" s="246"/>
      <c r="EWE313" s="246" t="str">
        <f>BS!$D$5</f>
        <v>31 March 2026</v>
      </c>
      <c r="EWF313" s="247" t="str">
        <f>BS!$E$5</f>
        <v>31 March 2025</v>
      </c>
      <c r="EWG313" s="1717"/>
      <c r="EWH313" s="1718"/>
      <c r="EWI313" s="1718"/>
      <c r="EWJ313" s="1718"/>
      <c r="EWK313" s="1718"/>
      <c r="EWL313" s="246"/>
      <c r="EWM313" s="246" t="str">
        <f>BS!$D$5</f>
        <v>31 March 2026</v>
      </c>
      <c r="EWN313" s="247" t="str">
        <f>BS!$E$5</f>
        <v>31 March 2025</v>
      </c>
      <c r="EWO313" s="1717"/>
      <c r="EWP313" s="1718"/>
      <c r="EWQ313" s="1718"/>
      <c r="EWR313" s="1718"/>
      <c r="EWS313" s="1718"/>
      <c r="EWT313" s="246"/>
      <c r="EWU313" s="246" t="str">
        <f>BS!$D$5</f>
        <v>31 March 2026</v>
      </c>
      <c r="EWV313" s="247" t="str">
        <f>BS!$E$5</f>
        <v>31 March 2025</v>
      </c>
      <c r="EWW313" s="1717"/>
      <c r="EWX313" s="1718"/>
      <c r="EWY313" s="1718"/>
      <c r="EWZ313" s="1718"/>
      <c r="EXA313" s="1718"/>
      <c r="EXB313" s="246"/>
      <c r="EXC313" s="246" t="str">
        <f>BS!$D$5</f>
        <v>31 March 2026</v>
      </c>
      <c r="EXD313" s="247" t="str">
        <f>BS!$E$5</f>
        <v>31 March 2025</v>
      </c>
      <c r="EXE313" s="1717"/>
      <c r="EXF313" s="1718"/>
      <c r="EXG313" s="1718"/>
      <c r="EXH313" s="1718"/>
      <c r="EXI313" s="1718"/>
      <c r="EXJ313" s="246"/>
      <c r="EXK313" s="246" t="str">
        <f>BS!$D$5</f>
        <v>31 March 2026</v>
      </c>
      <c r="EXL313" s="247" t="str">
        <f>BS!$E$5</f>
        <v>31 March 2025</v>
      </c>
      <c r="EXM313" s="1717"/>
      <c r="EXN313" s="1718"/>
      <c r="EXO313" s="1718"/>
      <c r="EXP313" s="1718"/>
      <c r="EXQ313" s="1718"/>
      <c r="EXR313" s="246"/>
      <c r="EXS313" s="246" t="str">
        <f>BS!$D$5</f>
        <v>31 March 2026</v>
      </c>
      <c r="EXT313" s="247" t="str">
        <f>BS!$E$5</f>
        <v>31 March 2025</v>
      </c>
      <c r="EXU313" s="1717"/>
      <c r="EXV313" s="1718"/>
      <c r="EXW313" s="1718"/>
      <c r="EXX313" s="1718"/>
      <c r="EXY313" s="1718"/>
      <c r="EXZ313" s="246"/>
      <c r="EYA313" s="246" t="str">
        <f>BS!$D$5</f>
        <v>31 March 2026</v>
      </c>
      <c r="EYB313" s="247" t="str">
        <f>BS!$E$5</f>
        <v>31 March 2025</v>
      </c>
      <c r="EYC313" s="1717"/>
      <c r="EYD313" s="1718"/>
      <c r="EYE313" s="1718"/>
      <c r="EYF313" s="1718"/>
      <c r="EYG313" s="1718"/>
      <c r="EYH313" s="246"/>
      <c r="EYI313" s="246" t="str">
        <f>BS!$D$5</f>
        <v>31 March 2026</v>
      </c>
      <c r="EYJ313" s="247" t="str">
        <f>BS!$E$5</f>
        <v>31 March 2025</v>
      </c>
      <c r="EYK313" s="1717"/>
      <c r="EYL313" s="1718"/>
      <c r="EYM313" s="1718"/>
      <c r="EYN313" s="1718"/>
      <c r="EYO313" s="1718"/>
      <c r="EYP313" s="246"/>
      <c r="EYQ313" s="246" t="str">
        <f>BS!$D$5</f>
        <v>31 March 2026</v>
      </c>
      <c r="EYR313" s="247" t="str">
        <f>BS!$E$5</f>
        <v>31 March 2025</v>
      </c>
      <c r="EYS313" s="1717"/>
      <c r="EYT313" s="1718"/>
      <c r="EYU313" s="1718"/>
      <c r="EYV313" s="1718"/>
      <c r="EYW313" s="1718"/>
      <c r="EYX313" s="246"/>
      <c r="EYY313" s="246" t="str">
        <f>BS!$D$5</f>
        <v>31 March 2026</v>
      </c>
      <c r="EYZ313" s="247" t="str">
        <f>BS!$E$5</f>
        <v>31 March 2025</v>
      </c>
      <c r="EZA313" s="1717"/>
      <c r="EZB313" s="1718"/>
      <c r="EZC313" s="1718"/>
      <c r="EZD313" s="1718"/>
      <c r="EZE313" s="1718"/>
      <c r="EZF313" s="246"/>
      <c r="EZG313" s="246" t="str">
        <f>BS!$D$5</f>
        <v>31 March 2026</v>
      </c>
      <c r="EZH313" s="247" t="str">
        <f>BS!$E$5</f>
        <v>31 March 2025</v>
      </c>
      <c r="EZI313" s="1717"/>
      <c r="EZJ313" s="1718"/>
      <c r="EZK313" s="1718"/>
      <c r="EZL313" s="1718"/>
      <c r="EZM313" s="1718"/>
      <c r="EZN313" s="246"/>
      <c r="EZO313" s="246" t="str">
        <f>BS!$D$5</f>
        <v>31 March 2026</v>
      </c>
      <c r="EZP313" s="247" t="str">
        <f>BS!$E$5</f>
        <v>31 March 2025</v>
      </c>
      <c r="EZQ313" s="1717"/>
      <c r="EZR313" s="1718"/>
      <c r="EZS313" s="1718"/>
      <c r="EZT313" s="1718"/>
      <c r="EZU313" s="1718"/>
      <c r="EZV313" s="246"/>
      <c r="EZW313" s="246" t="str">
        <f>BS!$D$5</f>
        <v>31 March 2026</v>
      </c>
      <c r="EZX313" s="247" t="str">
        <f>BS!$E$5</f>
        <v>31 March 2025</v>
      </c>
      <c r="EZY313" s="1717"/>
      <c r="EZZ313" s="1718"/>
      <c r="FAA313" s="1718"/>
      <c r="FAB313" s="1718"/>
      <c r="FAC313" s="1718"/>
      <c r="FAD313" s="246"/>
      <c r="FAE313" s="246" t="str">
        <f>BS!$D$5</f>
        <v>31 March 2026</v>
      </c>
      <c r="FAF313" s="247" t="str">
        <f>BS!$E$5</f>
        <v>31 March 2025</v>
      </c>
      <c r="FAG313" s="1717"/>
      <c r="FAH313" s="1718"/>
      <c r="FAI313" s="1718"/>
      <c r="FAJ313" s="1718"/>
      <c r="FAK313" s="1718"/>
      <c r="FAL313" s="246"/>
      <c r="FAM313" s="246" t="str">
        <f>BS!$D$5</f>
        <v>31 March 2026</v>
      </c>
      <c r="FAN313" s="247" t="str">
        <f>BS!$E$5</f>
        <v>31 March 2025</v>
      </c>
      <c r="FAO313" s="1717"/>
      <c r="FAP313" s="1718"/>
      <c r="FAQ313" s="1718"/>
      <c r="FAR313" s="1718"/>
      <c r="FAS313" s="1718"/>
      <c r="FAT313" s="246"/>
      <c r="FAU313" s="246" t="str">
        <f>BS!$D$5</f>
        <v>31 March 2026</v>
      </c>
      <c r="FAV313" s="247" t="str">
        <f>BS!$E$5</f>
        <v>31 March 2025</v>
      </c>
      <c r="FAW313" s="1717"/>
      <c r="FAX313" s="1718"/>
      <c r="FAY313" s="1718"/>
      <c r="FAZ313" s="1718"/>
      <c r="FBA313" s="1718"/>
      <c r="FBB313" s="246"/>
      <c r="FBC313" s="246" t="str">
        <f>BS!$D$5</f>
        <v>31 March 2026</v>
      </c>
      <c r="FBD313" s="247" t="str">
        <f>BS!$E$5</f>
        <v>31 March 2025</v>
      </c>
      <c r="FBE313" s="1717"/>
      <c r="FBF313" s="1718"/>
      <c r="FBG313" s="1718"/>
      <c r="FBH313" s="1718"/>
      <c r="FBI313" s="1718"/>
      <c r="FBJ313" s="246"/>
      <c r="FBK313" s="246" t="str">
        <f>BS!$D$5</f>
        <v>31 March 2026</v>
      </c>
      <c r="FBL313" s="247" t="str">
        <f>BS!$E$5</f>
        <v>31 March 2025</v>
      </c>
      <c r="FBM313" s="1717"/>
      <c r="FBN313" s="1718"/>
      <c r="FBO313" s="1718"/>
      <c r="FBP313" s="1718"/>
      <c r="FBQ313" s="1718"/>
      <c r="FBR313" s="246"/>
      <c r="FBS313" s="246" t="str">
        <f>BS!$D$5</f>
        <v>31 March 2026</v>
      </c>
      <c r="FBT313" s="247" t="str">
        <f>BS!$E$5</f>
        <v>31 March 2025</v>
      </c>
      <c r="FBU313" s="1717"/>
      <c r="FBV313" s="1718"/>
      <c r="FBW313" s="1718"/>
      <c r="FBX313" s="1718"/>
      <c r="FBY313" s="1718"/>
      <c r="FBZ313" s="246"/>
      <c r="FCA313" s="246" t="str">
        <f>BS!$D$5</f>
        <v>31 March 2026</v>
      </c>
      <c r="FCB313" s="247" t="str">
        <f>BS!$E$5</f>
        <v>31 March 2025</v>
      </c>
      <c r="FCC313" s="1717"/>
      <c r="FCD313" s="1718"/>
      <c r="FCE313" s="1718"/>
      <c r="FCF313" s="1718"/>
      <c r="FCG313" s="1718"/>
      <c r="FCH313" s="246"/>
      <c r="FCI313" s="246" t="str">
        <f>BS!$D$5</f>
        <v>31 March 2026</v>
      </c>
      <c r="FCJ313" s="247" t="str">
        <f>BS!$E$5</f>
        <v>31 March 2025</v>
      </c>
      <c r="FCK313" s="1717"/>
      <c r="FCL313" s="1718"/>
      <c r="FCM313" s="1718"/>
      <c r="FCN313" s="1718"/>
      <c r="FCO313" s="1718"/>
      <c r="FCP313" s="246"/>
      <c r="FCQ313" s="246" t="str">
        <f>BS!$D$5</f>
        <v>31 March 2026</v>
      </c>
      <c r="FCR313" s="247" t="str">
        <f>BS!$E$5</f>
        <v>31 March 2025</v>
      </c>
      <c r="FCS313" s="1717"/>
      <c r="FCT313" s="1718"/>
      <c r="FCU313" s="1718"/>
      <c r="FCV313" s="1718"/>
      <c r="FCW313" s="1718"/>
      <c r="FCX313" s="246"/>
      <c r="FCY313" s="246" t="str">
        <f>BS!$D$5</f>
        <v>31 March 2026</v>
      </c>
      <c r="FCZ313" s="247" t="str">
        <f>BS!$E$5</f>
        <v>31 March 2025</v>
      </c>
      <c r="FDA313" s="1717"/>
      <c r="FDB313" s="1718"/>
      <c r="FDC313" s="1718"/>
      <c r="FDD313" s="1718"/>
      <c r="FDE313" s="1718"/>
      <c r="FDF313" s="246"/>
      <c r="FDG313" s="246" t="str">
        <f>BS!$D$5</f>
        <v>31 March 2026</v>
      </c>
      <c r="FDH313" s="247" t="str">
        <f>BS!$E$5</f>
        <v>31 March 2025</v>
      </c>
      <c r="FDI313" s="1717"/>
      <c r="FDJ313" s="1718"/>
      <c r="FDK313" s="1718"/>
      <c r="FDL313" s="1718"/>
      <c r="FDM313" s="1718"/>
      <c r="FDN313" s="246"/>
      <c r="FDO313" s="246" t="str">
        <f>BS!$D$5</f>
        <v>31 March 2026</v>
      </c>
      <c r="FDP313" s="247" t="str">
        <f>BS!$E$5</f>
        <v>31 March 2025</v>
      </c>
      <c r="FDQ313" s="1717"/>
      <c r="FDR313" s="1718"/>
      <c r="FDS313" s="1718"/>
      <c r="FDT313" s="1718"/>
      <c r="FDU313" s="1718"/>
      <c r="FDV313" s="246"/>
      <c r="FDW313" s="246" t="str">
        <f>BS!$D$5</f>
        <v>31 March 2026</v>
      </c>
      <c r="FDX313" s="247" t="str">
        <f>BS!$E$5</f>
        <v>31 March 2025</v>
      </c>
      <c r="FDY313" s="1717"/>
      <c r="FDZ313" s="1718"/>
      <c r="FEA313" s="1718"/>
      <c r="FEB313" s="1718"/>
      <c r="FEC313" s="1718"/>
      <c r="FED313" s="246"/>
      <c r="FEE313" s="246" t="str">
        <f>BS!$D$5</f>
        <v>31 March 2026</v>
      </c>
      <c r="FEF313" s="247" t="str">
        <f>BS!$E$5</f>
        <v>31 March 2025</v>
      </c>
      <c r="FEG313" s="1717"/>
      <c r="FEH313" s="1718"/>
      <c r="FEI313" s="1718"/>
      <c r="FEJ313" s="1718"/>
      <c r="FEK313" s="1718"/>
      <c r="FEL313" s="246"/>
      <c r="FEM313" s="246" t="str">
        <f>BS!$D$5</f>
        <v>31 March 2026</v>
      </c>
      <c r="FEN313" s="247" t="str">
        <f>BS!$E$5</f>
        <v>31 March 2025</v>
      </c>
      <c r="FEO313" s="1717"/>
      <c r="FEP313" s="1718"/>
      <c r="FEQ313" s="1718"/>
      <c r="FER313" s="1718"/>
      <c r="FES313" s="1718"/>
      <c r="FET313" s="246"/>
      <c r="FEU313" s="246" t="str">
        <f>BS!$D$5</f>
        <v>31 March 2026</v>
      </c>
      <c r="FEV313" s="247" t="str">
        <f>BS!$E$5</f>
        <v>31 March 2025</v>
      </c>
      <c r="FEW313" s="1717"/>
      <c r="FEX313" s="1718"/>
      <c r="FEY313" s="1718"/>
      <c r="FEZ313" s="1718"/>
      <c r="FFA313" s="1718"/>
      <c r="FFB313" s="246"/>
      <c r="FFC313" s="246" t="str">
        <f>BS!$D$5</f>
        <v>31 March 2026</v>
      </c>
      <c r="FFD313" s="247" t="str">
        <f>BS!$E$5</f>
        <v>31 March 2025</v>
      </c>
      <c r="FFE313" s="1717"/>
      <c r="FFF313" s="1718"/>
      <c r="FFG313" s="1718"/>
      <c r="FFH313" s="1718"/>
      <c r="FFI313" s="1718"/>
      <c r="FFJ313" s="246"/>
      <c r="FFK313" s="246" t="str">
        <f>BS!$D$5</f>
        <v>31 March 2026</v>
      </c>
      <c r="FFL313" s="247" t="str">
        <f>BS!$E$5</f>
        <v>31 March 2025</v>
      </c>
      <c r="FFM313" s="1717"/>
      <c r="FFN313" s="1718"/>
      <c r="FFO313" s="1718"/>
      <c r="FFP313" s="1718"/>
      <c r="FFQ313" s="1718"/>
      <c r="FFR313" s="246"/>
      <c r="FFS313" s="246" t="str">
        <f>BS!$D$5</f>
        <v>31 March 2026</v>
      </c>
      <c r="FFT313" s="247" t="str">
        <f>BS!$E$5</f>
        <v>31 March 2025</v>
      </c>
      <c r="FFU313" s="1717"/>
      <c r="FFV313" s="1718"/>
      <c r="FFW313" s="1718"/>
      <c r="FFX313" s="1718"/>
      <c r="FFY313" s="1718"/>
      <c r="FFZ313" s="246"/>
      <c r="FGA313" s="246" t="str">
        <f>BS!$D$5</f>
        <v>31 March 2026</v>
      </c>
      <c r="FGB313" s="247" t="str">
        <f>BS!$E$5</f>
        <v>31 March 2025</v>
      </c>
      <c r="FGC313" s="1717"/>
      <c r="FGD313" s="1718"/>
      <c r="FGE313" s="1718"/>
      <c r="FGF313" s="1718"/>
      <c r="FGG313" s="1718"/>
      <c r="FGH313" s="246"/>
      <c r="FGI313" s="246" t="str">
        <f>BS!$D$5</f>
        <v>31 March 2026</v>
      </c>
      <c r="FGJ313" s="247" t="str">
        <f>BS!$E$5</f>
        <v>31 March 2025</v>
      </c>
      <c r="FGK313" s="1717"/>
      <c r="FGL313" s="1718"/>
      <c r="FGM313" s="1718"/>
      <c r="FGN313" s="1718"/>
      <c r="FGO313" s="1718"/>
      <c r="FGP313" s="246"/>
      <c r="FGQ313" s="246" t="str">
        <f>BS!$D$5</f>
        <v>31 March 2026</v>
      </c>
      <c r="FGR313" s="247" t="str">
        <f>BS!$E$5</f>
        <v>31 March 2025</v>
      </c>
      <c r="FGS313" s="1717"/>
      <c r="FGT313" s="1718"/>
      <c r="FGU313" s="1718"/>
      <c r="FGV313" s="1718"/>
      <c r="FGW313" s="1718"/>
      <c r="FGX313" s="246"/>
      <c r="FGY313" s="246" t="str">
        <f>BS!$D$5</f>
        <v>31 March 2026</v>
      </c>
      <c r="FGZ313" s="247" t="str">
        <f>BS!$E$5</f>
        <v>31 March 2025</v>
      </c>
      <c r="FHA313" s="1717"/>
      <c r="FHB313" s="1718"/>
      <c r="FHC313" s="1718"/>
      <c r="FHD313" s="1718"/>
      <c r="FHE313" s="1718"/>
      <c r="FHF313" s="246"/>
      <c r="FHG313" s="246" t="str">
        <f>BS!$D$5</f>
        <v>31 March 2026</v>
      </c>
      <c r="FHH313" s="247" t="str">
        <f>BS!$E$5</f>
        <v>31 March 2025</v>
      </c>
      <c r="FHI313" s="1717"/>
      <c r="FHJ313" s="1718"/>
      <c r="FHK313" s="1718"/>
      <c r="FHL313" s="1718"/>
      <c r="FHM313" s="1718"/>
      <c r="FHN313" s="246"/>
      <c r="FHO313" s="246" t="str">
        <f>BS!$D$5</f>
        <v>31 March 2026</v>
      </c>
      <c r="FHP313" s="247" t="str">
        <f>BS!$E$5</f>
        <v>31 March 2025</v>
      </c>
      <c r="FHQ313" s="1717"/>
      <c r="FHR313" s="1718"/>
      <c r="FHS313" s="1718"/>
      <c r="FHT313" s="1718"/>
      <c r="FHU313" s="1718"/>
      <c r="FHV313" s="246"/>
      <c r="FHW313" s="246" t="str">
        <f>BS!$D$5</f>
        <v>31 March 2026</v>
      </c>
      <c r="FHX313" s="247" t="str">
        <f>BS!$E$5</f>
        <v>31 March 2025</v>
      </c>
      <c r="FHY313" s="1717"/>
      <c r="FHZ313" s="1718"/>
      <c r="FIA313" s="1718"/>
      <c r="FIB313" s="1718"/>
      <c r="FIC313" s="1718"/>
      <c r="FID313" s="246"/>
      <c r="FIE313" s="246" t="str">
        <f>BS!$D$5</f>
        <v>31 March 2026</v>
      </c>
      <c r="FIF313" s="247" t="str">
        <f>BS!$E$5</f>
        <v>31 March 2025</v>
      </c>
      <c r="FIG313" s="1717"/>
      <c r="FIH313" s="1718"/>
      <c r="FII313" s="1718"/>
      <c r="FIJ313" s="1718"/>
      <c r="FIK313" s="1718"/>
      <c r="FIL313" s="246"/>
      <c r="FIM313" s="246" t="str">
        <f>BS!$D$5</f>
        <v>31 March 2026</v>
      </c>
      <c r="FIN313" s="247" t="str">
        <f>BS!$E$5</f>
        <v>31 March 2025</v>
      </c>
      <c r="FIO313" s="1717"/>
      <c r="FIP313" s="1718"/>
      <c r="FIQ313" s="1718"/>
      <c r="FIR313" s="1718"/>
      <c r="FIS313" s="1718"/>
      <c r="FIT313" s="246"/>
      <c r="FIU313" s="246" t="str">
        <f>BS!$D$5</f>
        <v>31 March 2026</v>
      </c>
      <c r="FIV313" s="247" t="str">
        <f>BS!$E$5</f>
        <v>31 March 2025</v>
      </c>
      <c r="FIW313" s="1717"/>
      <c r="FIX313" s="1718"/>
      <c r="FIY313" s="1718"/>
      <c r="FIZ313" s="1718"/>
      <c r="FJA313" s="1718"/>
      <c r="FJB313" s="246"/>
      <c r="FJC313" s="246" t="str">
        <f>BS!$D$5</f>
        <v>31 March 2026</v>
      </c>
      <c r="FJD313" s="247" t="str">
        <f>BS!$E$5</f>
        <v>31 March 2025</v>
      </c>
      <c r="FJE313" s="1717"/>
      <c r="FJF313" s="1718"/>
      <c r="FJG313" s="1718"/>
      <c r="FJH313" s="1718"/>
      <c r="FJI313" s="1718"/>
      <c r="FJJ313" s="246"/>
      <c r="FJK313" s="246" t="str">
        <f>BS!$D$5</f>
        <v>31 March 2026</v>
      </c>
      <c r="FJL313" s="247" t="str">
        <f>BS!$E$5</f>
        <v>31 March 2025</v>
      </c>
      <c r="FJM313" s="1717"/>
      <c r="FJN313" s="1718"/>
      <c r="FJO313" s="1718"/>
      <c r="FJP313" s="1718"/>
      <c r="FJQ313" s="1718"/>
      <c r="FJR313" s="246"/>
      <c r="FJS313" s="246" t="str">
        <f>BS!$D$5</f>
        <v>31 March 2026</v>
      </c>
      <c r="FJT313" s="247" t="str">
        <f>BS!$E$5</f>
        <v>31 March 2025</v>
      </c>
      <c r="FJU313" s="1717"/>
      <c r="FJV313" s="1718"/>
      <c r="FJW313" s="1718"/>
      <c r="FJX313" s="1718"/>
      <c r="FJY313" s="1718"/>
      <c r="FJZ313" s="246"/>
      <c r="FKA313" s="246" t="str">
        <f>BS!$D$5</f>
        <v>31 March 2026</v>
      </c>
      <c r="FKB313" s="247" t="str">
        <f>BS!$E$5</f>
        <v>31 March 2025</v>
      </c>
      <c r="FKC313" s="1717"/>
      <c r="FKD313" s="1718"/>
      <c r="FKE313" s="1718"/>
      <c r="FKF313" s="1718"/>
      <c r="FKG313" s="1718"/>
      <c r="FKH313" s="246"/>
      <c r="FKI313" s="246" t="str">
        <f>BS!$D$5</f>
        <v>31 March 2026</v>
      </c>
      <c r="FKJ313" s="247" t="str">
        <f>BS!$E$5</f>
        <v>31 March 2025</v>
      </c>
      <c r="FKK313" s="1717"/>
      <c r="FKL313" s="1718"/>
      <c r="FKM313" s="1718"/>
      <c r="FKN313" s="1718"/>
      <c r="FKO313" s="1718"/>
      <c r="FKP313" s="246"/>
      <c r="FKQ313" s="246" t="str">
        <f>BS!$D$5</f>
        <v>31 March 2026</v>
      </c>
      <c r="FKR313" s="247" t="str">
        <f>BS!$E$5</f>
        <v>31 March 2025</v>
      </c>
      <c r="FKS313" s="1717"/>
      <c r="FKT313" s="1718"/>
      <c r="FKU313" s="1718"/>
      <c r="FKV313" s="1718"/>
      <c r="FKW313" s="1718"/>
      <c r="FKX313" s="246"/>
      <c r="FKY313" s="246" t="str">
        <f>BS!$D$5</f>
        <v>31 March 2026</v>
      </c>
      <c r="FKZ313" s="247" t="str">
        <f>BS!$E$5</f>
        <v>31 March 2025</v>
      </c>
      <c r="FLA313" s="1717"/>
      <c r="FLB313" s="1718"/>
      <c r="FLC313" s="1718"/>
      <c r="FLD313" s="1718"/>
      <c r="FLE313" s="1718"/>
      <c r="FLF313" s="246"/>
      <c r="FLG313" s="246" t="str">
        <f>BS!$D$5</f>
        <v>31 March 2026</v>
      </c>
      <c r="FLH313" s="247" t="str">
        <f>BS!$E$5</f>
        <v>31 March 2025</v>
      </c>
      <c r="FLI313" s="1717"/>
      <c r="FLJ313" s="1718"/>
      <c r="FLK313" s="1718"/>
      <c r="FLL313" s="1718"/>
      <c r="FLM313" s="1718"/>
      <c r="FLN313" s="246"/>
      <c r="FLO313" s="246" t="str">
        <f>BS!$D$5</f>
        <v>31 March 2026</v>
      </c>
      <c r="FLP313" s="247" t="str">
        <f>BS!$E$5</f>
        <v>31 March 2025</v>
      </c>
      <c r="FLQ313" s="1717"/>
      <c r="FLR313" s="1718"/>
      <c r="FLS313" s="1718"/>
      <c r="FLT313" s="1718"/>
      <c r="FLU313" s="1718"/>
      <c r="FLV313" s="246"/>
      <c r="FLW313" s="246" t="str">
        <f>BS!$D$5</f>
        <v>31 March 2026</v>
      </c>
      <c r="FLX313" s="247" t="str">
        <f>BS!$E$5</f>
        <v>31 March 2025</v>
      </c>
      <c r="FLY313" s="1717"/>
      <c r="FLZ313" s="1718"/>
      <c r="FMA313" s="1718"/>
      <c r="FMB313" s="1718"/>
      <c r="FMC313" s="1718"/>
      <c r="FMD313" s="246"/>
      <c r="FME313" s="246" t="str">
        <f>BS!$D$5</f>
        <v>31 March 2026</v>
      </c>
      <c r="FMF313" s="247" t="str">
        <f>BS!$E$5</f>
        <v>31 March 2025</v>
      </c>
      <c r="FMG313" s="1717"/>
      <c r="FMH313" s="1718"/>
      <c r="FMI313" s="1718"/>
      <c r="FMJ313" s="1718"/>
      <c r="FMK313" s="1718"/>
      <c r="FML313" s="246"/>
      <c r="FMM313" s="246" t="str">
        <f>BS!$D$5</f>
        <v>31 March 2026</v>
      </c>
      <c r="FMN313" s="247" t="str">
        <f>BS!$E$5</f>
        <v>31 March 2025</v>
      </c>
      <c r="FMO313" s="1717"/>
      <c r="FMP313" s="1718"/>
      <c r="FMQ313" s="1718"/>
      <c r="FMR313" s="1718"/>
      <c r="FMS313" s="1718"/>
      <c r="FMT313" s="246"/>
      <c r="FMU313" s="246" t="str">
        <f>BS!$D$5</f>
        <v>31 March 2026</v>
      </c>
      <c r="FMV313" s="247" t="str">
        <f>BS!$E$5</f>
        <v>31 March 2025</v>
      </c>
      <c r="FMW313" s="1717"/>
      <c r="FMX313" s="1718"/>
      <c r="FMY313" s="1718"/>
      <c r="FMZ313" s="1718"/>
      <c r="FNA313" s="1718"/>
      <c r="FNB313" s="246"/>
      <c r="FNC313" s="246" t="str">
        <f>BS!$D$5</f>
        <v>31 March 2026</v>
      </c>
      <c r="FND313" s="247" t="str">
        <f>BS!$E$5</f>
        <v>31 March 2025</v>
      </c>
      <c r="FNE313" s="1717"/>
      <c r="FNF313" s="1718"/>
      <c r="FNG313" s="1718"/>
      <c r="FNH313" s="1718"/>
      <c r="FNI313" s="1718"/>
      <c r="FNJ313" s="246"/>
      <c r="FNK313" s="246" t="str">
        <f>BS!$D$5</f>
        <v>31 March 2026</v>
      </c>
      <c r="FNL313" s="247" t="str">
        <f>BS!$E$5</f>
        <v>31 March 2025</v>
      </c>
      <c r="FNM313" s="1717"/>
      <c r="FNN313" s="1718"/>
      <c r="FNO313" s="1718"/>
      <c r="FNP313" s="1718"/>
      <c r="FNQ313" s="1718"/>
      <c r="FNR313" s="246"/>
      <c r="FNS313" s="246" t="str">
        <f>BS!$D$5</f>
        <v>31 March 2026</v>
      </c>
      <c r="FNT313" s="247" t="str">
        <f>BS!$E$5</f>
        <v>31 March 2025</v>
      </c>
      <c r="FNU313" s="1717"/>
      <c r="FNV313" s="1718"/>
      <c r="FNW313" s="1718"/>
      <c r="FNX313" s="1718"/>
      <c r="FNY313" s="1718"/>
      <c r="FNZ313" s="246"/>
      <c r="FOA313" s="246" t="str">
        <f>BS!$D$5</f>
        <v>31 March 2026</v>
      </c>
      <c r="FOB313" s="247" t="str">
        <f>BS!$E$5</f>
        <v>31 March 2025</v>
      </c>
      <c r="FOC313" s="1717"/>
      <c r="FOD313" s="1718"/>
      <c r="FOE313" s="1718"/>
      <c r="FOF313" s="1718"/>
      <c r="FOG313" s="1718"/>
      <c r="FOH313" s="246"/>
      <c r="FOI313" s="246" t="str">
        <f>BS!$D$5</f>
        <v>31 March 2026</v>
      </c>
      <c r="FOJ313" s="247" t="str">
        <f>BS!$E$5</f>
        <v>31 March 2025</v>
      </c>
      <c r="FOK313" s="1717"/>
      <c r="FOL313" s="1718"/>
      <c r="FOM313" s="1718"/>
      <c r="FON313" s="1718"/>
      <c r="FOO313" s="1718"/>
      <c r="FOP313" s="246"/>
      <c r="FOQ313" s="246" t="str">
        <f>BS!$D$5</f>
        <v>31 March 2026</v>
      </c>
      <c r="FOR313" s="247" t="str">
        <f>BS!$E$5</f>
        <v>31 March 2025</v>
      </c>
      <c r="FOS313" s="1717"/>
      <c r="FOT313" s="1718"/>
      <c r="FOU313" s="1718"/>
      <c r="FOV313" s="1718"/>
      <c r="FOW313" s="1718"/>
      <c r="FOX313" s="246"/>
      <c r="FOY313" s="246" t="str">
        <f>BS!$D$5</f>
        <v>31 March 2026</v>
      </c>
      <c r="FOZ313" s="247" t="str">
        <f>BS!$E$5</f>
        <v>31 March 2025</v>
      </c>
      <c r="FPA313" s="1717"/>
      <c r="FPB313" s="1718"/>
      <c r="FPC313" s="1718"/>
      <c r="FPD313" s="1718"/>
      <c r="FPE313" s="1718"/>
      <c r="FPF313" s="246"/>
      <c r="FPG313" s="246" t="str">
        <f>BS!$D$5</f>
        <v>31 March 2026</v>
      </c>
      <c r="FPH313" s="247" t="str">
        <f>BS!$E$5</f>
        <v>31 March 2025</v>
      </c>
      <c r="FPI313" s="1717"/>
      <c r="FPJ313" s="1718"/>
      <c r="FPK313" s="1718"/>
      <c r="FPL313" s="1718"/>
      <c r="FPM313" s="1718"/>
      <c r="FPN313" s="246"/>
      <c r="FPO313" s="246" t="str">
        <f>BS!$D$5</f>
        <v>31 March 2026</v>
      </c>
      <c r="FPP313" s="247" t="str">
        <f>BS!$E$5</f>
        <v>31 March 2025</v>
      </c>
      <c r="FPQ313" s="1717"/>
      <c r="FPR313" s="1718"/>
      <c r="FPS313" s="1718"/>
      <c r="FPT313" s="1718"/>
      <c r="FPU313" s="1718"/>
      <c r="FPV313" s="246"/>
      <c r="FPW313" s="246" t="str">
        <f>BS!$D$5</f>
        <v>31 March 2026</v>
      </c>
      <c r="FPX313" s="247" t="str">
        <f>BS!$E$5</f>
        <v>31 March 2025</v>
      </c>
      <c r="FPY313" s="1717"/>
      <c r="FPZ313" s="1718"/>
      <c r="FQA313" s="1718"/>
      <c r="FQB313" s="1718"/>
      <c r="FQC313" s="1718"/>
      <c r="FQD313" s="246"/>
      <c r="FQE313" s="246" t="str">
        <f>BS!$D$5</f>
        <v>31 March 2026</v>
      </c>
      <c r="FQF313" s="247" t="str">
        <f>BS!$E$5</f>
        <v>31 March 2025</v>
      </c>
      <c r="FQG313" s="1717"/>
      <c r="FQH313" s="1718"/>
      <c r="FQI313" s="1718"/>
      <c r="FQJ313" s="1718"/>
      <c r="FQK313" s="1718"/>
      <c r="FQL313" s="246"/>
      <c r="FQM313" s="246" t="str">
        <f>BS!$D$5</f>
        <v>31 March 2026</v>
      </c>
      <c r="FQN313" s="247" t="str">
        <f>BS!$E$5</f>
        <v>31 March 2025</v>
      </c>
      <c r="FQO313" s="1717"/>
      <c r="FQP313" s="1718"/>
      <c r="FQQ313" s="1718"/>
      <c r="FQR313" s="1718"/>
      <c r="FQS313" s="1718"/>
      <c r="FQT313" s="246"/>
      <c r="FQU313" s="246" t="str">
        <f>BS!$D$5</f>
        <v>31 March 2026</v>
      </c>
      <c r="FQV313" s="247" t="str">
        <f>BS!$E$5</f>
        <v>31 March 2025</v>
      </c>
      <c r="FQW313" s="1717"/>
      <c r="FQX313" s="1718"/>
      <c r="FQY313" s="1718"/>
      <c r="FQZ313" s="1718"/>
      <c r="FRA313" s="1718"/>
      <c r="FRB313" s="246"/>
      <c r="FRC313" s="246" t="str">
        <f>BS!$D$5</f>
        <v>31 March 2026</v>
      </c>
      <c r="FRD313" s="247" t="str">
        <f>BS!$E$5</f>
        <v>31 March 2025</v>
      </c>
      <c r="FRE313" s="1717"/>
      <c r="FRF313" s="1718"/>
      <c r="FRG313" s="1718"/>
      <c r="FRH313" s="1718"/>
      <c r="FRI313" s="1718"/>
      <c r="FRJ313" s="246"/>
      <c r="FRK313" s="246" t="str">
        <f>BS!$D$5</f>
        <v>31 March 2026</v>
      </c>
      <c r="FRL313" s="247" t="str">
        <f>BS!$E$5</f>
        <v>31 March 2025</v>
      </c>
      <c r="FRM313" s="1717"/>
      <c r="FRN313" s="1718"/>
      <c r="FRO313" s="1718"/>
      <c r="FRP313" s="1718"/>
      <c r="FRQ313" s="1718"/>
      <c r="FRR313" s="246"/>
      <c r="FRS313" s="246" t="str">
        <f>BS!$D$5</f>
        <v>31 March 2026</v>
      </c>
      <c r="FRT313" s="247" t="str">
        <f>BS!$E$5</f>
        <v>31 March 2025</v>
      </c>
      <c r="FRU313" s="1717"/>
      <c r="FRV313" s="1718"/>
      <c r="FRW313" s="1718"/>
      <c r="FRX313" s="1718"/>
      <c r="FRY313" s="1718"/>
      <c r="FRZ313" s="246"/>
      <c r="FSA313" s="246" t="str">
        <f>BS!$D$5</f>
        <v>31 March 2026</v>
      </c>
      <c r="FSB313" s="247" t="str">
        <f>BS!$E$5</f>
        <v>31 March 2025</v>
      </c>
      <c r="FSC313" s="1717"/>
      <c r="FSD313" s="1718"/>
      <c r="FSE313" s="1718"/>
      <c r="FSF313" s="1718"/>
      <c r="FSG313" s="1718"/>
      <c r="FSH313" s="246"/>
      <c r="FSI313" s="246" t="str">
        <f>BS!$D$5</f>
        <v>31 March 2026</v>
      </c>
      <c r="FSJ313" s="247" t="str">
        <f>BS!$E$5</f>
        <v>31 March 2025</v>
      </c>
      <c r="FSK313" s="1717"/>
      <c r="FSL313" s="1718"/>
      <c r="FSM313" s="1718"/>
      <c r="FSN313" s="1718"/>
      <c r="FSO313" s="1718"/>
      <c r="FSP313" s="246"/>
      <c r="FSQ313" s="246" t="str">
        <f>BS!$D$5</f>
        <v>31 March 2026</v>
      </c>
      <c r="FSR313" s="247" t="str">
        <f>BS!$E$5</f>
        <v>31 March 2025</v>
      </c>
      <c r="FSS313" s="1717"/>
      <c r="FST313" s="1718"/>
      <c r="FSU313" s="1718"/>
      <c r="FSV313" s="1718"/>
      <c r="FSW313" s="1718"/>
      <c r="FSX313" s="246"/>
      <c r="FSY313" s="246" t="str">
        <f>BS!$D$5</f>
        <v>31 March 2026</v>
      </c>
      <c r="FSZ313" s="247" t="str">
        <f>BS!$E$5</f>
        <v>31 March 2025</v>
      </c>
      <c r="FTA313" s="1717"/>
      <c r="FTB313" s="1718"/>
      <c r="FTC313" s="1718"/>
      <c r="FTD313" s="1718"/>
      <c r="FTE313" s="1718"/>
      <c r="FTF313" s="246"/>
      <c r="FTG313" s="246" t="str">
        <f>BS!$D$5</f>
        <v>31 March 2026</v>
      </c>
      <c r="FTH313" s="247" t="str">
        <f>BS!$E$5</f>
        <v>31 March 2025</v>
      </c>
      <c r="FTI313" s="1717"/>
      <c r="FTJ313" s="1718"/>
      <c r="FTK313" s="1718"/>
      <c r="FTL313" s="1718"/>
      <c r="FTM313" s="1718"/>
      <c r="FTN313" s="246"/>
      <c r="FTO313" s="246" t="str">
        <f>BS!$D$5</f>
        <v>31 March 2026</v>
      </c>
      <c r="FTP313" s="247" t="str">
        <f>BS!$E$5</f>
        <v>31 March 2025</v>
      </c>
      <c r="FTQ313" s="1717"/>
      <c r="FTR313" s="1718"/>
      <c r="FTS313" s="1718"/>
      <c r="FTT313" s="1718"/>
      <c r="FTU313" s="1718"/>
      <c r="FTV313" s="246"/>
      <c r="FTW313" s="246" t="str">
        <f>BS!$D$5</f>
        <v>31 March 2026</v>
      </c>
      <c r="FTX313" s="247" t="str">
        <f>BS!$E$5</f>
        <v>31 March 2025</v>
      </c>
      <c r="FTY313" s="1717"/>
      <c r="FTZ313" s="1718"/>
      <c r="FUA313" s="1718"/>
      <c r="FUB313" s="1718"/>
      <c r="FUC313" s="1718"/>
      <c r="FUD313" s="246"/>
      <c r="FUE313" s="246" t="str">
        <f>BS!$D$5</f>
        <v>31 March 2026</v>
      </c>
      <c r="FUF313" s="247" t="str">
        <f>BS!$E$5</f>
        <v>31 March 2025</v>
      </c>
      <c r="FUG313" s="1717"/>
      <c r="FUH313" s="1718"/>
      <c r="FUI313" s="1718"/>
      <c r="FUJ313" s="1718"/>
      <c r="FUK313" s="1718"/>
      <c r="FUL313" s="246"/>
      <c r="FUM313" s="246" t="str">
        <f>BS!$D$5</f>
        <v>31 March 2026</v>
      </c>
      <c r="FUN313" s="247" t="str">
        <f>BS!$E$5</f>
        <v>31 March 2025</v>
      </c>
      <c r="FUO313" s="1717"/>
      <c r="FUP313" s="1718"/>
      <c r="FUQ313" s="1718"/>
      <c r="FUR313" s="1718"/>
      <c r="FUS313" s="1718"/>
      <c r="FUT313" s="246"/>
      <c r="FUU313" s="246" t="str">
        <f>BS!$D$5</f>
        <v>31 March 2026</v>
      </c>
      <c r="FUV313" s="247" t="str">
        <f>BS!$E$5</f>
        <v>31 March 2025</v>
      </c>
      <c r="FUW313" s="1717"/>
      <c r="FUX313" s="1718"/>
      <c r="FUY313" s="1718"/>
      <c r="FUZ313" s="1718"/>
      <c r="FVA313" s="1718"/>
      <c r="FVB313" s="246"/>
      <c r="FVC313" s="246" t="str">
        <f>BS!$D$5</f>
        <v>31 March 2026</v>
      </c>
      <c r="FVD313" s="247" t="str">
        <f>BS!$E$5</f>
        <v>31 March 2025</v>
      </c>
      <c r="FVE313" s="1717"/>
      <c r="FVF313" s="1718"/>
      <c r="FVG313" s="1718"/>
      <c r="FVH313" s="1718"/>
      <c r="FVI313" s="1718"/>
      <c r="FVJ313" s="246"/>
      <c r="FVK313" s="246" t="str">
        <f>BS!$D$5</f>
        <v>31 March 2026</v>
      </c>
      <c r="FVL313" s="247" t="str">
        <f>BS!$E$5</f>
        <v>31 March 2025</v>
      </c>
      <c r="FVM313" s="1717"/>
      <c r="FVN313" s="1718"/>
      <c r="FVO313" s="1718"/>
      <c r="FVP313" s="1718"/>
      <c r="FVQ313" s="1718"/>
      <c r="FVR313" s="246"/>
      <c r="FVS313" s="246" t="str">
        <f>BS!$D$5</f>
        <v>31 March 2026</v>
      </c>
      <c r="FVT313" s="247" t="str">
        <f>BS!$E$5</f>
        <v>31 March 2025</v>
      </c>
      <c r="FVU313" s="1717"/>
      <c r="FVV313" s="1718"/>
      <c r="FVW313" s="1718"/>
      <c r="FVX313" s="1718"/>
      <c r="FVY313" s="1718"/>
      <c r="FVZ313" s="246"/>
      <c r="FWA313" s="246" t="str">
        <f>BS!$D$5</f>
        <v>31 March 2026</v>
      </c>
      <c r="FWB313" s="247" t="str">
        <f>BS!$E$5</f>
        <v>31 March 2025</v>
      </c>
      <c r="FWC313" s="1717"/>
      <c r="FWD313" s="1718"/>
      <c r="FWE313" s="1718"/>
      <c r="FWF313" s="1718"/>
      <c r="FWG313" s="1718"/>
      <c r="FWH313" s="246"/>
      <c r="FWI313" s="246" t="str">
        <f>BS!$D$5</f>
        <v>31 March 2026</v>
      </c>
      <c r="FWJ313" s="247" t="str">
        <f>BS!$E$5</f>
        <v>31 March 2025</v>
      </c>
      <c r="FWK313" s="1717"/>
      <c r="FWL313" s="1718"/>
      <c r="FWM313" s="1718"/>
      <c r="FWN313" s="1718"/>
      <c r="FWO313" s="1718"/>
      <c r="FWP313" s="246"/>
      <c r="FWQ313" s="246" t="str">
        <f>BS!$D$5</f>
        <v>31 March 2026</v>
      </c>
      <c r="FWR313" s="247" t="str">
        <f>BS!$E$5</f>
        <v>31 March 2025</v>
      </c>
      <c r="FWS313" s="1717"/>
      <c r="FWT313" s="1718"/>
      <c r="FWU313" s="1718"/>
      <c r="FWV313" s="1718"/>
      <c r="FWW313" s="1718"/>
      <c r="FWX313" s="246"/>
      <c r="FWY313" s="246" t="str">
        <f>BS!$D$5</f>
        <v>31 March 2026</v>
      </c>
      <c r="FWZ313" s="247" t="str">
        <f>BS!$E$5</f>
        <v>31 March 2025</v>
      </c>
      <c r="FXA313" s="1717"/>
      <c r="FXB313" s="1718"/>
      <c r="FXC313" s="1718"/>
      <c r="FXD313" s="1718"/>
      <c r="FXE313" s="1718"/>
      <c r="FXF313" s="246"/>
      <c r="FXG313" s="246" t="str">
        <f>BS!$D$5</f>
        <v>31 March 2026</v>
      </c>
      <c r="FXH313" s="247" t="str">
        <f>BS!$E$5</f>
        <v>31 March 2025</v>
      </c>
      <c r="FXI313" s="1717"/>
      <c r="FXJ313" s="1718"/>
      <c r="FXK313" s="1718"/>
      <c r="FXL313" s="1718"/>
      <c r="FXM313" s="1718"/>
      <c r="FXN313" s="246"/>
      <c r="FXO313" s="246" t="str">
        <f>BS!$D$5</f>
        <v>31 March 2026</v>
      </c>
      <c r="FXP313" s="247" t="str">
        <f>BS!$E$5</f>
        <v>31 March 2025</v>
      </c>
      <c r="FXQ313" s="1717"/>
      <c r="FXR313" s="1718"/>
      <c r="FXS313" s="1718"/>
      <c r="FXT313" s="1718"/>
      <c r="FXU313" s="1718"/>
      <c r="FXV313" s="246"/>
      <c r="FXW313" s="246" t="str">
        <f>BS!$D$5</f>
        <v>31 March 2026</v>
      </c>
      <c r="FXX313" s="247" t="str">
        <f>BS!$E$5</f>
        <v>31 March 2025</v>
      </c>
      <c r="FXY313" s="1717"/>
      <c r="FXZ313" s="1718"/>
      <c r="FYA313" s="1718"/>
      <c r="FYB313" s="1718"/>
      <c r="FYC313" s="1718"/>
      <c r="FYD313" s="246"/>
      <c r="FYE313" s="246" t="str">
        <f>BS!$D$5</f>
        <v>31 March 2026</v>
      </c>
      <c r="FYF313" s="247" t="str">
        <f>BS!$E$5</f>
        <v>31 March 2025</v>
      </c>
      <c r="FYG313" s="1717"/>
      <c r="FYH313" s="1718"/>
      <c r="FYI313" s="1718"/>
      <c r="FYJ313" s="1718"/>
      <c r="FYK313" s="1718"/>
      <c r="FYL313" s="246"/>
      <c r="FYM313" s="246" t="str">
        <f>BS!$D$5</f>
        <v>31 March 2026</v>
      </c>
      <c r="FYN313" s="247" t="str">
        <f>BS!$E$5</f>
        <v>31 March 2025</v>
      </c>
      <c r="FYO313" s="1717"/>
      <c r="FYP313" s="1718"/>
      <c r="FYQ313" s="1718"/>
      <c r="FYR313" s="1718"/>
      <c r="FYS313" s="1718"/>
      <c r="FYT313" s="246"/>
      <c r="FYU313" s="246" t="str">
        <f>BS!$D$5</f>
        <v>31 March 2026</v>
      </c>
      <c r="FYV313" s="247" t="str">
        <f>BS!$E$5</f>
        <v>31 March 2025</v>
      </c>
      <c r="FYW313" s="1717"/>
      <c r="FYX313" s="1718"/>
      <c r="FYY313" s="1718"/>
      <c r="FYZ313" s="1718"/>
      <c r="FZA313" s="1718"/>
      <c r="FZB313" s="246"/>
      <c r="FZC313" s="246" t="str">
        <f>BS!$D$5</f>
        <v>31 March 2026</v>
      </c>
      <c r="FZD313" s="247" t="str">
        <f>BS!$E$5</f>
        <v>31 March 2025</v>
      </c>
      <c r="FZE313" s="1717"/>
      <c r="FZF313" s="1718"/>
      <c r="FZG313" s="1718"/>
      <c r="FZH313" s="1718"/>
      <c r="FZI313" s="1718"/>
      <c r="FZJ313" s="246"/>
      <c r="FZK313" s="246" t="str">
        <f>BS!$D$5</f>
        <v>31 March 2026</v>
      </c>
      <c r="FZL313" s="247" t="str">
        <f>BS!$E$5</f>
        <v>31 March 2025</v>
      </c>
      <c r="FZM313" s="1717"/>
      <c r="FZN313" s="1718"/>
      <c r="FZO313" s="1718"/>
      <c r="FZP313" s="1718"/>
      <c r="FZQ313" s="1718"/>
      <c r="FZR313" s="246"/>
      <c r="FZS313" s="246" t="str">
        <f>BS!$D$5</f>
        <v>31 March 2026</v>
      </c>
      <c r="FZT313" s="247" t="str">
        <f>BS!$E$5</f>
        <v>31 March 2025</v>
      </c>
      <c r="FZU313" s="1717"/>
      <c r="FZV313" s="1718"/>
      <c r="FZW313" s="1718"/>
      <c r="FZX313" s="1718"/>
      <c r="FZY313" s="1718"/>
      <c r="FZZ313" s="246"/>
      <c r="GAA313" s="246" t="str">
        <f>BS!$D$5</f>
        <v>31 March 2026</v>
      </c>
      <c r="GAB313" s="247" t="str">
        <f>BS!$E$5</f>
        <v>31 March 2025</v>
      </c>
      <c r="GAC313" s="1717"/>
      <c r="GAD313" s="1718"/>
      <c r="GAE313" s="1718"/>
      <c r="GAF313" s="1718"/>
      <c r="GAG313" s="1718"/>
      <c r="GAH313" s="246"/>
      <c r="GAI313" s="246" t="str">
        <f>BS!$D$5</f>
        <v>31 March 2026</v>
      </c>
      <c r="GAJ313" s="247" t="str">
        <f>BS!$E$5</f>
        <v>31 March 2025</v>
      </c>
      <c r="GAK313" s="1717"/>
      <c r="GAL313" s="1718"/>
      <c r="GAM313" s="1718"/>
      <c r="GAN313" s="1718"/>
      <c r="GAO313" s="1718"/>
      <c r="GAP313" s="246"/>
      <c r="GAQ313" s="246" t="str">
        <f>BS!$D$5</f>
        <v>31 March 2026</v>
      </c>
      <c r="GAR313" s="247" t="str">
        <f>BS!$E$5</f>
        <v>31 March 2025</v>
      </c>
      <c r="GAS313" s="1717"/>
      <c r="GAT313" s="1718"/>
      <c r="GAU313" s="1718"/>
      <c r="GAV313" s="1718"/>
      <c r="GAW313" s="1718"/>
      <c r="GAX313" s="246"/>
      <c r="GAY313" s="246" t="str">
        <f>BS!$D$5</f>
        <v>31 March 2026</v>
      </c>
      <c r="GAZ313" s="247" t="str">
        <f>BS!$E$5</f>
        <v>31 March 2025</v>
      </c>
      <c r="GBA313" s="1717"/>
      <c r="GBB313" s="1718"/>
      <c r="GBC313" s="1718"/>
      <c r="GBD313" s="1718"/>
      <c r="GBE313" s="1718"/>
      <c r="GBF313" s="246"/>
      <c r="GBG313" s="246" t="str">
        <f>BS!$D$5</f>
        <v>31 March 2026</v>
      </c>
      <c r="GBH313" s="247" t="str">
        <f>BS!$E$5</f>
        <v>31 March 2025</v>
      </c>
      <c r="GBI313" s="1717"/>
      <c r="GBJ313" s="1718"/>
      <c r="GBK313" s="1718"/>
      <c r="GBL313" s="1718"/>
      <c r="GBM313" s="1718"/>
      <c r="GBN313" s="246"/>
      <c r="GBO313" s="246" t="str">
        <f>BS!$D$5</f>
        <v>31 March 2026</v>
      </c>
      <c r="GBP313" s="247" t="str">
        <f>BS!$E$5</f>
        <v>31 March 2025</v>
      </c>
      <c r="GBQ313" s="1717"/>
      <c r="GBR313" s="1718"/>
      <c r="GBS313" s="1718"/>
      <c r="GBT313" s="1718"/>
      <c r="GBU313" s="1718"/>
      <c r="GBV313" s="246"/>
      <c r="GBW313" s="246" t="str">
        <f>BS!$D$5</f>
        <v>31 March 2026</v>
      </c>
      <c r="GBX313" s="247" t="str">
        <f>BS!$E$5</f>
        <v>31 March 2025</v>
      </c>
      <c r="GBY313" s="1717"/>
      <c r="GBZ313" s="1718"/>
      <c r="GCA313" s="1718"/>
      <c r="GCB313" s="1718"/>
      <c r="GCC313" s="1718"/>
      <c r="GCD313" s="246"/>
      <c r="GCE313" s="246" t="str">
        <f>BS!$D$5</f>
        <v>31 March 2026</v>
      </c>
      <c r="GCF313" s="247" t="str">
        <f>BS!$E$5</f>
        <v>31 March 2025</v>
      </c>
      <c r="GCG313" s="1717"/>
      <c r="GCH313" s="1718"/>
      <c r="GCI313" s="1718"/>
      <c r="GCJ313" s="1718"/>
      <c r="GCK313" s="1718"/>
      <c r="GCL313" s="246"/>
      <c r="GCM313" s="246" t="str">
        <f>BS!$D$5</f>
        <v>31 March 2026</v>
      </c>
      <c r="GCN313" s="247" t="str">
        <f>BS!$E$5</f>
        <v>31 March 2025</v>
      </c>
      <c r="GCO313" s="1717"/>
      <c r="GCP313" s="1718"/>
      <c r="GCQ313" s="1718"/>
      <c r="GCR313" s="1718"/>
      <c r="GCS313" s="1718"/>
      <c r="GCT313" s="246"/>
      <c r="GCU313" s="246" t="str">
        <f>BS!$D$5</f>
        <v>31 March 2026</v>
      </c>
      <c r="GCV313" s="247" t="str">
        <f>BS!$E$5</f>
        <v>31 March 2025</v>
      </c>
      <c r="GCW313" s="1717"/>
      <c r="GCX313" s="1718"/>
      <c r="GCY313" s="1718"/>
      <c r="GCZ313" s="1718"/>
      <c r="GDA313" s="1718"/>
      <c r="GDB313" s="246"/>
      <c r="GDC313" s="246" t="str">
        <f>BS!$D$5</f>
        <v>31 March 2026</v>
      </c>
      <c r="GDD313" s="247" t="str">
        <f>BS!$E$5</f>
        <v>31 March 2025</v>
      </c>
      <c r="GDE313" s="1717"/>
      <c r="GDF313" s="1718"/>
      <c r="GDG313" s="1718"/>
      <c r="GDH313" s="1718"/>
      <c r="GDI313" s="1718"/>
      <c r="GDJ313" s="246"/>
      <c r="GDK313" s="246" t="str">
        <f>BS!$D$5</f>
        <v>31 March 2026</v>
      </c>
      <c r="GDL313" s="247" t="str">
        <f>BS!$E$5</f>
        <v>31 March 2025</v>
      </c>
      <c r="GDM313" s="1717"/>
      <c r="GDN313" s="1718"/>
      <c r="GDO313" s="1718"/>
      <c r="GDP313" s="1718"/>
      <c r="GDQ313" s="1718"/>
      <c r="GDR313" s="246"/>
      <c r="GDS313" s="246" t="str">
        <f>BS!$D$5</f>
        <v>31 March 2026</v>
      </c>
      <c r="GDT313" s="247" t="str">
        <f>BS!$E$5</f>
        <v>31 March 2025</v>
      </c>
      <c r="GDU313" s="1717"/>
      <c r="GDV313" s="1718"/>
      <c r="GDW313" s="1718"/>
      <c r="GDX313" s="1718"/>
      <c r="GDY313" s="1718"/>
      <c r="GDZ313" s="246"/>
      <c r="GEA313" s="246" t="str">
        <f>BS!$D$5</f>
        <v>31 March 2026</v>
      </c>
      <c r="GEB313" s="247" t="str">
        <f>BS!$E$5</f>
        <v>31 March 2025</v>
      </c>
      <c r="GEC313" s="1717"/>
      <c r="GED313" s="1718"/>
      <c r="GEE313" s="1718"/>
      <c r="GEF313" s="1718"/>
      <c r="GEG313" s="1718"/>
      <c r="GEH313" s="246"/>
      <c r="GEI313" s="246" t="str">
        <f>BS!$D$5</f>
        <v>31 March 2026</v>
      </c>
      <c r="GEJ313" s="247" t="str">
        <f>BS!$E$5</f>
        <v>31 March 2025</v>
      </c>
      <c r="GEK313" s="1717"/>
      <c r="GEL313" s="1718"/>
      <c r="GEM313" s="1718"/>
      <c r="GEN313" s="1718"/>
      <c r="GEO313" s="1718"/>
      <c r="GEP313" s="246"/>
      <c r="GEQ313" s="246" t="str">
        <f>BS!$D$5</f>
        <v>31 March 2026</v>
      </c>
      <c r="GER313" s="247" t="str">
        <f>BS!$E$5</f>
        <v>31 March 2025</v>
      </c>
      <c r="GES313" s="1717"/>
      <c r="GET313" s="1718"/>
      <c r="GEU313" s="1718"/>
      <c r="GEV313" s="1718"/>
      <c r="GEW313" s="1718"/>
      <c r="GEX313" s="246"/>
      <c r="GEY313" s="246" t="str">
        <f>BS!$D$5</f>
        <v>31 March 2026</v>
      </c>
      <c r="GEZ313" s="247" t="str">
        <f>BS!$E$5</f>
        <v>31 March 2025</v>
      </c>
      <c r="GFA313" s="1717"/>
      <c r="GFB313" s="1718"/>
      <c r="GFC313" s="1718"/>
      <c r="GFD313" s="1718"/>
      <c r="GFE313" s="1718"/>
      <c r="GFF313" s="246"/>
      <c r="GFG313" s="246" t="str">
        <f>BS!$D$5</f>
        <v>31 March 2026</v>
      </c>
      <c r="GFH313" s="247" t="str">
        <f>BS!$E$5</f>
        <v>31 March 2025</v>
      </c>
      <c r="GFI313" s="1717"/>
      <c r="GFJ313" s="1718"/>
      <c r="GFK313" s="1718"/>
      <c r="GFL313" s="1718"/>
      <c r="GFM313" s="1718"/>
      <c r="GFN313" s="246"/>
      <c r="GFO313" s="246" t="str">
        <f>BS!$D$5</f>
        <v>31 March 2026</v>
      </c>
      <c r="GFP313" s="247" t="str">
        <f>BS!$E$5</f>
        <v>31 March 2025</v>
      </c>
      <c r="GFQ313" s="1717"/>
      <c r="GFR313" s="1718"/>
      <c r="GFS313" s="1718"/>
      <c r="GFT313" s="1718"/>
      <c r="GFU313" s="1718"/>
      <c r="GFV313" s="246"/>
      <c r="GFW313" s="246" t="str">
        <f>BS!$D$5</f>
        <v>31 March 2026</v>
      </c>
      <c r="GFX313" s="247" t="str">
        <f>BS!$E$5</f>
        <v>31 March 2025</v>
      </c>
      <c r="GFY313" s="1717"/>
      <c r="GFZ313" s="1718"/>
      <c r="GGA313" s="1718"/>
      <c r="GGB313" s="1718"/>
      <c r="GGC313" s="1718"/>
      <c r="GGD313" s="246"/>
      <c r="GGE313" s="246" t="str">
        <f>BS!$D$5</f>
        <v>31 March 2026</v>
      </c>
      <c r="GGF313" s="247" t="str">
        <f>BS!$E$5</f>
        <v>31 March 2025</v>
      </c>
      <c r="GGG313" s="1717"/>
      <c r="GGH313" s="1718"/>
      <c r="GGI313" s="1718"/>
      <c r="GGJ313" s="1718"/>
      <c r="GGK313" s="1718"/>
      <c r="GGL313" s="246"/>
      <c r="GGM313" s="246" t="str">
        <f>BS!$D$5</f>
        <v>31 March 2026</v>
      </c>
      <c r="GGN313" s="247" t="str">
        <f>BS!$E$5</f>
        <v>31 March 2025</v>
      </c>
      <c r="GGO313" s="1717"/>
      <c r="GGP313" s="1718"/>
      <c r="GGQ313" s="1718"/>
      <c r="GGR313" s="1718"/>
      <c r="GGS313" s="1718"/>
      <c r="GGT313" s="246"/>
      <c r="GGU313" s="246" t="str">
        <f>BS!$D$5</f>
        <v>31 March 2026</v>
      </c>
      <c r="GGV313" s="247" t="str">
        <f>BS!$E$5</f>
        <v>31 March 2025</v>
      </c>
      <c r="GGW313" s="1717"/>
      <c r="GGX313" s="1718"/>
      <c r="GGY313" s="1718"/>
      <c r="GGZ313" s="1718"/>
      <c r="GHA313" s="1718"/>
      <c r="GHB313" s="246"/>
      <c r="GHC313" s="246" t="str">
        <f>BS!$D$5</f>
        <v>31 March 2026</v>
      </c>
      <c r="GHD313" s="247" t="str">
        <f>BS!$E$5</f>
        <v>31 March 2025</v>
      </c>
      <c r="GHE313" s="1717"/>
      <c r="GHF313" s="1718"/>
      <c r="GHG313" s="1718"/>
      <c r="GHH313" s="1718"/>
      <c r="GHI313" s="1718"/>
      <c r="GHJ313" s="246"/>
      <c r="GHK313" s="246" t="str">
        <f>BS!$D$5</f>
        <v>31 March 2026</v>
      </c>
      <c r="GHL313" s="247" t="str">
        <f>BS!$E$5</f>
        <v>31 March 2025</v>
      </c>
      <c r="GHM313" s="1717"/>
      <c r="GHN313" s="1718"/>
      <c r="GHO313" s="1718"/>
      <c r="GHP313" s="1718"/>
      <c r="GHQ313" s="1718"/>
      <c r="GHR313" s="246"/>
      <c r="GHS313" s="246" t="str">
        <f>BS!$D$5</f>
        <v>31 March 2026</v>
      </c>
      <c r="GHT313" s="247" t="str">
        <f>BS!$E$5</f>
        <v>31 March 2025</v>
      </c>
      <c r="GHU313" s="1717"/>
      <c r="GHV313" s="1718"/>
      <c r="GHW313" s="1718"/>
      <c r="GHX313" s="1718"/>
      <c r="GHY313" s="1718"/>
      <c r="GHZ313" s="246"/>
      <c r="GIA313" s="246" t="str">
        <f>BS!$D$5</f>
        <v>31 March 2026</v>
      </c>
      <c r="GIB313" s="247" t="str">
        <f>BS!$E$5</f>
        <v>31 March 2025</v>
      </c>
      <c r="GIC313" s="1717"/>
      <c r="GID313" s="1718"/>
      <c r="GIE313" s="1718"/>
      <c r="GIF313" s="1718"/>
      <c r="GIG313" s="1718"/>
      <c r="GIH313" s="246"/>
      <c r="GII313" s="246" t="str">
        <f>BS!$D$5</f>
        <v>31 March 2026</v>
      </c>
      <c r="GIJ313" s="247" t="str">
        <f>BS!$E$5</f>
        <v>31 March 2025</v>
      </c>
      <c r="GIK313" s="1717"/>
      <c r="GIL313" s="1718"/>
      <c r="GIM313" s="1718"/>
      <c r="GIN313" s="1718"/>
      <c r="GIO313" s="1718"/>
      <c r="GIP313" s="246"/>
      <c r="GIQ313" s="246" t="str">
        <f>BS!$D$5</f>
        <v>31 March 2026</v>
      </c>
      <c r="GIR313" s="247" t="str">
        <f>BS!$E$5</f>
        <v>31 March 2025</v>
      </c>
      <c r="GIS313" s="1717"/>
      <c r="GIT313" s="1718"/>
      <c r="GIU313" s="1718"/>
      <c r="GIV313" s="1718"/>
      <c r="GIW313" s="1718"/>
      <c r="GIX313" s="246"/>
      <c r="GIY313" s="246" t="str">
        <f>BS!$D$5</f>
        <v>31 March 2026</v>
      </c>
      <c r="GIZ313" s="247" t="str">
        <f>BS!$E$5</f>
        <v>31 March 2025</v>
      </c>
      <c r="GJA313" s="1717"/>
      <c r="GJB313" s="1718"/>
      <c r="GJC313" s="1718"/>
      <c r="GJD313" s="1718"/>
      <c r="GJE313" s="1718"/>
      <c r="GJF313" s="246"/>
      <c r="GJG313" s="246" t="str">
        <f>BS!$D$5</f>
        <v>31 March 2026</v>
      </c>
      <c r="GJH313" s="247" t="str">
        <f>BS!$E$5</f>
        <v>31 March 2025</v>
      </c>
      <c r="GJI313" s="1717"/>
      <c r="GJJ313" s="1718"/>
      <c r="GJK313" s="1718"/>
      <c r="GJL313" s="1718"/>
      <c r="GJM313" s="1718"/>
      <c r="GJN313" s="246"/>
      <c r="GJO313" s="246" t="str">
        <f>BS!$D$5</f>
        <v>31 March 2026</v>
      </c>
      <c r="GJP313" s="247" t="str">
        <f>BS!$E$5</f>
        <v>31 March 2025</v>
      </c>
      <c r="GJQ313" s="1717"/>
      <c r="GJR313" s="1718"/>
      <c r="GJS313" s="1718"/>
      <c r="GJT313" s="1718"/>
      <c r="GJU313" s="1718"/>
      <c r="GJV313" s="246"/>
      <c r="GJW313" s="246" t="str">
        <f>BS!$D$5</f>
        <v>31 March 2026</v>
      </c>
      <c r="GJX313" s="247" t="str">
        <f>BS!$E$5</f>
        <v>31 March 2025</v>
      </c>
      <c r="GJY313" s="1717"/>
      <c r="GJZ313" s="1718"/>
      <c r="GKA313" s="1718"/>
      <c r="GKB313" s="1718"/>
      <c r="GKC313" s="1718"/>
      <c r="GKD313" s="246"/>
      <c r="GKE313" s="246" t="str">
        <f>BS!$D$5</f>
        <v>31 March 2026</v>
      </c>
      <c r="GKF313" s="247" t="str">
        <f>BS!$E$5</f>
        <v>31 March 2025</v>
      </c>
      <c r="GKG313" s="1717"/>
      <c r="GKH313" s="1718"/>
      <c r="GKI313" s="1718"/>
      <c r="GKJ313" s="1718"/>
      <c r="GKK313" s="1718"/>
      <c r="GKL313" s="246"/>
      <c r="GKM313" s="246" t="str">
        <f>BS!$D$5</f>
        <v>31 March 2026</v>
      </c>
      <c r="GKN313" s="247" t="str">
        <f>BS!$E$5</f>
        <v>31 March 2025</v>
      </c>
      <c r="GKO313" s="1717"/>
      <c r="GKP313" s="1718"/>
      <c r="GKQ313" s="1718"/>
      <c r="GKR313" s="1718"/>
      <c r="GKS313" s="1718"/>
      <c r="GKT313" s="246"/>
      <c r="GKU313" s="246" t="str">
        <f>BS!$D$5</f>
        <v>31 March 2026</v>
      </c>
      <c r="GKV313" s="247" t="str">
        <f>BS!$E$5</f>
        <v>31 March 2025</v>
      </c>
      <c r="GKW313" s="1717"/>
      <c r="GKX313" s="1718"/>
      <c r="GKY313" s="1718"/>
      <c r="GKZ313" s="1718"/>
      <c r="GLA313" s="1718"/>
      <c r="GLB313" s="246"/>
      <c r="GLC313" s="246" t="str">
        <f>BS!$D$5</f>
        <v>31 March 2026</v>
      </c>
      <c r="GLD313" s="247" t="str">
        <f>BS!$E$5</f>
        <v>31 March 2025</v>
      </c>
      <c r="GLE313" s="1717"/>
      <c r="GLF313" s="1718"/>
      <c r="GLG313" s="1718"/>
      <c r="GLH313" s="1718"/>
      <c r="GLI313" s="1718"/>
      <c r="GLJ313" s="246"/>
      <c r="GLK313" s="246" t="str">
        <f>BS!$D$5</f>
        <v>31 March 2026</v>
      </c>
      <c r="GLL313" s="247" t="str">
        <f>BS!$E$5</f>
        <v>31 March 2025</v>
      </c>
      <c r="GLM313" s="1717"/>
      <c r="GLN313" s="1718"/>
      <c r="GLO313" s="1718"/>
      <c r="GLP313" s="1718"/>
      <c r="GLQ313" s="1718"/>
      <c r="GLR313" s="246"/>
      <c r="GLS313" s="246" t="str">
        <f>BS!$D$5</f>
        <v>31 March 2026</v>
      </c>
      <c r="GLT313" s="247" t="str">
        <f>BS!$E$5</f>
        <v>31 March 2025</v>
      </c>
      <c r="GLU313" s="1717"/>
      <c r="GLV313" s="1718"/>
      <c r="GLW313" s="1718"/>
      <c r="GLX313" s="1718"/>
      <c r="GLY313" s="1718"/>
      <c r="GLZ313" s="246"/>
      <c r="GMA313" s="246" t="str">
        <f>BS!$D$5</f>
        <v>31 March 2026</v>
      </c>
      <c r="GMB313" s="247" t="str">
        <f>BS!$E$5</f>
        <v>31 March 2025</v>
      </c>
      <c r="GMC313" s="1717"/>
      <c r="GMD313" s="1718"/>
      <c r="GME313" s="1718"/>
      <c r="GMF313" s="1718"/>
      <c r="GMG313" s="1718"/>
      <c r="GMH313" s="246"/>
      <c r="GMI313" s="246" t="str">
        <f>BS!$D$5</f>
        <v>31 March 2026</v>
      </c>
      <c r="GMJ313" s="247" t="str">
        <f>BS!$E$5</f>
        <v>31 March 2025</v>
      </c>
      <c r="GMK313" s="1717"/>
      <c r="GML313" s="1718"/>
      <c r="GMM313" s="1718"/>
      <c r="GMN313" s="1718"/>
      <c r="GMO313" s="1718"/>
      <c r="GMP313" s="246"/>
      <c r="GMQ313" s="246" t="str">
        <f>BS!$D$5</f>
        <v>31 March 2026</v>
      </c>
      <c r="GMR313" s="247" t="str">
        <f>BS!$E$5</f>
        <v>31 March 2025</v>
      </c>
      <c r="GMS313" s="1717"/>
      <c r="GMT313" s="1718"/>
      <c r="GMU313" s="1718"/>
      <c r="GMV313" s="1718"/>
      <c r="GMW313" s="1718"/>
      <c r="GMX313" s="246"/>
      <c r="GMY313" s="246" t="str">
        <f>BS!$D$5</f>
        <v>31 March 2026</v>
      </c>
      <c r="GMZ313" s="247" t="str">
        <f>BS!$E$5</f>
        <v>31 March 2025</v>
      </c>
      <c r="GNA313" s="1717"/>
      <c r="GNB313" s="1718"/>
      <c r="GNC313" s="1718"/>
      <c r="GND313" s="1718"/>
      <c r="GNE313" s="1718"/>
      <c r="GNF313" s="246"/>
      <c r="GNG313" s="246" t="str">
        <f>BS!$D$5</f>
        <v>31 March 2026</v>
      </c>
      <c r="GNH313" s="247" t="str">
        <f>BS!$E$5</f>
        <v>31 March 2025</v>
      </c>
      <c r="GNI313" s="1717"/>
      <c r="GNJ313" s="1718"/>
      <c r="GNK313" s="1718"/>
      <c r="GNL313" s="1718"/>
      <c r="GNM313" s="1718"/>
      <c r="GNN313" s="246"/>
      <c r="GNO313" s="246" t="str">
        <f>BS!$D$5</f>
        <v>31 March 2026</v>
      </c>
      <c r="GNP313" s="247" t="str">
        <f>BS!$E$5</f>
        <v>31 March 2025</v>
      </c>
      <c r="GNQ313" s="1717"/>
      <c r="GNR313" s="1718"/>
      <c r="GNS313" s="1718"/>
      <c r="GNT313" s="1718"/>
      <c r="GNU313" s="1718"/>
      <c r="GNV313" s="246"/>
      <c r="GNW313" s="246" t="str">
        <f>BS!$D$5</f>
        <v>31 March 2026</v>
      </c>
      <c r="GNX313" s="247" t="str">
        <f>BS!$E$5</f>
        <v>31 March 2025</v>
      </c>
      <c r="GNY313" s="1717"/>
      <c r="GNZ313" s="1718"/>
      <c r="GOA313" s="1718"/>
      <c r="GOB313" s="1718"/>
      <c r="GOC313" s="1718"/>
      <c r="GOD313" s="246"/>
      <c r="GOE313" s="246" t="str">
        <f>BS!$D$5</f>
        <v>31 March 2026</v>
      </c>
      <c r="GOF313" s="247" t="str">
        <f>BS!$E$5</f>
        <v>31 March 2025</v>
      </c>
      <c r="GOG313" s="1717"/>
      <c r="GOH313" s="1718"/>
      <c r="GOI313" s="1718"/>
      <c r="GOJ313" s="1718"/>
      <c r="GOK313" s="1718"/>
      <c r="GOL313" s="246"/>
      <c r="GOM313" s="246" t="str">
        <f>BS!$D$5</f>
        <v>31 March 2026</v>
      </c>
      <c r="GON313" s="247" t="str">
        <f>BS!$E$5</f>
        <v>31 March 2025</v>
      </c>
      <c r="GOO313" s="1717"/>
      <c r="GOP313" s="1718"/>
      <c r="GOQ313" s="1718"/>
      <c r="GOR313" s="1718"/>
      <c r="GOS313" s="1718"/>
      <c r="GOT313" s="246"/>
      <c r="GOU313" s="246" t="str">
        <f>BS!$D$5</f>
        <v>31 March 2026</v>
      </c>
      <c r="GOV313" s="247" t="str">
        <f>BS!$E$5</f>
        <v>31 March 2025</v>
      </c>
      <c r="GOW313" s="1717"/>
      <c r="GOX313" s="1718"/>
      <c r="GOY313" s="1718"/>
      <c r="GOZ313" s="1718"/>
      <c r="GPA313" s="1718"/>
      <c r="GPB313" s="246"/>
      <c r="GPC313" s="246" t="str">
        <f>BS!$D$5</f>
        <v>31 March 2026</v>
      </c>
      <c r="GPD313" s="247" t="str">
        <f>BS!$E$5</f>
        <v>31 March 2025</v>
      </c>
      <c r="GPE313" s="1717"/>
      <c r="GPF313" s="1718"/>
      <c r="GPG313" s="1718"/>
      <c r="GPH313" s="1718"/>
      <c r="GPI313" s="1718"/>
      <c r="GPJ313" s="246"/>
      <c r="GPK313" s="246" t="str">
        <f>BS!$D$5</f>
        <v>31 March 2026</v>
      </c>
      <c r="GPL313" s="247" t="str">
        <f>BS!$E$5</f>
        <v>31 March 2025</v>
      </c>
      <c r="GPM313" s="1717"/>
      <c r="GPN313" s="1718"/>
      <c r="GPO313" s="1718"/>
      <c r="GPP313" s="1718"/>
      <c r="GPQ313" s="1718"/>
      <c r="GPR313" s="246"/>
      <c r="GPS313" s="246" t="str">
        <f>BS!$D$5</f>
        <v>31 March 2026</v>
      </c>
      <c r="GPT313" s="247" t="str">
        <f>BS!$E$5</f>
        <v>31 March 2025</v>
      </c>
      <c r="GPU313" s="1717"/>
      <c r="GPV313" s="1718"/>
      <c r="GPW313" s="1718"/>
      <c r="GPX313" s="1718"/>
      <c r="GPY313" s="1718"/>
      <c r="GPZ313" s="246"/>
      <c r="GQA313" s="246" t="str">
        <f>BS!$D$5</f>
        <v>31 March 2026</v>
      </c>
      <c r="GQB313" s="247" t="str">
        <f>BS!$E$5</f>
        <v>31 March 2025</v>
      </c>
      <c r="GQC313" s="1717"/>
      <c r="GQD313" s="1718"/>
      <c r="GQE313" s="1718"/>
      <c r="GQF313" s="1718"/>
      <c r="GQG313" s="1718"/>
      <c r="GQH313" s="246"/>
      <c r="GQI313" s="246" t="str">
        <f>BS!$D$5</f>
        <v>31 March 2026</v>
      </c>
      <c r="GQJ313" s="247" t="str">
        <f>BS!$E$5</f>
        <v>31 March 2025</v>
      </c>
      <c r="GQK313" s="1717"/>
      <c r="GQL313" s="1718"/>
      <c r="GQM313" s="1718"/>
      <c r="GQN313" s="1718"/>
      <c r="GQO313" s="1718"/>
      <c r="GQP313" s="246"/>
      <c r="GQQ313" s="246" t="str">
        <f>BS!$D$5</f>
        <v>31 March 2026</v>
      </c>
      <c r="GQR313" s="247" t="str">
        <f>BS!$E$5</f>
        <v>31 March 2025</v>
      </c>
      <c r="GQS313" s="1717"/>
      <c r="GQT313" s="1718"/>
      <c r="GQU313" s="1718"/>
      <c r="GQV313" s="1718"/>
      <c r="GQW313" s="1718"/>
      <c r="GQX313" s="246"/>
      <c r="GQY313" s="246" t="str">
        <f>BS!$D$5</f>
        <v>31 March 2026</v>
      </c>
      <c r="GQZ313" s="247" t="str">
        <f>BS!$E$5</f>
        <v>31 March 2025</v>
      </c>
      <c r="GRA313" s="1717"/>
      <c r="GRB313" s="1718"/>
      <c r="GRC313" s="1718"/>
      <c r="GRD313" s="1718"/>
      <c r="GRE313" s="1718"/>
      <c r="GRF313" s="246"/>
      <c r="GRG313" s="246" t="str">
        <f>BS!$D$5</f>
        <v>31 March 2026</v>
      </c>
      <c r="GRH313" s="247" t="str">
        <f>BS!$E$5</f>
        <v>31 March 2025</v>
      </c>
      <c r="GRI313" s="1717"/>
      <c r="GRJ313" s="1718"/>
      <c r="GRK313" s="1718"/>
      <c r="GRL313" s="1718"/>
      <c r="GRM313" s="1718"/>
      <c r="GRN313" s="246"/>
      <c r="GRO313" s="246" t="str">
        <f>BS!$D$5</f>
        <v>31 March 2026</v>
      </c>
      <c r="GRP313" s="247" t="str">
        <f>BS!$E$5</f>
        <v>31 March 2025</v>
      </c>
      <c r="GRQ313" s="1717"/>
      <c r="GRR313" s="1718"/>
      <c r="GRS313" s="1718"/>
      <c r="GRT313" s="1718"/>
      <c r="GRU313" s="1718"/>
      <c r="GRV313" s="246"/>
      <c r="GRW313" s="246" t="str">
        <f>BS!$D$5</f>
        <v>31 March 2026</v>
      </c>
      <c r="GRX313" s="247" t="str">
        <f>BS!$E$5</f>
        <v>31 March 2025</v>
      </c>
      <c r="GRY313" s="1717"/>
      <c r="GRZ313" s="1718"/>
      <c r="GSA313" s="1718"/>
      <c r="GSB313" s="1718"/>
      <c r="GSC313" s="1718"/>
      <c r="GSD313" s="246"/>
      <c r="GSE313" s="246" t="str">
        <f>BS!$D$5</f>
        <v>31 March 2026</v>
      </c>
      <c r="GSF313" s="247" t="str">
        <f>BS!$E$5</f>
        <v>31 March 2025</v>
      </c>
      <c r="GSG313" s="1717"/>
      <c r="GSH313" s="1718"/>
      <c r="GSI313" s="1718"/>
      <c r="GSJ313" s="1718"/>
      <c r="GSK313" s="1718"/>
      <c r="GSL313" s="246"/>
      <c r="GSM313" s="246" t="str">
        <f>BS!$D$5</f>
        <v>31 March 2026</v>
      </c>
      <c r="GSN313" s="247" t="str">
        <f>BS!$E$5</f>
        <v>31 March 2025</v>
      </c>
      <c r="GSO313" s="1717"/>
      <c r="GSP313" s="1718"/>
      <c r="GSQ313" s="1718"/>
      <c r="GSR313" s="1718"/>
      <c r="GSS313" s="1718"/>
      <c r="GST313" s="246"/>
      <c r="GSU313" s="246" t="str">
        <f>BS!$D$5</f>
        <v>31 March 2026</v>
      </c>
      <c r="GSV313" s="247" t="str">
        <f>BS!$E$5</f>
        <v>31 March 2025</v>
      </c>
      <c r="GSW313" s="1717"/>
      <c r="GSX313" s="1718"/>
      <c r="GSY313" s="1718"/>
      <c r="GSZ313" s="1718"/>
      <c r="GTA313" s="1718"/>
      <c r="GTB313" s="246"/>
      <c r="GTC313" s="246" t="str">
        <f>BS!$D$5</f>
        <v>31 March 2026</v>
      </c>
      <c r="GTD313" s="247" t="str">
        <f>BS!$E$5</f>
        <v>31 March 2025</v>
      </c>
      <c r="GTE313" s="1717"/>
      <c r="GTF313" s="1718"/>
      <c r="GTG313" s="1718"/>
      <c r="GTH313" s="1718"/>
      <c r="GTI313" s="1718"/>
      <c r="GTJ313" s="246"/>
      <c r="GTK313" s="246" t="str">
        <f>BS!$D$5</f>
        <v>31 March 2026</v>
      </c>
      <c r="GTL313" s="247" t="str">
        <f>BS!$E$5</f>
        <v>31 March 2025</v>
      </c>
      <c r="GTM313" s="1717"/>
      <c r="GTN313" s="1718"/>
      <c r="GTO313" s="1718"/>
      <c r="GTP313" s="1718"/>
      <c r="GTQ313" s="1718"/>
      <c r="GTR313" s="246"/>
      <c r="GTS313" s="246" t="str">
        <f>BS!$D$5</f>
        <v>31 March 2026</v>
      </c>
      <c r="GTT313" s="247" t="str">
        <f>BS!$E$5</f>
        <v>31 March 2025</v>
      </c>
      <c r="GTU313" s="1717"/>
      <c r="GTV313" s="1718"/>
      <c r="GTW313" s="1718"/>
      <c r="GTX313" s="1718"/>
      <c r="GTY313" s="1718"/>
      <c r="GTZ313" s="246"/>
      <c r="GUA313" s="246" t="str">
        <f>BS!$D$5</f>
        <v>31 March 2026</v>
      </c>
      <c r="GUB313" s="247" t="str">
        <f>BS!$E$5</f>
        <v>31 March 2025</v>
      </c>
      <c r="GUC313" s="1717"/>
      <c r="GUD313" s="1718"/>
      <c r="GUE313" s="1718"/>
      <c r="GUF313" s="1718"/>
      <c r="GUG313" s="1718"/>
      <c r="GUH313" s="246"/>
      <c r="GUI313" s="246" t="str">
        <f>BS!$D$5</f>
        <v>31 March 2026</v>
      </c>
      <c r="GUJ313" s="247" t="str">
        <f>BS!$E$5</f>
        <v>31 March 2025</v>
      </c>
      <c r="GUK313" s="1717"/>
      <c r="GUL313" s="1718"/>
      <c r="GUM313" s="1718"/>
      <c r="GUN313" s="1718"/>
      <c r="GUO313" s="1718"/>
      <c r="GUP313" s="246"/>
      <c r="GUQ313" s="246" t="str">
        <f>BS!$D$5</f>
        <v>31 March 2026</v>
      </c>
      <c r="GUR313" s="247" t="str">
        <f>BS!$E$5</f>
        <v>31 March 2025</v>
      </c>
      <c r="GUS313" s="1717"/>
      <c r="GUT313" s="1718"/>
      <c r="GUU313" s="1718"/>
      <c r="GUV313" s="1718"/>
      <c r="GUW313" s="1718"/>
      <c r="GUX313" s="246"/>
      <c r="GUY313" s="246" t="str">
        <f>BS!$D$5</f>
        <v>31 March 2026</v>
      </c>
      <c r="GUZ313" s="247" t="str">
        <f>BS!$E$5</f>
        <v>31 March 2025</v>
      </c>
      <c r="GVA313" s="1717"/>
      <c r="GVB313" s="1718"/>
      <c r="GVC313" s="1718"/>
      <c r="GVD313" s="1718"/>
      <c r="GVE313" s="1718"/>
      <c r="GVF313" s="246"/>
      <c r="GVG313" s="246" t="str">
        <f>BS!$D$5</f>
        <v>31 March 2026</v>
      </c>
      <c r="GVH313" s="247" t="str">
        <f>BS!$E$5</f>
        <v>31 March 2025</v>
      </c>
      <c r="GVI313" s="1717"/>
      <c r="GVJ313" s="1718"/>
      <c r="GVK313" s="1718"/>
      <c r="GVL313" s="1718"/>
      <c r="GVM313" s="1718"/>
      <c r="GVN313" s="246"/>
      <c r="GVO313" s="246" t="str">
        <f>BS!$D$5</f>
        <v>31 March 2026</v>
      </c>
      <c r="GVP313" s="247" t="str">
        <f>BS!$E$5</f>
        <v>31 March 2025</v>
      </c>
      <c r="GVQ313" s="1717"/>
      <c r="GVR313" s="1718"/>
      <c r="GVS313" s="1718"/>
      <c r="GVT313" s="1718"/>
      <c r="GVU313" s="1718"/>
      <c r="GVV313" s="246"/>
      <c r="GVW313" s="246" t="str">
        <f>BS!$D$5</f>
        <v>31 March 2026</v>
      </c>
      <c r="GVX313" s="247" t="str">
        <f>BS!$E$5</f>
        <v>31 March 2025</v>
      </c>
      <c r="GVY313" s="1717"/>
      <c r="GVZ313" s="1718"/>
      <c r="GWA313" s="1718"/>
      <c r="GWB313" s="1718"/>
      <c r="GWC313" s="1718"/>
      <c r="GWD313" s="246"/>
      <c r="GWE313" s="246" t="str">
        <f>BS!$D$5</f>
        <v>31 March 2026</v>
      </c>
      <c r="GWF313" s="247" t="str">
        <f>BS!$E$5</f>
        <v>31 March 2025</v>
      </c>
      <c r="GWG313" s="1717"/>
      <c r="GWH313" s="1718"/>
      <c r="GWI313" s="1718"/>
      <c r="GWJ313" s="1718"/>
      <c r="GWK313" s="1718"/>
      <c r="GWL313" s="246"/>
      <c r="GWM313" s="246" t="str">
        <f>BS!$D$5</f>
        <v>31 March 2026</v>
      </c>
      <c r="GWN313" s="247" t="str">
        <f>BS!$E$5</f>
        <v>31 March 2025</v>
      </c>
      <c r="GWO313" s="1717"/>
      <c r="GWP313" s="1718"/>
      <c r="GWQ313" s="1718"/>
      <c r="GWR313" s="1718"/>
      <c r="GWS313" s="1718"/>
      <c r="GWT313" s="246"/>
      <c r="GWU313" s="246" t="str">
        <f>BS!$D$5</f>
        <v>31 March 2026</v>
      </c>
      <c r="GWV313" s="247" t="str">
        <f>BS!$E$5</f>
        <v>31 March 2025</v>
      </c>
      <c r="GWW313" s="1717"/>
      <c r="GWX313" s="1718"/>
      <c r="GWY313" s="1718"/>
      <c r="GWZ313" s="1718"/>
      <c r="GXA313" s="1718"/>
      <c r="GXB313" s="246"/>
      <c r="GXC313" s="246" t="str">
        <f>BS!$D$5</f>
        <v>31 March 2026</v>
      </c>
      <c r="GXD313" s="247" t="str">
        <f>BS!$E$5</f>
        <v>31 March 2025</v>
      </c>
      <c r="GXE313" s="1717"/>
      <c r="GXF313" s="1718"/>
      <c r="GXG313" s="1718"/>
      <c r="GXH313" s="1718"/>
      <c r="GXI313" s="1718"/>
      <c r="GXJ313" s="246"/>
      <c r="GXK313" s="246" t="str">
        <f>BS!$D$5</f>
        <v>31 March 2026</v>
      </c>
      <c r="GXL313" s="247" t="str">
        <f>BS!$E$5</f>
        <v>31 March 2025</v>
      </c>
      <c r="GXM313" s="1717"/>
      <c r="GXN313" s="1718"/>
      <c r="GXO313" s="1718"/>
      <c r="GXP313" s="1718"/>
      <c r="GXQ313" s="1718"/>
      <c r="GXR313" s="246"/>
      <c r="GXS313" s="246" t="str">
        <f>BS!$D$5</f>
        <v>31 March 2026</v>
      </c>
      <c r="GXT313" s="247" t="str">
        <f>BS!$E$5</f>
        <v>31 March 2025</v>
      </c>
      <c r="GXU313" s="1717"/>
      <c r="GXV313" s="1718"/>
      <c r="GXW313" s="1718"/>
      <c r="GXX313" s="1718"/>
      <c r="GXY313" s="1718"/>
      <c r="GXZ313" s="246"/>
      <c r="GYA313" s="246" t="str">
        <f>BS!$D$5</f>
        <v>31 March 2026</v>
      </c>
      <c r="GYB313" s="247" t="str">
        <f>BS!$E$5</f>
        <v>31 March 2025</v>
      </c>
      <c r="GYC313" s="1717"/>
      <c r="GYD313" s="1718"/>
      <c r="GYE313" s="1718"/>
      <c r="GYF313" s="1718"/>
      <c r="GYG313" s="1718"/>
      <c r="GYH313" s="246"/>
      <c r="GYI313" s="246" t="str">
        <f>BS!$D$5</f>
        <v>31 March 2026</v>
      </c>
      <c r="GYJ313" s="247" t="str">
        <f>BS!$E$5</f>
        <v>31 March 2025</v>
      </c>
      <c r="GYK313" s="1717"/>
      <c r="GYL313" s="1718"/>
      <c r="GYM313" s="1718"/>
      <c r="GYN313" s="1718"/>
      <c r="GYO313" s="1718"/>
      <c r="GYP313" s="246"/>
      <c r="GYQ313" s="246" t="str">
        <f>BS!$D$5</f>
        <v>31 March 2026</v>
      </c>
      <c r="GYR313" s="247" t="str">
        <f>BS!$E$5</f>
        <v>31 March 2025</v>
      </c>
      <c r="GYS313" s="1717"/>
      <c r="GYT313" s="1718"/>
      <c r="GYU313" s="1718"/>
      <c r="GYV313" s="1718"/>
      <c r="GYW313" s="1718"/>
      <c r="GYX313" s="246"/>
      <c r="GYY313" s="246" t="str">
        <f>BS!$D$5</f>
        <v>31 March 2026</v>
      </c>
      <c r="GYZ313" s="247" t="str">
        <f>BS!$E$5</f>
        <v>31 March 2025</v>
      </c>
      <c r="GZA313" s="1717"/>
      <c r="GZB313" s="1718"/>
      <c r="GZC313" s="1718"/>
      <c r="GZD313" s="1718"/>
      <c r="GZE313" s="1718"/>
      <c r="GZF313" s="246"/>
      <c r="GZG313" s="246" t="str">
        <f>BS!$D$5</f>
        <v>31 March 2026</v>
      </c>
      <c r="GZH313" s="247" t="str">
        <f>BS!$E$5</f>
        <v>31 March 2025</v>
      </c>
      <c r="GZI313" s="1717"/>
      <c r="GZJ313" s="1718"/>
      <c r="GZK313" s="1718"/>
      <c r="GZL313" s="1718"/>
      <c r="GZM313" s="1718"/>
      <c r="GZN313" s="246"/>
      <c r="GZO313" s="246" t="str">
        <f>BS!$D$5</f>
        <v>31 March 2026</v>
      </c>
      <c r="GZP313" s="247" t="str">
        <f>BS!$E$5</f>
        <v>31 March 2025</v>
      </c>
      <c r="GZQ313" s="1717"/>
      <c r="GZR313" s="1718"/>
      <c r="GZS313" s="1718"/>
      <c r="GZT313" s="1718"/>
      <c r="GZU313" s="1718"/>
      <c r="GZV313" s="246"/>
      <c r="GZW313" s="246" t="str">
        <f>BS!$D$5</f>
        <v>31 March 2026</v>
      </c>
      <c r="GZX313" s="247" t="str">
        <f>BS!$E$5</f>
        <v>31 March 2025</v>
      </c>
      <c r="GZY313" s="1717"/>
      <c r="GZZ313" s="1718"/>
      <c r="HAA313" s="1718"/>
      <c r="HAB313" s="1718"/>
      <c r="HAC313" s="1718"/>
      <c r="HAD313" s="246"/>
      <c r="HAE313" s="246" t="str">
        <f>BS!$D$5</f>
        <v>31 March 2026</v>
      </c>
      <c r="HAF313" s="247" t="str">
        <f>BS!$E$5</f>
        <v>31 March 2025</v>
      </c>
      <c r="HAG313" s="1717"/>
      <c r="HAH313" s="1718"/>
      <c r="HAI313" s="1718"/>
      <c r="HAJ313" s="1718"/>
      <c r="HAK313" s="1718"/>
      <c r="HAL313" s="246"/>
      <c r="HAM313" s="246" t="str">
        <f>BS!$D$5</f>
        <v>31 March 2026</v>
      </c>
      <c r="HAN313" s="247" t="str">
        <f>BS!$E$5</f>
        <v>31 March 2025</v>
      </c>
      <c r="HAO313" s="1717"/>
      <c r="HAP313" s="1718"/>
      <c r="HAQ313" s="1718"/>
      <c r="HAR313" s="1718"/>
      <c r="HAS313" s="1718"/>
      <c r="HAT313" s="246"/>
      <c r="HAU313" s="246" t="str">
        <f>BS!$D$5</f>
        <v>31 March 2026</v>
      </c>
      <c r="HAV313" s="247" t="str">
        <f>BS!$E$5</f>
        <v>31 March 2025</v>
      </c>
      <c r="HAW313" s="1717"/>
      <c r="HAX313" s="1718"/>
      <c r="HAY313" s="1718"/>
      <c r="HAZ313" s="1718"/>
      <c r="HBA313" s="1718"/>
      <c r="HBB313" s="246"/>
      <c r="HBC313" s="246" t="str">
        <f>BS!$D$5</f>
        <v>31 March 2026</v>
      </c>
      <c r="HBD313" s="247" t="str">
        <f>BS!$E$5</f>
        <v>31 March 2025</v>
      </c>
      <c r="HBE313" s="1717"/>
      <c r="HBF313" s="1718"/>
      <c r="HBG313" s="1718"/>
      <c r="HBH313" s="1718"/>
      <c r="HBI313" s="1718"/>
      <c r="HBJ313" s="246"/>
      <c r="HBK313" s="246" t="str">
        <f>BS!$D$5</f>
        <v>31 March 2026</v>
      </c>
      <c r="HBL313" s="247" t="str">
        <f>BS!$E$5</f>
        <v>31 March 2025</v>
      </c>
      <c r="HBM313" s="1717"/>
      <c r="HBN313" s="1718"/>
      <c r="HBO313" s="1718"/>
      <c r="HBP313" s="1718"/>
      <c r="HBQ313" s="1718"/>
      <c r="HBR313" s="246"/>
      <c r="HBS313" s="246" t="str">
        <f>BS!$D$5</f>
        <v>31 March 2026</v>
      </c>
      <c r="HBT313" s="247" t="str">
        <f>BS!$E$5</f>
        <v>31 March 2025</v>
      </c>
      <c r="HBU313" s="1717"/>
      <c r="HBV313" s="1718"/>
      <c r="HBW313" s="1718"/>
      <c r="HBX313" s="1718"/>
      <c r="HBY313" s="1718"/>
      <c r="HBZ313" s="246"/>
      <c r="HCA313" s="246" t="str">
        <f>BS!$D$5</f>
        <v>31 March 2026</v>
      </c>
      <c r="HCB313" s="247" t="str">
        <f>BS!$E$5</f>
        <v>31 March 2025</v>
      </c>
      <c r="HCC313" s="1717"/>
      <c r="HCD313" s="1718"/>
      <c r="HCE313" s="1718"/>
      <c r="HCF313" s="1718"/>
      <c r="HCG313" s="1718"/>
      <c r="HCH313" s="246"/>
      <c r="HCI313" s="246" t="str">
        <f>BS!$D$5</f>
        <v>31 March 2026</v>
      </c>
      <c r="HCJ313" s="247" t="str">
        <f>BS!$E$5</f>
        <v>31 March 2025</v>
      </c>
      <c r="HCK313" s="1717"/>
      <c r="HCL313" s="1718"/>
      <c r="HCM313" s="1718"/>
      <c r="HCN313" s="1718"/>
      <c r="HCO313" s="1718"/>
      <c r="HCP313" s="246"/>
      <c r="HCQ313" s="246" t="str">
        <f>BS!$D$5</f>
        <v>31 March 2026</v>
      </c>
      <c r="HCR313" s="247" t="str">
        <f>BS!$E$5</f>
        <v>31 March 2025</v>
      </c>
      <c r="HCS313" s="1717"/>
      <c r="HCT313" s="1718"/>
      <c r="HCU313" s="1718"/>
      <c r="HCV313" s="1718"/>
      <c r="HCW313" s="1718"/>
      <c r="HCX313" s="246"/>
      <c r="HCY313" s="246" t="str">
        <f>BS!$D$5</f>
        <v>31 March 2026</v>
      </c>
      <c r="HCZ313" s="247" t="str">
        <f>BS!$E$5</f>
        <v>31 March 2025</v>
      </c>
      <c r="HDA313" s="1717"/>
      <c r="HDB313" s="1718"/>
      <c r="HDC313" s="1718"/>
      <c r="HDD313" s="1718"/>
      <c r="HDE313" s="1718"/>
      <c r="HDF313" s="246"/>
      <c r="HDG313" s="246" t="str">
        <f>BS!$D$5</f>
        <v>31 March 2026</v>
      </c>
      <c r="HDH313" s="247" t="str">
        <f>BS!$E$5</f>
        <v>31 March 2025</v>
      </c>
      <c r="HDI313" s="1717"/>
      <c r="HDJ313" s="1718"/>
      <c r="HDK313" s="1718"/>
      <c r="HDL313" s="1718"/>
      <c r="HDM313" s="1718"/>
      <c r="HDN313" s="246"/>
      <c r="HDO313" s="246" t="str">
        <f>BS!$D$5</f>
        <v>31 March 2026</v>
      </c>
      <c r="HDP313" s="247" t="str">
        <f>BS!$E$5</f>
        <v>31 March 2025</v>
      </c>
      <c r="HDQ313" s="1717"/>
      <c r="HDR313" s="1718"/>
      <c r="HDS313" s="1718"/>
      <c r="HDT313" s="1718"/>
      <c r="HDU313" s="1718"/>
      <c r="HDV313" s="246"/>
      <c r="HDW313" s="246" t="str">
        <f>BS!$D$5</f>
        <v>31 March 2026</v>
      </c>
      <c r="HDX313" s="247" t="str">
        <f>BS!$E$5</f>
        <v>31 March 2025</v>
      </c>
      <c r="HDY313" s="1717"/>
      <c r="HDZ313" s="1718"/>
      <c r="HEA313" s="1718"/>
      <c r="HEB313" s="1718"/>
      <c r="HEC313" s="1718"/>
      <c r="HED313" s="246"/>
      <c r="HEE313" s="246" t="str">
        <f>BS!$D$5</f>
        <v>31 March 2026</v>
      </c>
      <c r="HEF313" s="247" t="str">
        <f>BS!$E$5</f>
        <v>31 March 2025</v>
      </c>
      <c r="HEG313" s="1717"/>
      <c r="HEH313" s="1718"/>
      <c r="HEI313" s="1718"/>
      <c r="HEJ313" s="1718"/>
      <c r="HEK313" s="1718"/>
      <c r="HEL313" s="246"/>
      <c r="HEM313" s="246" t="str">
        <f>BS!$D$5</f>
        <v>31 March 2026</v>
      </c>
      <c r="HEN313" s="247" t="str">
        <f>BS!$E$5</f>
        <v>31 March 2025</v>
      </c>
      <c r="HEO313" s="1717"/>
      <c r="HEP313" s="1718"/>
      <c r="HEQ313" s="1718"/>
      <c r="HER313" s="1718"/>
      <c r="HES313" s="1718"/>
      <c r="HET313" s="246"/>
      <c r="HEU313" s="246" t="str">
        <f>BS!$D$5</f>
        <v>31 March 2026</v>
      </c>
      <c r="HEV313" s="247" t="str">
        <f>BS!$E$5</f>
        <v>31 March 2025</v>
      </c>
      <c r="HEW313" s="1717"/>
      <c r="HEX313" s="1718"/>
      <c r="HEY313" s="1718"/>
      <c r="HEZ313" s="1718"/>
      <c r="HFA313" s="1718"/>
      <c r="HFB313" s="246"/>
      <c r="HFC313" s="246" t="str">
        <f>BS!$D$5</f>
        <v>31 March 2026</v>
      </c>
      <c r="HFD313" s="247" t="str">
        <f>BS!$E$5</f>
        <v>31 March 2025</v>
      </c>
      <c r="HFE313" s="1717"/>
      <c r="HFF313" s="1718"/>
      <c r="HFG313" s="1718"/>
      <c r="HFH313" s="1718"/>
      <c r="HFI313" s="1718"/>
      <c r="HFJ313" s="246"/>
      <c r="HFK313" s="246" t="str">
        <f>BS!$D$5</f>
        <v>31 March 2026</v>
      </c>
      <c r="HFL313" s="247" t="str">
        <f>BS!$E$5</f>
        <v>31 March 2025</v>
      </c>
      <c r="HFM313" s="1717"/>
      <c r="HFN313" s="1718"/>
      <c r="HFO313" s="1718"/>
      <c r="HFP313" s="1718"/>
      <c r="HFQ313" s="1718"/>
      <c r="HFR313" s="246"/>
      <c r="HFS313" s="246" t="str">
        <f>BS!$D$5</f>
        <v>31 March 2026</v>
      </c>
      <c r="HFT313" s="247" t="str">
        <f>BS!$E$5</f>
        <v>31 March 2025</v>
      </c>
      <c r="HFU313" s="1717"/>
      <c r="HFV313" s="1718"/>
      <c r="HFW313" s="1718"/>
      <c r="HFX313" s="1718"/>
      <c r="HFY313" s="1718"/>
      <c r="HFZ313" s="246"/>
      <c r="HGA313" s="246" t="str">
        <f>BS!$D$5</f>
        <v>31 March 2026</v>
      </c>
      <c r="HGB313" s="247" t="str">
        <f>BS!$E$5</f>
        <v>31 March 2025</v>
      </c>
      <c r="HGC313" s="1717"/>
      <c r="HGD313" s="1718"/>
      <c r="HGE313" s="1718"/>
      <c r="HGF313" s="1718"/>
      <c r="HGG313" s="1718"/>
      <c r="HGH313" s="246"/>
      <c r="HGI313" s="246" t="str">
        <f>BS!$D$5</f>
        <v>31 March 2026</v>
      </c>
      <c r="HGJ313" s="247" t="str">
        <f>BS!$E$5</f>
        <v>31 March 2025</v>
      </c>
      <c r="HGK313" s="1717"/>
      <c r="HGL313" s="1718"/>
      <c r="HGM313" s="1718"/>
      <c r="HGN313" s="1718"/>
      <c r="HGO313" s="1718"/>
      <c r="HGP313" s="246"/>
      <c r="HGQ313" s="246" t="str">
        <f>BS!$D$5</f>
        <v>31 March 2026</v>
      </c>
      <c r="HGR313" s="247" t="str">
        <f>BS!$E$5</f>
        <v>31 March 2025</v>
      </c>
      <c r="HGS313" s="1717"/>
      <c r="HGT313" s="1718"/>
      <c r="HGU313" s="1718"/>
      <c r="HGV313" s="1718"/>
      <c r="HGW313" s="1718"/>
      <c r="HGX313" s="246"/>
      <c r="HGY313" s="246" t="str">
        <f>BS!$D$5</f>
        <v>31 March 2026</v>
      </c>
      <c r="HGZ313" s="247" t="str">
        <f>BS!$E$5</f>
        <v>31 March 2025</v>
      </c>
      <c r="HHA313" s="1717"/>
      <c r="HHB313" s="1718"/>
      <c r="HHC313" s="1718"/>
      <c r="HHD313" s="1718"/>
      <c r="HHE313" s="1718"/>
      <c r="HHF313" s="246"/>
      <c r="HHG313" s="246" t="str">
        <f>BS!$D$5</f>
        <v>31 March 2026</v>
      </c>
      <c r="HHH313" s="247" t="str">
        <f>BS!$E$5</f>
        <v>31 March 2025</v>
      </c>
      <c r="HHI313" s="1717"/>
      <c r="HHJ313" s="1718"/>
      <c r="HHK313" s="1718"/>
      <c r="HHL313" s="1718"/>
      <c r="HHM313" s="1718"/>
      <c r="HHN313" s="246"/>
      <c r="HHO313" s="246" t="str">
        <f>BS!$D$5</f>
        <v>31 March 2026</v>
      </c>
      <c r="HHP313" s="247" t="str">
        <f>BS!$E$5</f>
        <v>31 March 2025</v>
      </c>
      <c r="HHQ313" s="1717"/>
      <c r="HHR313" s="1718"/>
      <c r="HHS313" s="1718"/>
      <c r="HHT313" s="1718"/>
      <c r="HHU313" s="1718"/>
      <c r="HHV313" s="246"/>
      <c r="HHW313" s="246" t="str">
        <f>BS!$D$5</f>
        <v>31 March 2026</v>
      </c>
      <c r="HHX313" s="247" t="str">
        <f>BS!$E$5</f>
        <v>31 March 2025</v>
      </c>
      <c r="HHY313" s="1717"/>
      <c r="HHZ313" s="1718"/>
      <c r="HIA313" s="1718"/>
      <c r="HIB313" s="1718"/>
      <c r="HIC313" s="1718"/>
      <c r="HID313" s="246"/>
      <c r="HIE313" s="246" t="str">
        <f>BS!$D$5</f>
        <v>31 March 2026</v>
      </c>
      <c r="HIF313" s="247" t="str">
        <f>BS!$E$5</f>
        <v>31 March 2025</v>
      </c>
      <c r="HIG313" s="1717"/>
      <c r="HIH313" s="1718"/>
      <c r="HII313" s="1718"/>
      <c r="HIJ313" s="1718"/>
      <c r="HIK313" s="1718"/>
      <c r="HIL313" s="246"/>
      <c r="HIM313" s="246" t="str">
        <f>BS!$D$5</f>
        <v>31 March 2026</v>
      </c>
      <c r="HIN313" s="247" t="str">
        <f>BS!$E$5</f>
        <v>31 March 2025</v>
      </c>
      <c r="HIO313" s="1717"/>
      <c r="HIP313" s="1718"/>
      <c r="HIQ313" s="1718"/>
      <c r="HIR313" s="1718"/>
      <c r="HIS313" s="1718"/>
      <c r="HIT313" s="246"/>
      <c r="HIU313" s="246" t="str">
        <f>BS!$D$5</f>
        <v>31 March 2026</v>
      </c>
      <c r="HIV313" s="247" t="str">
        <f>BS!$E$5</f>
        <v>31 March 2025</v>
      </c>
      <c r="HIW313" s="1717"/>
      <c r="HIX313" s="1718"/>
      <c r="HIY313" s="1718"/>
      <c r="HIZ313" s="1718"/>
      <c r="HJA313" s="1718"/>
      <c r="HJB313" s="246"/>
      <c r="HJC313" s="246" t="str">
        <f>BS!$D$5</f>
        <v>31 March 2026</v>
      </c>
      <c r="HJD313" s="247" t="str">
        <f>BS!$E$5</f>
        <v>31 March 2025</v>
      </c>
      <c r="HJE313" s="1717"/>
      <c r="HJF313" s="1718"/>
      <c r="HJG313" s="1718"/>
      <c r="HJH313" s="1718"/>
      <c r="HJI313" s="1718"/>
      <c r="HJJ313" s="246"/>
      <c r="HJK313" s="246" t="str">
        <f>BS!$D$5</f>
        <v>31 March 2026</v>
      </c>
      <c r="HJL313" s="247" t="str">
        <f>BS!$E$5</f>
        <v>31 March 2025</v>
      </c>
      <c r="HJM313" s="1717"/>
      <c r="HJN313" s="1718"/>
      <c r="HJO313" s="1718"/>
      <c r="HJP313" s="1718"/>
      <c r="HJQ313" s="1718"/>
      <c r="HJR313" s="246"/>
      <c r="HJS313" s="246" t="str">
        <f>BS!$D$5</f>
        <v>31 March 2026</v>
      </c>
      <c r="HJT313" s="247" t="str">
        <f>BS!$E$5</f>
        <v>31 March 2025</v>
      </c>
      <c r="HJU313" s="1717"/>
      <c r="HJV313" s="1718"/>
      <c r="HJW313" s="1718"/>
      <c r="HJX313" s="1718"/>
      <c r="HJY313" s="1718"/>
      <c r="HJZ313" s="246"/>
      <c r="HKA313" s="246" t="str">
        <f>BS!$D$5</f>
        <v>31 March 2026</v>
      </c>
      <c r="HKB313" s="247" t="str">
        <f>BS!$E$5</f>
        <v>31 March 2025</v>
      </c>
      <c r="HKC313" s="1717"/>
      <c r="HKD313" s="1718"/>
      <c r="HKE313" s="1718"/>
      <c r="HKF313" s="1718"/>
      <c r="HKG313" s="1718"/>
      <c r="HKH313" s="246"/>
      <c r="HKI313" s="246" t="str">
        <f>BS!$D$5</f>
        <v>31 March 2026</v>
      </c>
      <c r="HKJ313" s="247" t="str">
        <f>BS!$E$5</f>
        <v>31 March 2025</v>
      </c>
      <c r="HKK313" s="1717"/>
      <c r="HKL313" s="1718"/>
      <c r="HKM313" s="1718"/>
      <c r="HKN313" s="1718"/>
      <c r="HKO313" s="1718"/>
      <c r="HKP313" s="246"/>
      <c r="HKQ313" s="246" t="str">
        <f>BS!$D$5</f>
        <v>31 March 2026</v>
      </c>
      <c r="HKR313" s="247" t="str">
        <f>BS!$E$5</f>
        <v>31 March 2025</v>
      </c>
      <c r="HKS313" s="1717"/>
      <c r="HKT313" s="1718"/>
      <c r="HKU313" s="1718"/>
      <c r="HKV313" s="1718"/>
      <c r="HKW313" s="1718"/>
      <c r="HKX313" s="246"/>
      <c r="HKY313" s="246" t="str">
        <f>BS!$D$5</f>
        <v>31 March 2026</v>
      </c>
      <c r="HKZ313" s="247" t="str">
        <f>BS!$E$5</f>
        <v>31 March 2025</v>
      </c>
      <c r="HLA313" s="1717"/>
      <c r="HLB313" s="1718"/>
      <c r="HLC313" s="1718"/>
      <c r="HLD313" s="1718"/>
      <c r="HLE313" s="1718"/>
      <c r="HLF313" s="246"/>
      <c r="HLG313" s="246" t="str">
        <f>BS!$D$5</f>
        <v>31 March 2026</v>
      </c>
      <c r="HLH313" s="247" t="str">
        <f>BS!$E$5</f>
        <v>31 March 2025</v>
      </c>
      <c r="HLI313" s="1717"/>
      <c r="HLJ313" s="1718"/>
      <c r="HLK313" s="1718"/>
      <c r="HLL313" s="1718"/>
      <c r="HLM313" s="1718"/>
      <c r="HLN313" s="246"/>
      <c r="HLO313" s="246" t="str">
        <f>BS!$D$5</f>
        <v>31 March 2026</v>
      </c>
      <c r="HLP313" s="247" t="str">
        <f>BS!$E$5</f>
        <v>31 March 2025</v>
      </c>
      <c r="HLQ313" s="1717"/>
      <c r="HLR313" s="1718"/>
      <c r="HLS313" s="1718"/>
      <c r="HLT313" s="1718"/>
      <c r="HLU313" s="1718"/>
      <c r="HLV313" s="246"/>
      <c r="HLW313" s="246" t="str">
        <f>BS!$D$5</f>
        <v>31 March 2026</v>
      </c>
      <c r="HLX313" s="247" t="str">
        <f>BS!$E$5</f>
        <v>31 March 2025</v>
      </c>
      <c r="HLY313" s="1717"/>
      <c r="HLZ313" s="1718"/>
      <c r="HMA313" s="1718"/>
      <c r="HMB313" s="1718"/>
      <c r="HMC313" s="1718"/>
      <c r="HMD313" s="246"/>
      <c r="HME313" s="246" t="str">
        <f>BS!$D$5</f>
        <v>31 March 2026</v>
      </c>
      <c r="HMF313" s="247" t="str">
        <f>BS!$E$5</f>
        <v>31 March 2025</v>
      </c>
      <c r="HMG313" s="1717"/>
      <c r="HMH313" s="1718"/>
      <c r="HMI313" s="1718"/>
      <c r="HMJ313" s="1718"/>
      <c r="HMK313" s="1718"/>
      <c r="HML313" s="246"/>
      <c r="HMM313" s="246" t="str">
        <f>BS!$D$5</f>
        <v>31 March 2026</v>
      </c>
      <c r="HMN313" s="247" t="str">
        <f>BS!$E$5</f>
        <v>31 March 2025</v>
      </c>
      <c r="HMO313" s="1717"/>
      <c r="HMP313" s="1718"/>
      <c r="HMQ313" s="1718"/>
      <c r="HMR313" s="1718"/>
      <c r="HMS313" s="1718"/>
      <c r="HMT313" s="246"/>
      <c r="HMU313" s="246" t="str">
        <f>BS!$D$5</f>
        <v>31 March 2026</v>
      </c>
      <c r="HMV313" s="247" t="str">
        <f>BS!$E$5</f>
        <v>31 March 2025</v>
      </c>
      <c r="HMW313" s="1717"/>
      <c r="HMX313" s="1718"/>
      <c r="HMY313" s="1718"/>
      <c r="HMZ313" s="1718"/>
      <c r="HNA313" s="1718"/>
      <c r="HNB313" s="246"/>
      <c r="HNC313" s="246" t="str">
        <f>BS!$D$5</f>
        <v>31 March 2026</v>
      </c>
      <c r="HND313" s="247" t="str">
        <f>BS!$E$5</f>
        <v>31 March 2025</v>
      </c>
      <c r="HNE313" s="1717"/>
      <c r="HNF313" s="1718"/>
      <c r="HNG313" s="1718"/>
      <c r="HNH313" s="1718"/>
      <c r="HNI313" s="1718"/>
      <c r="HNJ313" s="246"/>
      <c r="HNK313" s="246" t="str">
        <f>BS!$D$5</f>
        <v>31 March 2026</v>
      </c>
      <c r="HNL313" s="247" t="str">
        <f>BS!$E$5</f>
        <v>31 March 2025</v>
      </c>
      <c r="HNM313" s="1717"/>
      <c r="HNN313" s="1718"/>
      <c r="HNO313" s="1718"/>
      <c r="HNP313" s="1718"/>
      <c r="HNQ313" s="1718"/>
      <c r="HNR313" s="246"/>
      <c r="HNS313" s="246" t="str">
        <f>BS!$D$5</f>
        <v>31 March 2026</v>
      </c>
      <c r="HNT313" s="247" t="str">
        <f>BS!$E$5</f>
        <v>31 March 2025</v>
      </c>
      <c r="HNU313" s="1717"/>
      <c r="HNV313" s="1718"/>
      <c r="HNW313" s="1718"/>
      <c r="HNX313" s="1718"/>
      <c r="HNY313" s="1718"/>
      <c r="HNZ313" s="246"/>
      <c r="HOA313" s="246" t="str">
        <f>BS!$D$5</f>
        <v>31 March 2026</v>
      </c>
      <c r="HOB313" s="247" t="str">
        <f>BS!$E$5</f>
        <v>31 March 2025</v>
      </c>
      <c r="HOC313" s="1717"/>
      <c r="HOD313" s="1718"/>
      <c r="HOE313" s="1718"/>
      <c r="HOF313" s="1718"/>
      <c r="HOG313" s="1718"/>
      <c r="HOH313" s="246"/>
      <c r="HOI313" s="246" t="str">
        <f>BS!$D$5</f>
        <v>31 March 2026</v>
      </c>
      <c r="HOJ313" s="247" t="str">
        <f>BS!$E$5</f>
        <v>31 March 2025</v>
      </c>
      <c r="HOK313" s="1717"/>
      <c r="HOL313" s="1718"/>
      <c r="HOM313" s="1718"/>
      <c r="HON313" s="1718"/>
      <c r="HOO313" s="1718"/>
      <c r="HOP313" s="246"/>
      <c r="HOQ313" s="246" t="str">
        <f>BS!$D$5</f>
        <v>31 March 2026</v>
      </c>
      <c r="HOR313" s="247" t="str">
        <f>BS!$E$5</f>
        <v>31 March 2025</v>
      </c>
      <c r="HOS313" s="1717"/>
      <c r="HOT313" s="1718"/>
      <c r="HOU313" s="1718"/>
      <c r="HOV313" s="1718"/>
      <c r="HOW313" s="1718"/>
      <c r="HOX313" s="246"/>
      <c r="HOY313" s="246" t="str">
        <f>BS!$D$5</f>
        <v>31 March 2026</v>
      </c>
      <c r="HOZ313" s="247" t="str">
        <f>BS!$E$5</f>
        <v>31 March 2025</v>
      </c>
      <c r="HPA313" s="1717"/>
      <c r="HPB313" s="1718"/>
      <c r="HPC313" s="1718"/>
      <c r="HPD313" s="1718"/>
      <c r="HPE313" s="1718"/>
      <c r="HPF313" s="246"/>
      <c r="HPG313" s="246" t="str">
        <f>BS!$D$5</f>
        <v>31 March 2026</v>
      </c>
      <c r="HPH313" s="247" t="str">
        <f>BS!$E$5</f>
        <v>31 March 2025</v>
      </c>
      <c r="HPI313" s="1717"/>
      <c r="HPJ313" s="1718"/>
      <c r="HPK313" s="1718"/>
      <c r="HPL313" s="1718"/>
      <c r="HPM313" s="1718"/>
      <c r="HPN313" s="246"/>
      <c r="HPO313" s="246" t="str">
        <f>BS!$D$5</f>
        <v>31 March 2026</v>
      </c>
      <c r="HPP313" s="247" t="str">
        <f>BS!$E$5</f>
        <v>31 March 2025</v>
      </c>
      <c r="HPQ313" s="1717"/>
      <c r="HPR313" s="1718"/>
      <c r="HPS313" s="1718"/>
      <c r="HPT313" s="1718"/>
      <c r="HPU313" s="1718"/>
      <c r="HPV313" s="246"/>
      <c r="HPW313" s="246" t="str">
        <f>BS!$D$5</f>
        <v>31 March 2026</v>
      </c>
      <c r="HPX313" s="247" t="str">
        <f>BS!$E$5</f>
        <v>31 March 2025</v>
      </c>
      <c r="HPY313" s="1717"/>
      <c r="HPZ313" s="1718"/>
      <c r="HQA313" s="1718"/>
      <c r="HQB313" s="1718"/>
      <c r="HQC313" s="1718"/>
      <c r="HQD313" s="246"/>
      <c r="HQE313" s="246" t="str">
        <f>BS!$D$5</f>
        <v>31 March 2026</v>
      </c>
      <c r="HQF313" s="247" t="str">
        <f>BS!$E$5</f>
        <v>31 March 2025</v>
      </c>
      <c r="HQG313" s="1717"/>
      <c r="HQH313" s="1718"/>
      <c r="HQI313" s="1718"/>
      <c r="HQJ313" s="1718"/>
      <c r="HQK313" s="1718"/>
      <c r="HQL313" s="246"/>
      <c r="HQM313" s="246" t="str">
        <f>BS!$D$5</f>
        <v>31 March 2026</v>
      </c>
      <c r="HQN313" s="247" t="str">
        <f>BS!$E$5</f>
        <v>31 March 2025</v>
      </c>
      <c r="HQO313" s="1717"/>
      <c r="HQP313" s="1718"/>
      <c r="HQQ313" s="1718"/>
      <c r="HQR313" s="1718"/>
      <c r="HQS313" s="1718"/>
      <c r="HQT313" s="246"/>
      <c r="HQU313" s="246" t="str">
        <f>BS!$D$5</f>
        <v>31 March 2026</v>
      </c>
      <c r="HQV313" s="247" t="str">
        <f>BS!$E$5</f>
        <v>31 March 2025</v>
      </c>
      <c r="HQW313" s="1717"/>
      <c r="HQX313" s="1718"/>
      <c r="HQY313" s="1718"/>
      <c r="HQZ313" s="1718"/>
      <c r="HRA313" s="1718"/>
      <c r="HRB313" s="246"/>
      <c r="HRC313" s="246" t="str">
        <f>BS!$D$5</f>
        <v>31 March 2026</v>
      </c>
      <c r="HRD313" s="247" t="str">
        <f>BS!$E$5</f>
        <v>31 March 2025</v>
      </c>
      <c r="HRE313" s="1717"/>
      <c r="HRF313" s="1718"/>
      <c r="HRG313" s="1718"/>
      <c r="HRH313" s="1718"/>
      <c r="HRI313" s="1718"/>
      <c r="HRJ313" s="246"/>
      <c r="HRK313" s="246" t="str">
        <f>BS!$D$5</f>
        <v>31 March 2026</v>
      </c>
      <c r="HRL313" s="247" t="str">
        <f>BS!$E$5</f>
        <v>31 March 2025</v>
      </c>
      <c r="HRM313" s="1717"/>
      <c r="HRN313" s="1718"/>
      <c r="HRO313" s="1718"/>
      <c r="HRP313" s="1718"/>
      <c r="HRQ313" s="1718"/>
      <c r="HRR313" s="246"/>
      <c r="HRS313" s="246" t="str">
        <f>BS!$D$5</f>
        <v>31 March 2026</v>
      </c>
      <c r="HRT313" s="247" t="str">
        <f>BS!$E$5</f>
        <v>31 March 2025</v>
      </c>
      <c r="HRU313" s="1717"/>
      <c r="HRV313" s="1718"/>
      <c r="HRW313" s="1718"/>
      <c r="HRX313" s="1718"/>
      <c r="HRY313" s="1718"/>
      <c r="HRZ313" s="246"/>
      <c r="HSA313" s="246" t="str">
        <f>BS!$D$5</f>
        <v>31 March 2026</v>
      </c>
      <c r="HSB313" s="247" t="str">
        <f>BS!$E$5</f>
        <v>31 March 2025</v>
      </c>
      <c r="HSC313" s="1717"/>
      <c r="HSD313" s="1718"/>
      <c r="HSE313" s="1718"/>
      <c r="HSF313" s="1718"/>
      <c r="HSG313" s="1718"/>
      <c r="HSH313" s="246"/>
      <c r="HSI313" s="246" t="str">
        <f>BS!$D$5</f>
        <v>31 March 2026</v>
      </c>
      <c r="HSJ313" s="247" t="str">
        <f>BS!$E$5</f>
        <v>31 March 2025</v>
      </c>
      <c r="HSK313" s="1717"/>
      <c r="HSL313" s="1718"/>
      <c r="HSM313" s="1718"/>
      <c r="HSN313" s="1718"/>
      <c r="HSO313" s="1718"/>
      <c r="HSP313" s="246"/>
      <c r="HSQ313" s="246" t="str">
        <f>BS!$D$5</f>
        <v>31 March 2026</v>
      </c>
      <c r="HSR313" s="247" t="str">
        <f>BS!$E$5</f>
        <v>31 March 2025</v>
      </c>
      <c r="HSS313" s="1717"/>
      <c r="HST313" s="1718"/>
      <c r="HSU313" s="1718"/>
      <c r="HSV313" s="1718"/>
      <c r="HSW313" s="1718"/>
      <c r="HSX313" s="246"/>
      <c r="HSY313" s="246" t="str">
        <f>BS!$D$5</f>
        <v>31 March 2026</v>
      </c>
      <c r="HSZ313" s="247" t="str">
        <f>BS!$E$5</f>
        <v>31 March 2025</v>
      </c>
      <c r="HTA313" s="1717"/>
      <c r="HTB313" s="1718"/>
      <c r="HTC313" s="1718"/>
      <c r="HTD313" s="1718"/>
      <c r="HTE313" s="1718"/>
      <c r="HTF313" s="246"/>
      <c r="HTG313" s="246" t="str">
        <f>BS!$D$5</f>
        <v>31 March 2026</v>
      </c>
      <c r="HTH313" s="247" t="str">
        <f>BS!$E$5</f>
        <v>31 March 2025</v>
      </c>
      <c r="HTI313" s="1717"/>
      <c r="HTJ313" s="1718"/>
      <c r="HTK313" s="1718"/>
      <c r="HTL313" s="1718"/>
      <c r="HTM313" s="1718"/>
      <c r="HTN313" s="246"/>
      <c r="HTO313" s="246" t="str">
        <f>BS!$D$5</f>
        <v>31 March 2026</v>
      </c>
      <c r="HTP313" s="247" t="str">
        <f>BS!$E$5</f>
        <v>31 March 2025</v>
      </c>
      <c r="HTQ313" s="1717"/>
      <c r="HTR313" s="1718"/>
      <c r="HTS313" s="1718"/>
      <c r="HTT313" s="1718"/>
      <c r="HTU313" s="1718"/>
      <c r="HTV313" s="246"/>
      <c r="HTW313" s="246" t="str">
        <f>BS!$D$5</f>
        <v>31 March 2026</v>
      </c>
      <c r="HTX313" s="247" t="str">
        <f>BS!$E$5</f>
        <v>31 March 2025</v>
      </c>
      <c r="HTY313" s="1717"/>
      <c r="HTZ313" s="1718"/>
      <c r="HUA313" s="1718"/>
      <c r="HUB313" s="1718"/>
      <c r="HUC313" s="1718"/>
      <c r="HUD313" s="246"/>
      <c r="HUE313" s="246" t="str">
        <f>BS!$D$5</f>
        <v>31 March 2026</v>
      </c>
      <c r="HUF313" s="247" t="str">
        <f>BS!$E$5</f>
        <v>31 March 2025</v>
      </c>
      <c r="HUG313" s="1717"/>
      <c r="HUH313" s="1718"/>
      <c r="HUI313" s="1718"/>
      <c r="HUJ313" s="1718"/>
      <c r="HUK313" s="1718"/>
      <c r="HUL313" s="246"/>
      <c r="HUM313" s="246" t="str">
        <f>BS!$D$5</f>
        <v>31 March 2026</v>
      </c>
      <c r="HUN313" s="247" t="str">
        <f>BS!$E$5</f>
        <v>31 March 2025</v>
      </c>
      <c r="HUO313" s="1717"/>
      <c r="HUP313" s="1718"/>
      <c r="HUQ313" s="1718"/>
      <c r="HUR313" s="1718"/>
      <c r="HUS313" s="1718"/>
      <c r="HUT313" s="246"/>
      <c r="HUU313" s="246" t="str">
        <f>BS!$D$5</f>
        <v>31 March 2026</v>
      </c>
      <c r="HUV313" s="247" t="str">
        <f>BS!$E$5</f>
        <v>31 March 2025</v>
      </c>
      <c r="HUW313" s="1717"/>
      <c r="HUX313" s="1718"/>
      <c r="HUY313" s="1718"/>
      <c r="HUZ313" s="1718"/>
      <c r="HVA313" s="1718"/>
      <c r="HVB313" s="246"/>
      <c r="HVC313" s="246" t="str">
        <f>BS!$D$5</f>
        <v>31 March 2026</v>
      </c>
      <c r="HVD313" s="247" t="str">
        <f>BS!$E$5</f>
        <v>31 March 2025</v>
      </c>
      <c r="HVE313" s="1717"/>
      <c r="HVF313" s="1718"/>
      <c r="HVG313" s="1718"/>
      <c r="HVH313" s="1718"/>
      <c r="HVI313" s="1718"/>
      <c r="HVJ313" s="246"/>
      <c r="HVK313" s="246" t="str">
        <f>BS!$D$5</f>
        <v>31 March 2026</v>
      </c>
      <c r="HVL313" s="247" t="str">
        <f>BS!$E$5</f>
        <v>31 March 2025</v>
      </c>
      <c r="HVM313" s="1717"/>
      <c r="HVN313" s="1718"/>
      <c r="HVO313" s="1718"/>
      <c r="HVP313" s="1718"/>
      <c r="HVQ313" s="1718"/>
      <c r="HVR313" s="246"/>
      <c r="HVS313" s="246" t="str">
        <f>BS!$D$5</f>
        <v>31 March 2026</v>
      </c>
      <c r="HVT313" s="247" t="str">
        <f>BS!$E$5</f>
        <v>31 March 2025</v>
      </c>
      <c r="HVU313" s="1717"/>
      <c r="HVV313" s="1718"/>
      <c r="HVW313" s="1718"/>
      <c r="HVX313" s="1718"/>
      <c r="HVY313" s="1718"/>
      <c r="HVZ313" s="246"/>
      <c r="HWA313" s="246" t="str">
        <f>BS!$D$5</f>
        <v>31 March 2026</v>
      </c>
      <c r="HWB313" s="247" t="str">
        <f>BS!$E$5</f>
        <v>31 March 2025</v>
      </c>
      <c r="HWC313" s="1717"/>
      <c r="HWD313" s="1718"/>
      <c r="HWE313" s="1718"/>
      <c r="HWF313" s="1718"/>
      <c r="HWG313" s="1718"/>
      <c r="HWH313" s="246"/>
      <c r="HWI313" s="246" t="str">
        <f>BS!$D$5</f>
        <v>31 March 2026</v>
      </c>
      <c r="HWJ313" s="247" t="str">
        <f>BS!$E$5</f>
        <v>31 March 2025</v>
      </c>
      <c r="HWK313" s="1717"/>
      <c r="HWL313" s="1718"/>
      <c r="HWM313" s="1718"/>
      <c r="HWN313" s="1718"/>
      <c r="HWO313" s="1718"/>
      <c r="HWP313" s="246"/>
      <c r="HWQ313" s="246" t="str">
        <f>BS!$D$5</f>
        <v>31 March 2026</v>
      </c>
      <c r="HWR313" s="247" t="str">
        <f>BS!$E$5</f>
        <v>31 March 2025</v>
      </c>
      <c r="HWS313" s="1717"/>
      <c r="HWT313" s="1718"/>
      <c r="HWU313" s="1718"/>
      <c r="HWV313" s="1718"/>
      <c r="HWW313" s="1718"/>
      <c r="HWX313" s="246"/>
      <c r="HWY313" s="246" t="str">
        <f>BS!$D$5</f>
        <v>31 March 2026</v>
      </c>
      <c r="HWZ313" s="247" t="str">
        <f>BS!$E$5</f>
        <v>31 March 2025</v>
      </c>
      <c r="HXA313" s="1717"/>
      <c r="HXB313" s="1718"/>
      <c r="HXC313" s="1718"/>
      <c r="HXD313" s="1718"/>
      <c r="HXE313" s="1718"/>
      <c r="HXF313" s="246"/>
      <c r="HXG313" s="246" t="str">
        <f>BS!$D$5</f>
        <v>31 March 2026</v>
      </c>
      <c r="HXH313" s="247" t="str">
        <f>BS!$E$5</f>
        <v>31 March 2025</v>
      </c>
      <c r="HXI313" s="1717"/>
      <c r="HXJ313" s="1718"/>
      <c r="HXK313" s="1718"/>
      <c r="HXL313" s="1718"/>
      <c r="HXM313" s="1718"/>
      <c r="HXN313" s="246"/>
      <c r="HXO313" s="246" t="str">
        <f>BS!$D$5</f>
        <v>31 March 2026</v>
      </c>
      <c r="HXP313" s="247" t="str">
        <f>BS!$E$5</f>
        <v>31 March 2025</v>
      </c>
      <c r="HXQ313" s="1717"/>
      <c r="HXR313" s="1718"/>
      <c r="HXS313" s="1718"/>
      <c r="HXT313" s="1718"/>
      <c r="HXU313" s="1718"/>
      <c r="HXV313" s="246"/>
      <c r="HXW313" s="246" t="str">
        <f>BS!$D$5</f>
        <v>31 March 2026</v>
      </c>
      <c r="HXX313" s="247" t="str">
        <f>BS!$E$5</f>
        <v>31 March 2025</v>
      </c>
      <c r="HXY313" s="1717"/>
      <c r="HXZ313" s="1718"/>
      <c r="HYA313" s="1718"/>
      <c r="HYB313" s="1718"/>
      <c r="HYC313" s="1718"/>
      <c r="HYD313" s="246"/>
      <c r="HYE313" s="246" t="str">
        <f>BS!$D$5</f>
        <v>31 March 2026</v>
      </c>
      <c r="HYF313" s="247" t="str">
        <f>BS!$E$5</f>
        <v>31 March 2025</v>
      </c>
      <c r="HYG313" s="1717"/>
      <c r="HYH313" s="1718"/>
      <c r="HYI313" s="1718"/>
      <c r="HYJ313" s="1718"/>
      <c r="HYK313" s="1718"/>
      <c r="HYL313" s="246"/>
      <c r="HYM313" s="246" t="str">
        <f>BS!$D$5</f>
        <v>31 March 2026</v>
      </c>
      <c r="HYN313" s="247" t="str">
        <f>BS!$E$5</f>
        <v>31 March 2025</v>
      </c>
      <c r="HYO313" s="1717"/>
      <c r="HYP313" s="1718"/>
      <c r="HYQ313" s="1718"/>
      <c r="HYR313" s="1718"/>
      <c r="HYS313" s="1718"/>
      <c r="HYT313" s="246"/>
      <c r="HYU313" s="246" t="str">
        <f>BS!$D$5</f>
        <v>31 March 2026</v>
      </c>
      <c r="HYV313" s="247" t="str">
        <f>BS!$E$5</f>
        <v>31 March 2025</v>
      </c>
      <c r="HYW313" s="1717"/>
      <c r="HYX313" s="1718"/>
      <c r="HYY313" s="1718"/>
      <c r="HYZ313" s="1718"/>
      <c r="HZA313" s="1718"/>
      <c r="HZB313" s="246"/>
      <c r="HZC313" s="246" t="str">
        <f>BS!$D$5</f>
        <v>31 March 2026</v>
      </c>
      <c r="HZD313" s="247" t="str">
        <f>BS!$E$5</f>
        <v>31 March 2025</v>
      </c>
      <c r="HZE313" s="1717"/>
      <c r="HZF313" s="1718"/>
      <c r="HZG313" s="1718"/>
      <c r="HZH313" s="1718"/>
      <c r="HZI313" s="1718"/>
      <c r="HZJ313" s="246"/>
      <c r="HZK313" s="246" t="str">
        <f>BS!$D$5</f>
        <v>31 March 2026</v>
      </c>
      <c r="HZL313" s="247" t="str">
        <f>BS!$E$5</f>
        <v>31 March 2025</v>
      </c>
      <c r="HZM313" s="1717"/>
      <c r="HZN313" s="1718"/>
      <c r="HZO313" s="1718"/>
      <c r="HZP313" s="1718"/>
      <c r="HZQ313" s="1718"/>
      <c r="HZR313" s="246"/>
      <c r="HZS313" s="246" t="str">
        <f>BS!$D$5</f>
        <v>31 March 2026</v>
      </c>
      <c r="HZT313" s="247" t="str">
        <f>BS!$E$5</f>
        <v>31 March 2025</v>
      </c>
      <c r="HZU313" s="1717"/>
      <c r="HZV313" s="1718"/>
      <c r="HZW313" s="1718"/>
      <c r="HZX313" s="1718"/>
      <c r="HZY313" s="1718"/>
      <c r="HZZ313" s="246"/>
      <c r="IAA313" s="246" t="str">
        <f>BS!$D$5</f>
        <v>31 March 2026</v>
      </c>
      <c r="IAB313" s="247" t="str">
        <f>BS!$E$5</f>
        <v>31 March 2025</v>
      </c>
      <c r="IAC313" s="1717"/>
      <c r="IAD313" s="1718"/>
      <c r="IAE313" s="1718"/>
      <c r="IAF313" s="1718"/>
      <c r="IAG313" s="1718"/>
      <c r="IAH313" s="246"/>
      <c r="IAI313" s="246" t="str">
        <f>BS!$D$5</f>
        <v>31 March 2026</v>
      </c>
      <c r="IAJ313" s="247" t="str">
        <f>BS!$E$5</f>
        <v>31 March 2025</v>
      </c>
      <c r="IAK313" s="1717"/>
      <c r="IAL313" s="1718"/>
      <c r="IAM313" s="1718"/>
      <c r="IAN313" s="1718"/>
      <c r="IAO313" s="1718"/>
      <c r="IAP313" s="246"/>
      <c r="IAQ313" s="246" t="str">
        <f>BS!$D$5</f>
        <v>31 March 2026</v>
      </c>
      <c r="IAR313" s="247" t="str">
        <f>BS!$E$5</f>
        <v>31 March 2025</v>
      </c>
      <c r="IAS313" s="1717"/>
      <c r="IAT313" s="1718"/>
      <c r="IAU313" s="1718"/>
      <c r="IAV313" s="1718"/>
      <c r="IAW313" s="1718"/>
      <c r="IAX313" s="246"/>
      <c r="IAY313" s="246" t="str">
        <f>BS!$D$5</f>
        <v>31 March 2026</v>
      </c>
      <c r="IAZ313" s="247" t="str">
        <f>BS!$E$5</f>
        <v>31 March 2025</v>
      </c>
      <c r="IBA313" s="1717"/>
      <c r="IBB313" s="1718"/>
      <c r="IBC313" s="1718"/>
      <c r="IBD313" s="1718"/>
      <c r="IBE313" s="1718"/>
      <c r="IBF313" s="246"/>
      <c r="IBG313" s="246" t="str">
        <f>BS!$D$5</f>
        <v>31 March 2026</v>
      </c>
      <c r="IBH313" s="247" t="str">
        <f>BS!$E$5</f>
        <v>31 March 2025</v>
      </c>
      <c r="IBI313" s="1717"/>
      <c r="IBJ313" s="1718"/>
      <c r="IBK313" s="1718"/>
      <c r="IBL313" s="1718"/>
      <c r="IBM313" s="1718"/>
      <c r="IBN313" s="246"/>
      <c r="IBO313" s="246" t="str">
        <f>BS!$D$5</f>
        <v>31 March 2026</v>
      </c>
      <c r="IBP313" s="247" t="str">
        <f>BS!$E$5</f>
        <v>31 March 2025</v>
      </c>
      <c r="IBQ313" s="1717"/>
      <c r="IBR313" s="1718"/>
      <c r="IBS313" s="1718"/>
      <c r="IBT313" s="1718"/>
      <c r="IBU313" s="1718"/>
      <c r="IBV313" s="246"/>
      <c r="IBW313" s="246" t="str">
        <f>BS!$D$5</f>
        <v>31 March 2026</v>
      </c>
      <c r="IBX313" s="247" t="str">
        <f>BS!$E$5</f>
        <v>31 March 2025</v>
      </c>
      <c r="IBY313" s="1717"/>
      <c r="IBZ313" s="1718"/>
      <c r="ICA313" s="1718"/>
      <c r="ICB313" s="1718"/>
      <c r="ICC313" s="1718"/>
      <c r="ICD313" s="246"/>
      <c r="ICE313" s="246" t="str">
        <f>BS!$D$5</f>
        <v>31 March 2026</v>
      </c>
      <c r="ICF313" s="247" t="str">
        <f>BS!$E$5</f>
        <v>31 March 2025</v>
      </c>
      <c r="ICG313" s="1717"/>
      <c r="ICH313" s="1718"/>
      <c r="ICI313" s="1718"/>
      <c r="ICJ313" s="1718"/>
      <c r="ICK313" s="1718"/>
      <c r="ICL313" s="246"/>
      <c r="ICM313" s="246" t="str">
        <f>BS!$D$5</f>
        <v>31 March 2026</v>
      </c>
      <c r="ICN313" s="247" t="str">
        <f>BS!$E$5</f>
        <v>31 March 2025</v>
      </c>
      <c r="ICO313" s="1717"/>
      <c r="ICP313" s="1718"/>
      <c r="ICQ313" s="1718"/>
      <c r="ICR313" s="1718"/>
      <c r="ICS313" s="1718"/>
      <c r="ICT313" s="246"/>
      <c r="ICU313" s="246" t="str">
        <f>BS!$D$5</f>
        <v>31 March 2026</v>
      </c>
      <c r="ICV313" s="247" t="str">
        <f>BS!$E$5</f>
        <v>31 March 2025</v>
      </c>
      <c r="ICW313" s="1717"/>
      <c r="ICX313" s="1718"/>
      <c r="ICY313" s="1718"/>
      <c r="ICZ313" s="1718"/>
      <c r="IDA313" s="1718"/>
      <c r="IDB313" s="246"/>
      <c r="IDC313" s="246" t="str">
        <f>BS!$D$5</f>
        <v>31 March 2026</v>
      </c>
      <c r="IDD313" s="247" t="str">
        <f>BS!$E$5</f>
        <v>31 March 2025</v>
      </c>
      <c r="IDE313" s="1717"/>
      <c r="IDF313" s="1718"/>
      <c r="IDG313" s="1718"/>
      <c r="IDH313" s="1718"/>
      <c r="IDI313" s="1718"/>
      <c r="IDJ313" s="246"/>
      <c r="IDK313" s="246" t="str">
        <f>BS!$D$5</f>
        <v>31 March 2026</v>
      </c>
      <c r="IDL313" s="247" t="str">
        <f>BS!$E$5</f>
        <v>31 March 2025</v>
      </c>
      <c r="IDM313" s="1717"/>
      <c r="IDN313" s="1718"/>
      <c r="IDO313" s="1718"/>
      <c r="IDP313" s="1718"/>
      <c r="IDQ313" s="1718"/>
      <c r="IDR313" s="246"/>
      <c r="IDS313" s="246" t="str">
        <f>BS!$D$5</f>
        <v>31 March 2026</v>
      </c>
      <c r="IDT313" s="247" t="str">
        <f>BS!$E$5</f>
        <v>31 March 2025</v>
      </c>
      <c r="IDU313" s="1717"/>
      <c r="IDV313" s="1718"/>
      <c r="IDW313" s="1718"/>
      <c r="IDX313" s="1718"/>
      <c r="IDY313" s="1718"/>
      <c r="IDZ313" s="246"/>
      <c r="IEA313" s="246" t="str">
        <f>BS!$D$5</f>
        <v>31 March 2026</v>
      </c>
      <c r="IEB313" s="247" t="str">
        <f>BS!$E$5</f>
        <v>31 March 2025</v>
      </c>
      <c r="IEC313" s="1717"/>
      <c r="IED313" s="1718"/>
      <c r="IEE313" s="1718"/>
      <c r="IEF313" s="1718"/>
      <c r="IEG313" s="1718"/>
      <c r="IEH313" s="246"/>
      <c r="IEI313" s="246" t="str">
        <f>BS!$D$5</f>
        <v>31 March 2026</v>
      </c>
      <c r="IEJ313" s="247" t="str">
        <f>BS!$E$5</f>
        <v>31 March 2025</v>
      </c>
      <c r="IEK313" s="1717"/>
      <c r="IEL313" s="1718"/>
      <c r="IEM313" s="1718"/>
      <c r="IEN313" s="1718"/>
      <c r="IEO313" s="1718"/>
      <c r="IEP313" s="246"/>
      <c r="IEQ313" s="246" t="str">
        <f>BS!$D$5</f>
        <v>31 March 2026</v>
      </c>
      <c r="IER313" s="247" t="str">
        <f>BS!$E$5</f>
        <v>31 March 2025</v>
      </c>
      <c r="IES313" s="1717"/>
      <c r="IET313" s="1718"/>
      <c r="IEU313" s="1718"/>
      <c r="IEV313" s="1718"/>
      <c r="IEW313" s="1718"/>
      <c r="IEX313" s="246"/>
      <c r="IEY313" s="246" t="str">
        <f>BS!$D$5</f>
        <v>31 March 2026</v>
      </c>
      <c r="IEZ313" s="247" t="str">
        <f>BS!$E$5</f>
        <v>31 March 2025</v>
      </c>
      <c r="IFA313" s="1717"/>
      <c r="IFB313" s="1718"/>
      <c r="IFC313" s="1718"/>
      <c r="IFD313" s="1718"/>
      <c r="IFE313" s="1718"/>
      <c r="IFF313" s="246"/>
      <c r="IFG313" s="246" t="str">
        <f>BS!$D$5</f>
        <v>31 March 2026</v>
      </c>
      <c r="IFH313" s="247" t="str">
        <f>BS!$E$5</f>
        <v>31 March 2025</v>
      </c>
      <c r="IFI313" s="1717"/>
      <c r="IFJ313" s="1718"/>
      <c r="IFK313" s="1718"/>
      <c r="IFL313" s="1718"/>
      <c r="IFM313" s="1718"/>
      <c r="IFN313" s="246"/>
      <c r="IFO313" s="246" t="str">
        <f>BS!$D$5</f>
        <v>31 March 2026</v>
      </c>
      <c r="IFP313" s="247" t="str">
        <f>BS!$E$5</f>
        <v>31 March 2025</v>
      </c>
      <c r="IFQ313" s="1717"/>
      <c r="IFR313" s="1718"/>
      <c r="IFS313" s="1718"/>
      <c r="IFT313" s="1718"/>
      <c r="IFU313" s="1718"/>
      <c r="IFV313" s="246"/>
      <c r="IFW313" s="246" t="str">
        <f>BS!$D$5</f>
        <v>31 March 2026</v>
      </c>
      <c r="IFX313" s="247" t="str">
        <f>BS!$E$5</f>
        <v>31 March 2025</v>
      </c>
      <c r="IFY313" s="1717"/>
      <c r="IFZ313" s="1718"/>
      <c r="IGA313" s="1718"/>
      <c r="IGB313" s="1718"/>
      <c r="IGC313" s="1718"/>
      <c r="IGD313" s="246"/>
      <c r="IGE313" s="246" t="str">
        <f>BS!$D$5</f>
        <v>31 March 2026</v>
      </c>
      <c r="IGF313" s="247" t="str">
        <f>BS!$E$5</f>
        <v>31 March 2025</v>
      </c>
      <c r="IGG313" s="1717"/>
      <c r="IGH313" s="1718"/>
      <c r="IGI313" s="1718"/>
      <c r="IGJ313" s="1718"/>
      <c r="IGK313" s="1718"/>
      <c r="IGL313" s="246"/>
      <c r="IGM313" s="246" t="str">
        <f>BS!$D$5</f>
        <v>31 March 2026</v>
      </c>
      <c r="IGN313" s="247" t="str">
        <f>BS!$E$5</f>
        <v>31 March 2025</v>
      </c>
      <c r="IGO313" s="1717"/>
      <c r="IGP313" s="1718"/>
      <c r="IGQ313" s="1718"/>
      <c r="IGR313" s="1718"/>
      <c r="IGS313" s="1718"/>
      <c r="IGT313" s="246"/>
      <c r="IGU313" s="246" t="str">
        <f>BS!$D$5</f>
        <v>31 March 2026</v>
      </c>
      <c r="IGV313" s="247" t="str">
        <f>BS!$E$5</f>
        <v>31 March 2025</v>
      </c>
      <c r="IGW313" s="1717"/>
      <c r="IGX313" s="1718"/>
      <c r="IGY313" s="1718"/>
      <c r="IGZ313" s="1718"/>
      <c r="IHA313" s="1718"/>
      <c r="IHB313" s="246"/>
      <c r="IHC313" s="246" t="str">
        <f>BS!$D$5</f>
        <v>31 March 2026</v>
      </c>
      <c r="IHD313" s="247" t="str">
        <f>BS!$E$5</f>
        <v>31 March 2025</v>
      </c>
      <c r="IHE313" s="1717"/>
      <c r="IHF313" s="1718"/>
      <c r="IHG313" s="1718"/>
      <c r="IHH313" s="1718"/>
      <c r="IHI313" s="1718"/>
      <c r="IHJ313" s="246"/>
      <c r="IHK313" s="246" t="str">
        <f>BS!$D$5</f>
        <v>31 March 2026</v>
      </c>
      <c r="IHL313" s="247" t="str">
        <f>BS!$E$5</f>
        <v>31 March 2025</v>
      </c>
      <c r="IHM313" s="1717"/>
      <c r="IHN313" s="1718"/>
      <c r="IHO313" s="1718"/>
      <c r="IHP313" s="1718"/>
      <c r="IHQ313" s="1718"/>
      <c r="IHR313" s="246"/>
      <c r="IHS313" s="246" t="str">
        <f>BS!$D$5</f>
        <v>31 March 2026</v>
      </c>
      <c r="IHT313" s="247" t="str">
        <f>BS!$E$5</f>
        <v>31 March 2025</v>
      </c>
      <c r="IHU313" s="1717"/>
      <c r="IHV313" s="1718"/>
      <c r="IHW313" s="1718"/>
      <c r="IHX313" s="1718"/>
      <c r="IHY313" s="1718"/>
      <c r="IHZ313" s="246"/>
      <c r="IIA313" s="246" t="str">
        <f>BS!$D$5</f>
        <v>31 March 2026</v>
      </c>
      <c r="IIB313" s="247" t="str">
        <f>BS!$E$5</f>
        <v>31 March 2025</v>
      </c>
      <c r="IIC313" s="1717"/>
      <c r="IID313" s="1718"/>
      <c r="IIE313" s="1718"/>
      <c r="IIF313" s="1718"/>
      <c r="IIG313" s="1718"/>
      <c r="IIH313" s="246"/>
      <c r="III313" s="246" t="str">
        <f>BS!$D$5</f>
        <v>31 March 2026</v>
      </c>
      <c r="IIJ313" s="247" t="str">
        <f>BS!$E$5</f>
        <v>31 March 2025</v>
      </c>
      <c r="IIK313" s="1717"/>
      <c r="IIL313" s="1718"/>
      <c r="IIM313" s="1718"/>
      <c r="IIN313" s="1718"/>
      <c r="IIO313" s="1718"/>
      <c r="IIP313" s="246"/>
      <c r="IIQ313" s="246" t="str">
        <f>BS!$D$5</f>
        <v>31 March 2026</v>
      </c>
      <c r="IIR313" s="247" t="str">
        <f>BS!$E$5</f>
        <v>31 March 2025</v>
      </c>
      <c r="IIS313" s="1717"/>
      <c r="IIT313" s="1718"/>
      <c r="IIU313" s="1718"/>
      <c r="IIV313" s="1718"/>
      <c r="IIW313" s="1718"/>
      <c r="IIX313" s="246"/>
      <c r="IIY313" s="246" t="str">
        <f>BS!$D$5</f>
        <v>31 March 2026</v>
      </c>
      <c r="IIZ313" s="247" t="str">
        <f>BS!$E$5</f>
        <v>31 March 2025</v>
      </c>
      <c r="IJA313" s="1717"/>
      <c r="IJB313" s="1718"/>
      <c r="IJC313" s="1718"/>
      <c r="IJD313" s="1718"/>
      <c r="IJE313" s="1718"/>
      <c r="IJF313" s="246"/>
      <c r="IJG313" s="246" t="str">
        <f>BS!$D$5</f>
        <v>31 March 2026</v>
      </c>
      <c r="IJH313" s="247" t="str">
        <f>BS!$E$5</f>
        <v>31 March 2025</v>
      </c>
      <c r="IJI313" s="1717"/>
      <c r="IJJ313" s="1718"/>
      <c r="IJK313" s="1718"/>
      <c r="IJL313" s="1718"/>
      <c r="IJM313" s="1718"/>
      <c r="IJN313" s="246"/>
      <c r="IJO313" s="246" t="str">
        <f>BS!$D$5</f>
        <v>31 March 2026</v>
      </c>
      <c r="IJP313" s="247" t="str">
        <f>BS!$E$5</f>
        <v>31 March 2025</v>
      </c>
      <c r="IJQ313" s="1717"/>
      <c r="IJR313" s="1718"/>
      <c r="IJS313" s="1718"/>
      <c r="IJT313" s="1718"/>
      <c r="IJU313" s="1718"/>
      <c r="IJV313" s="246"/>
      <c r="IJW313" s="246" t="str">
        <f>BS!$D$5</f>
        <v>31 March 2026</v>
      </c>
      <c r="IJX313" s="247" t="str">
        <f>BS!$E$5</f>
        <v>31 March 2025</v>
      </c>
      <c r="IJY313" s="1717"/>
      <c r="IJZ313" s="1718"/>
      <c r="IKA313" s="1718"/>
      <c r="IKB313" s="1718"/>
      <c r="IKC313" s="1718"/>
      <c r="IKD313" s="246"/>
      <c r="IKE313" s="246" t="str">
        <f>BS!$D$5</f>
        <v>31 March 2026</v>
      </c>
      <c r="IKF313" s="247" t="str">
        <f>BS!$E$5</f>
        <v>31 March 2025</v>
      </c>
      <c r="IKG313" s="1717"/>
      <c r="IKH313" s="1718"/>
      <c r="IKI313" s="1718"/>
      <c r="IKJ313" s="1718"/>
      <c r="IKK313" s="1718"/>
      <c r="IKL313" s="246"/>
      <c r="IKM313" s="246" t="str">
        <f>BS!$D$5</f>
        <v>31 March 2026</v>
      </c>
      <c r="IKN313" s="247" t="str">
        <f>BS!$E$5</f>
        <v>31 March 2025</v>
      </c>
      <c r="IKO313" s="1717"/>
      <c r="IKP313" s="1718"/>
      <c r="IKQ313" s="1718"/>
      <c r="IKR313" s="1718"/>
      <c r="IKS313" s="1718"/>
      <c r="IKT313" s="246"/>
      <c r="IKU313" s="246" t="str">
        <f>BS!$D$5</f>
        <v>31 March 2026</v>
      </c>
      <c r="IKV313" s="247" t="str">
        <f>BS!$E$5</f>
        <v>31 March 2025</v>
      </c>
      <c r="IKW313" s="1717"/>
      <c r="IKX313" s="1718"/>
      <c r="IKY313" s="1718"/>
      <c r="IKZ313" s="1718"/>
      <c r="ILA313" s="1718"/>
      <c r="ILB313" s="246"/>
      <c r="ILC313" s="246" t="str">
        <f>BS!$D$5</f>
        <v>31 March 2026</v>
      </c>
      <c r="ILD313" s="247" t="str">
        <f>BS!$E$5</f>
        <v>31 March 2025</v>
      </c>
      <c r="ILE313" s="1717"/>
      <c r="ILF313" s="1718"/>
      <c r="ILG313" s="1718"/>
      <c r="ILH313" s="1718"/>
      <c r="ILI313" s="1718"/>
      <c r="ILJ313" s="246"/>
      <c r="ILK313" s="246" t="str">
        <f>BS!$D$5</f>
        <v>31 March 2026</v>
      </c>
      <c r="ILL313" s="247" t="str">
        <f>BS!$E$5</f>
        <v>31 March 2025</v>
      </c>
      <c r="ILM313" s="1717"/>
      <c r="ILN313" s="1718"/>
      <c r="ILO313" s="1718"/>
      <c r="ILP313" s="1718"/>
      <c r="ILQ313" s="1718"/>
      <c r="ILR313" s="246"/>
      <c r="ILS313" s="246" t="str">
        <f>BS!$D$5</f>
        <v>31 March 2026</v>
      </c>
      <c r="ILT313" s="247" t="str">
        <f>BS!$E$5</f>
        <v>31 March 2025</v>
      </c>
      <c r="ILU313" s="1717"/>
      <c r="ILV313" s="1718"/>
      <c r="ILW313" s="1718"/>
      <c r="ILX313" s="1718"/>
      <c r="ILY313" s="1718"/>
      <c r="ILZ313" s="246"/>
      <c r="IMA313" s="246" t="str">
        <f>BS!$D$5</f>
        <v>31 March 2026</v>
      </c>
      <c r="IMB313" s="247" t="str">
        <f>BS!$E$5</f>
        <v>31 March 2025</v>
      </c>
      <c r="IMC313" s="1717"/>
      <c r="IMD313" s="1718"/>
      <c r="IME313" s="1718"/>
      <c r="IMF313" s="1718"/>
      <c r="IMG313" s="1718"/>
      <c r="IMH313" s="246"/>
      <c r="IMI313" s="246" t="str">
        <f>BS!$D$5</f>
        <v>31 March 2026</v>
      </c>
      <c r="IMJ313" s="247" t="str">
        <f>BS!$E$5</f>
        <v>31 March 2025</v>
      </c>
      <c r="IMK313" s="1717"/>
      <c r="IML313" s="1718"/>
      <c r="IMM313" s="1718"/>
      <c r="IMN313" s="1718"/>
      <c r="IMO313" s="1718"/>
      <c r="IMP313" s="246"/>
      <c r="IMQ313" s="246" t="str">
        <f>BS!$D$5</f>
        <v>31 March 2026</v>
      </c>
      <c r="IMR313" s="247" t="str">
        <f>BS!$E$5</f>
        <v>31 March 2025</v>
      </c>
      <c r="IMS313" s="1717"/>
      <c r="IMT313" s="1718"/>
      <c r="IMU313" s="1718"/>
      <c r="IMV313" s="1718"/>
      <c r="IMW313" s="1718"/>
      <c r="IMX313" s="246"/>
      <c r="IMY313" s="246" t="str">
        <f>BS!$D$5</f>
        <v>31 March 2026</v>
      </c>
      <c r="IMZ313" s="247" t="str">
        <f>BS!$E$5</f>
        <v>31 March 2025</v>
      </c>
      <c r="INA313" s="1717"/>
      <c r="INB313" s="1718"/>
      <c r="INC313" s="1718"/>
      <c r="IND313" s="1718"/>
      <c r="INE313" s="1718"/>
      <c r="INF313" s="246"/>
      <c r="ING313" s="246" t="str">
        <f>BS!$D$5</f>
        <v>31 March 2026</v>
      </c>
      <c r="INH313" s="247" t="str">
        <f>BS!$E$5</f>
        <v>31 March 2025</v>
      </c>
      <c r="INI313" s="1717"/>
      <c r="INJ313" s="1718"/>
      <c r="INK313" s="1718"/>
      <c r="INL313" s="1718"/>
      <c r="INM313" s="1718"/>
      <c r="INN313" s="246"/>
      <c r="INO313" s="246" t="str">
        <f>BS!$D$5</f>
        <v>31 March 2026</v>
      </c>
      <c r="INP313" s="247" t="str">
        <f>BS!$E$5</f>
        <v>31 March 2025</v>
      </c>
      <c r="INQ313" s="1717"/>
      <c r="INR313" s="1718"/>
      <c r="INS313" s="1718"/>
      <c r="INT313" s="1718"/>
      <c r="INU313" s="1718"/>
      <c r="INV313" s="246"/>
      <c r="INW313" s="246" t="str">
        <f>BS!$D$5</f>
        <v>31 March 2026</v>
      </c>
      <c r="INX313" s="247" t="str">
        <f>BS!$E$5</f>
        <v>31 March 2025</v>
      </c>
      <c r="INY313" s="1717"/>
      <c r="INZ313" s="1718"/>
      <c r="IOA313" s="1718"/>
      <c r="IOB313" s="1718"/>
      <c r="IOC313" s="1718"/>
      <c r="IOD313" s="246"/>
      <c r="IOE313" s="246" t="str">
        <f>BS!$D$5</f>
        <v>31 March 2026</v>
      </c>
      <c r="IOF313" s="247" t="str">
        <f>BS!$E$5</f>
        <v>31 March 2025</v>
      </c>
      <c r="IOG313" s="1717"/>
      <c r="IOH313" s="1718"/>
      <c r="IOI313" s="1718"/>
      <c r="IOJ313" s="1718"/>
      <c r="IOK313" s="1718"/>
      <c r="IOL313" s="246"/>
      <c r="IOM313" s="246" t="str">
        <f>BS!$D$5</f>
        <v>31 March 2026</v>
      </c>
      <c r="ION313" s="247" t="str">
        <f>BS!$E$5</f>
        <v>31 March 2025</v>
      </c>
      <c r="IOO313" s="1717"/>
      <c r="IOP313" s="1718"/>
      <c r="IOQ313" s="1718"/>
      <c r="IOR313" s="1718"/>
      <c r="IOS313" s="1718"/>
      <c r="IOT313" s="246"/>
      <c r="IOU313" s="246" t="str">
        <f>BS!$D$5</f>
        <v>31 March 2026</v>
      </c>
      <c r="IOV313" s="247" t="str">
        <f>BS!$E$5</f>
        <v>31 March 2025</v>
      </c>
      <c r="IOW313" s="1717"/>
      <c r="IOX313" s="1718"/>
      <c r="IOY313" s="1718"/>
      <c r="IOZ313" s="1718"/>
      <c r="IPA313" s="1718"/>
      <c r="IPB313" s="246"/>
      <c r="IPC313" s="246" t="str">
        <f>BS!$D$5</f>
        <v>31 March 2026</v>
      </c>
      <c r="IPD313" s="247" t="str">
        <f>BS!$E$5</f>
        <v>31 March 2025</v>
      </c>
      <c r="IPE313" s="1717"/>
      <c r="IPF313" s="1718"/>
      <c r="IPG313" s="1718"/>
      <c r="IPH313" s="1718"/>
      <c r="IPI313" s="1718"/>
      <c r="IPJ313" s="246"/>
      <c r="IPK313" s="246" t="str">
        <f>BS!$D$5</f>
        <v>31 March 2026</v>
      </c>
      <c r="IPL313" s="247" t="str">
        <f>BS!$E$5</f>
        <v>31 March 2025</v>
      </c>
      <c r="IPM313" s="1717"/>
      <c r="IPN313" s="1718"/>
      <c r="IPO313" s="1718"/>
      <c r="IPP313" s="1718"/>
      <c r="IPQ313" s="1718"/>
      <c r="IPR313" s="246"/>
      <c r="IPS313" s="246" t="str">
        <f>BS!$D$5</f>
        <v>31 March 2026</v>
      </c>
      <c r="IPT313" s="247" t="str">
        <f>BS!$E$5</f>
        <v>31 March 2025</v>
      </c>
      <c r="IPU313" s="1717"/>
      <c r="IPV313" s="1718"/>
      <c r="IPW313" s="1718"/>
      <c r="IPX313" s="1718"/>
      <c r="IPY313" s="1718"/>
      <c r="IPZ313" s="246"/>
      <c r="IQA313" s="246" t="str">
        <f>BS!$D$5</f>
        <v>31 March 2026</v>
      </c>
      <c r="IQB313" s="247" t="str">
        <f>BS!$E$5</f>
        <v>31 March 2025</v>
      </c>
      <c r="IQC313" s="1717"/>
      <c r="IQD313" s="1718"/>
      <c r="IQE313" s="1718"/>
      <c r="IQF313" s="1718"/>
      <c r="IQG313" s="1718"/>
      <c r="IQH313" s="246"/>
      <c r="IQI313" s="246" t="str">
        <f>BS!$D$5</f>
        <v>31 March 2026</v>
      </c>
      <c r="IQJ313" s="247" t="str">
        <f>BS!$E$5</f>
        <v>31 March 2025</v>
      </c>
      <c r="IQK313" s="1717"/>
      <c r="IQL313" s="1718"/>
      <c r="IQM313" s="1718"/>
      <c r="IQN313" s="1718"/>
      <c r="IQO313" s="1718"/>
      <c r="IQP313" s="246"/>
      <c r="IQQ313" s="246" t="str">
        <f>BS!$D$5</f>
        <v>31 March 2026</v>
      </c>
      <c r="IQR313" s="247" t="str">
        <f>BS!$E$5</f>
        <v>31 March 2025</v>
      </c>
      <c r="IQS313" s="1717"/>
      <c r="IQT313" s="1718"/>
      <c r="IQU313" s="1718"/>
      <c r="IQV313" s="1718"/>
      <c r="IQW313" s="1718"/>
      <c r="IQX313" s="246"/>
      <c r="IQY313" s="246" t="str">
        <f>BS!$D$5</f>
        <v>31 March 2026</v>
      </c>
      <c r="IQZ313" s="247" t="str">
        <f>BS!$E$5</f>
        <v>31 March 2025</v>
      </c>
      <c r="IRA313" s="1717"/>
      <c r="IRB313" s="1718"/>
      <c r="IRC313" s="1718"/>
      <c r="IRD313" s="1718"/>
      <c r="IRE313" s="1718"/>
      <c r="IRF313" s="246"/>
      <c r="IRG313" s="246" t="str">
        <f>BS!$D$5</f>
        <v>31 March 2026</v>
      </c>
      <c r="IRH313" s="247" t="str">
        <f>BS!$E$5</f>
        <v>31 March 2025</v>
      </c>
      <c r="IRI313" s="1717"/>
      <c r="IRJ313" s="1718"/>
      <c r="IRK313" s="1718"/>
      <c r="IRL313" s="1718"/>
      <c r="IRM313" s="1718"/>
      <c r="IRN313" s="246"/>
      <c r="IRO313" s="246" t="str">
        <f>BS!$D$5</f>
        <v>31 March 2026</v>
      </c>
      <c r="IRP313" s="247" t="str">
        <f>BS!$E$5</f>
        <v>31 March 2025</v>
      </c>
      <c r="IRQ313" s="1717"/>
      <c r="IRR313" s="1718"/>
      <c r="IRS313" s="1718"/>
      <c r="IRT313" s="1718"/>
      <c r="IRU313" s="1718"/>
      <c r="IRV313" s="246"/>
      <c r="IRW313" s="246" t="str">
        <f>BS!$D$5</f>
        <v>31 March 2026</v>
      </c>
      <c r="IRX313" s="247" t="str">
        <f>BS!$E$5</f>
        <v>31 March 2025</v>
      </c>
      <c r="IRY313" s="1717"/>
      <c r="IRZ313" s="1718"/>
      <c r="ISA313" s="1718"/>
      <c r="ISB313" s="1718"/>
      <c r="ISC313" s="1718"/>
      <c r="ISD313" s="246"/>
      <c r="ISE313" s="246" t="str">
        <f>BS!$D$5</f>
        <v>31 March 2026</v>
      </c>
      <c r="ISF313" s="247" t="str">
        <f>BS!$E$5</f>
        <v>31 March 2025</v>
      </c>
      <c r="ISG313" s="1717"/>
      <c r="ISH313" s="1718"/>
      <c r="ISI313" s="1718"/>
      <c r="ISJ313" s="1718"/>
      <c r="ISK313" s="1718"/>
      <c r="ISL313" s="246"/>
      <c r="ISM313" s="246" t="str">
        <f>BS!$D$5</f>
        <v>31 March 2026</v>
      </c>
      <c r="ISN313" s="247" t="str">
        <f>BS!$E$5</f>
        <v>31 March 2025</v>
      </c>
      <c r="ISO313" s="1717"/>
      <c r="ISP313" s="1718"/>
      <c r="ISQ313" s="1718"/>
      <c r="ISR313" s="1718"/>
      <c r="ISS313" s="1718"/>
      <c r="IST313" s="246"/>
      <c r="ISU313" s="246" t="str">
        <f>BS!$D$5</f>
        <v>31 March 2026</v>
      </c>
      <c r="ISV313" s="247" t="str">
        <f>BS!$E$5</f>
        <v>31 March 2025</v>
      </c>
      <c r="ISW313" s="1717"/>
      <c r="ISX313" s="1718"/>
      <c r="ISY313" s="1718"/>
      <c r="ISZ313" s="1718"/>
      <c r="ITA313" s="1718"/>
      <c r="ITB313" s="246"/>
      <c r="ITC313" s="246" t="str">
        <f>BS!$D$5</f>
        <v>31 March 2026</v>
      </c>
      <c r="ITD313" s="247" t="str">
        <f>BS!$E$5</f>
        <v>31 March 2025</v>
      </c>
      <c r="ITE313" s="1717"/>
      <c r="ITF313" s="1718"/>
      <c r="ITG313" s="1718"/>
      <c r="ITH313" s="1718"/>
      <c r="ITI313" s="1718"/>
      <c r="ITJ313" s="246"/>
      <c r="ITK313" s="246" t="str">
        <f>BS!$D$5</f>
        <v>31 March 2026</v>
      </c>
      <c r="ITL313" s="247" t="str">
        <f>BS!$E$5</f>
        <v>31 March 2025</v>
      </c>
      <c r="ITM313" s="1717"/>
      <c r="ITN313" s="1718"/>
      <c r="ITO313" s="1718"/>
      <c r="ITP313" s="1718"/>
      <c r="ITQ313" s="1718"/>
      <c r="ITR313" s="246"/>
      <c r="ITS313" s="246" t="str">
        <f>BS!$D$5</f>
        <v>31 March 2026</v>
      </c>
      <c r="ITT313" s="247" t="str">
        <f>BS!$E$5</f>
        <v>31 March 2025</v>
      </c>
      <c r="ITU313" s="1717"/>
      <c r="ITV313" s="1718"/>
      <c r="ITW313" s="1718"/>
      <c r="ITX313" s="1718"/>
      <c r="ITY313" s="1718"/>
      <c r="ITZ313" s="246"/>
      <c r="IUA313" s="246" t="str">
        <f>BS!$D$5</f>
        <v>31 March 2026</v>
      </c>
      <c r="IUB313" s="247" t="str">
        <f>BS!$E$5</f>
        <v>31 March 2025</v>
      </c>
      <c r="IUC313" s="1717"/>
      <c r="IUD313" s="1718"/>
      <c r="IUE313" s="1718"/>
      <c r="IUF313" s="1718"/>
      <c r="IUG313" s="1718"/>
      <c r="IUH313" s="246"/>
      <c r="IUI313" s="246" t="str">
        <f>BS!$D$5</f>
        <v>31 March 2026</v>
      </c>
      <c r="IUJ313" s="247" t="str">
        <f>BS!$E$5</f>
        <v>31 March 2025</v>
      </c>
      <c r="IUK313" s="1717"/>
      <c r="IUL313" s="1718"/>
      <c r="IUM313" s="1718"/>
      <c r="IUN313" s="1718"/>
      <c r="IUO313" s="1718"/>
      <c r="IUP313" s="246"/>
      <c r="IUQ313" s="246" t="str">
        <f>BS!$D$5</f>
        <v>31 March 2026</v>
      </c>
      <c r="IUR313" s="247" t="str">
        <f>BS!$E$5</f>
        <v>31 March 2025</v>
      </c>
      <c r="IUS313" s="1717"/>
      <c r="IUT313" s="1718"/>
      <c r="IUU313" s="1718"/>
      <c r="IUV313" s="1718"/>
      <c r="IUW313" s="1718"/>
      <c r="IUX313" s="246"/>
      <c r="IUY313" s="246" t="str">
        <f>BS!$D$5</f>
        <v>31 March 2026</v>
      </c>
      <c r="IUZ313" s="247" t="str">
        <f>BS!$E$5</f>
        <v>31 March 2025</v>
      </c>
      <c r="IVA313" s="1717"/>
      <c r="IVB313" s="1718"/>
      <c r="IVC313" s="1718"/>
      <c r="IVD313" s="1718"/>
      <c r="IVE313" s="1718"/>
      <c r="IVF313" s="246"/>
      <c r="IVG313" s="246" t="str">
        <f>BS!$D$5</f>
        <v>31 March 2026</v>
      </c>
      <c r="IVH313" s="247" t="str">
        <f>BS!$E$5</f>
        <v>31 March 2025</v>
      </c>
      <c r="IVI313" s="1717"/>
      <c r="IVJ313" s="1718"/>
      <c r="IVK313" s="1718"/>
      <c r="IVL313" s="1718"/>
      <c r="IVM313" s="1718"/>
      <c r="IVN313" s="246"/>
      <c r="IVO313" s="246" t="str">
        <f>BS!$D$5</f>
        <v>31 March 2026</v>
      </c>
      <c r="IVP313" s="247" t="str">
        <f>BS!$E$5</f>
        <v>31 March 2025</v>
      </c>
      <c r="IVQ313" s="1717"/>
      <c r="IVR313" s="1718"/>
      <c r="IVS313" s="1718"/>
      <c r="IVT313" s="1718"/>
      <c r="IVU313" s="1718"/>
      <c r="IVV313" s="246"/>
      <c r="IVW313" s="246" t="str">
        <f>BS!$D$5</f>
        <v>31 March 2026</v>
      </c>
      <c r="IVX313" s="247" t="str">
        <f>BS!$E$5</f>
        <v>31 March 2025</v>
      </c>
      <c r="IVY313" s="1717"/>
      <c r="IVZ313" s="1718"/>
      <c r="IWA313" s="1718"/>
      <c r="IWB313" s="1718"/>
      <c r="IWC313" s="1718"/>
      <c r="IWD313" s="246"/>
      <c r="IWE313" s="246" t="str">
        <f>BS!$D$5</f>
        <v>31 March 2026</v>
      </c>
      <c r="IWF313" s="247" t="str">
        <f>BS!$E$5</f>
        <v>31 March 2025</v>
      </c>
      <c r="IWG313" s="1717"/>
      <c r="IWH313" s="1718"/>
      <c r="IWI313" s="1718"/>
      <c r="IWJ313" s="1718"/>
      <c r="IWK313" s="1718"/>
      <c r="IWL313" s="246"/>
      <c r="IWM313" s="246" t="str">
        <f>BS!$D$5</f>
        <v>31 March 2026</v>
      </c>
      <c r="IWN313" s="247" t="str">
        <f>BS!$E$5</f>
        <v>31 March 2025</v>
      </c>
      <c r="IWO313" s="1717"/>
      <c r="IWP313" s="1718"/>
      <c r="IWQ313" s="1718"/>
      <c r="IWR313" s="1718"/>
      <c r="IWS313" s="1718"/>
      <c r="IWT313" s="246"/>
      <c r="IWU313" s="246" t="str">
        <f>BS!$D$5</f>
        <v>31 March 2026</v>
      </c>
      <c r="IWV313" s="247" t="str">
        <f>BS!$E$5</f>
        <v>31 March 2025</v>
      </c>
      <c r="IWW313" s="1717"/>
      <c r="IWX313" s="1718"/>
      <c r="IWY313" s="1718"/>
      <c r="IWZ313" s="1718"/>
      <c r="IXA313" s="1718"/>
      <c r="IXB313" s="246"/>
      <c r="IXC313" s="246" t="str">
        <f>BS!$D$5</f>
        <v>31 March 2026</v>
      </c>
      <c r="IXD313" s="247" t="str">
        <f>BS!$E$5</f>
        <v>31 March 2025</v>
      </c>
      <c r="IXE313" s="1717"/>
      <c r="IXF313" s="1718"/>
      <c r="IXG313" s="1718"/>
      <c r="IXH313" s="1718"/>
      <c r="IXI313" s="1718"/>
      <c r="IXJ313" s="246"/>
      <c r="IXK313" s="246" t="str">
        <f>BS!$D$5</f>
        <v>31 March 2026</v>
      </c>
      <c r="IXL313" s="247" t="str">
        <f>BS!$E$5</f>
        <v>31 March 2025</v>
      </c>
      <c r="IXM313" s="1717"/>
      <c r="IXN313" s="1718"/>
      <c r="IXO313" s="1718"/>
      <c r="IXP313" s="1718"/>
      <c r="IXQ313" s="1718"/>
      <c r="IXR313" s="246"/>
      <c r="IXS313" s="246" t="str">
        <f>BS!$D$5</f>
        <v>31 March 2026</v>
      </c>
      <c r="IXT313" s="247" t="str">
        <f>BS!$E$5</f>
        <v>31 March 2025</v>
      </c>
      <c r="IXU313" s="1717"/>
      <c r="IXV313" s="1718"/>
      <c r="IXW313" s="1718"/>
      <c r="IXX313" s="1718"/>
      <c r="IXY313" s="1718"/>
      <c r="IXZ313" s="246"/>
      <c r="IYA313" s="246" t="str">
        <f>BS!$D$5</f>
        <v>31 March 2026</v>
      </c>
      <c r="IYB313" s="247" t="str">
        <f>BS!$E$5</f>
        <v>31 March 2025</v>
      </c>
      <c r="IYC313" s="1717"/>
      <c r="IYD313" s="1718"/>
      <c r="IYE313" s="1718"/>
      <c r="IYF313" s="1718"/>
      <c r="IYG313" s="1718"/>
      <c r="IYH313" s="246"/>
      <c r="IYI313" s="246" t="str">
        <f>BS!$D$5</f>
        <v>31 March 2026</v>
      </c>
      <c r="IYJ313" s="247" t="str">
        <f>BS!$E$5</f>
        <v>31 March 2025</v>
      </c>
      <c r="IYK313" s="1717"/>
      <c r="IYL313" s="1718"/>
      <c r="IYM313" s="1718"/>
      <c r="IYN313" s="1718"/>
      <c r="IYO313" s="1718"/>
      <c r="IYP313" s="246"/>
      <c r="IYQ313" s="246" t="str">
        <f>BS!$D$5</f>
        <v>31 March 2026</v>
      </c>
      <c r="IYR313" s="247" t="str">
        <f>BS!$E$5</f>
        <v>31 March 2025</v>
      </c>
      <c r="IYS313" s="1717"/>
      <c r="IYT313" s="1718"/>
      <c r="IYU313" s="1718"/>
      <c r="IYV313" s="1718"/>
      <c r="IYW313" s="1718"/>
      <c r="IYX313" s="246"/>
      <c r="IYY313" s="246" t="str">
        <f>BS!$D$5</f>
        <v>31 March 2026</v>
      </c>
      <c r="IYZ313" s="247" t="str">
        <f>BS!$E$5</f>
        <v>31 March 2025</v>
      </c>
      <c r="IZA313" s="1717"/>
      <c r="IZB313" s="1718"/>
      <c r="IZC313" s="1718"/>
      <c r="IZD313" s="1718"/>
      <c r="IZE313" s="1718"/>
      <c r="IZF313" s="246"/>
      <c r="IZG313" s="246" t="str">
        <f>BS!$D$5</f>
        <v>31 March 2026</v>
      </c>
      <c r="IZH313" s="247" t="str">
        <f>BS!$E$5</f>
        <v>31 March 2025</v>
      </c>
      <c r="IZI313" s="1717"/>
      <c r="IZJ313" s="1718"/>
      <c r="IZK313" s="1718"/>
      <c r="IZL313" s="1718"/>
      <c r="IZM313" s="1718"/>
      <c r="IZN313" s="246"/>
      <c r="IZO313" s="246" t="str">
        <f>BS!$D$5</f>
        <v>31 March 2026</v>
      </c>
      <c r="IZP313" s="247" t="str">
        <f>BS!$E$5</f>
        <v>31 March 2025</v>
      </c>
      <c r="IZQ313" s="1717"/>
      <c r="IZR313" s="1718"/>
      <c r="IZS313" s="1718"/>
      <c r="IZT313" s="1718"/>
      <c r="IZU313" s="1718"/>
      <c r="IZV313" s="246"/>
      <c r="IZW313" s="246" t="str">
        <f>BS!$D$5</f>
        <v>31 March 2026</v>
      </c>
      <c r="IZX313" s="247" t="str">
        <f>BS!$E$5</f>
        <v>31 March 2025</v>
      </c>
      <c r="IZY313" s="1717"/>
      <c r="IZZ313" s="1718"/>
      <c r="JAA313" s="1718"/>
      <c r="JAB313" s="1718"/>
      <c r="JAC313" s="1718"/>
      <c r="JAD313" s="246"/>
      <c r="JAE313" s="246" t="str">
        <f>BS!$D$5</f>
        <v>31 March 2026</v>
      </c>
      <c r="JAF313" s="247" t="str">
        <f>BS!$E$5</f>
        <v>31 March 2025</v>
      </c>
      <c r="JAG313" s="1717"/>
      <c r="JAH313" s="1718"/>
      <c r="JAI313" s="1718"/>
      <c r="JAJ313" s="1718"/>
      <c r="JAK313" s="1718"/>
      <c r="JAL313" s="246"/>
      <c r="JAM313" s="246" t="str">
        <f>BS!$D$5</f>
        <v>31 March 2026</v>
      </c>
      <c r="JAN313" s="247" t="str">
        <f>BS!$E$5</f>
        <v>31 March 2025</v>
      </c>
      <c r="JAO313" s="1717"/>
      <c r="JAP313" s="1718"/>
      <c r="JAQ313" s="1718"/>
      <c r="JAR313" s="1718"/>
      <c r="JAS313" s="1718"/>
      <c r="JAT313" s="246"/>
      <c r="JAU313" s="246" t="str">
        <f>BS!$D$5</f>
        <v>31 March 2026</v>
      </c>
      <c r="JAV313" s="247" t="str">
        <f>BS!$E$5</f>
        <v>31 March 2025</v>
      </c>
      <c r="JAW313" s="1717"/>
      <c r="JAX313" s="1718"/>
      <c r="JAY313" s="1718"/>
      <c r="JAZ313" s="1718"/>
      <c r="JBA313" s="1718"/>
      <c r="JBB313" s="246"/>
      <c r="JBC313" s="246" t="str">
        <f>BS!$D$5</f>
        <v>31 March 2026</v>
      </c>
      <c r="JBD313" s="247" t="str">
        <f>BS!$E$5</f>
        <v>31 March 2025</v>
      </c>
      <c r="JBE313" s="1717"/>
      <c r="JBF313" s="1718"/>
      <c r="JBG313" s="1718"/>
      <c r="JBH313" s="1718"/>
      <c r="JBI313" s="1718"/>
      <c r="JBJ313" s="246"/>
      <c r="JBK313" s="246" t="str">
        <f>BS!$D$5</f>
        <v>31 March 2026</v>
      </c>
      <c r="JBL313" s="247" t="str">
        <f>BS!$E$5</f>
        <v>31 March 2025</v>
      </c>
      <c r="JBM313" s="1717"/>
      <c r="JBN313" s="1718"/>
      <c r="JBO313" s="1718"/>
      <c r="JBP313" s="1718"/>
      <c r="JBQ313" s="1718"/>
      <c r="JBR313" s="246"/>
      <c r="JBS313" s="246" t="str">
        <f>BS!$D$5</f>
        <v>31 March 2026</v>
      </c>
      <c r="JBT313" s="247" t="str">
        <f>BS!$E$5</f>
        <v>31 March 2025</v>
      </c>
      <c r="JBU313" s="1717"/>
      <c r="JBV313" s="1718"/>
      <c r="JBW313" s="1718"/>
      <c r="JBX313" s="1718"/>
      <c r="JBY313" s="1718"/>
      <c r="JBZ313" s="246"/>
      <c r="JCA313" s="246" t="str">
        <f>BS!$D$5</f>
        <v>31 March 2026</v>
      </c>
      <c r="JCB313" s="247" t="str">
        <f>BS!$E$5</f>
        <v>31 March 2025</v>
      </c>
      <c r="JCC313" s="1717"/>
      <c r="JCD313" s="1718"/>
      <c r="JCE313" s="1718"/>
      <c r="JCF313" s="1718"/>
      <c r="JCG313" s="1718"/>
      <c r="JCH313" s="246"/>
      <c r="JCI313" s="246" t="str">
        <f>BS!$D$5</f>
        <v>31 March 2026</v>
      </c>
      <c r="JCJ313" s="247" t="str">
        <f>BS!$E$5</f>
        <v>31 March 2025</v>
      </c>
      <c r="JCK313" s="1717"/>
      <c r="JCL313" s="1718"/>
      <c r="JCM313" s="1718"/>
      <c r="JCN313" s="1718"/>
      <c r="JCO313" s="1718"/>
      <c r="JCP313" s="246"/>
      <c r="JCQ313" s="246" t="str">
        <f>BS!$D$5</f>
        <v>31 March 2026</v>
      </c>
      <c r="JCR313" s="247" t="str">
        <f>BS!$E$5</f>
        <v>31 March 2025</v>
      </c>
      <c r="JCS313" s="1717"/>
      <c r="JCT313" s="1718"/>
      <c r="JCU313" s="1718"/>
      <c r="JCV313" s="1718"/>
      <c r="JCW313" s="1718"/>
      <c r="JCX313" s="246"/>
      <c r="JCY313" s="246" t="str">
        <f>BS!$D$5</f>
        <v>31 March 2026</v>
      </c>
      <c r="JCZ313" s="247" t="str">
        <f>BS!$E$5</f>
        <v>31 March 2025</v>
      </c>
      <c r="JDA313" s="1717"/>
      <c r="JDB313" s="1718"/>
      <c r="JDC313" s="1718"/>
      <c r="JDD313" s="1718"/>
      <c r="JDE313" s="1718"/>
      <c r="JDF313" s="246"/>
      <c r="JDG313" s="246" t="str">
        <f>BS!$D$5</f>
        <v>31 March 2026</v>
      </c>
      <c r="JDH313" s="247" t="str">
        <f>BS!$E$5</f>
        <v>31 March 2025</v>
      </c>
      <c r="JDI313" s="1717"/>
      <c r="JDJ313" s="1718"/>
      <c r="JDK313" s="1718"/>
      <c r="JDL313" s="1718"/>
      <c r="JDM313" s="1718"/>
      <c r="JDN313" s="246"/>
      <c r="JDO313" s="246" t="str">
        <f>BS!$D$5</f>
        <v>31 March 2026</v>
      </c>
      <c r="JDP313" s="247" t="str">
        <f>BS!$E$5</f>
        <v>31 March 2025</v>
      </c>
      <c r="JDQ313" s="1717"/>
      <c r="JDR313" s="1718"/>
      <c r="JDS313" s="1718"/>
      <c r="JDT313" s="1718"/>
      <c r="JDU313" s="1718"/>
      <c r="JDV313" s="246"/>
      <c r="JDW313" s="246" t="str">
        <f>BS!$D$5</f>
        <v>31 March 2026</v>
      </c>
      <c r="JDX313" s="247" t="str">
        <f>BS!$E$5</f>
        <v>31 March 2025</v>
      </c>
      <c r="JDY313" s="1717"/>
      <c r="JDZ313" s="1718"/>
      <c r="JEA313" s="1718"/>
      <c r="JEB313" s="1718"/>
      <c r="JEC313" s="1718"/>
      <c r="JED313" s="246"/>
      <c r="JEE313" s="246" t="str">
        <f>BS!$D$5</f>
        <v>31 March 2026</v>
      </c>
      <c r="JEF313" s="247" t="str">
        <f>BS!$E$5</f>
        <v>31 March 2025</v>
      </c>
      <c r="JEG313" s="1717"/>
      <c r="JEH313" s="1718"/>
      <c r="JEI313" s="1718"/>
      <c r="JEJ313" s="1718"/>
      <c r="JEK313" s="1718"/>
      <c r="JEL313" s="246"/>
      <c r="JEM313" s="246" t="str">
        <f>BS!$D$5</f>
        <v>31 March 2026</v>
      </c>
      <c r="JEN313" s="247" t="str">
        <f>BS!$E$5</f>
        <v>31 March 2025</v>
      </c>
      <c r="JEO313" s="1717"/>
      <c r="JEP313" s="1718"/>
      <c r="JEQ313" s="1718"/>
      <c r="JER313" s="1718"/>
      <c r="JES313" s="1718"/>
      <c r="JET313" s="246"/>
      <c r="JEU313" s="246" t="str">
        <f>BS!$D$5</f>
        <v>31 March 2026</v>
      </c>
      <c r="JEV313" s="247" t="str">
        <f>BS!$E$5</f>
        <v>31 March 2025</v>
      </c>
      <c r="JEW313" s="1717"/>
      <c r="JEX313" s="1718"/>
      <c r="JEY313" s="1718"/>
      <c r="JEZ313" s="1718"/>
      <c r="JFA313" s="1718"/>
      <c r="JFB313" s="246"/>
      <c r="JFC313" s="246" t="str">
        <f>BS!$D$5</f>
        <v>31 March 2026</v>
      </c>
      <c r="JFD313" s="247" t="str">
        <f>BS!$E$5</f>
        <v>31 March 2025</v>
      </c>
      <c r="JFE313" s="1717"/>
      <c r="JFF313" s="1718"/>
      <c r="JFG313" s="1718"/>
      <c r="JFH313" s="1718"/>
      <c r="JFI313" s="1718"/>
      <c r="JFJ313" s="246"/>
      <c r="JFK313" s="246" t="str">
        <f>BS!$D$5</f>
        <v>31 March 2026</v>
      </c>
      <c r="JFL313" s="247" t="str">
        <f>BS!$E$5</f>
        <v>31 March 2025</v>
      </c>
      <c r="JFM313" s="1717"/>
      <c r="JFN313" s="1718"/>
      <c r="JFO313" s="1718"/>
      <c r="JFP313" s="1718"/>
      <c r="JFQ313" s="1718"/>
      <c r="JFR313" s="246"/>
      <c r="JFS313" s="246" t="str">
        <f>BS!$D$5</f>
        <v>31 March 2026</v>
      </c>
      <c r="JFT313" s="247" t="str">
        <f>BS!$E$5</f>
        <v>31 March 2025</v>
      </c>
      <c r="JFU313" s="1717"/>
      <c r="JFV313" s="1718"/>
      <c r="JFW313" s="1718"/>
      <c r="JFX313" s="1718"/>
      <c r="JFY313" s="1718"/>
      <c r="JFZ313" s="246"/>
      <c r="JGA313" s="246" t="str">
        <f>BS!$D$5</f>
        <v>31 March 2026</v>
      </c>
      <c r="JGB313" s="247" t="str">
        <f>BS!$E$5</f>
        <v>31 March 2025</v>
      </c>
      <c r="JGC313" s="1717"/>
      <c r="JGD313" s="1718"/>
      <c r="JGE313" s="1718"/>
      <c r="JGF313" s="1718"/>
      <c r="JGG313" s="1718"/>
      <c r="JGH313" s="246"/>
      <c r="JGI313" s="246" t="str">
        <f>BS!$D$5</f>
        <v>31 March 2026</v>
      </c>
      <c r="JGJ313" s="247" t="str">
        <f>BS!$E$5</f>
        <v>31 March 2025</v>
      </c>
      <c r="JGK313" s="1717"/>
      <c r="JGL313" s="1718"/>
      <c r="JGM313" s="1718"/>
      <c r="JGN313" s="1718"/>
      <c r="JGO313" s="1718"/>
      <c r="JGP313" s="246"/>
      <c r="JGQ313" s="246" t="str">
        <f>BS!$D$5</f>
        <v>31 March 2026</v>
      </c>
      <c r="JGR313" s="247" t="str">
        <f>BS!$E$5</f>
        <v>31 March 2025</v>
      </c>
      <c r="JGS313" s="1717"/>
      <c r="JGT313" s="1718"/>
      <c r="JGU313" s="1718"/>
      <c r="JGV313" s="1718"/>
      <c r="JGW313" s="1718"/>
      <c r="JGX313" s="246"/>
      <c r="JGY313" s="246" t="str">
        <f>BS!$D$5</f>
        <v>31 March 2026</v>
      </c>
      <c r="JGZ313" s="247" t="str">
        <f>BS!$E$5</f>
        <v>31 March 2025</v>
      </c>
      <c r="JHA313" s="1717"/>
      <c r="JHB313" s="1718"/>
      <c r="JHC313" s="1718"/>
      <c r="JHD313" s="1718"/>
      <c r="JHE313" s="1718"/>
      <c r="JHF313" s="246"/>
      <c r="JHG313" s="246" t="str">
        <f>BS!$D$5</f>
        <v>31 March 2026</v>
      </c>
      <c r="JHH313" s="247" t="str">
        <f>BS!$E$5</f>
        <v>31 March 2025</v>
      </c>
      <c r="JHI313" s="1717"/>
      <c r="JHJ313" s="1718"/>
      <c r="JHK313" s="1718"/>
      <c r="JHL313" s="1718"/>
      <c r="JHM313" s="1718"/>
      <c r="JHN313" s="246"/>
      <c r="JHO313" s="246" t="str">
        <f>BS!$D$5</f>
        <v>31 March 2026</v>
      </c>
      <c r="JHP313" s="247" t="str">
        <f>BS!$E$5</f>
        <v>31 March 2025</v>
      </c>
      <c r="JHQ313" s="1717"/>
      <c r="JHR313" s="1718"/>
      <c r="JHS313" s="1718"/>
      <c r="JHT313" s="1718"/>
      <c r="JHU313" s="1718"/>
      <c r="JHV313" s="246"/>
      <c r="JHW313" s="246" t="str">
        <f>BS!$D$5</f>
        <v>31 March 2026</v>
      </c>
      <c r="JHX313" s="247" t="str">
        <f>BS!$E$5</f>
        <v>31 March 2025</v>
      </c>
      <c r="JHY313" s="1717"/>
      <c r="JHZ313" s="1718"/>
      <c r="JIA313" s="1718"/>
      <c r="JIB313" s="1718"/>
      <c r="JIC313" s="1718"/>
      <c r="JID313" s="246"/>
      <c r="JIE313" s="246" t="str">
        <f>BS!$D$5</f>
        <v>31 March 2026</v>
      </c>
      <c r="JIF313" s="247" t="str">
        <f>BS!$E$5</f>
        <v>31 March 2025</v>
      </c>
      <c r="JIG313" s="1717"/>
      <c r="JIH313" s="1718"/>
      <c r="JII313" s="1718"/>
      <c r="JIJ313" s="1718"/>
      <c r="JIK313" s="1718"/>
      <c r="JIL313" s="246"/>
      <c r="JIM313" s="246" t="str">
        <f>BS!$D$5</f>
        <v>31 March 2026</v>
      </c>
      <c r="JIN313" s="247" t="str">
        <f>BS!$E$5</f>
        <v>31 March 2025</v>
      </c>
      <c r="JIO313" s="1717"/>
      <c r="JIP313" s="1718"/>
      <c r="JIQ313" s="1718"/>
      <c r="JIR313" s="1718"/>
      <c r="JIS313" s="1718"/>
      <c r="JIT313" s="246"/>
      <c r="JIU313" s="246" t="str">
        <f>BS!$D$5</f>
        <v>31 March 2026</v>
      </c>
      <c r="JIV313" s="247" t="str">
        <f>BS!$E$5</f>
        <v>31 March 2025</v>
      </c>
      <c r="JIW313" s="1717"/>
      <c r="JIX313" s="1718"/>
      <c r="JIY313" s="1718"/>
      <c r="JIZ313" s="1718"/>
      <c r="JJA313" s="1718"/>
      <c r="JJB313" s="246"/>
      <c r="JJC313" s="246" t="str">
        <f>BS!$D$5</f>
        <v>31 March 2026</v>
      </c>
      <c r="JJD313" s="247" t="str">
        <f>BS!$E$5</f>
        <v>31 March 2025</v>
      </c>
      <c r="JJE313" s="1717"/>
      <c r="JJF313" s="1718"/>
      <c r="JJG313" s="1718"/>
      <c r="JJH313" s="1718"/>
      <c r="JJI313" s="1718"/>
      <c r="JJJ313" s="246"/>
      <c r="JJK313" s="246" t="str">
        <f>BS!$D$5</f>
        <v>31 March 2026</v>
      </c>
      <c r="JJL313" s="247" t="str">
        <f>BS!$E$5</f>
        <v>31 March 2025</v>
      </c>
      <c r="JJM313" s="1717"/>
      <c r="JJN313" s="1718"/>
      <c r="JJO313" s="1718"/>
      <c r="JJP313" s="1718"/>
      <c r="JJQ313" s="1718"/>
      <c r="JJR313" s="246"/>
      <c r="JJS313" s="246" t="str">
        <f>BS!$D$5</f>
        <v>31 March 2026</v>
      </c>
      <c r="JJT313" s="247" t="str">
        <f>BS!$E$5</f>
        <v>31 March 2025</v>
      </c>
      <c r="JJU313" s="1717"/>
      <c r="JJV313" s="1718"/>
      <c r="JJW313" s="1718"/>
      <c r="JJX313" s="1718"/>
      <c r="JJY313" s="1718"/>
      <c r="JJZ313" s="246"/>
      <c r="JKA313" s="246" t="str">
        <f>BS!$D$5</f>
        <v>31 March 2026</v>
      </c>
      <c r="JKB313" s="247" t="str">
        <f>BS!$E$5</f>
        <v>31 March 2025</v>
      </c>
      <c r="JKC313" s="1717"/>
      <c r="JKD313" s="1718"/>
      <c r="JKE313" s="1718"/>
      <c r="JKF313" s="1718"/>
      <c r="JKG313" s="1718"/>
      <c r="JKH313" s="246"/>
      <c r="JKI313" s="246" t="str">
        <f>BS!$D$5</f>
        <v>31 March 2026</v>
      </c>
      <c r="JKJ313" s="247" t="str">
        <f>BS!$E$5</f>
        <v>31 March 2025</v>
      </c>
      <c r="JKK313" s="1717"/>
      <c r="JKL313" s="1718"/>
      <c r="JKM313" s="1718"/>
      <c r="JKN313" s="1718"/>
      <c r="JKO313" s="1718"/>
      <c r="JKP313" s="246"/>
      <c r="JKQ313" s="246" t="str">
        <f>BS!$D$5</f>
        <v>31 March 2026</v>
      </c>
      <c r="JKR313" s="247" t="str">
        <f>BS!$E$5</f>
        <v>31 March 2025</v>
      </c>
      <c r="JKS313" s="1717"/>
      <c r="JKT313" s="1718"/>
      <c r="JKU313" s="1718"/>
      <c r="JKV313" s="1718"/>
      <c r="JKW313" s="1718"/>
      <c r="JKX313" s="246"/>
      <c r="JKY313" s="246" t="str">
        <f>BS!$D$5</f>
        <v>31 March 2026</v>
      </c>
      <c r="JKZ313" s="247" t="str">
        <f>BS!$E$5</f>
        <v>31 March 2025</v>
      </c>
      <c r="JLA313" s="1717"/>
      <c r="JLB313" s="1718"/>
      <c r="JLC313" s="1718"/>
      <c r="JLD313" s="1718"/>
      <c r="JLE313" s="1718"/>
      <c r="JLF313" s="246"/>
      <c r="JLG313" s="246" t="str">
        <f>BS!$D$5</f>
        <v>31 March 2026</v>
      </c>
      <c r="JLH313" s="247" t="str">
        <f>BS!$E$5</f>
        <v>31 March 2025</v>
      </c>
      <c r="JLI313" s="1717"/>
      <c r="JLJ313" s="1718"/>
      <c r="JLK313" s="1718"/>
      <c r="JLL313" s="1718"/>
      <c r="JLM313" s="1718"/>
      <c r="JLN313" s="246"/>
      <c r="JLO313" s="246" t="str">
        <f>BS!$D$5</f>
        <v>31 March 2026</v>
      </c>
      <c r="JLP313" s="247" t="str">
        <f>BS!$E$5</f>
        <v>31 March 2025</v>
      </c>
      <c r="JLQ313" s="1717"/>
      <c r="JLR313" s="1718"/>
      <c r="JLS313" s="1718"/>
      <c r="JLT313" s="1718"/>
      <c r="JLU313" s="1718"/>
      <c r="JLV313" s="246"/>
      <c r="JLW313" s="246" t="str">
        <f>BS!$D$5</f>
        <v>31 March 2026</v>
      </c>
      <c r="JLX313" s="247" t="str">
        <f>BS!$E$5</f>
        <v>31 March 2025</v>
      </c>
      <c r="JLY313" s="1717"/>
      <c r="JLZ313" s="1718"/>
      <c r="JMA313" s="1718"/>
      <c r="JMB313" s="1718"/>
      <c r="JMC313" s="1718"/>
      <c r="JMD313" s="246"/>
      <c r="JME313" s="246" t="str">
        <f>BS!$D$5</f>
        <v>31 March 2026</v>
      </c>
      <c r="JMF313" s="247" t="str">
        <f>BS!$E$5</f>
        <v>31 March 2025</v>
      </c>
      <c r="JMG313" s="1717"/>
      <c r="JMH313" s="1718"/>
      <c r="JMI313" s="1718"/>
      <c r="JMJ313" s="1718"/>
      <c r="JMK313" s="1718"/>
      <c r="JML313" s="246"/>
      <c r="JMM313" s="246" t="str">
        <f>BS!$D$5</f>
        <v>31 March 2026</v>
      </c>
      <c r="JMN313" s="247" t="str">
        <f>BS!$E$5</f>
        <v>31 March 2025</v>
      </c>
      <c r="JMO313" s="1717"/>
      <c r="JMP313" s="1718"/>
      <c r="JMQ313" s="1718"/>
      <c r="JMR313" s="1718"/>
      <c r="JMS313" s="1718"/>
      <c r="JMT313" s="246"/>
      <c r="JMU313" s="246" t="str">
        <f>BS!$D$5</f>
        <v>31 March 2026</v>
      </c>
      <c r="JMV313" s="247" t="str">
        <f>BS!$E$5</f>
        <v>31 March 2025</v>
      </c>
      <c r="JMW313" s="1717"/>
      <c r="JMX313" s="1718"/>
      <c r="JMY313" s="1718"/>
      <c r="JMZ313" s="1718"/>
      <c r="JNA313" s="1718"/>
      <c r="JNB313" s="246"/>
      <c r="JNC313" s="246" t="str">
        <f>BS!$D$5</f>
        <v>31 March 2026</v>
      </c>
      <c r="JND313" s="247" t="str">
        <f>BS!$E$5</f>
        <v>31 March 2025</v>
      </c>
      <c r="JNE313" s="1717"/>
      <c r="JNF313" s="1718"/>
      <c r="JNG313" s="1718"/>
      <c r="JNH313" s="1718"/>
      <c r="JNI313" s="1718"/>
      <c r="JNJ313" s="246"/>
      <c r="JNK313" s="246" t="str">
        <f>BS!$D$5</f>
        <v>31 March 2026</v>
      </c>
      <c r="JNL313" s="247" t="str">
        <f>BS!$E$5</f>
        <v>31 March 2025</v>
      </c>
      <c r="JNM313" s="1717"/>
      <c r="JNN313" s="1718"/>
      <c r="JNO313" s="1718"/>
      <c r="JNP313" s="1718"/>
      <c r="JNQ313" s="1718"/>
      <c r="JNR313" s="246"/>
      <c r="JNS313" s="246" t="str">
        <f>BS!$D$5</f>
        <v>31 March 2026</v>
      </c>
      <c r="JNT313" s="247" t="str">
        <f>BS!$E$5</f>
        <v>31 March 2025</v>
      </c>
      <c r="JNU313" s="1717"/>
      <c r="JNV313" s="1718"/>
      <c r="JNW313" s="1718"/>
      <c r="JNX313" s="1718"/>
      <c r="JNY313" s="1718"/>
      <c r="JNZ313" s="246"/>
      <c r="JOA313" s="246" t="str">
        <f>BS!$D$5</f>
        <v>31 March 2026</v>
      </c>
      <c r="JOB313" s="247" t="str">
        <f>BS!$E$5</f>
        <v>31 March 2025</v>
      </c>
      <c r="JOC313" s="1717"/>
      <c r="JOD313" s="1718"/>
      <c r="JOE313" s="1718"/>
      <c r="JOF313" s="1718"/>
      <c r="JOG313" s="1718"/>
      <c r="JOH313" s="246"/>
      <c r="JOI313" s="246" t="str">
        <f>BS!$D$5</f>
        <v>31 March 2026</v>
      </c>
      <c r="JOJ313" s="247" t="str">
        <f>BS!$E$5</f>
        <v>31 March 2025</v>
      </c>
      <c r="JOK313" s="1717"/>
      <c r="JOL313" s="1718"/>
      <c r="JOM313" s="1718"/>
      <c r="JON313" s="1718"/>
      <c r="JOO313" s="1718"/>
      <c r="JOP313" s="246"/>
      <c r="JOQ313" s="246" t="str">
        <f>BS!$D$5</f>
        <v>31 March 2026</v>
      </c>
      <c r="JOR313" s="247" t="str">
        <f>BS!$E$5</f>
        <v>31 March 2025</v>
      </c>
      <c r="JOS313" s="1717"/>
      <c r="JOT313" s="1718"/>
      <c r="JOU313" s="1718"/>
      <c r="JOV313" s="1718"/>
      <c r="JOW313" s="1718"/>
      <c r="JOX313" s="246"/>
      <c r="JOY313" s="246" t="str">
        <f>BS!$D$5</f>
        <v>31 March 2026</v>
      </c>
      <c r="JOZ313" s="247" t="str">
        <f>BS!$E$5</f>
        <v>31 March 2025</v>
      </c>
      <c r="JPA313" s="1717"/>
      <c r="JPB313" s="1718"/>
      <c r="JPC313" s="1718"/>
      <c r="JPD313" s="1718"/>
      <c r="JPE313" s="1718"/>
      <c r="JPF313" s="246"/>
      <c r="JPG313" s="246" t="str">
        <f>BS!$D$5</f>
        <v>31 March 2026</v>
      </c>
      <c r="JPH313" s="247" t="str">
        <f>BS!$E$5</f>
        <v>31 March 2025</v>
      </c>
      <c r="JPI313" s="1717"/>
      <c r="JPJ313" s="1718"/>
      <c r="JPK313" s="1718"/>
      <c r="JPL313" s="1718"/>
      <c r="JPM313" s="1718"/>
      <c r="JPN313" s="246"/>
      <c r="JPO313" s="246" t="str">
        <f>BS!$D$5</f>
        <v>31 March 2026</v>
      </c>
      <c r="JPP313" s="247" t="str">
        <f>BS!$E$5</f>
        <v>31 March 2025</v>
      </c>
      <c r="JPQ313" s="1717"/>
      <c r="JPR313" s="1718"/>
      <c r="JPS313" s="1718"/>
      <c r="JPT313" s="1718"/>
      <c r="JPU313" s="1718"/>
      <c r="JPV313" s="246"/>
      <c r="JPW313" s="246" t="str">
        <f>BS!$D$5</f>
        <v>31 March 2026</v>
      </c>
      <c r="JPX313" s="247" t="str">
        <f>BS!$E$5</f>
        <v>31 March 2025</v>
      </c>
      <c r="JPY313" s="1717"/>
      <c r="JPZ313" s="1718"/>
      <c r="JQA313" s="1718"/>
      <c r="JQB313" s="1718"/>
      <c r="JQC313" s="1718"/>
      <c r="JQD313" s="246"/>
      <c r="JQE313" s="246" t="str">
        <f>BS!$D$5</f>
        <v>31 March 2026</v>
      </c>
      <c r="JQF313" s="247" t="str">
        <f>BS!$E$5</f>
        <v>31 March 2025</v>
      </c>
      <c r="JQG313" s="1717"/>
      <c r="JQH313" s="1718"/>
      <c r="JQI313" s="1718"/>
      <c r="JQJ313" s="1718"/>
      <c r="JQK313" s="1718"/>
      <c r="JQL313" s="246"/>
      <c r="JQM313" s="246" t="str">
        <f>BS!$D$5</f>
        <v>31 March 2026</v>
      </c>
      <c r="JQN313" s="247" t="str">
        <f>BS!$E$5</f>
        <v>31 March 2025</v>
      </c>
      <c r="JQO313" s="1717"/>
      <c r="JQP313" s="1718"/>
      <c r="JQQ313" s="1718"/>
      <c r="JQR313" s="1718"/>
      <c r="JQS313" s="1718"/>
      <c r="JQT313" s="246"/>
      <c r="JQU313" s="246" t="str">
        <f>BS!$D$5</f>
        <v>31 March 2026</v>
      </c>
      <c r="JQV313" s="247" t="str">
        <f>BS!$E$5</f>
        <v>31 March 2025</v>
      </c>
      <c r="JQW313" s="1717"/>
      <c r="JQX313" s="1718"/>
      <c r="JQY313" s="1718"/>
      <c r="JQZ313" s="1718"/>
      <c r="JRA313" s="1718"/>
      <c r="JRB313" s="246"/>
      <c r="JRC313" s="246" t="str">
        <f>BS!$D$5</f>
        <v>31 March 2026</v>
      </c>
      <c r="JRD313" s="247" t="str">
        <f>BS!$E$5</f>
        <v>31 March 2025</v>
      </c>
      <c r="JRE313" s="1717"/>
      <c r="JRF313" s="1718"/>
      <c r="JRG313" s="1718"/>
      <c r="JRH313" s="1718"/>
      <c r="JRI313" s="1718"/>
      <c r="JRJ313" s="246"/>
      <c r="JRK313" s="246" t="str">
        <f>BS!$D$5</f>
        <v>31 March 2026</v>
      </c>
      <c r="JRL313" s="247" t="str">
        <f>BS!$E$5</f>
        <v>31 March 2025</v>
      </c>
      <c r="JRM313" s="1717"/>
      <c r="JRN313" s="1718"/>
      <c r="JRO313" s="1718"/>
      <c r="JRP313" s="1718"/>
      <c r="JRQ313" s="1718"/>
      <c r="JRR313" s="246"/>
      <c r="JRS313" s="246" t="str">
        <f>BS!$D$5</f>
        <v>31 March 2026</v>
      </c>
      <c r="JRT313" s="247" t="str">
        <f>BS!$E$5</f>
        <v>31 March 2025</v>
      </c>
      <c r="JRU313" s="1717"/>
      <c r="JRV313" s="1718"/>
      <c r="JRW313" s="1718"/>
      <c r="JRX313" s="1718"/>
      <c r="JRY313" s="1718"/>
      <c r="JRZ313" s="246"/>
      <c r="JSA313" s="246" t="str">
        <f>BS!$D$5</f>
        <v>31 March 2026</v>
      </c>
      <c r="JSB313" s="247" t="str">
        <f>BS!$E$5</f>
        <v>31 March 2025</v>
      </c>
      <c r="JSC313" s="1717"/>
      <c r="JSD313" s="1718"/>
      <c r="JSE313" s="1718"/>
      <c r="JSF313" s="1718"/>
      <c r="JSG313" s="1718"/>
      <c r="JSH313" s="246"/>
      <c r="JSI313" s="246" t="str">
        <f>BS!$D$5</f>
        <v>31 March 2026</v>
      </c>
      <c r="JSJ313" s="247" t="str">
        <f>BS!$E$5</f>
        <v>31 March 2025</v>
      </c>
      <c r="JSK313" s="1717"/>
      <c r="JSL313" s="1718"/>
      <c r="JSM313" s="1718"/>
      <c r="JSN313" s="1718"/>
      <c r="JSO313" s="1718"/>
      <c r="JSP313" s="246"/>
      <c r="JSQ313" s="246" t="str">
        <f>BS!$D$5</f>
        <v>31 March 2026</v>
      </c>
      <c r="JSR313" s="247" t="str">
        <f>BS!$E$5</f>
        <v>31 March 2025</v>
      </c>
      <c r="JSS313" s="1717"/>
      <c r="JST313" s="1718"/>
      <c r="JSU313" s="1718"/>
      <c r="JSV313" s="1718"/>
      <c r="JSW313" s="1718"/>
      <c r="JSX313" s="246"/>
      <c r="JSY313" s="246" t="str">
        <f>BS!$D$5</f>
        <v>31 March 2026</v>
      </c>
      <c r="JSZ313" s="247" t="str">
        <f>BS!$E$5</f>
        <v>31 March 2025</v>
      </c>
      <c r="JTA313" s="1717"/>
      <c r="JTB313" s="1718"/>
      <c r="JTC313" s="1718"/>
      <c r="JTD313" s="1718"/>
      <c r="JTE313" s="1718"/>
      <c r="JTF313" s="246"/>
      <c r="JTG313" s="246" t="str">
        <f>BS!$D$5</f>
        <v>31 March 2026</v>
      </c>
      <c r="JTH313" s="247" t="str">
        <f>BS!$E$5</f>
        <v>31 March 2025</v>
      </c>
      <c r="JTI313" s="1717"/>
      <c r="JTJ313" s="1718"/>
      <c r="JTK313" s="1718"/>
      <c r="JTL313" s="1718"/>
      <c r="JTM313" s="1718"/>
      <c r="JTN313" s="246"/>
      <c r="JTO313" s="246" t="str">
        <f>BS!$D$5</f>
        <v>31 March 2026</v>
      </c>
      <c r="JTP313" s="247" t="str">
        <f>BS!$E$5</f>
        <v>31 March 2025</v>
      </c>
      <c r="JTQ313" s="1717"/>
      <c r="JTR313" s="1718"/>
      <c r="JTS313" s="1718"/>
      <c r="JTT313" s="1718"/>
      <c r="JTU313" s="1718"/>
      <c r="JTV313" s="246"/>
      <c r="JTW313" s="246" t="str">
        <f>BS!$D$5</f>
        <v>31 March 2026</v>
      </c>
      <c r="JTX313" s="247" t="str">
        <f>BS!$E$5</f>
        <v>31 March 2025</v>
      </c>
      <c r="JTY313" s="1717"/>
      <c r="JTZ313" s="1718"/>
      <c r="JUA313" s="1718"/>
      <c r="JUB313" s="1718"/>
      <c r="JUC313" s="1718"/>
      <c r="JUD313" s="246"/>
      <c r="JUE313" s="246" t="str">
        <f>BS!$D$5</f>
        <v>31 March 2026</v>
      </c>
      <c r="JUF313" s="247" t="str">
        <f>BS!$E$5</f>
        <v>31 March 2025</v>
      </c>
      <c r="JUG313" s="1717"/>
      <c r="JUH313" s="1718"/>
      <c r="JUI313" s="1718"/>
      <c r="JUJ313" s="1718"/>
      <c r="JUK313" s="1718"/>
      <c r="JUL313" s="246"/>
      <c r="JUM313" s="246" t="str">
        <f>BS!$D$5</f>
        <v>31 March 2026</v>
      </c>
      <c r="JUN313" s="247" t="str">
        <f>BS!$E$5</f>
        <v>31 March 2025</v>
      </c>
      <c r="JUO313" s="1717"/>
      <c r="JUP313" s="1718"/>
      <c r="JUQ313" s="1718"/>
      <c r="JUR313" s="1718"/>
      <c r="JUS313" s="1718"/>
      <c r="JUT313" s="246"/>
      <c r="JUU313" s="246" t="str">
        <f>BS!$D$5</f>
        <v>31 March 2026</v>
      </c>
      <c r="JUV313" s="247" t="str">
        <f>BS!$E$5</f>
        <v>31 March 2025</v>
      </c>
      <c r="JUW313" s="1717"/>
      <c r="JUX313" s="1718"/>
      <c r="JUY313" s="1718"/>
      <c r="JUZ313" s="1718"/>
      <c r="JVA313" s="1718"/>
      <c r="JVB313" s="246"/>
      <c r="JVC313" s="246" t="str">
        <f>BS!$D$5</f>
        <v>31 March 2026</v>
      </c>
      <c r="JVD313" s="247" t="str">
        <f>BS!$E$5</f>
        <v>31 March 2025</v>
      </c>
      <c r="JVE313" s="1717"/>
      <c r="JVF313" s="1718"/>
      <c r="JVG313" s="1718"/>
      <c r="JVH313" s="1718"/>
      <c r="JVI313" s="1718"/>
      <c r="JVJ313" s="246"/>
      <c r="JVK313" s="246" t="str">
        <f>BS!$D$5</f>
        <v>31 March 2026</v>
      </c>
      <c r="JVL313" s="247" t="str">
        <f>BS!$E$5</f>
        <v>31 March 2025</v>
      </c>
      <c r="JVM313" s="1717"/>
      <c r="JVN313" s="1718"/>
      <c r="JVO313" s="1718"/>
      <c r="JVP313" s="1718"/>
      <c r="JVQ313" s="1718"/>
      <c r="JVR313" s="246"/>
      <c r="JVS313" s="246" t="str">
        <f>BS!$D$5</f>
        <v>31 March 2026</v>
      </c>
      <c r="JVT313" s="247" t="str">
        <f>BS!$E$5</f>
        <v>31 March 2025</v>
      </c>
      <c r="JVU313" s="1717"/>
      <c r="JVV313" s="1718"/>
      <c r="JVW313" s="1718"/>
      <c r="JVX313" s="1718"/>
      <c r="JVY313" s="1718"/>
      <c r="JVZ313" s="246"/>
      <c r="JWA313" s="246" t="str">
        <f>BS!$D$5</f>
        <v>31 March 2026</v>
      </c>
      <c r="JWB313" s="247" t="str">
        <f>BS!$E$5</f>
        <v>31 March 2025</v>
      </c>
      <c r="JWC313" s="1717"/>
      <c r="JWD313" s="1718"/>
      <c r="JWE313" s="1718"/>
      <c r="JWF313" s="1718"/>
      <c r="JWG313" s="1718"/>
      <c r="JWH313" s="246"/>
      <c r="JWI313" s="246" t="str">
        <f>BS!$D$5</f>
        <v>31 March 2026</v>
      </c>
      <c r="JWJ313" s="247" t="str">
        <f>BS!$E$5</f>
        <v>31 March 2025</v>
      </c>
      <c r="JWK313" s="1717"/>
      <c r="JWL313" s="1718"/>
      <c r="JWM313" s="1718"/>
      <c r="JWN313" s="1718"/>
      <c r="JWO313" s="1718"/>
      <c r="JWP313" s="246"/>
      <c r="JWQ313" s="246" t="str">
        <f>BS!$D$5</f>
        <v>31 March 2026</v>
      </c>
      <c r="JWR313" s="247" t="str">
        <f>BS!$E$5</f>
        <v>31 March 2025</v>
      </c>
      <c r="JWS313" s="1717"/>
      <c r="JWT313" s="1718"/>
      <c r="JWU313" s="1718"/>
      <c r="JWV313" s="1718"/>
      <c r="JWW313" s="1718"/>
      <c r="JWX313" s="246"/>
      <c r="JWY313" s="246" t="str">
        <f>BS!$D$5</f>
        <v>31 March 2026</v>
      </c>
      <c r="JWZ313" s="247" t="str">
        <f>BS!$E$5</f>
        <v>31 March 2025</v>
      </c>
      <c r="JXA313" s="1717"/>
      <c r="JXB313" s="1718"/>
      <c r="JXC313" s="1718"/>
      <c r="JXD313" s="1718"/>
      <c r="JXE313" s="1718"/>
      <c r="JXF313" s="246"/>
      <c r="JXG313" s="246" t="str">
        <f>BS!$D$5</f>
        <v>31 March 2026</v>
      </c>
      <c r="JXH313" s="247" t="str">
        <f>BS!$E$5</f>
        <v>31 March 2025</v>
      </c>
      <c r="JXI313" s="1717"/>
      <c r="JXJ313" s="1718"/>
      <c r="JXK313" s="1718"/>
      <c r="JXL313" s="1718"/>
      <c r="JXM313" s="1718"/>
      <c r="JXN313" s="246"/>
      <c r="JXO313" s="246" t="str">
        <f>BS!$D$5</f>
        <v>31 March 2026</v>
      </c>
      <c r="JXP313" s="247" t="str">
        <f>BS!$E$5</f>
        <v>31 March 2025</v>
      </c>
      <c r="JXQ313" s="1717"/>
      <c r="JXR313" s="1718"/>
      <c r="JXS313" s="1718"/>
      <c r="JXT313" s="1718"/>
      <c r="JXU313" s="1718"/>
      <c r="JXV313" s="246"/>
      <c r="JXW313" s="246" t="str">
        <f>BS!$D$5</f>
        <v>31 March 2026</v>
      </c>
      <c r="JXX313" s="247" t="str">
        <f>BS!$E$5</f>
        <v>31 March 2025</v>
      </c>
      <c r="JXY313" s="1717"/>
      <c r="JXZ313" s="1718"/>
      <c r="JYA313" s="1718"/>
      <c r="JYB313" s="1718"/>
      <c r="JYC313" s="1718"/>
      <c r="JYD313" s="246"/>
      <c r="JYE313" s="246" t="str">
        <f>BS!$D$5</f>
        <v>31 March 2026</v>
      </c>
      <c r="JYF313" s="247" t="str">
        <f>BS!$E$5</f>
        <v>31 March 2025</v>
      </c>
      <c r="JYG313" s="1717"/>
      <c r="JYH313" s="1718"/>
      <c r="JYI313" s="1718"/>
      <c r="JYJ313" s="1718"/>
      <c r="JYK313" s="1718"/>
      <c r="JYL313" s="246"/>
      <c r="JYM313" s="246" t="str">
        <f>BS!$D$5</f>
        <v>31 March 2026</v>
      </c>
      <c r="JYN313" s="247" t="str">
        <f>BS!$E$5</f>
        <v>31 March 2025</v>
      </c>
      <c r="JYO313" s="1717"/>
      <c r="JYP313" s="1718"/>
      <c r="JYQ313" s="1718"/>
      <c r="JYR313" s="1718"/>
      <c r="JYS313" s="1718"/>
      <c r="JYT313" s="246"/>
      <c r="JYU313" s="246" t="str">
        <f>BS!$D$5</f>
        <v>31 March 2026</v>
      </c>
      <c r="JYV313" s="247" t="str">
        <f>BS!$E$5</f>
        <v>31 March 2025</v>
      </c>
      <c r="JYW313" s="1717"/>
      <c r="JYX313" s="1718"/>
      <c r="JYY313" s="1718"/>
      <c r="JYZ313" s="1718"/>
      <c r="JZA313" s="1718"/>
      <c r="JZB313" s="246"/>
      <c r="JZC313" s="246" t="str">
        <f>BS!$D$5</f>
        <v>31 March 2026</v>
      </c>
      <c r="JZD313" s="247" t="str">
        <f>BS!$E$5</f>
        <v>31 March 2025</v>
      </c>
      <c r="JZE313" s="1717"/>
      <c r="JZF313" s="1718"/>
      <c r="JZG313" s="1718"/>
      <c r="JZH313" s="1718"/>
      <c r="JZI313" s="1718"/>
      <c r="JZJ313" s="246"/>
      <c r="JZK313" s="246" t="str">
        <f>BS!$D$5</f>
        <v>31 March 2026</v>
      </c>
      <c r="JZL313" s="247" t="str">
        <f>BS!$E$5</f>
        <v>31 March 2025</v>
      </c>
      <c r="JZM313" s="1717"/>
      <c r="JZN313" s="1718"/>
      <c r="JZO313" s="1718"/>
      <c r="JZP313" s="1718"/>
      <c r="JZQ313" s="1718"/>
      <c r="JZR313" s="246"/>
      <c r="JZS313" s="246" t="str">
        <f>BS!$D$5</f>
        <v>31 March 2026</v>
      </c>
      <c r="JZT313" s="247" t="str">
        <f>BS!$E$5</f>
        <v>31 March 2025</v>
      </c>
      <c r="JZU313" s="1717"/>
      <c r="JZV313" s="1718"/>
      <c r="JZW313" s="1718"/>
      <c r="JZX313" s="1718"/>
      <c r="JZY313" s="1718"/>
      <c r="JZZ313" s="246"/>
      <c r="KAA313" s="246" t="str">
        <f>BS!$D$5</f>
        <v>31 March 2026</v>
      </c>
      <c r="KAB313" s="247" t="str">
        <f>BS!$E$5</f>
        <v>31 March 2025</v>
      </c>
      <c r="KAC313" s="1717"/>
      <c r="KAD313" s="1718"/>
      <c r="KAE313" s="1718"/>
      <c r="KAF313" s="1718"/>
      <c r="KAG313" s="1718"/>
      <c r="KAH313" s="246"/>
      <c r="KAI313" s="246" t="str">
        <f>BS!$D$5</f>
        <v>31 March 2026</v>
      </c>
      <c r="KAJ313" s="247" t="str">
        <f>BS!$E$5</f>
        <v>31 March 2025</v>
      </c>
      <c r="KAK313" s="1717"/>
      <c r="KAL313" s="1718"/>
      <c r="KAM313" s="1718"/>
      <c r="KAN313" s="1718"/>
      <c r="KAO313" s="1718"/>
      <c r="KAP313" s="246"/>
      <c r="KAQ313" s="246" t="str">
        <f>BS!$D$5</f>
        <v>31 March 2026</v>
      </c>
      <c r="KAR313" s="247" t="str">
        <f>BS!$E$5</f>
        <v>31 March 2025</v>
      </c>
      <c r="KAS313" s="1717"/>
      <c r="KAT313" s="1718"/>
      <c r="KAU313" s="1718"/>
      <c r="KAV313" s="1718"/>
      <c r="KAW313" s="1718"/>
      <c r="KAX313" s="246"/>
      <c r="KAY313" s="246" t="str">
        <f>BS!$D$5</f>
        <v>31 March 2026</v>
      </c>
      <c r="KAZ313" s="247" t="str">
        <f>BS!$E$5</f>
        <v>31 March 2025</v>
      </c>
      <c r="KBA313" s="1717"/>
      <c r="KBB313" s="1718"/>
      <c r="KBC313" s="1718"/>
      <c r="KBD313" s="1718"/>
      <c r="KBE313" s="1718"/>
      <c r="KBF313" s="246"/>
      <c r="KBG313" s="246" t="str">
        <f>BS!$D$5</f>
        <v>31 March 2026</v>
      </c>
      <c r="KBH313" s="247" t="str">
        <f>BS!$E$5</f>
        <v>31 March 2025</v>
      </c>
      <c r="KBI313" s="1717"/>
      <c r="KBJ313" s="1718"/>
      <c r="KBK313" s="1718"/>
      <c r="KBL313" s="1718"/>
      <c r="KBM313" s="1718"/>
      <c r="KBN313" s="246"/>
      <c r="KBO313" s="246" t="str">
        <f>BS!$D$5</f>
        <v>31 March 2026</v>
      </c>
      <c r="KBP313" s="247" t="str">
        <f>BS!$E$5</f>
        <v>31 March 2025</v>
      </c>
      <c r="KBQ313" s="1717"/>
      <c r="KBR313" s="1718"/>
      <c r="KBS313" s="1718"/>
      <c r="KBT313" s="1718"/>
      <c r="KBU313" s="1718"/>
      <c r="KBV313" s="246"/>
      <c r="KBW313" s="246" t="str">
        <f>BS!$D$5</f>
        <v>31 March 2026</v>
      </c>
      <c r="KBX313" s="247" t="str">
        <f>BS!$E$5</f>
        <v>31 March 2025</v>
      </c>
      <c r="KBY313" s="1717"/>
      <c r="KBZ313" s="1718"/>
      <c r="KCA313" s="1718"/>
      <c r="KCB313" s="1718"/>
      <c r="KCC313" s="1718"/>
      <c r="KCD313" s="246"/>
      <c r="KCE313" s="246" t="str">
        <f>BS!$D$5</f>
        <v>31 March 2026</v>
      </c>
      <c r="KCF313" s="247" t="str">
        <f>BS!$E$5</f>
        <v>31 March 2025</v>
      </c>
      <c r="KCG313" s="1717"/>
      <c r="KCH313" s="1718"/>
      <c r="KCI313" s="1718"/>
      <c r="KCJ313" s="1718"/>
      <c r="KCK313" s="1718"/>
      <c r="KCL313" s="246"/>
      <c r="KCM313" s="246" t="str">
        <f>BS!$D$5</f>
        <v>31 March 2026</v>
      </c>
      <c r="KCN313" s="247" t="str">
        <f>BS!$E$5</f>
        <v>31 March 2025</v>
      </c>
      <c r="KCO313" s="1717"/>
      <c r="KCP313" s="1718"/>
      <c r="KCQ313" s="1718"/>
      <c r="KCR313" s="1718"/>
      <c r="KCS313" s="1718"/>
      <c r="KCT313" s="246"/>
      <c r="KCU313" s="246" t="str">
        <f>BS!$D$5</f>
        <v>31 March 2026</v>
      </c>
      <c r="KCV313" s="247" t="str">
        <f>BS!$E$5</f>
        <v>31 March 2025</v>
      </c>
      <c r="KCW313" s="1717"/>
      <c r="KCX313" s="1718"/>
      <c r="KCY313" s="1718"/>
      <c r="KCZ313" s="1718"/>
      <c r="KDA313" s="1718"/>
      <c r="KDB313" s="246"/>
      <c r="KDC313" s="246" t="str">
        <f>BS!$D$5</f>
        <v>31 March 2026</v>
      </c>
      <c r="KDD313" s="247" t="str">
        <f>BS!$E$5</f>
        <v>31 March 2025</v>
      </c>
      <c r="KDE313" s="1717"/>
      <c r="KDF313" s="1718"/>
      <c r="KDG313" s="1718"/>
      <c r="KDH313" s="1718"/>
      <c r="KDI313" s="1718"/>
      <c r="KDJ313" s="246"/>
      <c r="KDK313" s="246" t="str">
        <f>BS!$D$5</f>
        <v>31 March 2026</v>
      </c>
      <c r="KDL313" s="247" t="str">
        <f>BS!$E$5</f>
        <v>31 March 2025</v>
      </c>
      <c r="KDM313" s="1717"/>
      <c r="KDN313" s="1718"/>
      <c r="KDO313" s="1718"/>
      <c r="KDP313" s="1718"/>
      <c r="KDQ313" s="1718"/>
      <c r="KDR313" s="246"/>
      <c r="KDS313" s="246" t="str">
        <f>BS!$D$5</f>
        <v>31 March 2026</v>
      </c>
      <c r="KDT313" s="247" t="str">
        <f>BS!$E$5</f>
        <v>31 March 2025</v>
      </c>
      <c r="KDU313" s="1717"/>
      <c r="KDV313" s="1718"/>
      <c r="KDW313" s="1718"/>
      <c r="KDX313" s="1718"/>
      <c r="KDY313" s="1718"/>
      <c r="KDZ313" s="246"/>
      <c r="KEA313" s="246" t="str">
        <f>BS!$D$5</f>
        <v>31 March 2026</v>
      </c>
      <c r="KEB313" s="247" t="str">
        <f>BS!$E$5</f>
        <v>31 March 2025</v>
      </c>
      <c r="KEC313" s="1717"/>
      <c r="KED313" s="1718"/>
      <c r="KEE313" s="1718"/>
      <c r="KEF313" s="1718"/>
      <c r="KEG313" s="1718"/>
      <c r="KEH313" s="246"/>
      <c r="KEI313" s="246" t="str">
        <f>BS!$D$5</f>
        <v>31 March 2026</v>
      </c>
      <c r="KEJ313" s="247" t="str">
        <f>BS!$E$5</f>
        <v>31 March 2025</v>
      </c>
      <c r="KEK313" s="1717"/>
      <c r="KEL313" s="1718"/>
      <c r="KEM313" s="1718"/>
      <c r="KEN313" s="1718"/>
      <c r="KEO313" s="1718"/>
      <c r="KEP313" s="246"/>
      <c r="KEQ313" s="246" t="str">
        <f>BS!$D$5</f>
        <v>31 March 2026</v>
      </c>
      <c r="KER313" s="247" t="str">
        <f>BS!$E$5</f>
        <v>31 March 2025</v>
      </c>
      <c r="KES313" s="1717"/>
      <c r="KET313" s="1718"/>
      <c r="KEU313" s="1718"/>
      <c r="KEV313" s="1718"/>
      <c r="KEW313" s="1718"/>
      <c r="KEX313" s="246"/>
      <c r="KEY313" s="246" t="str">
        <f>BS!$D$5</f>
        <v>31 March 2026</v>
      </c>
      <c r="KEZ313" s="247" t="str">
        <f>BS!$E$5</f>
        <v>31 March 2025</v>
      </c>
      <c r="KFA313" s="1717"/>
      <c r="KFB313" s="1718"/>
      <c r="KFC313" s="1718"/>
      <c r="KFD313" s="1718"/>
      <c r="KFE313" s="1718"/>
      <c r="KFF313" s="246"/>
      <c r="KFG313" s="246" t="str">
        <f>BS!$D$5</f>
        <v>31 March 2026</v>
      </c>
      <c r="KFH313" s="247" t="str">
        <f>BS!$E$5</f>
        <v>31 March 2025</v>
      </c>
      <c r="KFI313" s="1717"/>
      <c r="KFJ313" s="1718"/>
      <c r="KFK313" s="1718"/>
      <c r="KFL313" s="1718"/>
      <c r="KFM313" s="1718"/>
      <c r="KFN313" s="246"/>
      <c r="KFO313" s="246" t="str">
        <f>BS!$D$5</f>
        <v>31 March 2026</v>
      </c>
      <c r="KFP313" s="247" t="str">
        <f>BS!$E$5</f>
        <v>31 March 2025</v>
      </c>
      <c r="KFQ313" s="1717"/>
      <c r="KFR313" s="1718"/>
      <c r="KFS313" s="1718"/>
      <c r="KFT313" s="1718"/>
      <c r="KFU313" s="1718"/>
      <c r="KFV313" s="246"/>
      <c r="KFW313" s="246" t="str">
        <f>BS!$D$5</f>
        <v>31 March 2026</v>
      </c>
      <c r="KFX313" s="247" t="str">
        <f>BS!$E$5</f>
        <v>31 March 2025</v>
      </c>
      <c r="KFY313" s="1717"/>
      <c r="KFZ313" s="1718"/>
      <c r="KGA313" s="1718"/>
      <c r="KGB313" s="1718"/>
      <c r="KGC313" s="1718"/>
      <c r="KGD313" s="246"/>
      <c r="KGE313" s="246" t="str">
        <f>BS!$D$5</f>
        <v>31 March 2026</v>
      </c>
      <c r="KGF313" s="247" t="str">
        <f>BS!$E$5</f>
        <v>31 March 2025</v>
      </c>
      <c r="KGG313" s="1717"/>
      <c r="KGH313" s="1718"/>
      <c r="KGI313" s="1718"/>
      <c r="KGJ313" s="1718"/>
      <c r="KGK313" s="1718"/>
      <c r="KGL313" s="246"/>
      <c r="KGM313" s="246" t="str">
        <f>BS!$D$5</f>
        <v>31 March 2026</v>
      </c>
      <c r="KGN313" s="247" t="str">
        <f>BS!$E$5</f>
        <v>31 March 2025</v>
      </c>
      <c r="KGO313" s="1717"/>
      <c r="KGP313" s="1718"/>
      <c r="KGQ313" s="1718"/>
      <c r="KGR313" s="1718"/>
      <c r="KGS313" s="1718"/>
      <c r="KGT313" s="246"/>
      <c r="KGU313" s="246" t="str">
        <f>BS!$D$5</f>
        <v>31 March 2026</v>
      </c>
      <c r="KGV313" s="247" t="str">
        <f>BS!$E$5</f>
        <v>31 March 2025</v>
      </c>
      <c r="KGW313" s="1717"/>
      <c r="KGX313" s="1718"/>
      <c r="KGY313" s="1718"/>
      <c r="KGZ313" s="1718"/>
      <c r="KHA313" s="1718"/>
      <c r="KHB313" s="246"/>
      <c r="KHC313" s="246" t="str">
        <f>BS!$D$5</f>
        <v>31 March 2026</v>
      </c>
      <c r="KHD313" s="247" t="str">
        <f>BS!$E$5</f>
        <v>31 March 2025</v>
      </c>
      <c r="KHE313" s="1717"/>
      <c r="KHF313" s="1718"/>
      <c r="KHG313" s="1718"/>
      <c r="KHH313" s="1718"/>
      <c r="KHI313" s="1718"/>
      <c r="KHJ313" s="246"/>
      <c r="KHK313" s="246" t="str">
        <f>BS!$D$5</f>
        <v>31 March 2026</v>
      </c>
      <c r="KHL313" s="247" t="str">
        <f>BS!$E$5</f>
        <v>31 March 2025</v>
      </c>
      <c r="KHM313" s="1717"/>
      <c r="KHN313" s="1718"/>
      <c r="KHO313" s="1718"/>
      <c r="KHP313" s="1718"/>
      <c r="KHQ313" s="1718"/>
      <c r="KHR313" s="246"/>
      <c r="KHS313" s="246" t="str">
        <f>BS!$D$5</f>
        <v>31 March 2026</v>
      </c>
      <c r="KHT313" s="247" t="str">
        <f>BS!$E$5</f>
        <v>31 March 2025</v>
      </c>
      <c r="KHU313" s="1717"/>
      <c r="KHV313" s="1718"/>
      <c r="KHW313" s="1718"/>
      <c r="KHX313" s="1718"/>
      <c r="KHY313" s="1718"/>
      <c r="KHZ313" s="246"/>
      <c r="KIA313" s="246" t="str">
        <f>BS!$D$5</f>
        <v>31 March 2026</v>
      </c>
      <c r="KIB313" s="247" t="str">
        <f>BS!$E$5</f>
        <v>31 March 2025</v>
      </c>
      <c r="KIC313" s="1717"/>
      <c r="KID313" s="1718"/>
      <c r="KIE313" s="1718"/>
      <c r="KIF313" s="1718"/>
      <c r="KIG313" s="1718"/>
      <c r="KIH313" s="246"/>
      <c r="KII313" s="246" t="str">
        <f>BS!$D$5</f>
        <v>31 March 2026</v>
      </c>
      <c r="KIJ313" s="247" t="str">
        <f>BS!$E$5</f>
        <v>31 March 2025</v>
      </c>
      <c r="KIK313" s="1717"/>
      <c r="KIL313" s="1718"/>
      <c r="KIM313" s="1718"/>
      <c r="KIN313" s="1718"/>
      <c r="KIO313" s="1718"/>
      <c r="KIP313" s="246"/>
      <c r="KIQ313" s="246" t="str">
        <f>BS!$D$5</f>
        <v>31 March 2026</v>
      </c>
      <c r="KIR313" s="247" t="str">
        <f>BS!$E$5</f>
        <v>31 March 2025</v>
      </c>
      <c r="KIS313" s="1717"/>
      <c r="KIT313" s="1718"/>
      <c r="KIU313" s="1718"/>
      <c r="KIV313" s="1718"/>
      <c r="KIW313" s="1718"/>
      <c r="KIX313" s="246"/>
      <c r="KIY313" s="246" t="str">
        <f>BS!$D$5</f>
        <v>31 March 2026</v>
      </c>
      <c r="KIZ313" s="247" t="str">
        <f>BS!$E$5</f>
        <v>31 March 2025</v>
      </c>
      <c r="KJA313" s="1717"/>
      <c r="KJB313" s="1718"/>
      <c r="KJC313" s="1718"/>
      <c r="KJD313" s="1718"/>
      <c r="KJE313" s="1718"/>
      <c r="KJF313" s="246"/>
      <c r="KJG313" s="246" t="str">
        <f>BS!$D$5</f>
        <v>31 March 2026</v>
      </c>
      <c r="KJH313" s="247" t="str">
        <f>BS!$E$5</f>
        <v>31 March 2025</v>
      </c>
      <c r="KJI313" s="1717"/>
      <c r="KJJ313" s="1718"/>
      <c r="KJK313" s="1718"/>
      <c r="KJL313" s="1718"/>
      <c r="KJM313" s="1718"/>
      <c r="KJN313" s="246"/>
      <c r="KJO313" s="246" t="str">
        <f>BS!$D$5</f>
        <v>31 March 2026</v>
      </c>
      <c r="KJP313" s="247" t="str">
        <f>BS!$E$5</f>
        <v>31 March 2025</v>
      </c>
      <c r="KJQ313" s="1717"/>
      <c r="KJR313" s="1718"/>
      <c r="KJS313" s="1718"/>
      <c r="KJT313" s="1718"/>
      <c r="KJU313" s="1718"/>
      <c r="KJV313" s="246"/>
      <c r="KJW313" s="246" t="str">
        <f>BS!$D$5</f>
        <v>31 March 2026</v>
      </c>
      <c r="KJX313" s="247" t="str">
        <f>BS!$E$5</f>
        <v>31 March 2025</v>
      </c>
      <c r="KJY313" s="1717"/>
      <c r="KJZ313" s="1718"/>
      <c r="KKA313" s="1718"/>
      <c r="KKB313" s="1718"/>
      <c r="KKC313" s="1718"/>
      <c r="KKD313" s="246"/>
      <c r="KKE313" s="246" t="str">
        <f>BS!$D$5</f>
        <v>31 March 2026</v>
      </c>
      <c r="KKF313" s="247" t="str">
        <f>BS!$E$5</f>
        <v>31 March 2025</v>
      </c>
      <c r="KKG313" s="1717"/>
      <c r="KKH313" s="1718"/>
      <c r="KKI313" s="1718"/>
      <c r="KKJ313" s="1718"/>
      <c r="KKK313" s="1718"/>
      <c r="KKL313" s="246"/>
      <c r="KKM313" s="246" t="str">
        <f>BS!$D$5</f>
        <v>31 March 2026</v>
      </c>
      <c r="KKN313" s="247" t="str">
        <f>BS!$E$5</f>
        <v>31 March 2025</v>
      </c>
      <c r="KKO313" s="1717"/>
      <c r="KKP313" s="1718"/>
      <c r="KKQ313" s="1718"/>
      <c r="KKR313" s="1718"/>
      <c r="KKS313" s="1718"/>
      <c r="KKT313" s="246"/>
      <c r="KKU313" s="246" t="str">
        <f>BS!$D$5</f>
        <v>31 March 2026</v>
      </c>
      <c r="KKV313" s="247" t="str">
        <f>BS!$E$5</f>
        <v>31 March 2025</v>
      </c>
      <c r="KKW313" s="1717"/>
      <c r="KKX313" s="1718"/>
      <c r="KKY313" s="1718"/>
      <c r="KKZ313" s="1718"/>
      <c r="KLA313" s="1718"/>
      <c r="KLB313" s="246"/>
      <c r="KLC313" s="246" t="str">
        <f>BS!$D$5</f>
        <v>31 March 2026</v>
      </c>
      <c r="KLD313" s="247" t="str">
        <f>BS!$E$5</f>
        <v>31 March 2025</v>
      </c>
      <c r="KLE313" s="1717"/>
      <c r="KLF313" s="1718"/>
      <c r="KLG313" s="1718"/>
      <c r="KLH313" s="1718"/>
      <c r="KLI313" s="1718"/>
      <c r="KLJ313" s="246"/>
      <c r="KLK313" s="246" t="str">
        <f>BS!$D$5</f>
        <v>31 March 2026</v>
      </c>
      <c r="KLL313" s="247" t="str">
        <f>BS!$E$5</f>
        <v>31 March 2025</v>
      </c>
      <c r="KLM313" s="1717"/>
      <c r="KLN313" s="1718"/>
      <c r="KLO313" s="1718"/>
      <c r="KLP313" s="1718"/>
      <c r="KLQ313" s="1718"/>
      <c r="KLR313" s="246"/>
      <c r="KLS313" s="246" t="str">
        <f>BS!$D$5</f>
        <v>31 March 2026</v>
      </c>
      <c r="KLT313" s="247" t="str">
        <f>BS!$E$5</f>
        <v>31 March 2025</v>
      </c>
      <c r="KLU313" s="1717"/>
      <c r="KLV313" s="1718"/>
      <c r="KLW313" s="1718"/>
      <c r="KLX313" s="1718"/>
      <c r="KLY313" s="1718"/>
      <c r="KLZ313" s="246"/>
      <c r="KMA313" s="246" t="str">
        <f>BS!$D$5</f>
        <v>31 March 2026</v>
      </c>
      <c r="KMB313" s="247" t="str">
        <f>BS!$E$5</f>
        <v>31 March 2025</v>
      </c>
      <c r="KMC313" s="1717"/>
      <c r="KMD313" s="1718"/>
      <c r="KME313" s="1718"/>
      <c r="KMF313" s="1718"/>
      <c r="KMG313" s="1718"/>
      <c r="KMH313" s="246"/>
      <c r="KMI313" s="246" t="str">
        <f>BS!$D$5</f>
        <v>31 March 2026</v>
      </c>
      <c r="KMJ313" s="247" t="str">
        <f>BS!$E$5</f>
        <v>31 March 2025</v>
      </c>
      <c r="KMK313" s="1717"/>
      <c r="KML313" s="1718"/>
      <c r="KMM313" s="1718"/>
      <c r="KMN313" s="1718"/>
      <c r="KMO313" s="1718"/>
      <c r="KMP313" s="246"/>
      <c r="KMQ313" s="246" t="str">
        <f>BS!$D$5</f>
        <v>31 March 2026</v>
      </c>
      <c r="KMR313" s="247" t="str">
        <f>BS!$E$5</f>
        <v>31 March 2025</v>
      </c>
      <c r="KMS313" s="1717"/>
      <c r="KMT313" s="1718"/>
      <c r="KMU313" s="1718"/>
      <c r="KMV313" s="1718"/>
      <c r="KMW313" s="1718"/>
      <c r="KMX313" s="246"/>
      <c r="KMY313" s="246" t="str">
        <f>BS!$D$5</f>
        <v>31 March 2026</v>
      </c>
      <c r="KMZ313" s="247" t="str">
        <f>BS!$E$5</f>
        <v>31 March 2025</v>
      </c>
      <c r="KNA313" s="1717"/>
      <c r="KNB313" s="1718"/>
      <c r="KNC313" s="1718"/>
      <c r="KND313" s="1718"/>
      <c r="KNE313" s="1718"/>
      <c r="KNF313" s="246"/>
      <c r="KNG313" s="246" t="str">
        <f>BS!$D$5</f>
        <v>31 March 2026</v>
      </c>
      <c r="KNH313" s="247" t="str">
        <f>BS!$E$5</f>
        <v>31 March 2025</v>
      </c>
      <c r="KNI313" s="1717"/>
      <c r="KNJ313" s="1718"/>
      <c r="KNK313" s="1718"/>
      <c r="KNL313" s="1718"/>
      <c r="KNM313" s="1718"/>
      <c r="KNN313" s="246"/>
      <c r="KNO313" s="246" t="str">
        <f>BS!$D$5</f>
        <v>31 March 2026</v>
      </c>
      <c r="KNP313" s="247" t="str">
        <f>BS!$E$5</f>
        <v>31 March 2025</v>
      </c>
      <c r="KNQ313" s="1717"/>
      <c r="KNR313" s="1718"/>
      <c r="KNS313" s="1718"/>
      <c r="KNT313" s="1718"/>
      <c r="KNU313" s="1718"/>
      <c r="KNV313" s="246"/>
      <c r="KNW313" s="246" t="str">
        <f>BS!$D$5</f>
        <v>31 March 2026</v>
      </c>
      <c r="KNX313" s="247" t="str">
        <f>BS!$E$5</f>
        <v>31 March 2025</v>
      </c>
      <c r="KNY313" s="1717"/>
      <c r="KNZ313" s="1718"/>
      <c r="KOA313" s="1718"/>
      <c r="KOB313" s="1718"/>
      <c r="KOC313" s="1718"/>
      <c r="KOD313" s="246"/>
      <c r="KOE313" s="246" t="str">
        <f>BS!$D$5</f>
        <v>31 March 2026</v>
      </c>
      <c r="KOF313" s="247" t="str">
        <f>BS!$E$5</f>
        <v>31 March 2025</v>
      </c>
      <c r="KOG313" s="1717"/>
      <c r="KOH313" s="1718"/>
      <c r="KOI313" s="1718"/>
      <c r="KOJ313" s="1718"/>
      <c r="KOK313" s="1718"/>
      <c r="KOL313" s="246"/>
      <c r="KOM313" s="246" t="str">
        <f>BS!$D$5</f>
        <v>31 March 2026</v>
      </c>
      <c r="KON313" s="247" t="str">
        <f>BS!$E$5</f>
        <v>31 March 2025</v>
      </c>
      <c r="KOO313" s="1717"/>
      <c r="KOP313" s="1718"/>
      <c r="KOQ313" s="1718"/>
      <c r="KOR313" s="1718"/>
      <c r="KOS313" s="1718"/>
      <c r="KOT313" s="246"/>
      <c r="KOU313" s="246" t="str">
        <f>BS!$D$5</f>
        <v>31 March 2026</v>
      </c>
      <c r="KOV313" s="247" t="str">
        <f>BS!$E$5</f>
        <v>31 March 2025</v>
      </c>
      <c r="KOW313" s="1717"/>
      <c r="KOX313" s="1718"/>
      <c r="KOY313" s="1718"/>
      <c r="KOZ313" s="1718"/>
      <c r="KPA313" s="1718"/>
      <c r="KPB313" s="246"/>
      <c r="KPC313" s="246" t="str">
        <f>BS!$D$5</f>
        <v>31 March 2026</v>
      </c>
      <c r="KPD313" s="247" t="str">
        <f>BS!$E$5</f>
        <v>31 March 2025</v>
      </c>
      <c r="KPE313" s="1717"/>
      <c r="KPF313" s="1718"/>
      <c r="KPG313" s="1718"/>
      <c r="KPH313" s="1718"/>
      <c r="KPI313" s="1718"/>
      <c r="KPJ313" s="246"/>
      <c r="KPK313" s="246" t="str">
        <f>BS!$D$5</f>
        <v>31 March 2026</v>
      </c>
      <c r="KPL313" s="247" t="str">
        <f>BS!$E$5</f>
        <v>31 March 2025</v>
      </c>
      <c r="KPM313" s="1717"/>
      <c r="KPN313" s="1718"/>
      <c r="KPO313" s="1718"/>
      <c r="KPP313" s="1718"/>
      <c r="KPQ313" s="1718"/>
      <c r="KPR313" s="246"/>
      <c r="KPS313" s="246" t="str">
        <f>BS!$D$5</f>
        <v>31 March 2026</v>
      </c>
      <c r="KPT313" s="247" t="str">
        <f>BS!$E$5</f>
        <v>31 March 2025</v>
      </c>
      <c r="KPU313" s="1717"/>
      <c r="KPV313" s="1718"/>
      <c r="KPW313" s="1718"/>
      <c r="KPX313" s="1718"/>
      <c r="KPY313" s="1718"/>
      <c r="KPZ313" s="246"/>
      <c r="KQA313" s="246" t="str">
        <f>BS!$D$5</f>
        <v>31 March 2026</v>
      </c>
      <c r="KQB313" s="247" t="str">
        <f>BS!$E$5</f>
        <v>31 March 2025</v>
      </c>
      <c r="KQC313" s="1717"/>
      <c r="KQD313" s="1718"/>
      <c r="KQE313" s="1718"/>
      <c r="KQF313" s="1718"/>
      <c r="KQG313" s="1718"/>
      <c r="KQH313" s="246"/>
      <c r="KQI313" s="246" t="str">
        <f>BS!$D$5</f>
        <v>31 March 2026</v>
      </c>
      <c r="KQJ313" s="247" t="str">
        <f>BS!$E$5</f>
        <v>31 March 2025</v>
      </c>
      <c r="KQK313" s="1717"/>
      <c r="KQL313" s="1718"/>
      <c r="KQM313" s="1718"/>
      <c r="KQN313" s="1718"/>
      <c r="KQO313" s="1718"/>
      <c r="KQP313" s="246"/>
      <c r="KQQ313" s="246" t="str">
        <f>BS!$D$5</f>
        <v>31 March 2026</v>
      </c>
      <c r="KQR313" s="247" t="str">
        <f>BS!$E$5</f>
        <v>31 March 2025</v>
      </c>
      <c r="KQS313" s="1717"/>
      <c r="KQT313" s="1718"/>
      <c r="KQU313" s="1718"/>
      <c r="KQV313" s="1718"/>
      <c r="KQW313" s="1718"/>
      <c r="KQX313" s="246"/>
      <c r="KQY313" s="246" t="str">
        <f>BS!$D$5</f>
        <v>31 March 2026</v>
      </c>
      <c r="KQZ313" s="247" t="str">
        <f>BS!$E$5</f>
        <v>31 March 2025</v>
      </c>
      <c r="KRA313" s="1717"/>
      <c r="KRB313" s="1718"/>
      <c r="KRC313" s="1718"/>
      <c r="KRD313" s="1718"/>
      <c r="KRE313" s="1718"/>
      <c r="KRF313" s="246"/>
      <c r="KRG313" s="246" t="str">
        <f>BS!$D$5</f>
        <v>31 March 2026</v>
      </c>
      <c r="KRH313" s="247" t="str">
        <f>BS!$E$5</f>
        <v>31 March 2025</v>
      </c>
      <c r="KRI313" s="1717"/>
      <c r="KRJ313" s="1718"/>
      <c r="KRK313" s="1718"/>
      <c r="KRL313" s="1718"/>
      <c r="KRM313" s="1718"/>
      <c r="KRN313" s="246"/>
      <c r="KRO313" s="246" t="str">
        <f>BS!$D$5</f>
        <v>31 March 2026</v>
      </c>
      <c r="KRP313" s="247" t="str">
        <f>BS!$E$5</f>
        <v>31 March 2025</v>
      </c>
      <c r="KRQ313" s="1717"/>
      <c r="KRR313" s="1718"/>
      <c r="KRS313" s="1718"/>
      <c r="KRT313" s="1718"/>
      <c r="KRU313" s="1718"/>
      <c r="KRV313" s="246"/>
      <c r="KRW313" s="246" t="str">
        <f>BS!$D$5</f>
        <v>31 March 2026</v>
      </c>
      <c r="KRX313" s="247" t="str">
        <f>BS!$E$5</f>
        <v>31 March 2025</v>
      </c>
      <c r="KRY313" s="1717"/>
      <c r="KRZ313" s="1718"/>
      <c r="KSA313" s="1718"/>
      <c r="KSB313" s="1718"/>
      <c r="KSC313" s="1718"/>
      <c r="KSD313" s="246"/>
      <c r="KSE313" s="246" t="str">
        <f>BS!$D$5</f>
        <v>31 March 2026</v>
      </c>
      <c r="KSF313" s="247" t="str">
        <f>BS!$E$5</f>
        <v>31 March 2025</v>
      </c>
      <c r="KSG313" s="1717"/>
      <c r="KSH313" s="1718"/>
      <c r="KSI313" s="1718"/>
      <c r="KSJ313" s="1718"/>
      <c r="KSK313" s="1718"/>
      <c r="KSL313" s="246"/>
      <c r="KSM313" s="246" t="str">
        <f>BS!$D$5</f>
        <v>31 March 2026</v>
      </c>
      <c r="KSN313" s="247" t="str">
        <f>BS!$E$5</f>
        <v>31 March 2025</v>
      </c>
      <c r="KSO313" s="1717"/>
      <c r="KSP313" s="1718"/>
      <c r="KSQ313" s="1718"/>
      <c r="KSR313" s="1718"/>
      <c r="KSS313" s="1718"/>
      <c r="KST313" s="246"/>
      <c r="KSU313" s="246" t="str">
        <f>BS!$D$5</f>
        <v>31 March 2026</v>
      </c>
      <c r="KSV313" s="247" t="str">
        <f>BS!$E$5</f>
        <v>31 March 2025</v>
      </c>
      <c r="KSW313" s="1717"/>
      <c r="KSX313" s="1718"/>
      <c r="KSY313" s="1718"/>
      <c r="KSZ313" s="1718"/>
      <c r="KTA313" s="1718"/>
      <c r="KTB313" s="246"/>
      <c r="KTC313" s="246" t="str">
        <f>BS!$D$5</f>
        <v>31 March 2026</v>
      </c>
      <c r="KTD313" s="247" t="str">
        <f>BS!$E$5</f>
        <v>31 March 2025</v>
      </c>
      <c r="KTE313" s="1717"/>
      <c r="KTF313" s="1718"/>
      <c r="KTG313" s="1718"/>
      <c r="KTH313" s="1718"/>
      <c r="KTI313" s="1718"/>
      <c r="KTJ313" s="246"/>
      <c r="KTK313" s="246" t="str">
        <f>BS!$D$5</f>
        <v>31 March 2026</v>
      </c>
      <c r="KTL313" s="247" t="str">
        <f>BS!$E$5</f>
        <v>31 March 2025</v>
      </c>
      <c r="KTM313" s="1717"/>
      <c r="KTN313" s="1718"/>
      <c r="KTO313" s="1718"/>
      <c r="KTP313" s="1718"/>
      <c r="KTQ313" s="1718"/>
      <c r="KTR313" s="246"/>
      <c r="KTS313" s="246" t="str">
        <f>BS!$D$5</f>
        <v>31 March 2026</v>
      </c>
      <c r="KTT313" s="247" t="str">
        <f>BS!$E$5</f>
        <v>31 March 2025</v>
      </c>
      <c r="KTU313" s="1717"/>
      <c r="KTV313" s="1718"/>
      <c r="KTW313" s="1718"/>
      <c r="KTX313" s="1718"/>
      <c r="KTY313" s="1718"/>
      <c r="KTZ313" s="246"/>
      <c r="KUA313" s="246" t="str">
        <f>BS!$D$5</f>
        <v>31 March 2026</v>
      </c>
      <c r="KUB313" s="247" t="str">
        <f>BS!$E$5</f>
        <v>31 March 2025</v>
      </c>
      <c r="KUC313" s="1717"/>
      <c r="KUD313" s="1718"/>
      <c r="KUE313" s="1718"/>
      <c r="KUF313" s="1718"/>
      <c r="KUG313" s="1718"/>
      <c r="KUH313" s="246"/>
      <c r="KUI313" s="246" t="str">
        <f>BS!$D$5</f>
        <v>31 March 2026</v>
      </c>
      <c r="KUJ313" s="247" t="str">
        <f>BS!$E$5</f>
        <v>31 March 2025</v>
      </c>
      <c r="KUK313" s="1717"/>
      <c r="KUL313" s="1718"/>
      <c r="KUM313" s="1718"/>
      <c r="KUN313" s="1718"/>
      <c r="KUO313" s="1718"/>
      <c r="KUP313" s="246"/>
      <c r="KUQ313" s="246" t="str">
        <f>BS!$D$5</f>
        <v>31 March 2026</v>
      </c>
      <c r="KUR313" s="247" t="str">
        <f>BS!$E$5</f>
        <v>31 March 2025</v>
      </c>
      <c r="KUS313" s="1717"/>
      <c r="KUT313" s="1718"/>
      <c r="KUU313" s="1718"/>
      <c r="KUV313" s="1718"/>
      <c r="KUW313" s="1718"/>
      <c r="KUX313" s="246"/>
      <c r="KUY313" s="246" t="str">
        <f>BS!$D$5</f>
        <v>31 March 2026</v>
      </c>
      <c r="KUZ313" s="247" t="str">
        <f>BS!$E$5</f>
        <v>31 March 2025</v>
      </c>
      <c r="KVA313" s="1717"/>
      <c r="KVB313" s="1718"/>
      <c r="KVC313" s="1718"/>
      <c r="KVD313" s="1718"/>
      <c r="KVE313" s="1718"/>
      <c r="KVF313" s="246"/>
      <c r="KVG313" s="246" t="str">
        <f>BS!$D$5</f>
        <v>31 March 2026</v>
      </c>
      <c r="KVH313" s="247" t="str">
        <f>BS!$E$5</f>
        <v>31 March 2025</v>
      </c>
      <c r="KVI313" s="1717"/>
      <c r="KVJ313" s="1718"/>
      <c r="KVK313" s="1718"/>
      <c r="KVL313" s="1718"/>
      <c r="KVM313" s="1718"/>
      <c r="KVN313" s="246"/>
      <c r="KVO313" s="246" t="str">
        <f>BS!$D$5</f>
        <v>31 March 2026</v>
      </c>
      <c r="KVP313" s="247" t="str">
        <f>BS!$E$5</f>
        <v>31 March 2025</v>
      </c>
      <c r="KVQ313" s="1717"/>
      <c r="KVR313" s="1718"/>
      <c r="KVS313" s="1718"/>
      <c r="KVT313" s="1718"/>
      <c r="KVU313" s="1718"/>
      <c r="KVV313" s="246"/>
      <c r="KVW313" s="246" t="str">
        <f>BS!$D$5</f>
        <v>31 March 2026</v>
      </c>
      <c r="KVX313" s="247" t="str">
        <f>BS!$E$5</f>
        <v>31 March 2025</v>
      </c>
      <c r="KVY313" s="1717"/>
      <c r="KVZ313" s="1718"/>
      <c r="KWA313" s="1718"/>
      <c r="KWB313" s="1718"/>
      <c r="KWC313" s="1718"/>
      <c r="KWD313" s="246"/>
      <c r="KWE313" s="246" t="str">
        <f>BS!$D$5</f>
        <v>31 March 2026</v>
      </c>
      <c r="KWF313" s="247" t="str">
        <f>BS!$E$5</f>
        <v>31 March 2025</v>
      </c>
      <c r="KWG313" s="1717"/>
      <c r="KWH313" s="1718"/>
      <c r="KWI313" s="1718"/>
      <c r="KWJ313" s="1718"/>
      <c r="KWK313" s="1718"/>
      <c r="KWL313" s="246"/>
      <c r="KWM313" s="246" t="str">
        <f>BS!$D$5</f>
        <v>31 March 2026</v>
      </c>
      <c r="KWN313" s="247" t="str">
        <f>BS!$E$5</f>
        <v>31 March 2025</v>
      </c>
      <c r="KWO313" s="1717"/>
      <c r="KWP313" s="1718"/>
      <c r="KWQ313" s="1718"/>
      <c r="KWR313" s="1718"/>
      <c r="KWS313" s="1718"/>
      <c r="KWT313" s="246"/>
      <c r="KWU313" s="246" t="str">
        <f>BS!$D$5</f>
        <v>31 March 2026</v>
      </c>
      <c r="KWV313" s="247" t="str">
        <f>BS!$E$5</f>
        <v>31 March 2025</v>
      </c>
      <c r="KWW313" s="1717"/>
      <c r="KWX313" s="1718"/>
      <c r="KWY313" s="1718"/>
      <c r="KWZ313" s="1718"/>
      <c r="KXA313" s="1718"/>
      <c r="KXB313" s="246"/>
      <c r="KXC313" s="246" t="str">
        <f>BS!$D$5</f>
        <v>31 March 2026</v>
      </c>
      <c r="KXD313" s="247" t="str">
        <f>BS!$E$5</f>
        <v>31 March 2025</v>
      </c>
      <c r="KXE313" s="1717"/>
      <c r="KXF313" s="1718"/>
      <c r="KXG313" s="1718"/>
      <c r="KXH313" s="1718"/>
      <c r="KXI313" s="1718"/>
      <c r="KXJ313" s="246"/>
      <c r="KXK313" s="246" t="str">
        <f>BS!$D$5</f>
        <v>31 March 2026</v>
      </c>
      <c r="KXL313" s="247" t="str">
        <f>BS!$E$5</f>
        <v>31 March 2025</v>
      </c>
      <c r="KXM313" s="1717"/>
      <c r="KXN313" s="1718"/>
      <c r="KXO313" s="1718"/>
      <c r="KXP313" s="1718"/>
      <c r="KXQ313" s="1718"/>
      <c r="KXR313" s="246"/>
      <c r="KXS313" s="246" t="str">
        <f>BS!$D$5</f>
        <v>31 March 2026</v>
      </c>
      <c r="KXT313" s="247" t="str">
        <f>BS!$E$5</f>
        <v>31 March 2025</v>
      </c>
      <c r="KXU313" s="1717"/>
      <c r="KXV313" s="1718"/>
      <c r="KXW313" s="1718"/>
      <c r="KXX313" s="1718"/>
      <c r="KXY313" s="1718"/>
      <c r="KXZ313" s="246"/>
      <c r="KYA313" s="246" t="str">
        <f>BS!$D$5</f>
        <v>31 March 2026</v>
      </c>
      <c r="KYB313" s="247" t="str">
        <f>BS!$E$5</f>
        <v>31 March 2025</v>
      </c>
      <c r="KYC313" s="1717"/>
      <c r="KYD313" s="1718"/>
      <c r="KYE313" s="1718"/>
      <c r="KYF313" s="1718"/>
      <c r="KYG313" s="1718"/>
      <c r="KYH313" s="246"/>
      <c r="KYI313" s="246" t="str">
        <f>BS!$D$5</f>
        <v>31 March 2026</v>
      </c>
      <c r="KYJ313" s="247" t="str">
        <f>BS!$E$5</f>
        <v>31 March 2025</v>
      </c>
      <c r="KYK313" s="1717"/>
      <c r="KYL313" s="1718"/>
      <c r="KYM313" s="1718"/>
      <c r="KYN313" s="1718"/>
      <c r="KYO313" s="1718"/>
      <c r="KYP313" s="246"/>
      <c r="KYQ313" s="246" t="str">
        <f>BS!$D$5</f>
        <v>31 March 2026</v>
      </c>
      <c r="KYR313" s="247" t="str">
        <f>BS!$E$5</f>
        <v>31 March 2025</v>
      </c>
      <c r="KYS313" s="1717"/>
      <c r="KYT313" s="1718"/>
      <c r="KYU313" s="1718"/>
      <c r="KYV313" s="1718"/>
      <c r="KYW313" s="1718"/>
      <c r="KYX313" s="246"/>
      <c r="KYY313" s="246" t="str">
        <f>BS!$D$5</f>
        <v>31 March 2026</v>
      </c>
      <c r="KYZ313" s="247" t="str">
        <f>BS!$E$5</f>
        <v>31 March 2025</v>
      </c>
      <c r="KZA313" s="1717"/>
      <c r="KZB313" s="1718"/>
      <c r="KZC313" s="1718"/>
      <c r="KZD313" s="1718"/>
      <c r="KZE313" s="1718"/>
      <c r="KZF313" s="246"/>
      <c r="KZG313" s="246" t="str">
        <f>BS!$D$5</f>
        <v>31 March 2026</v>
      </c>
      <c r="KZH313" s="247" t="str">
        <f>BS!$E$5</f>
        <v>31 March 2025</v>
      </c>
      <c r="KZI313" s="1717"/>
      <c r="KZJ313" s="1718"/>
      <c r="KZK313" s="1718"/>
      <c r="KZL313" s="1718"/>
      <c r="KZM313" s="1718"/>
      <c r="KZN313" s="246"/>
      <c r="KZO313" s="246" t="str">
        <f>BS!$D$5</f>
        <v>31 March 2026</v>
      </c>
      <c r="KZP313" s="247" t="str">
        <f>BS!$E$5</f>
        <v>31 March 2025</v>
      </c>
      <c r="KZQ313" s="1717"/>
      <c r="KZR313" s="1718"/>
      <c r="KZS313" s="1718"/>
      <c r="KZT313" s="1718"/>
      <c r="KZU313" s="1718"/>
      <c r="KZV313" s="246"/>
      <c r="KZW313" s="246" t="str">
        <f>BS!$D$5</f>
        <v>31 March 2026</v>
      </c>
      <c r="KZX313" s="247" t="str">
        <f>BS!$E$5</f>
        <v>31 March 2025</v>
      </c>
      <c r="KZY313" s="1717"/>
      <c r="KZZ313" s="1718"/>
      <c r="LAA313" s="1718"/>
      <c r="LAB313" s="1718"/>
      <c r="LAC313" s="1718"/>
      <c r="LAD313" s="246"/>
      <c r="LAE313" s="246" t="str">
        <f>BS!$D$5</f>
        <v>31 March 2026</v>
      </c>
      <c r="LAF313" s="247" t="str">
        <f>BS!$E$5</f>
        <v>31 March 2025</v>
      </c>
      <c r="LAG313" s="1717"/>
      <c r="LAH313" s="1718"/>
      <c r="LAI313" s="1718"/>
      <c r="LAJ313" s="1718"/>
      <c r="LAK313" s="1718"/>
      <c r="LAL313" s="246"/>
      <c r="LAM313" s="246" t="str">
        <f>BS!$D$5</f>
        <v>31 March 2026</v>
      </c>
      <c r="LAN313" s="247" t="str">
        <f>BS!$E$5</f>
        <v>31 March 2025</v>
      </c>
      <c r="LAO313" s="1717"/>
      <c r="LAP313" s="1718"/>
      <c r="LAQ313" s="1718"/>
      <c r="LAR313" s="1718"/>
      <c r="LAS313" s="1718"/>
      <c r="LAT313" s="246"/>
      <c r="LAU313" s="246" t="str">
        <f>BS!$D$5</f>
        <v>31 March 2026</v>
      </c>
      <c r="LAV313" s="247" t="str">
        <f>BS!$E$5</f>
        <v>31 March 2025</v>
      </c>
      <c r="LAW313" s="1717"/>
      <c r="LAX313" s="1718"/>
      <c r="LAY313" s="1718"/>
      <c r="LAZ313" s="1718"/>
      <c r="LBA313" s="1718"/>
      <c r="LBB313" s="246"/>
      <c r="LBC313" s="246" t="str">
        <f>BS!$D$5</f>
        <v>31 March 2026</v>
      </c>
      <c r="LBD313" s="247" t="str">
        <f>BS!$E$5</f>
        <v>31 March 2025</v>
      </c>
      <c r="LBE313" s="1717"/>
      <c r="LBF313" s="1718"/>
      <c r="LBG313" s="1718"/>
      <c r="LBH313" s="1718"/>
      <c r="LBI313" s="1718"/>
      <c r="LBJ313" s="246"/>
      <c r="LBK313" s="246" t="str">
        <f>BS!$D$5</f>
        <v>31 March 2026</v>
      </c>
      <c r="LBL313" s="247" t="str">
        <f>BS!$E$5</f>
        <v>31 March 2025</v>
      </c>
      <c r="LBM313" s="1717"/>
      <c r="LBN313" s="1718"/>
      <c r="LBO313" s="1718"/>
      <c r="LBP313" s="1718"/>
      <c r="LBQ313" s="1718"/>
      <c r="LBR313" s="246"/>
      <c r="LBS313" s="246" t="str">
        <f>BS!$D$5</f>
        <v>31 March 2026</v>
      </c>
      <c r="LBT313" s="247" t="str">
        <f>BS!$E$5</f>
        <v>31 March 2025</v>
      </c>
      <c r="LBU313" s="1717"/>
      <c r="LBV313" s="1718"/>
      <c r="LBW313" s="1718"/>
      <c r="LBX313" s="1718"/>
      <c r="LBY313" s="1718"/>
      <c r="LBZ313" s="246"/>
      <c r="LCA313" s="246" t="str">
        <f>BS!$D$5</f>
        <v>31 March 2026</v>
      </c>
      <c r="LCB313" s="247" t="str">
        <f>BS!$E$5</f>
        <v>31 March 2025</v>
      </c>
      <c r="LCC313" s="1717"/>
      <c r="LCD313" s="1718"/>
      <c r="LCE313" s="1718"/>
      <c r="LCF313" s="1718"/>
      <c r="LCG313" s="1718"/>
      <c r="LCH313" s="246"/>
      <c r="LCI313" s="246" t="str">
        <f>BS!$D$5</f>
        <v>31 March 2026</v>
      </c>
      <c r="LCJ313" s="247" t="str">
        <f>BS!$E$5</f>
        <v>31 March 2025</v>
      </c>
      <c r="LCK313" s="1717"/>
      <c r="LCL313" s="1718"/>
      <c r="LCM313" s="1718"/>
      <c r="LCN313" s="1718"/>
      <c r="LCO313" s="1718"/>
      <c r="LCP313" s="246"/>
      <c r="LCQ313" s="246" t="str">
        <f>BS!$D$5</f>
        <v>31 March 2026</v>
      </c>
      <c r="LCR313" s="247" t="str">
        <f>BS!$E$5</f>
        <v>31 March 2025</v>
      </c>
      <c r="LCS313" s="1717"/>
      <c r="LCT313" s="1718"/>
      <c r="LCU313" s="1718"/>
      <c r="LCV313" s="1718"/>
      <c r="LCW313" s="1718"/>
      <c r="LCX313" s="246"/>
      <c r="LCY313" s="246" t="str">
        <f>BS!$D$5</f>
        <v>31 March 2026</v>
      </c>
      <c r="LCZ313" s="247" t="str">
        <f>BS!$E$5</f>
        <v>31 March 2025</v>
      </c>
      <c r="LDA313" s="1717"/>
      <c r="LDB313" s="1718"/>
      <c r="LDC313" s="1718"/>
      <c r="LDD313" s="1718"/>
      <c r="LDE313" s="1718"/>
      <c r="LDF313" s="246"/>
      <c r="LDG313" s="246" t="str">
        <f>BS!$D$5</f>
        <v>31 March 2026</v>
      </c>
      <c r="LDH313" s="247" t="str">
        <f>BS!$E$5</f>
        <v>31 March 2025</v>
      </c>
      <c r="LDI313" s="1717"/>
      <c r="LDJ313" s="1718"/>
      <c r="LDK313" s="1718"/>
      <c r="LDL313" s="1718"/>
      <c r="LDM313" s="1718"/>
      <c r="LDN313" s="246"/>
      <c r="LDO313" s="246" t="str">
        <f>BS!$D$5</f>
        <v>31 March 2026</v>
      </c>
      <c r="LDP313" s="247" t="str">
        <f>BS!$E$5</f>
        <v>31 March 2025</v>
      </c>
      <c r="LDQ313" s="1717"/>
      <c r="LDR313" s="1718"/>
      <c r="LDS313" s="1718"/>
      <c r="LDT313" s="1718"/>
      <c r="LDU313" s="1718"/>
      <c r="LDV313" s="246"/>
      <c r="LDW313" s="246" t="str">
        <f>BS!$D$5</f>
        <v>31 March 2026</v>
      </c>
      <c r="LDX313" s="247" t="str">
        <f>BS!$E$5</f>
        <v>31 March 2025</v>
      </c>
      <c r="LDY313" s="1717"/>
      <c r="LDZ313" s="1718"/>
      <c r="LEA313" s="1718"/>
      <c r="LEB313" s="1718"/>
      <c r="LEC313" s="1718"/>
      <c r="LED313" s="246"/>
      <c r="LEE313" s="246" t="str">
        <f>BS!$D$5</f>
        <v>31 March 2026</v>
      </c>
      <c r="LEF313" s="247" t="str">
        <f>BS!$E$5</f>
        <v>31 March 2025</v>
      </c>
      <c r="LEG313" s="1717"/>
      <c r="LEH313" s="1718"/>
      <c r="LEI313" s="1718"/>
      <c r="LEJ313" s="1718"/>
      <c r="LEK313" s="1718"/>
      <c r="LEL313" s="246"/>
      <c r="LEM313" s="246" t="str">
        <f>BS!$D$5</f>
        <v>31 March 2026</v>
      </c>
      <c r="LEN313" s="247" t="str">
        <f>BS!$E$5</f>
        <v>31 March 2025</v>
      </c>
      <c r="LEO313" s="1717"/>
      <c r="LEP313" s="1718"/>
      <c r="LEQ313" s="1718"/>
      <c r="LER313" s="1718"/>
      <c r="LES313" s="1718"/>
      <c r="LET313" s="246"/>
      <c r="LEU313" s="246" t="str">
        <f>BS!$D$5</f>
        <v>31 March 2026</v>
      </c>
      <c r="LEV313" s="247" t="str">
        <f>BS!$E$5</f>
        <v>31 March 2025</v>
      </c>
      <c r="LEW313" s="1717"/>
      <c r="LEX313" s="1718"/>
      <c r="LEY313" s="1718"/>
      <c r="LEZ313" s="1718"/>
      <c r="LFA313" s="1718"/>
      <c r="LFB313" s="246"/>
      <c r="LFC313" s="246" t="str">
        <f>BS!$D$5</f>
        <v>31 March 2026</v>
      </c>
      <c r="LFD313" s="247" t="str">
        <f>BS!$E$5</f>
        <v>31 March 2025</v>
      </c>
      <c r="LFE313" s="1717"/>
      <c r="LFF313" s="1718"/>
      <c r="LFG313" s="1718"/>
      <c r="LFH313" s="1718"/>
      <c r="LFI313" s="1718"/>
      <c r="LFJ313" s="246"/>
      <c r="LFK313" s="246" t="str">
        <f>BS!$D$5</f>
        <v>31 March 2026</v>
      </c>
      <c r="LFL313" s="247" t="str">
        <f>BS!$E$5</f>
        <v>31 March 2025</v>
      </c>
      <c r="LFM313" s="1717"/>
      <c r="LFN313" s="1718"/>
      <c r="LFO313" s="1718"/>
      <c r="LFP313" s="1718"/>
      <c r="LFQ313" s="1718"/>
      <c r="LFR313" s="246"/>
      <c r="LFS313" s="246" t="str">
        <f>BS!$D$5</f>
        <v>31 March 2026</v>
      </c>
      <c r="LFT313" s="247" t="str">
        <f>BS!$E$5</f>
        <v>31 March 2025</v>
      </c>
      <c r="LFU313" s="1717"/>
      <c r="LFV313" s="1718"/>
      <c r="LFW313" s="1718"/>
      <c r="LFX313" s="1718"/>
      <c r="LFY313" s="1718"/>
      <c r="LFZ313" s="246"/>
      <c r="LGA313" s="246" t="str">
        <f>BS!$D$5</f>
        <v>31 March 2026</v>
      </c>
      <c r="LGB313" s="247" t="str">
        <f>BS!$E$5</f>
        <v>31 March 2025</v>
      </c>
      <c r="LGC313" s="1717"/>
      <c r="LGD313" s="1718"/>
      <c r="LGE313" s="1718"/>
      <c r="LGF313" s="1718"/>
      <c r="LGG313" s="1718"/>
      <c r="LGH313" s="246"/>
      <c r="LGI313" s="246" t="str">
        <f>BS!$D$5</f>
        <v>31 March 2026</v>
      </c>
      <c r="LGJ313" s="247" t="str">
        <f>BS!$E$5</f>
        <v>31 March 2025</v>
      </c>
      <c r="LGK313" s="1717"/>
      <c r="LGL313" s="1718"/>
      <c r="LGM313" s="1718"/>
      <c r="LGN313" s="1718"/>
      <c r="LGO313" s="1718"/>
      <c r="LGP313" s="246"/>
      <c r="LGQ313" s="246" t="str">
        <f>BS!$D$5</f>
        <v>31 March 2026</v>
      </c>
      <c r="LGR313" s="247" t="str">
        <f>BS!$E$5</f>
        <v>31 March 2025</v>
      </c>
      <c r="LGS313" s="1717"/>
      <c r="LGT313" s="1718"/>
      <c r="LGU313" s="1718"/>
      <c r="LGV313" s="1718"/>
      <c r="LGW313" s="1718"/>
      <c r="LGX313" s="246"/>
      <c r="LGY313" s="246" t="str">
        <f>BS!$D$5</f>
        <v>31 March 2026</v>
      </c>
      <c r="LGZ313" s="247" t="str">
        <f>BS!$E$5</f>
        <v>31 March 2025</v>
      </c>
      <c r="LHA313" s="1717"/>
      <c r="LHB313" s="1718"/>
      <c r="LHC313" s="1718"/>
      <c r="LHD313" s="1718"/>
      <c r="LHE313" s="1718"/>
      <c r="LHF313" s="246"/>
      <c r="LHG313" s="246" t="str">
        <f>BS!$D$5</f>
        <v>31 March 2026</v>
      </c>
      <c r="LHH313" s="247" t="str">
        <f>BS!$E$5</f>
        <v>31 March 2025</v>
      </c>
      <c r="LHI313" s="1717"/>
      <c r="LHJ313" s="1718"/>
      <c r="LHK313" s="1718"/>
      <c r="LHL313" s="1718"/>
      <c r="LHM313" s="1718"/>
      <c r="LHN313" s="246"/>
      <c r="LHO313" s="246" t="str">
        <f>BS!$D$5</f>
        <v>31 March 2026</v>
      </c>
      <c r="LHP313" s="247" t="str">
        <f>BS!$E$5</f>
        <v>31 March 2025</v>
      </c>
      <c r="LHQ313" s="1717"/>
      <c r="LHR313" s="1718"/>
      <c r="LHS313" s="1718"/>
      <c r="LHT313" s="1718"/>
      <c r="LHU313" s="1718"/>
      <c r="LHV313" s="246"/>
      <c r="LHW313" s="246" t="str">
        <f>BS!$D$5</f>
        <v>31 March 2026</v>
      </c>
      <c r="LHX313" s="247" t="str">
        <f>BS!$E$5</f>
        <v>31 March 2025</v>
      </c>
      <c r="LHY313" s="1717"/>
      <c r="LHZ313" s="1718"/>
      <c r="LIA313" s="1718"/>
      <c r="LIB313" s="1718"/>
      <c r="LIC313" s="1718"/>
      <c r="LID313" s="246"/>
      <c r="LIE313" s="246" t="str">
        <f>BS!$D$5</f>
        <v>31 March 2026</v>
      </c>
      <c r="LIF313" s="247" t="str">
        <f>BS!$E$5</f>
        <v>31 March 2025</v>
      </c>
      <c r="LIG313" s="1717"/>
      <c r="LIH313" s="1718"/>
      <c r="LII313" s="1718"/>
      <c r="LIJ313" s="1718"/>
      <c r="LIK313" s="1718"/>
      <c r="LIL313" s="246"/>
      <c r="LIM313" s="246" t="str">
        <f>BS!$D$5</f>
        <v>31 March 2026</v>
      </c>
      <c r="LIN313" s="247" t="str">
        <f>BS!$E$5</f>
        <v>31 March 2025</v>
      </c>
      <c r="LIO313" s="1717"/>
      <c r="LIP313" s="1718"/>
      <c r="LIQ313" s="1718"/>
      <c r="LIR313" s="1718"/>
      <c r="LIS313" s="1718"/>
      <c r="LIT313" s="246"/>
      <c r="LIU313" s="246" t="str">
        <f>BS!$D$5</f>
        <v>31 March 2026</v>
      </c>
      <c r="LIV313" s="247" t="str">
        <f>BS!$E$5</f>
        <v>31 March 2025</v>
      </c>
      <c r="LIW313" s="1717"/>
      <c r="LIX313" s="1718"/>
      <c r="LIY313" s="1718"/>
      <c r="LIZ313" s="1718"/>
      <c r="LJA313" s="1718"/>
      <c r="LJB313" s="246"/>
      <c r="LJC313" s="246" t="str">
        <f>BS!$D$5</f>
        <v>31 March 2026</v>
      </c>
      <c r="LJD313" s="247" t="str">
        <f>BS!$E$5</f>
        <v>31 March 2025</v>
      </c>
      <c r="LJE313" s="1717"/>
      <c r="LJF313" s="1718"/>
      <c r="LJG313" s="1718"/>
      <c r="LJH313" s="1718"/>
      <c r="LJI313" s="1718"/>
      <c r="LJJ313" s="246"/>
      <c r="LJK313" s="246" t="str">
        <f>BS!$D$5</f>
        <v>31 March 2026</v>
      </c>
      <c r="LJL313" s="247" t="str">
        <f>BS!$E$5</f>
        <v>31 March 2025</v>
      </c>
      <c r="LJM313" s="1717"/>
      <c r="LJN313" s="1718"/>
      <c r="LJO313" s="1718"/>
      <c r="LJP313" s="1718"/>
      <c r="LJQ313" s="1718"/>
      <c r="LJR313" s="246"/>
      <c r="LJS313" s="246" t="str">
        <f>BS!$D$5</f>
        <v>31 March 2026</v>
      </c>
      <c r="LJT313" s="247" t="str">
        <f>BS!$E$5</f>
        <v>31 March 2025</v>
      </c>
      <c r="LJU313" s="1717"/>
      <c r="LJV313" s="1718"/>
      <c r="LJW313" s="1718"/>
      <c r="LJX313" s="1718"/>
      <c r="LJY313" s="1718"/>
      <c r="LJZ313" s="246"/>
      <c r="LKA313" s="246" t="str">
        <f>BS!$D$5</f>
        <v>31 March 2026</v>
      </c>
      <c r="LKB313" s="247" t="str">
        <f>BS!$E$5</f>
        <v>31 March 2025</v>
      </c>
      <c r="LKC313" s="1717"/>
      <c r="LKD313" s="1718"/>
      <c r="LKE313" s="1718"/>
      <c r="LKF313" s="1718"/>
      <c r="LKG313" s="1718"/>
      <c r="LKH313" s="246"/>
      <c r="LKI313" s="246" t="str">
        <f>BS!$D$5</f>
        <v>31 March 2026</v>
      </c>
      <c r="LKJ313" s="247" t="str">
        <f>BS!$E$5</f>
        <v>31 March 2025</v>
      </c>
      <c r="LKK313" s="1717"/>
      <c r="LKL313" s="1718"/>
      <c r="LKM313" s="1718"/>
      <c r="LKN313" s="1718"/>
      <c r="LKO313" s="1718"/>
      <c r="LKP313" s="246"/>
      <c r="LKQ313" s="246" t="str">
        <f>BS!$D$5</f>
        <v>31 March 2026</v>
      </c>
      <c r="LKR313" s="247" t="str">
        <f>BS!$E$5</f>
        <v>31 March 2025</v>
      </c>
      <c r="LKS313" s="1717"/>
      <c r="LKT313" s="1718"/>
      <c r="LKU313" s="1718"/>
      <c r="LKV313" s="1718"/>
      <c r="LKW313" s="1718"/>
      <c r="LKX313" s="246"/>
      <c r="LKY313" s="246" t="str">
        <f>BS!$D$5</f>
        <v>31 March 2026</v>
      </c>
      <c r="LKZ313" s="247" t="str">
        <f>BS!$E$5</f>
        <v>31 March 2025</v>
      </c>
      <c r="LLA313" s="1717"/>
      <c r="LLB313" s="1718"/>
      <c r="LLC313" s="1718"/>
      <c r="LLD313" s="1718"/>
      <c r="LLE313" s="1718"/>
      <c r="LLF313" s="246"/>
      <c r="LLG313" s="246" t="str">
        <f>BS!$D$5</f>
        <v>31 March 2026</v>
      </c>
      <c r="LLH313" s="247" t="str">
        <f>BS!$E$5</f>
        <v>31 March 2025</v>
      </c>
      <c r="LLI313" s="1717"/>
      <c r="LLJ313" s="1718"/>
      <c r="LLK313" s="1718"/>
      <c r="LLL313" s="1718"/>
      <c r="LLM313" s="1718"/>
      <c r="LLN313" s="246"/>
      <c r="LLO313" s="246" t="str">
        <f>BS!$D$5</f>
        <v>31 March 2026</v>
      </c>
      <c r="LLP313" s="247" t="str">
        <f>BS!$E$5</f>
        <v>31 March 2025</v>
      </c>
      <c r="LLQ313" s="1717"/>
      <c r="LLR313" s="1718"/>
      <c r="LLS313" s="1718"/>
      <c r="LLT313" s="1718"/>
      <c r="LLU313" s="1718"/>
      <c r="LLV313" s="246"/>
      <c r="LLW313" s="246" t="str">
        <f>BS!$D$5</f>
        <v>31 March 2026</v>
      </c>
      <c r="LLX313" s="247" t="str">
        <f>BS!$E$5</f>
        <v>31 March 2025</v>
      </c>
      <c r="LLY313" s="1717"/>
      <c r="LLZ313" s="1718"/>
      <c r="LMA313" s="1718"/>
      <c r="LMB313" s="1718"/>
      <c r="LMC313" s="1718"/>
      <c r="LMD313" s="246"/>
      <c r="LME313" s="246" t="str">
        <f>BS!$D$5</f>
        <v>31 March 2026</v>
      </c>
      <c r="LMF313" s="247" t="str">
        <f>BS!$E$5</f>
        <v>31 March 2025</v>
      </c>
      <c r="LMG313" s="1717"/>
      <c r="LMH313" s="1718"/>
      <c r="LMI313" s="1718"/>
      <c r="LMJ313" s="1718"/>
      <c r="LMK313" s="1718"/>
      <c r="LML313" s="246"/>
      <c r="LMM313" s="246" t="str">
        <f>BS!$D$5</f>
        <v>31 March 2026</v>
      </c>
      <c r="LMN313" s="247" t="str">
        <f>BS!$E$5</f>
        <v>31 March 2025</v>
      </c>
      <c r="LMO313" s="1717"/>
      <c r="LMP313" s="1718"/>
      <c r="LMQ313" s="1718"/>
      <c r="LMR313" s="1718"/>
      <c r="LMS313" s="1718"/>
      <c r="LMT313" s="246"/>
      <c r="LMU313" s="246" t="str">
        <f>BS!$D$5</f>
        <v>31 March 2026</v>
      </c>
      <c r="LMV313" s="247" t="str">
        <f>BS!$E$5</f>
        <v>31 March 2025</v>
      </c>
      <c r="LMW313" s="1717"/>
      <c r="LMX313" s="1718"/>
      <c r="LMY313" s="1718"/>
      <c r="LMZ313" s="1718"/>
      <c r="LNA313" s="1718"/>
      <c r="LNB313" s="246"/>
      <c r="LNC313" s="246" t="str">
        <f>BS!$D$5</f>
        <v>31 March 2026</v>
      </c>
      <c r="LND313" s="247" t="str">
        <f>BS!$E$5</f>
        <v>31 March 2025</v>
      </c>
      <c r="LNE313" s="1717"/>
      <c r="LNF313" s="1718"/>
      <c r="LNG313" s="1718"/>
      <c r="LNH313" s="1718"/>
      <c r="LNI313" s="1718"/>
      <c r="LNJ313" s="246"/>
      <c r="LNK313" s="246" t="str">
        <f>BS!$D$5</f>
        <v>31 March 2026</v>
      </c>
      <c r="LNL313" s="247" t="str">
        <f>BS!$E$5</f>
        <v>31 March 2025</v>
      </c>
      <c r="LNM313" s="1717"/>
      <c r="LNN313" s="1718"/>
      <c r="LNO313" s="1718"/>
      <c r="LNP313" s="1718"/>
      <c r="LNQ313" s="1718"/>
      <c r="LNR313" s="246"/>
      <c r="LNS313" s="246" t="str">
        <f>BS!$D$5</f>
        <v>31 March 2026</v>
      </c>
      <c r="LNT313" s="247" t="str">
        <f>BS!$E$5</f>
        <v>31 March 2025</v>
      </c>
      <c r="LNU313" s="1717"/>
      <c r="LNV313" s="1718"/>
      <c r="LNW313" s="1718"/>
      <c r="LNX313" s="1718"/>
      <c r="LNY313" s="1718"/>
      <c r="LNZ313" s="246"/>
      <c r="LOA313" s="246" t="str">
        <f>BS!$D$5</f>
        <v>31 March 2026</v>
      </c>
      <c r="LOB313" s="247" t="str">
        <f>BS!$E$5</f>
        <v>31 March 2025</v>
      </c>
      <c r="LOC313" s="1717"/>
      <c r="LOD313" s="1718"/>
      <c r="LOE313" s="1718"/>
      <c r="LOF313" s="1718"/>
      <c r="LOG313" s="1718"/>
      <c r="LOH313" s="246"/>
      <c r="LOI313" s="246" t="str">
        <f>BS!$D$5</f>
        <v>31 March 2026</v>
      </c>
      <c r="LOJ313" s="247" t="str">
        <f>BS!$E$5</f>
        <v>31 March 2025</v>
      </c>
      <c r="LOK313" s="1717"/>
      <c r="LOL313" s="1718"/>
      <c r="LOM313" s="1718"/>
      <c r="LON313" s="1718"/>
      <c r="LOO313" s="1718"/>
      <c r="LOP313" s="246"/>
      <c r="LOQ313" s="246" t="str">
        <f>BS!$D$5</f>
        <v>31 March 2026</v>
      </c>
      <c r="LOR313" s="247" t="str">
        <f>BS!$E$5</f>
        <v>31 March 2025</v>
      </c>
      <c r="LOS313" s="1717"/>
      <c r="LOT313" s="1718"/>
      <c r="LOU313" s="1718"/>
      <c r="LOV313" s="1718"/>
      <c r="LOW313" s="1718"/>
      <c r="LOX313" s="246"/>
      <c r="LOY313" s="246" t="str">
        <f>BS!$D$5</f>
        <v>31 March 2026</v>
      </c>
      <c r="LOZ313" s="247" t="str">
        <f>BS!$E$5</f>
        <v>31 March 2025</v>
      </c>
      <c r="LPA313" s="1717"/>
      <c r="LPB313" s="1718"/>
      <c r="LPC313" s="1718"/>
      <c r="LPD313" s="1718"/>
      <c r="LPE313" s="1718"/>
      <c r="LPF313" s="246"/>
      <c r="LPG313" s="246" t="str">
        <f>BS!$D$5</f>
        <v>31 March 2026</v>
      </c>
      <c r="LPH313" s="247" t="str">
        <f>BS!$E$5</f>
        <v>31 March 2025</v>
      </c>
      <c r="LPI313" s="1717"/>
      <c r="LPJ313" s="1718"/>
      <c r="LPK313" s="1718"/>
      <c r="LPL313" s="1718"/>
      <c r="LPM313" s="1718"/>
      <c r="LPN313" s="246"/>
      <c r="LPO313" s="246" t="str">
        <f>BS!$D$5</f>
        <v>31 March 2026</v>
      </c>
      <c r="LPP313" s="247" t="str">
        <f>BS!$E$5</f>
        <v>31 March 2025</v>
      </c>
      <c r="LPQ313" s="1717"/>
      <c r="LPR313" s="1718"/>
      <c r="LPS313" s="1718"/>
      <c r="LPT313" s="1718"/>
      <c r="LPU313" s="1718"/>
      <c r="LPV313" s="246"/>
      <c r="LPW313" s="246" t="str">
        <f>BS!$D$5</f>
        <v>31 March 2026</v>
      </c>
      <c r="LPX313" s="247" t="str">
        <f>BS!$E$5</f>
        <v>31 March 2025</v>
      </c>
      <c r="LPY313" s="1717"/>
      <c r="LPZ313" s="1718"/>
      <c r="LQA313" s="1718"/>
      <c r="LQB313" s="1718"/>
      <c r="LQC313" s="1718"/>
      <c r="LQD313" s="246"/>
      <c r="LQE313" s="246" t="str">
        <f>BS!$D$5</f>
        <v>31 March 2026</v>
      </c>
      <c r="LQF313" s="247" t="str">
        <f>BS!$E$5</f>
        <v>31 March 2025</v>
      </c>
      <c r="LQG313" s="1717"/>
      <c r="LQH313" s="1718"/>
      <c r="LQI313" s="1718"/>
      <c r="LQJ313" s="1718"/>
      <c r="LQK313" s="1718"/>
      <c r="LQL313" s="246"/>
      <c r="LQM313" s="246" t="str">
        <f>BS!$D$5</f>
        <v>31 March 2026</v>
      </c>
      <c r="LQN313" s="247" t="str">
        <f>BS!$E$5</f>
        <v>31 March 2025</v>
      </c>
      <c r="LQO313" s="1717"/>
      <c r="LQP313" s="1718"/>
      <c r="LQQ313" s="1718"/>
      <c r="LQR313" s="1718"/>
      <c r="LQS313" s="1718"/>
      <c r="LQT313" s="246"/>
      <c r="LQU313" s="246" t="str">
        <f>BS!$D$5</f>
        <v>31 March 2026</v>
      </c>
      <c r="LQV313" s="247" t="str">
        <f>BS!$E$5</f>
        <v>31 March 2025</v>
      </c>
      <c r="LQW313" s="1717"/>
      <c r="LQX313" s="1718"/>
      <c r="LQY313" s="1718"/>
      <c r="LQZ313" s="1718"/>
      <c r="LRA313" s="1718"/>
      <c r="LRB313" s="246"/>
      <c r="LRC313" s="246" t="str">
        <f>BS!$D$5</f>
        <v>31 March 2026</v>
      </c>
      <c r="LRD313" s="247" t="str">
        <f>BS!$E$5</f>
        <v>31 March 2025</v>
      </c>
      <c r="LRE313" s="1717"/>
      <c r="LRF313" s="1718"/>
      <c r="LRG313" s="1718"/>
      <c r="LRH313" s="1718"/>
      <c r="LRI313" s="1718"/>
      <c r="LRJ313" s="246"/>
      <c r="LRK313" s="246" t="str">
        <f>BS!$D$5</f>
        <v>31 March 2026</v>
      </c>
      <c r="LRL313" s="247" t="str">
        <f>BS!$E$5</f>
        <v>31 March 2025</v>
      </c>
      <c r="LRM313" s="1717"/>
      <c r="LRN313" s="1718"/>
      <c r="LRO313" s="1718"/>
      <c r="LRP313" s="1718"/>
      <c r="LRQ313" s="1718"/>
      <c r="LRR313" s="246"/>
      <c r="LRS313" s="246" t="str">
        <f>BS!$D$5</f>
        <v>31 March 2026</v>
      </c>
      <c r="LRT313" s="247" t="str">
        <f>BS!$E$5</f>
        <v>31 March 2025</v>
      </c>
      <c r="LRU313" s="1717"/>
      <c r="LRV313" s="1718"/>
      <c r="LRW313" s="1718"/>
      <c r="LRX313" s="1718"/>
      <c r="LRY313" s="1718"/>
      <c r="LRZ313" s="246"/>
      <c r="LSA313" s="246" t="str">
        <f>BS!$D$5</f>
        <v>31 March 2026</v>
      </c>
      <c r="LSB313" s="247" t="str">
        <f>BS!$E$5</f>
        <v>31 March 2025</v>
      </c>
      <c r="LSC313" s="1717"/>
      <c r="LSD313" s="1718"/>
      <c r="LSE313" s="1718"/>
      <c r="LSF313" s="1718"/>
      <c r="LSG313" s="1718"/>
      <c r="LSH313" s="246"/>
      <c r="LSI313" s="246" t="str">
        <f>BS!$D$5</f>
        <v>31 March 2026</v>
      </c>
      <c r="LSJ313" s="247" t="str">
        <f>BS!$E$5</f>
        <v>31 March 2025</v>
      </c>
      <c r="LSK313" s="1717"/>
      <c r="LSL313" s="1718"/>
      <c r="LSM313" s="1718"/>
      <c r="LSN313" s="1718"/>
      <c r="LSO313" s="1718"/>
      <c r="LSP313" s="246"/>
      <c r="LSQ313" s="246" t="str">
        <f>BS!$D$5</f>
        <v>31 March 2026</v>
      </c>
      <c r="LSR313" s="247" t="str">
        <f>BS!$E$5</f>
        <v>31 March 2025</v>
      </c>
      <c r="LSS313" s="1717"/>
      <c r="LST313" s="1718"/>
      <c r="LSU313" s="1718"/>
      <c r="LSV313" s="1718"/>
      <c r="LSW313" s="1718"/>
      <c r="LSX313" s="246"/>
      <c r="LSY313" s="246" t="str">
        <f>BS!$D$5</f>
        <v>31 March 2026</v>
      </c>
      <c r="LSZ313" s="247" t="str">
        <f>BS!$E$5</f>
        <v>31 March 2025</v>
      </c>
      <c r="LTA313" s="1717"/>
      <c r="LTB313" s="1718"/>
      <c r="LTC313" s="1718"/>
      <c r="LTD313" s="1718"/>
      <c r="LTE313" s="1718"/>
      <c r="LTF313" s="246"/>
      <c r="LTG313" s="246" t="str">
        <f>BS!$D$5</f>
        <v>31 March 2026</v>
      </c>
      <c r="LTH313" s="247" t="str">
        <f>BS!$E$5</f>
        <v>31 March 2025</v>
      </c>
      <c r="LTI313" s="1717"/>
      <c r="LTJ313" s="1718"/>
      <c r="LTK313" s="1718"/>
      <c r="LTL313" s="1718"/>
      <c r="LTM313" s="1718"/>
      <c r="LTN313" s="246"/>
      <c r="LTO313" s="246" t="str">
        <f>BS!$D$5</f>
        <v>31 March 2026</v>
      </c>
      <c r="LTP313" s="247" t="str">
        <f>BS!$E$5</f>
        <v>31 March 2025</v>
      </c>
      <c r="LTQ313" s="1717"/>
      <c r="LTR313" s="1718"/>
      <c r="LTS313" s="1718"/>
      <c r="LTT313" s="1718"/>
      <c r="LTU313" s="1718"/>
      <c r="LTV313" s="246"/>
      <c r="LTW313" s="246" t="str">
        <f>BS!$D$5</f>
        <v>31 March 2026</v>
      </c>
      <c r="LTX313" s="247" t="str">
        <f>BS!$E$5</f>
        <v>31 March 2025</v>
      </c>
      <c r="LTY313" s="1717"/>
      <c r="LTZ313" s="1718"/>
      <c r="LUA313" s="1718"/>
      <c r="LUB313" s="1718"/>
      <c r="LUC313" s="1718"/>
      <c r="LUD313" s="246"/>
      <c r="LUE313" s="246" t="str">
        <f>BS!$D$5</f>
        <v>31 March 2026</v>
      </c>
      <c r="LUF313" s="247" t="str">
        <f>BS!$E$5</f>
        <v>31 March 2025</v>
      </c>
      <c r="LUG313" s="1717"/>
      <c r="LUH313" s="1718"/>
      <c r="LUI313" s="1718"/>
      <c r="LUJ313" s="1718"/>
      <c r="LUK313" s="1718"/>
      <c r="LUL313" s="246"/>
      <c r="LUM313" s="246" t="str">
        <f>BS!$D$5</f>
        <v>31 March 2026</v>
      </c>
      <c r="LUN313" s="247" t="str">
        <f>BS!$E$5</f>
        <v>31 March 2025</v>
      </c>
      <c r="LUO313" s="1717"/>
      <c r="LUP313" s="1718"/>
      <c r="LUQ313" s="1718"/>
      <c r="LUR313" s="1718"/>
      <c r="LUS313" s="1718"/>
      <c r="LUT313" s="246"/>
      <c r="LUU313" s="246" t="str">
        <f>BS!$D$5</f>
        <v>31 March 2026</v>
      </c>
      <c r="LUV313" s="247" t="str">
        <f>BS!$E$5</f>
        <v>31 March 2025</v>
      </c>
      <c r="LUW313" s="1717"/>
      <c r="LUX313" s="1718"/>
      <c r="LUY313" s="1718"/>
      <c r="LUZ313" s="1718"/>
      <c r="LVA313" s="1718"/>
      <c r="LVB313" s="246"/>
      <c r="LVC313" s="246" t="str">
        <f>BS!$D$5</f>
        <v>31 March 2026</v>
      </c>
      <c r="LVD313" s="247" t="str">
        <f>BS!$E$5</f>
        <v>31 March 2025</v>
      </c>
      <c r="LVE313" s="1717"/>
      <c r="LVF313" s="1718"/>
      <c r="LVG313" s="1718"/>
      <c r="LVH313" s="1718"/>
      <c r="LVI313" s="1718"/>
      <c r="LVJ313" s="246"/>
      <c r="LVK313" s="246" t="str">
        <f>BS!$D$5</f>
        <v>31 March 2026</v>
      </c>
      <c r="LVL313" s="247" t="str">
        <f>BS!$E$5</f>
        <v>31 March 2025</v>
      </c>
      <c r="LVM313" s="1717"/>
      <c r="LVN313" s="1718"/>
      <c r="LVO313" s="1718"/>
      <c r="LVP313" s="1718"/>
      <c r="LVQ313" s="1718"/>
      <c r="LVR313" s="246"/>
      <c r="LVS313" s="246" t="str">
        <f>BS!$D$5</f>
        <v>31 March 2026</v>
      </c>
      <c r="LVT313" s="247" t="str">
        <f>BS!$E$5</f>
        <v>31 March 2025</v>
      </c>
      <c r="LVU313" s="1717"/>
      <c r="LVV313" s="1718"/>
      <c r="LVW313" s="1718"/>
      <c r="LVX313" s="1718"/>
      <c r="LVY313" s="1718"/>
      <c r="LVZ313" s="246"/>
      <c r="LWA313" s="246" t="str">
        <f>BS!$D$5</f>
        <v>31 March 2026</v>
      </c>
      <c r="LWB313" s="247" t="str">
        <f>BS!$E$5</f>
        <v>31 March 2025</v>
      </c>
      <c r="LWC313" s="1717"/>
      <c r="LWD313" s="1718"/>
      <c r="LWE313" s="1718"/>
      <c r="LWF313" s="1718"/>
      <c r="LWG313" s="1718"/>
      <c r="LWH313" s="246"/>
      <c r="LWI313" s="246" t="str">
        <f>BS!$D$5</f>
        <v>31 March 2026</v>
      </c>
      <c r="LWJ313" s="247" t="str">
        <f>BS!$E$5</f>
        <v>31 March 2025</v>
      </c>
      <c r="LWK313" s="1717"/>
      <c r="LWL313" s="1718"/>
      <c r="LWM313" s="1718"/>
      <c r="LWN313" s="1718"/>
      <c r="LWO313" s="1718"/>
      <c r="LWP313" s="246"/>
      <c r="LWQ313" s="246" t="str">
        <f>BS!$D$5</f>
        <v>31 March 2026</v>
      </c>
      <c r="LWR313" s="247" t="str">
        <f>BS!$E$5</f>
        <v>31 March 2025</v>
      </c>
      <c r="LWS313" s="1717"/>
      <c r="LWT313" s="1718"/>
      <c r="LWU313" s="1718"/>
      <c r="LWV313" s="1718"/>
      <c r="LWW313" s="1718"/>
      <c r="LWX313" s="246"/>
      <c r="LWY313" s="246" t="str">
        <f>BS!$D$5</f>
        <v>31 March 2026</v>
      </c>
      <c r="LWZ313" s="247" t="str">
        <f>BS!$E$5</f>
        <v>31 March 2025</v>
      </c>
      <c r="LXA313" s="1717"/>
      <c r="LXB313" s="1718"/>
      <c r="LXC313" s="1718"/>
      <c r="LXD313" s="1718"/>
      <c r="LXE313" s="1718"/>
      <c r="LXF313" s="246"/>
      <c r="LXG313" s="246" t="str">
        <f>BS!$D$5</f>
        <v>31 March 2026</v>
      </c>
      <c r="LXH313" s="247" t="str">
        <f>BS!$E$5</f>
        <v>31 March 2025</v>
      </c>
      <c r="LXI313" s="1717"/>
      <c r="LXJ313" s="1718"/>
      <c r="LXK313" s="1718"/>
      <c r="LXL313" s="1718"/>
      <c r="LXM313" s="1718"/>
      <c r="LXN313" s="246"/>
      <c r="LXO313" s="246" t="str">
        <f>BS!$D$5</f>
        <v>31 March 2026</v>
      </c>
      <c r="LXP313" s="247" t="str">
        <f>BS!$E$5</f>
        <v>31 March 2025</v>
      </c>
      <c r="LXQ313" s="1717"/>
      <c r="LXR313" s="1718"/>
      <c r="LXS313" s="1718"/>
      <c r="LXT313" s="1718"/>
      <c r="LXU313" s="1718"/>
      <c r="LXV313" s="246"/>
      <c r="LXW313" s="246" t="str">
        <f>BS!$D$5</f>
        <v>31 March 2026</v>
      </c>
      <c r="LXX313" s="247" t="str">
        <f>BS!$E$5</f>
        <v>31 March 2025</v>
      </c>
      <c r="LXY313" s="1717"/>
      <c r="LXZ313" s="1718"/>
      <c r="LYA313" s="1718"/>
      <c r="LYB313" s="1718"/>
      <c r="LYC313" s="1718"/>
      <c r="LYD313" s="246"/>
      <c r="LYE313" s="246" t="str">
        <f>BS!$D$5</f>
        <v>31 March 2026</v>
      </c>
      <c r="LYF313" s="247" t="str">
        <f>BS!$E$5</f>
        <v>31 March 2025</v>
      </c>
      <c r="LYG313" s="1717"/>
      <c r="LYH313" s="1718"/>
      <c r="LYI313" s="1718"/>
      <c r="LYJ313" s="1718"/>
      <c r="LYK313" s="1718"/>
      <c r="LYL313" s="246"/>
      <c r="LYM313" s="246" t="str">
        <f>BS!$D$5</f>
        <v>31 March 2026</v>
      </c>
      <c r="LYN313" s="247" t="str">
        <f>BS!$E$5</f>
        <v>31 March 2025</v>
      </c>
      <c r="LYO313" s="1717"/>
      <c r="LYP313" s="1718"/>
      <c r="LYQ313" s="1718"/>
      <c r="LYR313" s="1718"/>
      <c r="LYS313" s="1718"/>
      <c r="LYT313" s="246"/>
      <c r="LYU313" s="246" t="str">
        <f>BS!$D$5</f>
        <v>31 March 2026</v>
      </c>
      <c r="LYV313" s="247" t="str">
        <f>BS!$E$5</f>
        <v>31 March 2025</v>
      </c>
      <c r="LYW313" s="1717"/>
      <c r="LYX313" s="1718"/>
      <c r="LYY313" s="1718"/>
      <c r="LYZ313" s="1718"/>
      <c r="LZA313" s="1718"/>
      <c r="LZB313" s="246"/>
      <c r="LZC313" s="246" t="str">
        <f>BS!$D$5</f>
        <v>31 March 2026</v>
      </c>
      <c r="LZD313" s="247" t="str">
        <f>BS!$E$5</f>
        <v>31 March 2025</v>
      </c>
      <c r="LZE313" s="1717"/>
      <c r="LZF313" s="1718"/>
      <c r="LZG313" s="1718"/>
      <c r="LZH313" s="1718"/>
      <c r="LZI313" s="1718"/>
      <c r="LZJ313" s="246"/>
      <c r="LZK313" s="246" t="str">
        <f>BS!$D$5</f>
        <v>31 March 2026</v>
      </c>
      <c r="LZL313" s="247" t="str">
        <f>BS!$E$5</f>
        <v>31 March 2025</v>
      </c>
      <c r="LZM313" s="1717"/>
      <c r="LZN313" s="1718"/>
      <c r="LZO313" s="1718"/>
      <c r="LZP313" s="1718"/>
      <c r="LZQ313" s="1718"/>
      <c r="LZR313" s="246"/>
      <c r="LZS313" s="246" t="str">
        <f>BS!$D$5</f>
        <v>31 March 2026</v>
      </c>
      <c r="LZT313" s="247" t="str">
        <f>BS!$E$5</f>
        <v>31 March 2025</v>
      </c>
      <c r="LZU313" s="1717"/>
      <c r="LZV313" s="1718"/>
      <c r="LZW313" s="1718"/>
      <c r="LZX313" s="1718"/>
      <c r="LZY313" s="1718"/>
      <c r="LZZ313" s="246"/>
      <c r="MAA313" s="246" t="str">
        <f>BS!$D$5</f>
        <v>31 March 2026</v>
      </c>
      <c r="MAB313" s="247" t="str">
        <f>BS!$E$5</f>
        <v>31 March 2025</v>
      </c>
      <c r="MAC313" s="1717"/>
      <c r="MAD313" s="1718"/>
      <c r="MAE313" s="1718"/>
      <c r="MAF313" s="1718"/>
      <c r="MAG313" s="1718"/>
      <c r="MAH313" s="246"/>
      <c r="MAI313" s="246" t="str">
        <f>BS!$D$5</f>
        <v>31 March 2026</v>
      </c>
      <c r="MAJ313" s="247" t="str">
        <f>BS!$E$5</f>
        <v>31 March 2025</v>
      </c>
      <c r="MAK313" s="1717"/>
      <c r="MAL313" s="1718"/>
      <c r="MAM313" s="1718"/>
      <c r="MAN313" s="1718"/>
      <c r="MAO313" s="1718"/>
      <c r="MAP313" s="246"/>
      <c r="MAQ313" s="246" t="str">
        <f>BS!$D$5</f>
        <v>31 March 2026</v>
      </c>
      <c r="MAR313" s="247" t="str">
        <f>BS!$E$5</f>
        <v>31 March 2025</v>
      </c>
      <c r="MAS313" s="1717"/>
      <c r="MAT313" s="1718"/>
      <c r="MAU313" s="1718"/>
      <c r="MAV313" s="1718"/>
      <c r="MAW313" s="1718"/>
      <c r="MAX313" s="246"/>
      <c r="MAY313" s="246" t="str">
        <f>BS!$D$5</f>
        <v>31 March 2026</v>
      </c>
      <c r="MAZ313" s="247" t="str">
        <f>BS!$E$5</f>
        <v>31 March 2025</v>
      </c>
      <c r="MBA313" s="1717"/>
      <c r="MBB313" s="1718"/>
      <c r="MBC313" s="1718"/>
      <c r="MBD313" s="1718"/>
      <c r="MBE313" s="1718"/>
      <c r="MBF313" s="246"/>
      <c r="MBG313" s="246" t="str">
        <f>BS!$D$5</f>
        <v>31 March 2026</v>
      </c>
      <c r="MBH313" s="247" t="str">
        <f>BS!$E$5</f>
        <v>31 March 2025</v>
      </c>
      <c r="MBI313" s="1717"/>
      <c r="MBJ313" s="1718"/>
      <c r="MBK313" s="1718"/>
      <c r="MBL313" s="1718"/>
      <c r="MBM313" s="1718"/>
      <c r="MBN313" s="246"/>
      <c r="MBO313" s="246" t="str">
        <f>BS!$D$5</f>
        <v>31 March 2026</v>
      </c>
      <c r="MBP313" s="247" t="str">
        <f>BS!$E$5</f>
        <v>31 March 2025</v>
      </c>
      <c r="MBQ313" s="1717"/>
      <c r="MBR313" s="1718"/>
      <c r="MBS313" s="1718"/>
      <c r="MBT313" s="1718"/>
      <c r="MBU313" s="1718"/>
      <c r="MBV313" s="246"/>
      <c r="MBW313" s="246" t="str">
        <f>BS!$D$5</f>
        <v>31 March 2026</v>
      </c>
      <c r="MBX313" s="247" t="str">
        <f>BS!$E$5</f>
        <v>31 March 2025</v>
      </c>
      <c r="MBY313" s="1717"/>
      <c r="MBZ313" s="1718"/>
      <c r="MCA313" s="1718"/>
      <c r="MCB313" s="1718"/>
      <c r="MCC313" s="1718"/>
      <c r="MCD313" s="246"/>
      <c r="MCE313" s="246" t="str">
        <f>BS!$D$5</f>
        <v>31 March 2026</v>
      </c>
      <c r="MCF313" s="247" t="str">
        <f>BS!$E$5</f>
        <v>31 March 2025</v>
      </c>
      <c r="MCG313" s="1717"/>
      <c r="MCH313" s="1718"/>
      <c r="MCI313" s="1718"/>
      <c r="MCJ313" s="1718"/>
      <c r="MCK313" s="1718"/>
      <c r="MCL313" s="246"/>
      <c r="MCM313" s="246" t="str">
        <f>BS!$D$5</f>
        <v>31 March 2026</v>
      </c>
      <c r="MCN313" s="247" t="str">
        <f>BS!$E$5</f>
        <v>31 March 2025</v>
      </c>
      <c r="MCO313" s="1717"/>
      <c r="MCP313" s="1718"/>
      <c r="MCQ313" s="1718"/>
      <c r="MCR313" s="1718"/>
      <c r="MCS313" s="1718"/>
      <c r="MCT313" s="246"/>
      <c r="MCU313" s="246" t="str">
        <f>BS!$D$5</f>
        <v>31 March 2026</v>
      </c>
      <c r="MCV313" s="247" t="str">
        <f>BS!$E$5</f>
        <v>31 March 2025</v>
      </c>
      <c r="MCW313" s="1717"/>
      <c r="MCX313" s="1718"/>
      <c r="MCY313" s="1718"/>
      <c r="MCZ313" s="1718"/>
      <c r="MDA313" s="1718"/>
      <c r="MDB313" s="246"/>
      <c r="MDC313" s="246" t="str">
        <f>BS!$D$5</f>
        <v>31 March 2026</v>
      </c>
      <c r="MDD313" s="247" t="str">
        <f>BS!$E$5</f>
        <v>31 March 2025</v>
      </c>
      <c r="MDE313" s="1717"/>
      <c r="MDF313" s="1718"/>
      <c r="MDG313" s="1718"/>
      <c r="MDH313" s="1718"/>
      <c r="MDI313" s="1718"/>
      <c r="MDJ313" s="246"/>
      <c r="MDK313" s="246" t="str">
        <f>BS!$D$5</f>
        <v>31 March 2026</v>
      </c>
      <c r="MDL313" s="247" t="str">
        <f>BS!$E$5</f>
        <v>31 March 2025</v>
      </c>
      <c r="MDM313" s="1717"/>
      <c r="MDN313" s="1718"/>
      <c r="MDO313" s="1718"/>
      <c r="MDP313" s="1718"/>
      <c r="MDQ313" s="1718"/>
      <c r="MDR313" s="246"/>
      <c r="MDS313" s="246" t="str">
        <f>BS!$D$5</f>
        <v>31 March 2026</v>
      </c>
      <c r="MDT313" s="247" t="str">
        <f>BS!$E$5</f>
        <v>31 March 2025</v>
      </c>
      <c r="MDU313" s="1717"/>
      <c r="MDV313" s="1718"/>
      <c r="MDW313" s="1718"/>
      <c r="MDX313" s="1718"/>
      <c r="MDY313" s="1718"/>
      <c r="MDZ313" s="246"/>
      <c r="MEA313" s="246" t="str">
        <f>BS!$D$5</f>
        <v>31 March 2026</v>
      </c>
      <c r="MEB313" s="247" t="str">
        <f>BS!$E$5</f>
        <v>31 March 2025</v>
      </c>
      <c r="MEC313" s="1717"/>
      <c r="MED313" s="1718"/>
      <c r="MEE313" s="1718"/>
      <c r="MEF313" s="1718"/>
      <c r="MEG313" s="1718"/>
      <c r="MEH313" s="246"/>
      <c r="MEI313" s="246" t="str">
        <f>BS!$D$5</f>
        <v>31 March 2026</v>
      </c>
      <c r="MEJ313" s="247" t="str">
        <f>BS!$E$5</f>
        <v>31 March 2025</v>
      </c>
      <c r="MEK313" s="1717"/>
      <c r="MEL313" s="1718"/>
      <c r="MEM313" s="1718"/>
      <c r="MEN313" s="1718"/>
      <c r="MEO313" s="1718"/>
      <c r="MEP313" s="246"/>
      <c r="MEQ313" s="246" t="str">
        <f>BS!$D$5</f>
        <v>31 March 2026</v>
      </c>
      <c r="MER313" s="247" t="str">
        <f>BS!$E$5</f>
        <v>31 March 2025</v>
      </c>
      <c r="MES313" s="1717"/>
      <c r="MET313" s="1718"/>
      <c r="MEU313" s="1718"/>
      <c r="MEV313" s="1718"/>
      <c r="MEW313" s="1718"/>
      <c r="MEX313" s="246"/>
      <c r="MEY313" s="246" t="str">
        <f>BS!$D$5</f>
        <v>31 March 2026</v>
      </c>
      <c r="MEZ313" s="247" t="str">
        <f>BS!$E$5</f>
        <v>31 March 2025</v>
      </c>
      <c r="MFA313" s="1717"/>
      <c r="MFB313" s="1718"/>
      <c r="MFC313" s="1718"/>
      <c r="MFD313" s="1718"/>
      <c r="MFE313" s="1718"/>
      <c r="MFF313" s="246"/>
      <c r="MFG313" s="246" t="str">
        <f>BS!$D$5</f>
        <v>31 March 2026</v>
      </c>
      <c r="MFH313" s="247" t="str">
        <f>BS!$E$5</f>
        <v>31 March 2025</v>
      </c>
      <c r="MFI313" s="1717"/>
      <c r="MFJ313" s="1718"/>
      <c r="MFK313" s="1718"/>
      <c r="MFL313" s="1718"/>
      <c r="MFM313" s="1718"/>
      <c r="MFN313" s="246"/>
      <c r="MFO313" s="246" t="str">
        <f>BS!$D$5</f>
        <v>31 March 2026</v>
      </c>
      <c r="MFP313" s="247" t="str">
        <f>BS!$E$5</f>
        <v>31 March 2025</v>
      </c>
      <c r="MFQ313" s="1717"/>
      <c r="MFR313" s="1718"/>
      <c r="MFS313" s="1718"/>
      <c r="MFT313" s="1718"/>
      <c r="MFU313" s="1718"/>
      <c r="MFV313" s="246"/>
      <c r="MFW313" s="246" t="str">
        <f>BS!$D$5</f>
        <v>31 March 2026</v>
      </c>
      <c r="MFX313" s="247" t="str">
        <f>BS!$E$5</f>
        <v>31 March 2025</v>
      </c>
      <c r="MFY313" s="1717"/>
      <c r="MFZ313" s="1718"/>
      <c r="MGA313" s="1718"/>
      <c r="MGB313" s="1718"/>
      <c r="MGC313" s="1718"/>
      <c r="MGD313" s="246"/>
      <c r="MGE313" s="246" t="str">
        <f>BS!$D$5</f>
        <v>31 March 2026</v>
      </c>
      <c r="MGF313" s="247" t="str">
        <f>BS!$E$5</f>
        <v>31 March 2025</v>
      </c>
      <c r="MGG313" s="1717"/>
      <c r="MGH313" s="1718"/>
      <c r="MGI313" s="1718"/>
      <c r="MGJ313" s="1718"/>
      <c r="MGK313" s="1718"/>
      <c r="MGL313" s="246"/>
      <c r="MGM313" s="246" t="str">
        <f>BS!$D$5</f>
        <v>31 March 2026</v>
      </c>
      <c r="MGN313" s="247" t="str">
        <f>BS!$E$5</f>
        <v>31 March 2025</v>
      </c>
      <c r="MGO313" s="1717"/>
      <c r="MGP313" s="1718"/>
      <c r="MGQ313" s="1718"/>
      <c r="MGR313" s="1718"/>
      <c r="MGS313" s="1718"/>
      <c r="MGT313" s="246"/>
      <c r="MGU313" s="246" t="str">
        <f>BS!$D$5</f>
        <v>31 March 2026</v>
      </c>
      <c r="MGV313" s="247" t="str">
        <f>BS!$E$5</f>
        <v>31 March 2025</v>
      </c>
      <c r="MGW313" s="1717"/>
      <c r="MGX313" s="1718"/>
      <c r="MGY313" s="1718"/>
      <c r="MGZ313" s="1718"/>
      <c r="MHA313" s="1718"/>
      <c r="MHB313" s="246"/>
      <c r="MHC313" s="246" t="str">
        <f>BS!$D$5</f>
        <v>31 March 2026</v>
      </c>
      <c r="MHD313" s="247" t="str">
        <f>BS!$E$5</f>
        <v>31 March 2025</v>
      </c>
      <c r="MHE313" s="1717"/>
      <c r="MHF313" s="1718"/>
      <c r="MHG313" s="1718"/>
      <c r="MHH313" s="1718"/>
      <c r="MHI313" s="1718"/>
      <c r="MHJ313" s="246"/>
      <c r="MHK313" s="246" t="str">
        <f>BS!$D$5</f>
        <v>31 March 2026</v>
      </c>
      <c r="MHL313" s="247" t="str">
        <f>BS!$E$5</f>
        <v>31 March 2025</v>
      </c>
      <c r="MHM313" s="1717"/>
      <c r="MHN313" s="1718"/>
      <c r="MHO313" s="1718"/>
      <c r="MHP313" s="1718"/>
      <c r="MHQ313" s="1718"/>
      <c r="MHR313" s="246"/>
      <c r="MHS313" s="246" t="str">
        <f>BS!$D$5</f>
        <v>31 March 2026</v>
      </c>
      <c r="MHT313" s="247" t="str">
        <f>BS!$E$5</f>
        <v>31 March 2025</v>
      </c>
      <c r="MHU313" s="1717"/>
      <c r="MHV313" s="1718"/>
      <c r="MHW313" s="1718"/>
      <c r="MHX313" s="1718"/>
      <c r="MHY313" s="1718"/>
      <c r="MHZ313" s="246"/>
      <c r="MIA313" s="246" t="str">
        <f>BS!$D$5</f>
        <v>31 March 2026</v>
      </c>
      <c r="MIB313" s="247" t="str">
        <f>BS!$E$5</f>
        <v>31 March 2025</v>
      </c>
      <c r="MIC313" s="1717"/>
      <c r="MID313" s="1718"/>
      <c r="MIE313" s="1718"/>
      <c r="MIF313" s="1718"/>
      <c r="MIG313" s="1718"/>
      <c r="MIH313" s="246"/>
      <c r="MII313" s="246" t="str">
        <f>BS!$D$5</f>
        <v>31 March 2026</v>
      </c>
      <c r="MIJ313" s="247" t="str">
        <f>BS!$E$5</f>
        <v>31 March 2025</v>
      </c>
      <c r="MIK313" s="1717"/>
      <c r="MIL313" s="1718"/>
      <c r="MIM313" s="1718"/>
      <c r="MIN313" s="1718"/>
      <c r="MIO313" s="1718"/>
      <c r="MIP313" s="246"/>
      <c r="MIQ313" s="246" t="str">
        <f>BS!$D$5</f>
        <v>31 March 2026</v>
      </c>
      <c r="MIR313" s="247" t="str">
        <f>BS!$E$5</f>
        <v>31 March 2025</v>
      </c>
      <c r="MIS313" s="1717"/>
      <c r="MIT313" s="1718"/>
      <c r="MIU313" s="1718"/>
      <c r="MIV313" s="1718"/>
      <c r="MIW313" s="1718"/>
      <c r="MIX313" s="246"/>
      <c r="MIY313" s="246" t="str">
        <f>BS!$D$5</f>
        <v>31 March 2026</v>
      </c>
      <c r="MIZ313" s="247" t="str">
        <f>BS!$E$5</f>
        <v>31 March 2025</v>
      </c>
      <c r="MJA313" s="1717"/>
      <c r="MJB313" s="1718"/>
      <c r="MJC313" s="1718"/>
      <c r="MJD313" s="1718"/>
      <c r="MJE313" s="1718"/>
      <c r="MJF313" s="246"/>
      <c r="MJG313" s="246" t="str">
        <f>BS!$D$5</f>
        <v>31 March 2026</v>
      </c>
      <c r="MJH313" s="247" t="str">
        <f>BS!$E$5</f>
        <v>31 March 2025</v>
      </c>
      <c r="MJI313" s="1717"/>
      <c r="MJJ313" s="1718"/>
      <c r="MJK313" s="1718"/>
      <c r="MJL313" s="1718"/>
      <c r="MJM313" s="1718"/>
      <c r="MJN313" s="246"/>
      <c r="MJO313" s="246" t="str">
        <f>BS!$D$5</f>
        <v>31 March 2026</v>
      </c>
      <c r="MJP313" s="247" t="str">
        <f>BS!$E$5</f>
        <v>31 March 2025</v>
      </c>
      <c r="MJQ313" s="1717"/>
      <c r="MJR313" s="1718"/>
      <c r="MJS313" s="1718"/>
      <c r="MJT313" s="1718"/>
      <c r="MJU313" s="1718"/>
      <c r="MJV313" s="246"/>
      <c r="MJW313" s="246" t="str">
        <f>BS!$D$5</f>
        <v>31 March 2026</v>
      </c>
      <c r="MJX313" s="247" t="str">
        <f>BS!$E$5</f>
        <v>31 March 2025</v>
      </c>
      <c r="MJY313" s="1717"/>
      <c r="MJZ313" s="1718"/>
      <c r="MKA313" s="1718"/>
      <c r="MKB313" s="1718"/>
      <c r="MKC313" s="1718"/>
      <c r="MKD313" s="246"/>
      <c r="MKE313" s="246" t="str">
        <f>BS!$D$5</f>
        <v>31 March 2026</v>
      </c>
      <c r="MKF313" s="247" t="str">
        <f>BS!$E$5</f>
        <v>31 March 2025</v>
      </c>
      <c r="MKG313" s="1717"/>
      <c r="MKH313" s="1718"/>
      <c r="MKI313" s="1718"/>
      <c r="MKJ313" s="1718"/>
      <c r="MKK313" s="1718"/>
      <c r="MKL313" s="246"/>
      <c r="MKM313" s="246" t="str">
        <f>BS!$D$5</f>
        <v>31 March 2026</v>
      </c>
      <c r="MKN313" s="247" t="str">
        <f>BS!$E$5</f>
        <v>31 March 2025</v>
      </c>
      <c r="MKO313" s="1717"/>
      <c r="MKP313" s="1718"/>
      <c r="MKQ313" s="1718"/>
      <c r="MKR313" s="1718"/>
      <c r="MKS313" s="1718"/>
      <c r="MKT313" s="246"/>
      <c r="MKU313" s="246" t="str">
        <f>BS!$D$5</f>
        <v>31 March 2026</v>
      </c>
      <c r="MKV313" s="247" t="str">
        <f>BS!$E$5</f>
        <v>31 March 2025</v>
      </c>
      <c r="MKW313" s="1717"/>
      <c r="MKX313" s="1718"/>
      <c r="MKY313" s="1718"/>
      <c r="MKZ313" s="1718"/>
      <c r="MLA313" s="1718"/>
      <c r="MLB313" s="246"/>
      <c r="MLC313" s="246" t="str">
        <f>BS!$D$5</f>
        <v>31 March 2026</v>
      </c>
      <c r="MLD313" s="247" t="str">
        <f>BS!$E$5</f>
        <v>31 March 2025</v>
      </c>
      <c r="MLE313" s="1717"/>
      <c r="MLF313" s="1718"/>
      <c r="MLG313" s="1718"/>
      <c r="MLH313" s="1718"/>
      <c r="MLI313" s="1718"/>
      <c r="MLJ313" s="246"/>
      <c r="MLK313" s="246" t="str">
        <f>BS!$D$5</f>
        <v>31 March 2026</v>
      </c>
      <c r="MLL313" s="247" t="str">
        <f>BS!$E$5</f>
        <v>31 March 2025</v>
      </c>
      <c r="MLM313" s="1717"/>
      <c r="MLN313" s="1718"/>
      <c r="MLO313" s="1718"/>
      <c r="MLP313" s="1718"/>
      <c r="MLQ313" s="1718"/>
      <c r="MLR313" s="246"/>
      <c r="MLS313" s="246" t="str">
        <f>BS!$D$5</f>
        <v>31 March 2026</v>
      </c>
      <c r="MLT313" s="247" t="str">
        <f>BS!$E$5</f>
        <v>31 March 2025</v>
      </c>
      <c r="MLU313" s="1717"/>
      <c r="MLV313" s="1718"/>
      <c r="MLW313" s="1718"/>
      <c r="MLX313" s="1718"/>
      <c r="MLY313" s="1718"/>
      <c r="MLZ313" s="246"/>
      <c r="MMA313" s="246" t="str">
        <f>BS!$D$5</f>
        <v>31 March 2026</v>
      </c>
      <c r="MMB313" s="247" t="str">
        <f>BS!$E$5</f>
        <v>31 March 2025</v>
      </c>
      <c r="MMC313" s="1717"/>
      <c r="MMD313" s="1718"/>
      <c r="MME313" s="1718"/>
      <c r="MMF313" s="1718"/>
      <c r="MMG313" s="1718"/>
      <c r="MMH313" s="246"/>
      <c r="MMI313" s="246" t="str">
        <f>BS!$D$5</f>
        <v>31 March 2026</v>
      </c>
      <c r="MMJ313" s="247" t="str">
        <f>BS!$E$5</f>
        <v>31 March 2025</v>
      </c>
      <c r="MMK313" s="1717"/>
      <c r="MML313" s="1718"/>
      <c r="MMM313" s="1718"/>
      <c r="MMN313" s="1718"/>
      <c r="MMO313" s="1718"/>
      <c r="MMP313" s="246"/>
      <c r="MMQ313" s="246" t="str">
        <f>BS!$D$5</f>
        <v>31 March 2026</v>
      </c>
      <c r="MMR313" s="247" t="str">
        <f>BS!$E$5</f>
        <v>31 March 2025</v>
      </c>
      <c r="MMS313" s="1717"/>
      <c r="MMT313" s="1718"/>
      <c r="MMU313" s="1718"/>
      <c r="MMV313" s="1718"/>
      <c r="MMW313" s="1718"/>
      <c r="MMX313" s="246"/>
      <c r="MMY313" s="246" t="str">
        <f>BS!$D$5</f>
        <v>31 March 2026</v>
      </c>
      <c r="MMZ313" s="247" t="str">
        <f>BS!$E$5</f>
        <v>31 March 2025</v>
      </c>
      <c r="MNA313" s="1717"/>
      <c r="MNB313" s="1718"/>
      <c r="MNC313" s="1718"/>
      <c r="MND313" s="1718"/>
      <c r="MNE313" s="1718"/>
      <c r="MNF313" s="246"/>
      <c r="MNG313" s="246" t="str">
        <f>BS!$D$5</f>
        <v>31 March 2026</v>
      </c>
      <c r="MNH313" s="247" t="str">
        <f>BS!$E$5</f>
        <v>31 March 2025</v>
      </c>
      <c r="MNI313" s="1717"/>
      <c r="MNJ313" s="1718"/>
      <c r="MNK313" s="1718"/>
      <c r="MNL313" s="1718"/>
      <c r="MNM313" s="1718"/>
      <c r="MNN313" s="246"/>
      <c r="MNO313" s="246" t="str">
        <f>BS!$D$5</f>
        <v>31 March 2026</v>
      </c>
      <c r="MNP313" s="247" t="str">
        <f>BS!$E$5</f>
        <v>31 March 2025</v>
      </c>
      <c r="MNQ313" s="1717"/>
      <c r="MNR313" s="1718"/>
      <c r="MNS313" s="1718"/>
      <c r="MNT313" s="1718"/>
      <c r="MNU313" s="1718"/>
      <c r="MNV313" s="246"/>
      <c r="MNW313" s="246" t="str">
        <f>BS!$D$5</f>
        <v>31 March 2026</v>
      </c>
      <c r="MNX313" s="247" t="str">
        <f>BS!$E$5</f>
        <v>31 March 2025</v>
      </c>
      <c r="MNY313" s="1717"/>
      <c r="MNZ313" s="1718"/>
      <c r="MOA313" s="1718"/>
      <c r="MOB313" s="1718"/>
      <c r="MOC313" s="1718"/>
      <c r="MOD313" s="246"/>
      <c r="MOE313" s="246" t="str">
        <f>BS!$D$5</f>
        <v>31 March 2026</v>
      </c>
      <c r="MOF313" s="247" t="str">
        <f>BS!$E$5</f>
        <v>31 March 2025</v>
      </c>
      <c r="MOG313" s="1717"/>
      <c r="MOH313" s="1718"/>
      <c r="MOI313" s="1718"/>
      <c r="MOJ313" s="1718"/>
      <c r="MOK313" s="1718"/>
      <c r="MOL313" s="246"/>
      <c r="MOM313" s="246" t="str">
        <f>BS!$D$5</f>
        <v>31 March 2026</v>
      </c>
      <c r="MON313" s="247" t="str">
        <f>BS!$E$5</f>
        <v>31 March 2025</v>
      </c>
      <c r="MOO313" s="1717"/>
      <c r="MOP313" s="1718"/>
      <c r="MOQ313" s="1718"/>
      <c r="MOR313" s="1718"/>
      <c r="MOS313" s="1718"/>
      <c r="MOT313" s="246"/>
      <c r="MOU313" s="246" t="str">
        <f>BS!$D$5</f>
        <v>31 March 2026</v>
      </c>
      <c r="MOV313" s="247" t="str">
        <f>BS!$E$5</f>
        <v>31 March 2025</v>
      </c>
      <c r="MOW313" s="1717"/>
      <c r="MOX313" s="1718"/>
      <c r="MOY313" s="1718"/>
      <c r="MOZ313" s="1718"/>
      <c r="MPA313" s="1718"/>
      <c r="MPB313" s="246"/>
      <c r="MPC313" s="246" t="str">
        <f>BS!$D$5</f>
        <v>31 March 2026</v>
      </c>
      <c r="MPD313" s="247" t="str">
        <f>BS!$E$5</f>
        <v>31 March 2025</v>
      </c>
      <c r="MPE313" s="1717"/>
      <c r="MPF313" s="1718"/>
      <c r="MPG313" s="1718"/>
      <c r="MPH313" s="1718"/>
      <c r="MPI313" s="1718"/>
      <c r="MPJ313" s="246"/>
      <c r="MPK313" s="246" t="str">
        <f>BS!$D$5</f>
        <v>31 March 2026</v>
      </c>
      <c r="MPL313" s="247" t="str">
        <f>BS!$E$5</f>
        <v>31 March 2025</v>
      </c>
      <c r="MPM313" s="1717"/>
      <c r="MPN313" s="1718"/>
      <c r="MPO313" s="1718"/>
      <c r="MPP313" s="1718"/>
      <c r="MPQ313" s="1718"/>
      <c r="MPR313" s="246"/>
      <c r="MPS313" s="246" t="str">
        <f>BS!$D$5</f>
        <v>31 March 2026</v>
      </c>
      <c r="MPT313" s="247" t="str">
        <f>BS!$E$5</f>
        <v>31 March 2025</v>
      </c>
      <c r="MPU313" s="1717"/>
      <c r="MPV313" s="1718"/>
      <c r="MPW313" s="1718"/>
      <c r="MPX313" s="1718"/>
      <c r="MPY313" s="1718"/>
      <c r="MPZ313" s="246"/>
      <c r="MQA313" s="246" t="str">
        <f>BS!$D$5</f>
        <v>31 March 2026</v>
      </c>
      <c r="MQB313" s="247" t="str">
        <f>BS!$E$5</f>
        <v>31 March 2025</v>
      </c>
      <c r="MQC313" s="1717"/>
      <c r="MQD313" s="1718"/>
      <c r="MQE313" s="1718"/>
      <c r="MQF313" s="1718"/>
      <c r="MQG313" s="1718"/>
      <c r="MQH313" s="246"/>
      <c r="MQI313" s="246" t="str">
        <f>BS!$D$5</f>
        <v>31 March 2026</v>
      </c>
      <c r="MQJ313" s="247" t="str">
        <f>BS!$E$5</f>
        <v>31 March 2025</v>
      </c>
      <c r="MQK313" s="1717"/>
      <c r="MQL313" s="1718"/>
      <c r="MQM313" s="1718"/>
      <c r="MQN313" s="1718"/>
      <c r="MQO313" s="1718"/>
      <c r="MQP313" s="246"/>
      <c r="MQQ313" s="246" t="str">
        <f>BS!$D$5</f>
        <v>31 March 2026</v>
      </c>
      <c r="MQR313" s="247" t="str">
        <f>BS!$E$5</f>
        <v>31 March 2025</v>
      </c>
      <c r="MQS313" s="1717"/>
      <c r="MQT313" s="1718"/>
      <c r="MQU313" s="1718"/>
      <c r="MQV313" s="1718"/>
      <c r="MQW313" s="1718"/>
      <c r="MQX313" s="246"/>
      <c r="MQY313" s="246" t="str">
        <f>BS!$D$5</f>
        <v>31 March 2026</v>
      </c>
      <c r="MQZ313" s="247" t="str">
        <f>BS!$E$5</f>
        <v>31 March 2025</v>
      </c>
      <c r="MRA313" s="1717"/>
      <c r="MRB313" s="1718"/>
      <c r="MRC313" s="1718"/>
      <c r="MRD313" s="1718"/>
      <c r="MRE313" s="1718"/>
      <c r="MRF313" s="246"/>
      <c r="MRG313" s="246" t="str">
        <f>BS!$D$5</f>
        <v>31 March 2026</v>
      </c>
      <c r="MRH313" s="247" t="str">
        <f>BS!$E$5</f>
        <v>31 March 2025</v>
      </c>
      <c r="MRI313" s="1717"/>
      <c r="MRJ313" s="1718"/>
      <c r="MRK313" s="1718"/>
      <c r="MRL313" s="1718"/>
      <c r="MRM313" s="1718"/>
      <c r="MRN313" s="246"/>
      <c r="MRO313" s="246" t="str">
        <f>BS!$D$5</f>
        <v>31 March 2026</v>
      </c>
      <c r="MRP313" s="247" t="str">
        <f>BS!$E$5</f>
        <v>31 March 2025</v>
      </c>
      <c r="MRQ313" s="1717"/>
      <c r="MRR313" s="1718"/>
      <c r="MRS313" s="1718"/>
      <c r="MRT313" s="1718"/>
      <c r="MRU313" s="1718"/>
      <c r="MRV313" s="246"/>
      <c r="MRW313" s="246" t="str">
        <f>BS!$D$5</f>
        <v>31 March 2026</v>
      </c>
      <c r="MRX313" s="247" t="str">
        <f>BS!$E$5</f>
        <v>31 March 2025</v>
      </c>
      <c r="MRY313" s="1717"/>
      <c r="MRZ313" s="1718"/>
      <c r="MSA313" s="1718"/>
      <c r="MSB313" s="1718"/>
      <c r="MSC313" s="1718"/>
      <c r="MSD313" s="246"/>
      <c r="MSE313" s="246" t="str">
        <f>BS!$D$5</f>
        <v>31 March 2026</v>
      </c>
      <c r="MSF313" s="247" t="str">
        <f>BS!$E$5</f>
        <v>31 March 2025</v>
      </c>
      <c r="MSG313" s="1717"/>
      <c r="MSH313" s="1718"/>
      <c r="MSI313" s="1718"/>
      <c r="MSJ313" s="1718"/>
      <c r="MSK313" s="1718"/>
      <c r="MSL313" s="246"/>
      <c r="MSM313" s="246" t="str">
        <f>BS!$D$5</f>
        <v>31 March 2026</v>
      </c>
      <c r="MSN313" s="247" t="str">
        <f>BS!$E$5</f>
        <v>31 March 2025</v>
      </c>
      <c r="MSO313" s="1717"/>
      <c r="MSP313" s="1718"/>
      <c r="MSQ313" s="1718"/>
      <c r="MSR313" s="1718"/>
      <c r="MSS313" s="1718"/>
      <c r="MST313" s="246"/>
      <c r="MSU313" s="246" t="str">
        <f>BS!$D$5</f>
        <v>31 March 2026</v>
      </c>
      <c r="MSV313" s="247" t="str">
        <f>BS!$E$5</f>
        <v>31 March 2025</v>
      </c>
      <c r="MSW313" s="1717"/>
      <c r="MSX313" s="1718"/>
      <c r="MSY313" s="1718"/>
      <c r="MSZ313" s="1718"/>
      <c r="MTA313" s="1718"/>
      <c r="MTB313" s="246"/>
      <c r="MTC313" s="246" t="str">
        <f>BS!$D$5</f>
        <v>31 March 2026</v>
      </c>
      <c r="MTD313" s="247" t="str">
        <f>BS!$E$5</f>
        <v>31 March 2025</v>
      </c>
      <c r="MTE313" s="1717"/>
      <c r="MTF313" s="1718"/>
      <c r="MTG313" s="1718"/>
      <c r="MTH313" s="1718"/>
      <c r="MTI313" s="1718"/>
      <c r="MTJ313" s="246"/>
      <c r="MTK313" s="246" t="str">
        <f>BS!$D$5</f>
        <v>31 March 2026</v>
      </c>
      <c r="MTL313" s="247" t="str">
        <f>BS!$E$5</f>
        <v>31 March 2025</v>
      </c>
      <c r="MTM313" s="1717"/>
      <c r="MTN313" s="1718"/>
      <c r="MTO313" s="1718"/>
      <c r="MTP313" s="1718"/>
      <c r="MTQ313" s="1718"/>
      <c r="MTR313" s="246"/>
      <c r="MTS313" s="246" t="str">
        <f>BS!$D$5</f>
        <v>31 March 2026</v>
      </c>
      <c r="MTT313" s="247" t="str">
        <f>BS!$E$5</f>
        <v>31 March 2025</v>
      </c>
      <c r="MTU313" s="1717"/>
      <c r="MTV313" s="1718"/>
      <c r="MTW313" s="1718"/>
      <c r="MTX313" s="1718"/>
      <c r="MTY313" s="1718"/>
      <c r="MTZ313" s="246"/>
      <c r="MUA313" s="246" t="str">
        <f>BS!$D$5</f>
        <v>31 March 2026</v>
      </c>
      <c r="MUB313" s="247" t="str">
        <f>BS!$E$5</f>
        <v>31 March 2025</v>
      </c>
      <c r="MUC313" s="1717"/>
      <c r="MUD313" s="1718"/>
      <c r="MUE313" s="1718"/>
      <c r="MUF313" s="1718"/>
      <c r="MUG313" s="1718"/>
      <c r="MUH313" s="246"/>
      <c r="MUI313" s="246" t="str">
        <f>BS!$D$5</f>
        <v>31 March 2026</v>
      </c>
      <c r="MUJ313" s="247" t="str">
        <f>BS!$E$5</f>
        <v>31 March 2025</v>
      </c>
      <c r="MUK313" s="1717"/>
      <c r="MUL313" s="1718"/>
      <c r="MUM313" s="1718"/>
      <c r="MUN313" s="1718"/>
      <c r="MUO313" s="1718"/>
      <c r="MUP313" s="246"/>
      <c r="MUQ313" s="246" t="str">
        <f>BS!$D$5</f>
        <v>31 March 2026</v>
      </c>
      <c r="MUR313" s="247" t="str">
        <f>BS!$E$5</f>
        <v>31 March 2025</v>
      </c>
      <c r="MUS313" s="1717"/>
      <c r="MUT313" s="1718"/>
      <c r="MUU313" s="1718"/>
      <c r="MUV313" s="1718"/>
      <c r="MUW313" s="1718"/>
      <c r="MUX313" s="246"/>
      <c r="MUY313" s="246" t="str">
        <f>BS!$D$5</f>
        <v>31 March 2026</v>
      </c>
      <c r="MUZ313" s="247" t="str">
        <f>BS!$E$5</f>
        <v>31 March 2025</v>
      </c>
      <c r="MVA313" s="1717"/>
      <c r="MVB313" s="1718"/>
      <c r="MVC313" s="1718"/>
      <c r="MVD313" s="1718"/>
      <c r="MVE313" s="1718"/>
      <c r="MVF313" s="246"/>
      <c r="MVG313" s="246" t="str">
        <f>BS!$D$5</f>
        <v>31 March 2026</v>
      </c>
      <c r="MVH313" s="247" t="str">
        <f>BS!$E$5</f>
        <v>31 March 2025</v>
      </c>
      <c r="MVI313" s="1717"/>
      <c r="MVJ313" s="1718"/>
      <c r="MVK313" s="1718"/>
      <c r="MVL313" s="1718"/>
      <c r="MVM313" s="1718"/>
      <c r="MVN313" s="246"/>
      <c r="MVO313" s="246" t="str">
        <f>BS!$D$5</f>
        <v>31 March 2026</v>
      </c>
      <c r="MVP313" s="247" t="str">
        <f>BS!$E$5</f>
        <v>31 March 2025</v>
      </c>
      <c r="MVQ313" s="1717"/>
      <c r="MVR313" s="1718"/>
      <c r="MVS313" s="1718"/>
      <c r="MVT313" s="1718"/>
      <c r="MVU313" s="1718"/>
      <c r="MVV313" s="246"/>
      <c r="MVW313" s="246" t="str">
        <f>BS!$D$5</f>
        <v>31 March 2026</v>
      </c>
      <c r="MVX313" s="247" t="str">
        <f>BS!$E$5</f>
        <v>31 March 2025</v>
      </c>
      <c r="MVY313" s="1717"/>
      <c r="MVZ313" s="1718"/>
      <c r="MWA313" s="1718"/>
      <c r="MWB313" s="1718"/>
      <c r="MWC313" s="1718"/>
      <c r="MWD313" s="246"/>
      <c r="MWE313" s="246" t="str">
        <f>BS!$D$5</f>
        <v>31 March 2026</v>
      </c>
      <c r="MWF313" s="247" t="str">
        <f>BS!$E$5</f>
        <v>31 March 2025</v>
      </c>
      <c r="MWG313" s="1717"/>
      <c r="MWH313" s="1718"/>
      <c r="MWI313" s="1718"/>
      <c r="MWJ313" s="1718"/>
      <c r="MWK313" s="1718"/>
      <c r="MWL313" s="246"/>
      <c r="MWM313" s="246" t="str">
        <f>BS!$D$5</f>
        <v>31 March 2026</v>
      </c>
      <c r="MWN313" s="247" t="str">
        <f>BS!$E$5</f>
        <v>31 March 2025</v>
      </c>
      <c r="MWO313" s="1717"/>
      <c r="MWP313" s="1718"/>
      <c r="MWQ313" s="1718"/>
      <c r="MWR313" s="1718"/>
      <c r="MWS313" s="1718"/>
      <c r="MWT313" s="246"/>
      <c r="MWU313" s="246" t="str">
        <f>BS!$D$5</f>
        <v>31 March 2026</v>
      </c>
      <c r="MWV313" s="247" t="str">
        <f>BS!$E$5</f>
        <v>31 March 2025</v>
      </c>
      <c r="MWW313" s="1717"/>
      <c r="MWX313" s="1718"/>
      <c r="MWY313" s="1718"/>
      <c r="MWZ313" s="1718"/>
      <c r="MXA313" s="1718"/>
      <c r="MXB313" s="246"/>
      <c r="MXC313" s="246" t="str">
        <f>BS!$D$5</f>
        <v>31 March 2026</v>
      </c>
      <c r="MXD313" s="247" t="str">
        <f>BS!$E$5</f>
        <v>31 March 2025</v>
      </c>
      <c r="MXE313" s="1717"/>
      <c r="MXF313" s="1718"/>
      <c r="MXG313" s="1718"/>
      <c r="MXH313" s="1718"/>
      <c r="MXI313" s="1718"/>
      <c r="MXJ313" s="246"/>
      <c r="MXK313" s="246" t="str">
        <f>BS!$D$5</f>
        <v>31 March 2026</v>
      </c>
      <c r="MXL313" s="247" t="str">
        <f>BS!$E$5</f>
        <v>31 March 2025</v>
      </c>
      <c r="MXM313" s="1717"/>
      <c r="MXN313" s="1718"/>
      <c r="MXO313" s="1718"/>
      <c r="MXP313" s="1718"/>
      <c r="MXQ313" s="1718"/>
      <c r="MXR313" s="246"/>
      <c r="MXS313" s="246" t="str">
        <f>BS!$D$5</f>
        <v>31 March 2026</v>
      </c>
      <c r="MXT313" s="247" t="str">
        <f>BS!$E$5</f>
        <v>31 March 2025</v>
      </c>
      <c r="MXU313" s="1717"/>
      <c r="MXV313" s="1718"/>
      <c r="MXW313" s="1718"/>
      <c r="MXX313" s="1718"/>
      <c r="MXY313" s="1718"/>
      <c r="MXZ313" s="246"/>
      <c r="MYA313" s="246" t="str">
        <f>BS!$D$5</f>
        <v>31 March 2026</v>
      </c>
      <c r="MYB313" s="247" t="str">
        <f>BS!$E$5</f>
        <v>31 March 2025</v>
      </c>
      <c r="MYC313" s="1717"/>
      <c r="MYD313" s="1718"/>
      <c r="MYE313" s="1718"/>
      <c r="MYF313" s="1718"/>
      <c r="MYG313" s="1718"/>
      <c r="MYH313" s="246"/>
      <c r="MYI313" s="246" t="str">
        <f>BS!$D$5</f>
        <v>31 March 2026</v>
      </c>
      <c r="MYJ313" s="247" t="str">
        <f>BS!$E$5</f>
        <v>31 March 2025</v>
      </c>
      <c r="MYK313" s="1717"/>
      <c r="MYL313" s="1718"/>
      <c r="MYM313" s="1718"/>
      <c r="MYN313" s="1718"/>
      <c r="MYO313" s="1718"/>
      <c r="MYP313" s="246"/>
      <c r="MYQ313" s="246" t="str">
        <f>BS!$D$5</f>
        <v>31 March 2026</v>
      </c>
      <c r="MYR313" s="247" t="str">
        <f>BS!$E$5</f>
        <v>31 March 2025</v>
      </c>
      <c r="MYS313" s="1717"/>
      <c r="MYT313" s="1718"/>
      <c r="MYU313" s="1718"/>
      <c r="MYV313" s="1718"/>
      <c r="MYW313" s="1718"/>
      <c r="MYX313" s="246"/>
      <c r="MYY313" s="246" t="str">
        <f>BS!$D$5</f>
        <v>31 March 2026</v>
      </c>
      <c r="MYZ313" s="247" t="str">
        <f>BS!$E$5</f>
        <v>31 March 2025</v>
      </c>
      <c r="MZA313" s="1717"/>
      <c r="MZB313" s="1718"/>
      <c r="MZC313" s="1718"/>
      <c r="MZD313" s="1718"/>
      <c r="MZE313" s="1718"/>
      <c r="MZF313" s="246"/>
      <c r="MZG313" s="246" t="str">
        <f>BS!$D$5</f>
        <v>31 March 2026</v>
      </c>
      <c r="MZH313" s="247" t="str">
        <f>BS!$E$5</f>
        <v>31 March 2025</v>
      </c>
      <c r="MZI313" s="1717"/>
      <c r="MZJ313" s="1718"/>
      <c r="MZK313" s="1718"/>
      <c r="MZL313" s="1718"/>
      <c r="MZM313" s="1718"/>
      <c r="MZN313" s="246"/>
      <c r="MZO313" s="246" t="str">
        <f>BS!$D$5</f>
        <v>31 March 2026</v>
      </c>
      <c r="MZP313" s="247" t="str">
        <f>BS!$E$5</f>
        <v>31 March 2025</v>
      </c>
      <c r="MZQ313" s="1717"/>
      <c r="MZR313" s="1718"/>
      <c r="MZS313" s="1718"/>
      <c r="MZT313" s="1718"/>
      <c r="MZU313" s="1718"/>
      <c r="MZV313" s="246"/>
      <c r="MZW313" s="246" t="str">
        <f>BS!$D$5</f>
        <v>31 March 2026</v>
      </c>
      <c r="MZX313" s="247" t="str">
        <f>BS!$E$5</f>
        <v>31 March 2025</v>
      </c>
      <c r="MZY313" s="1717"/>
      <c r="MZZ313" s="1718"/>
      <c r="NAA313" s="1718"/>
      <c r="NAB313" s="1718"/>
      <c r="NAC313" s="1718"/>
      <c r="NAD313" s="246"/>
      <c r="NAE313" s="246" t="str">
        <f>BS!$D$5</f>
        <v>31 March 2026</v>
      </c>
      <c r="NAF313" s="247" t="str">
        <f>BS!$E$5</f>
        <v>31 March 2025</v>
      </c>
      <c r="NAG313" s="1717"/>
      <c r="NAH313" s="1718"/>
      <c r="NAI313" s="1718"/>
      <c r="NAJ313" s="1718"/>
      <c r="NAK313" s="1718"/>
      <c r="NAL313" s="246"/>
      <c r="NAM313" s="246" t="str">
        <f>BS!$D$5</f>
        <v>31 March 2026</v>
      </c>
      <c r="NAN313" s="247" t="str">
        <f>BS!$E$5</f>
        <v>31 March 2025</v>
      </c>
      <c r="NAO313" s="1717"/>
      <c r="NAP313" s="1718"/>
      <c r="NAQ313" s="1718"/>
      <c r="NAR313" s="1718"/>
      <c r="NAS313" s="1718"/>
      <c r="NAT313" s="246"/>
      <c r="NAU313" s="246" t="str">
        <f>BS!$D$5</f>
        <v>31 March 2026</v>
      </c>
      <c r="NAV313" s="247" t="str">
        <f>BS!$E$5</f>
        <v>31 March 2025</v>
      </c>
      <c r="NAW313" s="1717"/>
      <c r="NAX313" s="1718"/>
      <c r="NAY313" s="1718"/>
      <c r="NAZ313" s="1718"/>
      <c r="NBA313" s="1718"/>
      <c r="NBB313" s="246"/>
      <c r="NBC313" s="246" t="str">
        <f>BS!$D$5</f>
        <v>31 March 2026</v>
      </c>
      <c r="NBD313" s="247" t="str">
        <f>BS!$E$5</f>
        <v>31 March 2025</v>
      </c>
      <c r="NBE313" s="1717"/>
      <c r="NBF313" s="1718"/>
      <c r="NBG313" s="1718"/>
      <c r="NBH313" s="1718"/>
      <c r="NBI313" s="1718"/>
      <c r="NBJ313" s="246"/>
      <c r="NBK313" s="246" t="str">
        <f>BS!$D$5</f>
        <v>31 March 2026</v>
      </c>
      <c r="NBL313" s="247" t="str">
        <f>BS!$E$5</f>
        <v>31 March 2025</v>
      </c>
      <c r="NBM313" s="1717"/>
      <c r="NBN313" s="1718"/>
      <c r="NBO313" s="1718"/>
      <c r="NBP313" s="1718"/>
      <c r="NBQ313" s="1718"/>
      <c r="NBR313" s="246"/>
      <c r="NBS313" s="246" t="str">
        <f>BS!$D$5</f>
        <v>31 March 2026</v>
      </c>
      <c r="NBT313" s="247" t="str">
        <f>BS!$E$5</f>
        <v>31 March 2025</v>
      </c>
      <c r="NBU313" s="1717"/>
      <c r="NBV313" s="1718"/>
      <c r="NBW313" s="1718"/>
      <c r="NBX313" s="1718"/>
      <c r="NBY313" s="1718"/>
      <c r="NBZ313" s="246"/>
      <c r="NCA313" s="246" t="str">
        <f>BS!$D$5</f>
        <v>31 March 2026</v>
      </c>
      <c r="NCB313" s="247" t="str">
        <f>BS!$E$5</f>
        <v>31 March 2025</v>
      </c>
      <c r="NCC313" s="1717"/>
      <c r="NCD313" s="1718"/>
      <c r="NCE313" s="1718"/>
      <c r="NCF313" s="1718"/>
      <c r="NCG313" s="1718"/>
      <c r="NCH313" s="246"/>
      <c r="NCI313" s="246" t="str">
        <f>BS!$D$5</f>
        <v>31 March 2026</v>
      </c>
      <c r="NCJ313" s="247" t="str">
        <f>BS!$E$5</f>
        <v>31 March 2025</v>
      </c>
      <c r="NCK313" s="1717"/>
      <c r="NCL313" s="1718"/>
      <c r="NCM313" s="1718"/>
      <c r="NCN313" s="1718"/>
      <c r="NCO313" s="1718"/>
      <c r="NCP313" s="246"/>
      <c r="NCQ313" s="246" t="str">
        <f>BS!$D$5</f>
        <v>31 March 2026</v>
      </c>
      <c r="NCR313" s="247" t="str">
        <f>BS!$E$5</f>
        <v>31 March 2025</v>
      </c>
      <c r="NCS313" s="1717"/>
      <c r="NCT313" s="1718"/>
      <c r="NCU313" s="1718"/>
      <c r="NCV313" s="1718"/>
      <c r="NCW313" s="1718"/>
      <c r="NCX313" s="246"/>
      <c r="NCY313" s="246" t="str">
        <f>BS!$D$5</f>
        <v>31 March 2026</v>
      </c>
      <c r="NCZ313" s="247" t="str">
        <f>BS!$E$5</f>
        <v>31 March 2025</v>
      </c>
      <c r="NDA313" s="1717"/>
      <c r="NDB313" s="1718"/>
      <c r="NDC313" s="1718"/>
      <c r="NDD313" s="1718"/>
      <c r="NDE313" s="1718"/>
      <c r="NDF313" s="246"/>
      <c r="NDG313" s="246" t="str">
        <f>BS!$D$5</f>
        <v>31 March 2026</v>
      </c>
      <c r="NDH313" s="247" t="str">
        <f>BS!$E$5</f>
        <v>31 March 2025</v>
      </c>
      <c r="NDI313" s="1717"/>
      <c r="NDJ313" s="1718"/>
      <c r="NDK313" s="1718"/>
      <c r="NDL313" s="1718"/>
      <c r="NDM313" s="1718"/>
      <c r="NDN313" s="246"/>
      <c r="NDO313" s="246" t="str">
        <f>BS!$D$5</f>
        <v>31 March 2026</v>
      </c>
      <c r="NDP313" s="247" t="str">
        <f>BS!$E$5</f>
        <v>31 March 2025</v>
      </c>
      <c r="NDQ313" s="1717"/>
      <c r="NDR313" s="1718"/>
      <c r="NDS313" s="1718"/>
      <c r="NDT313" s="1718"/>
      <c r="NDU313" s="1718"/>
      <c r="NDV313" s="246"/>
      <c r="NDW313" s="246" t="str">
        <f>BS!$D$5</f>
        <v>31 March 2026</v>
      </c>
      <c r="NDX313" s="247" t="str">
        <f>BS!$E$5</f>
        <v>31 March 2025</v>
      </c>
      <c r="NDY313" s="1717"/>
      <c r="NDZ313" s="1718"/>
      <c r="NEA313" s="1718"/>
      <c r="NEB313" s="1718"/>
      <c r="NEC313" s="1718"/>
      <c r="NED313" s="246"/>
      <c r="NEE313" s="246" t="str">
        <f>BS!$D$5</f>
        <v>31 March 2026</v>
      </c>
      <c r="NEF313" s="247" t="str">
        <f>BS!$E$5</f>
        <v>31 March 2025</v>
      </c>
      <c r="NEG313" s="1717"/>
      <c r="NEH313" s="1718"/>
      <c r="NEI313" s="1718"/>
      <c r="NEJ313" s="1718"/>
      <c r="NEK313" s="1718"/>
      <c r="NEL313" s="246"/>
      <c r="NEM313" s="246" t="str">
        <f>BS!$D$5</f>
        <v>31 March 2026</v>
      </c>
      <c r="NEN313" s="247" t="str">
        <f>BS!$E$5</f>
        <v>31 March 2025</v>
      </c>
      <c r="NEO313" s="1717"/>
      <c r="NEP313" s="1718"/>
      <c r="NEQ313" s="1718"/>
      <c r="NER313" s="1718"/>
      <c r="NES313" s="1718"/>
      <c r="NET313" s="246"/>
      <c r="NEU313" s="246" t="str">
        <f>BS!$D$5</f>
        <v>31 March 2026</v>
      </c>
      <c r="NEV313" s="247" t="str">
        <f>BS!$E$5</f>
        <v>31 March 2025</v>
      </c>
      <c r="NEW313" s="1717"/>
      <c r="NEX313" s="1718"/>
      <c r="NEY313" s="1718"/>
      <c r="NEZ313" s="1718"/>
      <c r="NFA313" s="1718"/>
      <c r="NFB313" s="246"/>
      <c r="NFC313" s="246" t="str">
        <f>BS!$D$5</f>
        <v>31 March 2026</v>
      </c>
      <c r="NFD313" s="247" t="str">
        <f>BS!$E$5</f>
        <v>31 March 2025</v>
      </c>
      <c r="NFE313" s="1717"/>
      <c r="NFF313" s="1718"/>
      <c r="NFG313" s="1718"/>
      <c r="NFH313" s="1718"/>
      <c r="NFI313" s="1718"/>
      <c r="NFJ313" s="246"/>
      <c r="NFK313" s="246" t="str">
        <f>BS!$D$5</f>
        <v>31 March 2026</v>
      </c>
      <c r="NFL313" s="247" t="str">
        <f>BS!$E$5</f>
        <v>31 March 2025</v>
      </c>
      <c r="NFM313" s="1717"/>
      <c r="NFN313" s="1718"/>
      <c r="NFO313" s="1718"/>
      <c r="NFP313" s="1718"/>
      <c r="NFQ313" s="1718"/>
      <c r="NFR313" s="246"/>
      <c r="NFS313" s="246" t="str">
        <f>BS!$D$5</f>
        <v>31 March 2026</v>
      </c>
      <c r="NFT313" s="247" t="str">
        <f>BS!$E$5</f>
        <v>31 March 2025</v>
      </c>
      <c r="NFU313" s="1717"/>
      <c r="NFV313" s="1718"/>
      <c r="NFW313" s="1718"/>
      <c r="NFX313" s="1718"/>
      <c r="NFY313" s="1718"/>
      <c r="NFZ313" s="246"/>
      <c r="NGA313" s="246" t="str">
        <f>BS!$D$5</f>
        <v>31 March 2026</v>
      </c>
      <c r="NGB313" s="247" t="str">
        <f>BS!$E$5</f>
        <v>31 March 2025</v>
      </c>
      <c r="NGC313" s="1717"/>
      <c r="NGD313" s="1718"/>
      <c r="NGE313" s="1718"/>
      <c r="NGF313" s="1718"/>
      <c r="NGG313" s="1718"/>
      <c r="NGH313" s="246"/>
      <c r="NGI313" s="246" t="str">
        <f>BS!$D$5</f>
        <v>31 March 2026</v>
      </c>
      <c r="NGJ313" s="247" t="str">
        <f>BS!$E$5</f>
        <v>31 March 2025</v>
      </c>
      <c r="NGK313" s="1717"/>
      <c r="NGL313" s="1718"/>
      <c r="NGM313" s="1718"/>
      <c r="NGN313" s="1718"/>
      <c r="NGO313" s="1718"/>
      <c r="NGP313" s="246"/>
      <c r="NGQ313" s="246" t="str">
        <f>BS!$D$5</f>
        <v>31 March 2026</v>
      </c>
      <c r="NGR313" s="247" t="str">
        <f>BS!$E$5</f>
        <v>31 March 2025</v>
      </c>
      <c r="NGS313" s="1717"/>
      <c r="NGT313" s="1718"/>
      <c r="NGU313" s="1718"/>
      <c r="NGV313" s="1718"/>
      <c r="NGW313" s="1718"/>
      <c r="NGX313" s="246"/>
      <c r="NGY313" s="246" t="str">
        <f>BS!$D$5</f>
        <v>31 March 2026</v>
      </c>
      <c r="NGZ313" s="247" t="str">
        <f>BS!$E$5</f>
        <v>31 March 2025</v>
      </c>
      <c r="NHA313" s="1717"/>
      <c r="NHB313" s="1718"/>
      <c r="NHC313" s="1718"/>
      <c r="NHD313" s="1718"/>
      <c r="NHE313" s="1718"/>
      <c r="NHF313" s="246"/>
      <c r="NHG313" s="246" t="str">
        <f>BS!$D$5</f>
        <v>31 March 2026</v>
      </c>
      <c r="NHH313" s="247" t="str">
        <f>BS!$E$5</f>
        <v>31 March 2025</v>
      </c>
      <c r="NHI313" s="1717"/>
      <c r="NHJ313" s="1718"/>
      <c r="NHK313" s="1718"/>
      <c r="NHL313" s="1718"/>
      <c r="NHM313" s="1718"/>
      <c r="NHN313" s="246"/>
      <c r="NHO313" s="246" t="str">
        <f>BS!$D$5</f>
        <v>31 March 2026</v>
      </c>
      <c r="NHP313" s="247" t="str">
        <f>BS!$E$5</f>
        <v>31 March 2025</v>
      </c>
      <c r="NHQ313" s="1717"/>
      <c r="NHR313" s="1718"/>
      <c r="NHS313" s="1718"/>
      <c r="NHT313" s="1718"/>
      <c r="NHU313" s="1718"/>
      <c r="NHV313" s="246"/>
      <c r="NHW313" s="246" t="str">
        <f>BS!$D$5</f>
        <v>31 March 2026</v>
      </c>
      <c r="NHX313" s="247" t="str">
        <f>BS!$E$5</f>
        <v>31 March 2025</v>
      </c>
      <c r="NHY313" s="1717"/>
      <c r="NHZ313" s="1718"/>
      <c r="NIA313" s="1718"/>
      <c r="NIB313" s="1718"/>
      <c r="NIC313" s="1718"/>
      <c r="NID313" s="246"/>
      <c r="NIE313" s="246" t="str">
        <f>BS!$D$5</f>
        <v>31 March 2026</v>
      </c>
      <c r="NIF313" s="247" t="str">
        <f>BS!$E$5</f>
        <v>31 March 2025</v>
      </c>
      <c r="NIG313" s="1717"/>
      <c r="NIH313" s="1718"/>
      <c r="NII313" s="1718"/>
      <c r="NIJ313" s="1718"/>
      <c r="NIK313" s="1718"/>
      <c r="NIL313" s="246"/>
      <c r="NIM313" s="246" t="str">
        <f>BS!$D$5</f>
        <v>31 March 2026</v>
      </c>
      <c r="NIN313" s="247" t="str">
        <f>BS!$E$5</f>
        <v>31 March 2025</v>
      </c>
      <c r="NIO313" s="1717"/>
      <c r="NIP313" s="1718"/>
      <c r="NIQ313" s="1718"/>
      <c r="NIR313" s="1718"/>
      <c r="NIS313" s="1718"/>
      <c r="NIT313" s="246"/>
      <c r="NIU313" s="246" t="str">
        <f>BS!$D$5</f>
        <v>31 March 2026</v>
      </c>
      <c r="NIV313" s="247" t="str">
        <f>BS!$E$5</f>
        <v>31 March 2025</v>
      </c>
      <c r="NIW313" s="1717"/>
      <c r="NIX313" s="1718"/>
      <c r="NIY313" s="1718"/>
      <c r="NIZ313" s="1718"/>
      <c r="NJA313" s="1718"/>
      <c r="NJB313" s="246"/>
      <c r="NJC313" s="246" t="str">
        <f>BS!$D$5</f>
        <v>31 March 2026</v>
      </c>
      <c r="NJD313" s="247" t="str">
        <f>BS!$E$5</f>
        <v>31 March 2025</v>
      </c>
      <c r="NJE313" s="1717"/>
      <c r="NJF313" s="1718"/>
      <c r="NJG313" s="1718"/>
      <c r="NJH313" s="1718"/>
      <c r="NJI313" s="1718"/>
      <c r="NJJ313" s="246"/>
      <c r="NJK313" s="246" t="str">
        <f>BS!$D$5</f>
        <v>31 March 2026</v>
      </c>
      <c r="NJL313" s="247" t="str">
        <f>BS!$E$5</f>
        <v>31 March 2025</v>
      </c>
      <c r="NJM313" s="1717"/>
      <c r="NJN313" s="1718"/>
      <c r="NJO313" s="1718"/>
      <c r="NJP313" s="1718"/>
      <c r="NJQ313" s="1718"/>
      <c r="NJR313" s="246"/>
      <c r="NJS313" s="246" t="str">
        <f>BS!$D$5</f>
        <v>31 March 2026</v>
      </c>
      <c r="NJT313" s="247" t="str">
        <f>BS!$E$5</f>
        <v>31 March 2025</v>
      </c>
      <c r="NJU313" s="1717"/>
      <c r="NJV313" s="1718"/>
      <c r="NJW313" s="1718"/>
      <c r="NJX313" s="1718"/>
      <c r="NJY313" s="1718"/>
      <c r="NJZ313" s="246"/>
      <c r="NKA313" s="246" t="str">
        <f>BS!$D$5</f>
        <v>31 March 2026</v>
      </c>
      <c r="NKB313" s="247" t="str">
        <f>BS!$E$5</f>
        <v>31 March 2025</v>
      </c>
      <c r="NKC313" s="1717"/>
      <c r="NKD313" s="1718"/>
      <c r="NKE313" s="1718"/>
      <c r="NKF313" s="1718"/>
      <c r="NKG313" s="1718"/>
      <c r="NKH313" s="246"/>
      <c r="NKI313" s="246" t="str">
        <f>BS!$D$5</f>
        <v>31 March 2026</v>
      </c>
      <c r="NKJ313" s="247" t="str">
        <f>BS!$E$5</f>
        <v>31 March 2025</v>
      </c>
      <c r="NKK313" s="1717"/>
      <c r="NKL313" s="1718"/>
      <c r="NKM313" s="1718"/>
      <c r="NKN313" s="1718"/>
      <c r="NKO313" s="1718"/>
      <c r="NKP313" s="246"/>
      <c r="NKQ313" s="246" t="str">
        <f>BS!$D$5</f>
        <v>31 March 2026</v>
      </c>
      <c r="NKR313" s="247" t="str">
        <f>BS!$E$5</f>
        <v>31 March 2025</v>
      </c>
      <c r="NKS313" s="1717"/>
      <c r="NKT313" s="1718"/>
      <c r="NKU313" s="1718"/>
      <c r="NKV313" s="1718"/>
      <c r="NKW313" s="1718"/>
      <c r="NKX313" s="246"/>
      <c r="NKY313" s="246" t="str">
        <f>BS!$D$5</f>
        <v>31 March 2026</v>
      </c>
      <c r="NKZ313" s="247" t="str">
        <f>BS!$E$5</f>
        <v>31 March 2025</v>
      </c>
      <c r="NLA313" s="1717"/>
      <c r="NLB313" s="1718"/>
      <c r="NLC313" s="1718"/>
      <c r="NLD313" s="1718"/>
      <c r="NLE313" s="1718"/>
      <c r="NLF313" s="246"/>
      <c r="NLG313" s="246" t="str">
        <f>BS!$D$5</f>
        <v>31 March 2026</v>
      </c>
      <c r="NLH313" s="247" t="str">
        <f>BS!$E$5</f>
        <v>31 March 2025</v>
      </c>
      <c r="NLI313" s="1717"/>
      <c r="NLJ313" s="1718"/>
      <c r="NLK313" s="1718"/>
      <c r="NLL313" s="1718"/>
      <c r="NLM313" s="1718"/>
      <c r="NLN313" s="246"/>
      <c r="NLO313" s="246" t="str">
        <f>BS!$D$5</f>
        <v>31 March 2026</v>
      </c>
      <c r="NLP313" s="247" t="str">
        <f>BS!$E$5</f>
        <v>31 March 2025</v>
      </c>
      <c r="NLQ313" s="1717"/>
      <c r="NLR313" s="1718"/>
      <c r="NLS313" s="1718"/>
      <c r="NLT313" s="1718"/>
      <c r="NLU313" s="1718"/>
      <c r="NLV313" s="246"/>
      <c r="NLW313" s="246" t="str">
        <f>BS!$D$5</f>
        <v>31 March 2026</v>
      </c>
      <c r="NLX313" s="247" t="str">
        <f>BS!$E$5</f>
        <v>31 March 2025</v>
      </c>
      <c r="NLY313" s="1717"/>
      <c r="NLZ313" s="1718"/>
      <c r="NMA313" s="1718"/>
      <c r="NMB313" s="1718"/>
      <c r="NMC313" s="1718"/>
      <c r="NMD313" s="246"/>
      <c r="NME313" s="246" t="str">
        <f>BS!$D$5</f>
        <v>31 March 2026</v>
      </c>
      <c r="NMF313" s="247" t="str">
        <f>BS!$E$5</f>
        <v>31 March 2025</v>
      </c>
      <c r="NMG313" s="1717"/>
      <c r="NMH313" s="1718"/>
      <c r="NMI313" s="1718"/>
      <c r="NMJ313" s="1718"/>
      <c r="NMK313" s="1718"/>
      <c r="NML313" s="246"/>
      <c r="NMM313" s="246" t="str">
        <f>BS!$D$5</f>
        <v>31 March 2026</v>
      </c>
      <c r="NMN313" s="247" t="str">
        <f>BS!$E$5</f>
        <v>31 March 2025</v>
      </c>
      <c r="NMO313" s="1717"/>
      <c r="NMP313" s="1718"/>
      <c r="NMQ313" s="1718"/>
      <c r="NMR313" s="1718"/>
      <c r="NMS313" s="1718"/>
      <c r="NMT313" s="246"/>
      <c r="NMU313" s="246" t="str">
        <f>BS!$D$5</f>
        <v>31 March 2026</v>
      </c>
      <c r="NMV313" s="247" t="str">
        <f>BS!$E$5</f>
        <v>31 March 2025</v>
      </c>
      <c r="NMW313" s="1717"/>
      <c r="NMX313" s="1718"/>
      <c r="NMY313" s="1718"/>
      <c r="NMZ313" s="1718"/>
      <c r="NNA313" s="1718"/>
      <c r="NNB313" s="246"/>
      <c r="NNC313" s="246" t="str">
        <f>BS!$D$5</f>
        <v>31 March 2026</v>
      </c>
      <c r="NND313" s="247" t="str">
        <f>BS!$E$5</f>
        <v>31 March 2025</v>
      </c>
      <c r="NNE313" s="1717"/>
      <c r="NNF313" s="1718"/>
      <c r="NNG313" s="1718"/>
      <c r="NNH313" s="1718"/>
      <c r="NNI313" s="1718"/>
      <c r="NNJ313" s="246"/>
      <c r="NNK313" s="246" t="str">
        <f>BS!$D$5</f>
        <v>31 March 2026</v>
      </c>
      <c r="NNL313" s="247" t="str">
        <f>BS!$E$5</f>
        <v>31 March 2025</v>
      </c>
      <c r="NNM313" s="1717"/>
      <c r="NNN313" s="1718"/>
      <c r="NNO313" s="1718"/>
      <c r="NNP313" s="1718"/>
      <c r="NNQ313" s="1718"/>
      <c r="NNR313" s="246"/>
      <c r="NNS313" s="246" t="str">
        <f>BS!$D$5</f>
        <v>31 March 2026</v>
      </c>
      <c r="NNT313" s="247" t="str">
        <f>BS!$E$5</f>
        <v>31 March 2025</v>
      </c>
      <c r="NNU313" s="1717"/>
      <c r="NNV313" s="1718"/>
      <c r="NNW313" s="1718"/>
      <c r="NNX313" s="1718"/>
      <c r="NNY313" s="1718"/>
      <c r="NNZ313" s="246"/>
      <c r="NOA313" s="246" t="str">
        <f>BS!$D$5</f>
        <v>31 March 2026</v>
      </c>
      <c r="NOB313" s="247" t="str">
        <f>BS!$E$5</f>
        <v>31 March 2025</v>
      </c>
      <c r="NOC313" s="1717"/>
      <c r="NOD313" s="1718"/>
      <c r="NOE313" s="1718"/>
      <c r="NOF313" s="1718"/>
      <c r="NOG313" s="1718"/>
      <c r="NOH313" s="246"/>
      <c r="NOI313" s="246" t="str">
        <f>BS!$D$5</f>
        <v>31 March 2026</v>
      </c>
      <c r="NOJ313" s="247" t="str">
        <f>BS!$E$5</f>
        <v>31 March 2025</v>
      </c>
      <c r="NOK313" s="1717"/>
      <c r="NOL313" s="1718"/>
      <c r="NOM313" s="1718"/>
      <c r="NON313" s="1718"/>
      <c r="NOO313" s="1718"/>
      <c r="NOP313" s="246"/>
      <c r="NOQ313" s="246" t="str">
        <f>BS!$D$5</f>
        <v>31 March 2026</v>
      </c>
      <c r="NOR313" s="247" t="str">
        <f>BS!$E$5</f>
        <v>31 March 2025</v>
      </c>
      <c r="NOS313" s="1717"/>
      <c r="NOT313" s="1718"/>
      <c r="NOU313" s="1718"/>
      <c r="NOV313" s="1718"/>
      <c r="NOW313" s="1718"/>
      <c r="NOX313" s="246"/>
      <c r="NOY313" s="246" t="str">
        <f>BS!$D$5</f>
        <v>31 March 2026</v>
      </c>
      <c r="NOZ313" s="247" t="str">
        <f>BS!$E$5</f>
        <v>31 March 2025</v>
      </c>
      <c r="NPA313" s="1717"/>
      <c r="NPB313" s="1718"/>
      <c r="NPC313" s="1718"/>
      <c r="NPD313" s="1718"/>
      <c r="NPE313" s="1718"/>
      <c r="NPF313" s="246"/>
      <c r="NPG313" s="246" t="str">
        <f>BS!$D$5</f>
        <v>31 March 2026</v>
      </c>
      <c r="NPH313" s="247" t="str">
        <f>BS!$E$5</f>
        <v>31 March 2025</v>
      </c>
      <c r="NPI313" s="1717"/>
      <c r="NPJ313" s="1718"/>
      <c r="NPK313" s="1718"/>
      <c r="NPL313" s="1718"/>
      <c r="NPM313" s="1718"/>
      <c r="NPN313" s="246"/>
      <c r="NPO313" s="246" t="str">
        <f>BS!$D$5</f>
        <v>31 March 2026</v>
      </c>
      <c r="NPP313" s="247" t="str">
        <f>BS!$E$5</f>
        <v>31 March 2025</v>
      </c>
      <c r="NPQ313" s="1717"/>
      <c r="NPR313" s="1718"/>
      <c r="NPS313" s="1718"/>
      <c r="NPT313" s="1718"/>
      <c r="NPU313" s="1718"/>
      <c r="NPV313" s="246"/>
      <c r="NPW313" s="246" t="str">
        <f>BS!$D$5</f>
        <v>31 March 2026</v>
      </c>
      <c r="NPX313" s="247" t="str">
        <f>BS!$E$5</f>
        <v>31 March 2025</v>
      </c>
      <c r="NPY313" s="1717"/>
      <c r="NPZ313" s="1718"/>
      <c r="NQA313" s="1718"/>
      <c r="NQB313" s="1718"/>
      <c r="NQC313" s="1718"/>
      <c r="NQD313" s="246"/>
      <c r="NQE313" s="246" t="str">
        <f>BS!$D$5</f>
        <v>31 March 2026</v>
      </c>
      <c r="NQF313" s="247" t="str">
        <f>BS!$E$5</f>
        <v>31 March 2025</v>
      </c>
      <c r="NQG313" s="1717"/>
      <c r="NQH313" s="1718"/>
      <c r="NQI313" s="1718"/>
      <c r="NQJ313" s="1718"/>
      <c r="NQK313" s="1718"/>
      <c r="NQL313" s="246"/>
      <c r="NQM313" s="246" t="str">
        <f>BS!$D$5</f>
        <v>31 March 2026</v>
      </c>
      <c r="NQN313" s="247" t="str">
        <f>BS!$E$5</f>
        <v>31 March 2025</v>
      </c>
      <c r="NQO313" s="1717"/>
      <c r="NQP313" s="1718"/>
      <c r="NQQ313" s="1718"/>
      <c r="NQR313" s="1718"/>
      <c r="NQS313" s="1718"/>
      <c r="NQT313" s="246"/>
      <c r="NQU313" s="246" t="str">
        <f>BS!$D$5</f>
        <v>31 March 2026</v>
      </c>
      <c r="NQV313" s="247" t="str">
        <f>BS!$E$5</f>
        <v>31 March 2025</v>
      </c>
      <c r="NQW313" s="1717"/>
      <c r="NQX313" s="1718"/>
      <c r="NQY313" s="1718"/>
      <c r="NQZ313" s="1718"/>
      <c r="NRA313" s="1718"/>
      <c r="NRB313" s="246"/>
      <c r="NRC313" s="246" t="str">
        <f>BS!$D$5</f>
        <v>31 March 2026</v>
      </c>
      <c r="NRD313" s="247" t="str">
        <f>BS!$E$5</f>
        <v>31 March 2025</v>
      </c>
      <c r="NRE313" s="1717"/>
      <c r="NRF313" s="1718"/>
      <c r="NRG313" s="1718"/>
      <c r="NRH313" s="1718"/>
      <c r="NRI313" s="1718"/>
      <c r="NRJ313" s="246"/>
      <c r="NRK313" s="246" t="str">
        <f>BS!$D$5</f>
        <v>31 March 2026</v>
      </c>
      <c r="NRL313" s="247" t="str">
        <f>BS!$E$5</f>
        <v>31 March 2025</v>
      </c>
      <c r="NRM313" s="1717"/>
      <c r="NRN313" s="1718"/>
      <c r="NRO313" s="1718"/>
      <c r="NRP313" s="1718"/>
      <c r="NRQ313" s="1718"/>
      <c r="NRR313" s="246"/>
      <c r="NRS313" s="246" t="str">
        <f>BS!$D$5</f>
        <v>31 March 2026</v>
      </c>
      <c r="NRT313" s="247" t="str">
        <f>BS!$E$5</f>
        <v>31 March 2025</v>
      </c>
      <c r="NRU313" s="1717"/>
      <c r="NRV313" s="1718"/>
      <c r="NRW313" s="1718"/>
      <c r="NRX313" s="1718"/>
      <c r="NRY313" s="1718"/>
      <c r="NRZ313" s="246"/>
      <c r="NSA313" s="246" t="str">
        <f>BS!$D$5</f>
        <v>31 March 2026</v>
      </c>
      <c r="NSB313" s="247" t="str">
        <f>BS!$E$5</f>
        <v>31 March 2025</v>
      </c>
      <c r="NSC313" s="1717"/>
      <c r="NSD313" s="1718"/>
      <c r="NSE313" s="1718"/>
      <c r="NSF313" s="1718"/>
      <c r="NSG313" s="1718"/>
      <c r="NSH313" s="246"/>
      <c r="NSI313" s="246" t="str">
        <f>BS!$D$5</f>
        <v>31 March 2026</v>
      </c>
      <c r="NSJ313" s="247" t="str">
        <f>BS!$E$5</f>
        <v>31 March 2025</v>
      </c>
      <c r="NSK313" s="1717"/>
      <c r="NSL313" s="1718"/>
      <c r="NSM313" s="1718"/>
      <c r="NSN313" s="1718"/>
      <c r="NSO313" s="1718"/>
      <c r="NSP313" s="246"/>
      <c r="NSQ313" s="246" t="str">
        <f>BS!$D$5</f>
        <v>31 March 2026</v>
      </c>
      <c r="NSR313" s="247" t="str">
        <f>BS!$E$5</f>
        <v>31 March 2025</v>
      </c>
      <c r="NSS313" s="1717"/>
      <c r="NST313" s="1718"/>
      <c r="NSU313" s="1718"/>
      <c r="NSV313" s="1718"/>
      <c r="NSW313" s="1718"/>
      <c r="NSX313" s="246"/>
      <c r="NSY313" s="246" t="str">
        <f>BS!$D$5</f>
        <v>31 March 2026</v>
      </c>
      <c r="NSZ313" s="247" t="str">
        <f>BS!$E$5</f>
        <v>31 March 2025</v>
      </c>
      <c r="NTA313" s="1717"/>
      <c r="NTB313" s="1718"/>
      <c r="NTC313" s="1718"/>
      <c r="NTD313" s="1718"/>
      <c r="NTE313" s="1718"/>
      <c r="NTF313" s="246"/>
      <c r="NTG313" s="246" t="str">
        <f>BS!$D$5</f>
        <v>31 March 2026</v>
      </c>
      <c r="NTH313" s="247" t="str">
        <f>BS!$E$5</f>
        <v>31 March 2025</v>
      </c>
      <c r="NTI313" s="1717"/>
      <c r="NTJ313" s="1718"/>
      <c r="NTK313" s="1718"/>
      <c r="NTL313" s="1718"/>
      <c r="NTM313" s="1718"/>
      <c r="NTN313" s="246"/>
      <c r="NTO313" s="246" t="str">
        <f>BS!$D$5</f>
        <v>31 March 2026</v>
      </c>
      <c r="NTP313" s="247" t="str">
        <f>BS!$E$5</f>
        <v>31 March 2025</v>
      </c>
      <c r="NTQ313" s="1717"/>
      <c r="NTR313" s="1718"/>
      <c r="NTS313" s="1718"/>
      <c r="NTT313" s="1718"/>
      <c r="NTU313" s="1718"/>
      <c r="NTV313" s="246"/>
      <c r="NTW313" s="246" t="str">
        <f>BS!$D$5</f>
        <v>31 March 2026</v>
      </c>
      <c r="NTX313" s="247" t="str">
        <f>BS!$E$5</f>
        <v>31 March 2025</v>
      </c>
      <c r="NTY313" s="1717"/>
      <c r="NTZ313" s="1718"/>
      <c r="NUA313" s="1718"/>
      <c r="NUB313" s="1718"/>
      <c r="NUC313" s="1718"/>
      <c r="NUD313" s="246"/>
      <c r="NUE313" s="246" t="str">
        <f>BS!$D$5</f>
        <v>31 March 2026</v>
      </c>
      <c r="NUF313" s="247" t="str">
        <f>BS!$E$5</f>
        <v>31 March 2025</v>
      </c>
      <c r="NUG313" s="1717"/>
      <c r="NUH313" s="1718"/>
      <c r="NUI313" s="1718"/>
      <c r="NUJ313" s="1718"/>
      <c r="NUK313" s="1718"/>
      <c r="NUL313" s="246"/>
      <c r="NUM313" s="246" t="str">
        <f>BS!$D$5</f>
        <v>31 March 2026</v>
      </c>
      <c r="NUN313" s="247" t="str">
        <f>BS!$E$5</f>
        <v>31 March 2025</v>
      </c>
      <c r="NUO313" s="1717"/>
      <c r="NUP313" s="1718"/>
      <c r="NUQ313" s="1718"/>
      <c r="NUR313" s="1718"/>
      <c r="NUS313" s="1718"/>
      <c r="NUT313" s="246"/>
      <c r="NUU313" s="246" t="str">
        <f>BS!$D$5</f>
        <v>31 March 2026</v>
      </c>
      <c r="NUV313" s="247" t="str">
        <f>BS!$E$5</f>
        <v>31 March 2025</v>
      </c>
      <c r="NUW313" s="1717"/>
      <c r="NUX313" s="1718"/>
      <c r="NUY313" s="1718"/>
      <c r="NUZ313" s="1718"/>
      <c r="NVA313" s="1718"/>
      <c r="NVB313" s="246"/>
      <c r="NVC313" s="246" t="str">
        <f>BS!$D$5</f>
        <v>31 March 2026</v>
      </c>
      <c r="NVD313" s="247" t="str">
        <f>BS!$E$5</f>
        <v>31 March 2025</v>
      </c>
      <c r="NVE313" s="1717"/>
      <c r="NVF313" s="1718"/>
      <c r="NVG313" s="1718"/>
      <c r="NVH313" s="1718"/>
      <c r="NVI313" s="1718"/>
      <c r="NVJ313" s="246"/>
      <c r="NVK313" s="246" t="str">
        <f>BS!$D$5</f>
        <v>31 March 2026</v>
      </c>
      <c r="NVL313" s="247" t="str">
        <f>BS!$E$5</f>
        <v>31 March 2025</v>
      </c>
      <c r="NVM313" s="1717"/>
      <c r="NVN313" s="1718"/>
      <c r="NVO313" s="1718"/>
      <c r="NVP313" s="1718"/>
      <c r="NVQ313" s="1718"/>
      <c r="NVR313" s="246"/>
      <c r="NVS313" s="246" t="str">
        <f>BS!$D$5</f>
        <v>31 March 2026</v>
      </c>
      <c r="NVT313" s="247" t="str">
        <f>BS!$E$5</f>
        <v>31 March 2025</v>
      </c>
      <c r="NVU313" s="1717"/>
      <c r="NVV313" s="1718"/>
      <c r="NVW313" s="1718"/>
      <c r="NVX313" s="1718"/>
      <c r="NVY313" s="1718"/>
      <c r="NVZ313" s="246"/>
      <c r="NWA313" s="246" t="str">
        <f>BS!$D$5</f>
        <v>31 March 2026</v>
      </c>
      <c r="NWB313" s="247" t="str">
        <f>BS!$E$5</f>
        <v>31 March 2025</v>
      </c>
      <c r="NWC313" s="1717"/>
      <c r="NWD313" s="1718"/>
      <c r="NWE313" s="1718"/>
      <c r="NWF313" s="1718"/>
      <c r="NWG313" s="1718"/>
      <c r="NWH313" s="246"/>
      <c r="NWI313" s="246" t="str">
        <f>BS!$D$5</f>
        <v>31 March 2026</v>
      </c>
      <c r="NWJ313" s="247" t="str">
        <f>BS!$E$5</f>
        <v>31 March 2025</v>
      </c>
      <c r="NWK313" s="1717"/>
      <c r="NWL313" s="1718"/>
      <c r="NWM313" s="1718"/>
      <c r="NWN313" s="1718"/>
      <c r="NWO313" s="1718"/>
      <c r="NWP313" s="246"/>
      <c r="NWQ313" s="246" t="str">
        <f>BS!$D$5</f>
        <v>31 March 2026</v>
      </c>
      <c r="NWR313" s="247" t="str">
        <f>BS!$E$5</f>
        <v>31 March 2025</v>
      </c>
      <c r="NWS313" s="1717"/>
      <c r="NWT313" s="1718"/>
      <c r="NWU313" s="1718"/>
      <c r="NWV313" s="1718"/>
      <c r="NWW313" s="1718"/>
      <c r="NWX313" s="246"/>
      <c r="NWY313" s="246" t="str">
        <f>BS!$D$5</f>
        <v>31 March 2026</v>
      </c>
      <c r="NWZ313" s="247" t="str">
        <f>BS!$E$5</f>
        <v>31 March 2025</v>
      </c>
      <c r="NXA313" s="1717"/>
      <c r="NXB313" s="1718"/>
      <c r="NXC313" s="1718"/>
      <c r="NXD313" s="1718"/>
      <c r="NXE313" s="1718"/>
      <c r="NXF313" s="246"/>
      <c r="NXG313" s="246" t="str">
        <f>BS!$D$5</f>
        <v>31 March 2026</v>
      </c>
      <c r="NXH313" s="247" t="str">
        <f>BS!$E$5</f>
        <v>31 March 2025</v>
      </c>
      <c r="NXI313" s="1717"/>
      <c r="NXJ313" s="1718"/>
      <c r="NXK313" s="1718"/>
      <c r="NXL313" s="1718"/>
      <c r="NXM313" s="1718"/>
      <c r="NXN313" s="246"/>
      <c r="NXO313" s="246" t="str">
        <f>BS!$D$5</f>
        <v>31 March 2026</v>
      </c>
      <c r="NXP313" s="247" t="str">
        <f>BS!$E$5</f>
        <v>31 March 2025</v>
      </c>
      <c r="NXQ313" s="1717"/>
      <c r="NXR313" s="1718"/>
      <c r="NXS313" s="1718"/>
      <c r="NXT313" s="1718"/>
      <c r="NXU313" s="1718"/>
      <c r="NXV313" s="246"/>
      <c r="NXW313" s="246" t="str">
        <f>BS!$D$5</f>
        <v>31 March 2026</v>
      </c>
      <c r="NXX313" s="247" t="str">
        <f>BS!$E$5</f>
        <v>31 March 2025</v>
      </c>
      <c r="NXY313" s="1717"/>
      <c r="NXZ313" s="1718"/>
      <c r="NYA313" s="1718"/>
      <c r="NYB313" s="1718"/>
      <c r="NYC313" s="1718"/>
      <c r="NYD313" s="246"/>
      <c r="NYE313" s="246" t="str">
        <f>BS!$D$5</f>
        <v>31 March 2026</v>
      </c>
      <c r="NYF313" s="247" t="str">
        <f>BS!$E$5</f>
        <v>31 March 2025</v>
      </c>
      <c r="NYG313" s="1717"/>
      <c r="NYH313" s="1718"/>
      <c r="NYI313" s="1718"/>
      <c r="NYJ313" s="1718"/>
      <c r="NYK313" s="1718"/>
      <c r="NYL313" s="246"/>
      <c r="NYM313" s="246" t="str">
        <f>BS!$D$5</f>
        <v>31 March 2026</v>
      </c>
      <c r="NYN313" s="247" t="str">
        <f>BS!$E$5</f>
        <v>31 March 2025</v>
      </c>
      <c r="NYO313" s="1717"/>
      <c r="NYP313" s="1718"/>
      <c r="NYQ313" s="1718"/>
      <c r="NYR313" s="1718"/>
      <c r="NYS313" s="1718"/>
      <c r="NYT313" s="246"/>
      <c r="NYU313" s="246" t="str">
        <f>BS!$D$5</f>
        <v>31 March 2026</v>
      </c>
      <c r="NYV313" s="247" t="str">
        <f>BS!$E$5</f>
        <v>31 March 2025</v>
      </c>
      <c r="NYW313" s="1717"/>
      <c r="NYX313" s="1718"/>
      <c r="NYY313" s="1718"/>
      <c r="NYZ313" s="1718"/>
      <c r="NZA313" s="1718"/>
      <c r="NZB313" s="246"/>
      <c r="NZC313" s="246" t="str">
        <f>BS!$D$5</f>
        <v>31 March 2026</v>
      </c>
      <c r="NZD313" s="247" t="str">
        <f>BS!$E$5</f>
        <v>31 March 2025</v>
      </c>
      <c r="NZE313" s="1717"/>
      <c r="NZF313" s="1718"/>
      <c r="NZG313" s="1718"/>
      <c r="NZH313" s="1718"/>
      <c r="NZI313" s="1718"/>
      <c r="NZJ313" s="246"/>
      <c r="NZK313" s="246" t="str">
        <f>BS!$D$5</f>
        <v>31 March 2026</v>
      </c>
      <c r="NZL313" s="247" t="str">
        <f>BS!$E$5</f>
        <v>31 March 2025</v>
      </c>
      <c r="NZM313" s="1717"/>
      <c r="NZN313" s="1718"/>
      <c r="NZO313" s="1718"/>
      <c r="NZP313" s="1718"/>
      <c r="NZQ313" s="1718"/>
      <c r="NZR313" s="246"/>
      <c r="NZS313" s="246" t="str">
        <f>BS!$D$5</f>
        <v>31 March 2026</v>
      </c>
      <c r="NZT313" s="247" t="str">
        <f>BS!$E$5</f>
        <v>31 March 2025</v>
      </c>
      <c r="NZU313" s="1717"/>
      <c r="NZV313" s="1718"/>
      <c r="NZW313" s="1718"/>
      <c r="NZX313" s="1718"/>
      <c r="NZY313" s="1718"/>
      <c r="NZZ313" s="246"/>
      <c r="OAA313" s="246" t="str">
        <f>BS!$D$5</f>
        <v>31 March 2026</v>
      </c>
      <c r="OAB313" s="247" t="str">
        <f>BS!$E$5</f>
        <v>31 March 2025</v>
      </c>
      <c r="OAC313" s="1717"/>
      <c r="OAD313" s="1718"/>
      <c r="OAE313" s="1718"/>
      <c r="OAF313" s="1718"/>
      <c r="OAG313" s="1718"/>
      <c r="OAH313" s="246"/>
      <c r="OAI313" s="246" t="str">
        <f>BS!$D$5</f>
        <v>31 March 2026</v>
      </c>
      <c r="OAJ313" s="247" t="str">
        <f>BS!$E$5</f>
        <v>31 March 2025</v>
      </c>
      <c r="OAK313" s="1717"/>
      <c r="OAL313" s="1718"/>
      <c r="OAM313" s="1718"/>
      <c r="OAN313" s="1718"/>
      <c r="OAO313" s="1718"/>
      <c r="OAP313" s="246"/>
      <c r="OAQ313" s="246" t="str">
        <f>BS!$D$5</f>
        <v>31 March 2026</v>
      </c>
      <c r="OAR313" s="247" t="str">
        <f>BS!$E$5</f>
        <v>31 March 2025</v>
      </c>
      <c r="OAS313" s="1717"/>
      <c r="OAT313" s="1718"/>
      <c r="OAU313" s="1718"/>
      <c r="OAV313" s="1718"/>
      <c r="OAW313" s="1718"/>
      <c r="OAX313" s="246"/>
      <c r="OAY313" s="246" t="str">
        <f>BS!$D$5</f>
        <v>31 March 2026</v>
      </c>
      <c r="OAZ313" s="247" t="str">
        <f>BS!$E$5</f>
        <v>31 March 2025</v>
      </c>
      <c r="OBA313" s="1717"/>
      <c r="OBB313" s="1718"/>
      <c r="OBC313" s="1718"/>
      <c r="OBD313" s="1718"/>
      <c r="OBE313" s="1718"/>
      <c r="OBF313" s="246"/>
      <c r="OBG313" s="246" t="str">
        <f>BS!$D$5</f>
        <v>31 March 2026</v>
      </c>
      <c r="OBH313" s="247" t="str">
        <f>BS!$E$5</f>
        <v>31 March 2025</v>
      </c>
      <c r="OBI313" s="1717"/>
      <c r="OBJ313" s="1718"/>
      <c r="OBK313" s="1718"/>
      <c r="OBL313" s="1718"/>
      <c r="OBM313" s="1718"/>
      <c r="OBN313" s="246"/>
      <c r="OBO313" s="246" t="str">
        <f>BS!$D$5</f>
        <v>31 March 2026</v>
      </c>
      <c r="OBP313" s="247" t="str">
        <f>BS!$E$5</f>
        <v>31 March 2025</v>
      </c>
      <c r="OBQ313" s="1717"/>
      <c r="OBR313" s="1718"/>
      <c r="OBS313" s="1718"/>
      <c r="OBT313" s="1718"/>
      <c r="OBU313" s="1718"/>
      <c r="OBV313" s="246"/>
      <c r="OBW313" s="246" t="str">
        <f>BS!$D$5</f>
        <v>31 March 2026</v>
      </c>
      <c r="OBX313" s="247" t="str">
        <f>BS!$E$5</f>
        <v>31 March 2025</v>
      </c>
      <c r="OBY313" s="1717"/>
      <c r="OBZ313" s="1718"/>
      <c r="OCA313" s="1718"/>
      <c r="OCB313" s="1718"/>
      <c r="OCC313" s="1718"/>
      <c r="OCD313" s="246"/>
      <c r="OCE313" s="246" t="str">
        <f>BS!$D$5</f>
        <v>31 March 2026</v>
      </c>
      <c r="OCF313" s="247" t="str">
        <f>BS!$E$5</f>
        <v>31 March 2025</v>
      </c>
      <c r="OCG313" s="1717"/>
      <c r="OCH313" s="1718"/>
      <c r="OCI313" s="1718"/>
      <c r="OCJ313" s="1718"/>
      <c r="OCK313" s="1718"/>
      <c r="OCL313" s="246"/>
      <c r="OCM313" s="246" t="str">
        <f>BS!$D$5</f>
        <v>31 March 2026</v>
      </c>
      <c r="OCN313" s="247" t="str">
        <f>BS!$E$5</f>
        <v>31 March 2025</v>
      </c>
      <c r="OCO313" s="1717"/>
      <c r="OCP313" s="1718"/>
      <c r="OCQ313" s="1718"/>
      <c r="OCR313" s="1718"/>
      <c r="OCS313" s="1718"/>
      <c r="OCT313" s="246"/>
      <c r="OCU313" s="246" t="str">
        <f>BS!$D$5</f>
        <v>31 March 2026</v>
      </c>
      <c r="OCV313" s="247" t="str">
        <f>BS!$E$5</f>
        <v>31 March 2025</v>
      </c>
      <c r="OCW313" s="1717"/>
      <c r="OCX313" s="1718"/>
      <c r="OCY313" s="1718"/>
      <c r="OCZ313" s="1718"/>
      <c r="ODA313" s="1718"/>
      <c r="ODB313" s="246"/>
      <c r="ODC313" s="246" t="str">
        <f>BS!$D$5</f>
        <v>31 March 2026</v>
      </c>
      <c r="ODD313" s="247" t="str">
        <f>BS!$E$5</f>
        <v>31 March 2025</v>
      </c>
      <c r="ODE313" s="1717"/>
      <c r="ODF313" s="1718"/>
      <c r="ODG313" s="1718"/>
      <c r="ODH313" s="1718"/>
      <c r="ODI313" s="1718"/>
      <c r="ODJ313" s="246"/>
      <c r="ODK313" s="246" t="str">
        <f>BS!$D$5</f>
        <v>31 March 2026</v>
      </c>
      <c r="ODL313" s="247" t="str">
        <f>BS!$E$5</f>
        <v>31 March 2025</v>
      </c>
      <c r="ODM313" s="1717"/>
      <c r="ODN313" s="1718"/>
      <c r="ODO313" s="1718"/>
      <c r="ODP313" s="1718"/>
      <c r="ODQ313" s="1718"/>
      <c r="ODR313" s="246"/>
      <c r="ODS313" s="246" t="str">
        <f>BS!$D$5</f>
        <v>31 March 2026</v>
      </c>
      <c r="ODT313" s="247" t="str">
        <f>BS!$E$5</f>
        <v>31 March 2025</v>
      </c>
      <c r="ODU313" s="1717"/>
      <c r="ODV313" s="1718"/>
      <c r="ODW313" s="1718"/>
      <c r="ODX313" s="1718"/>
      <c r="ODY313" s="1718"/>
      <c r="ODZ313" s="246"/>
      <c r="OEA313" s="246" t="str">
        <f>BS!$D$5</f>
        <v>31 March 2026</v>
      </c>
      <c r="OEB313" s="247" t="str">
        <f>BS!$E$5</f>
        <v>31 March 2025</v>
      </c>
      <c r="OEC313" s="1717"/>
      <c r="OED313" s="1718"/>
      <c r="OEE313" s="1718"/>
      <c r="OEF313" s="1718"/>
      <c r="OEG313" s="1718"/>
      <c r="OEH313" s="246"/>
      <c r="OEI313" s="246" t="str">
        <f>BS!$D$5</f>
        <v>31 March 2026</v>
      </c>
      <c r="OEJ313" s="247" t="str">
        <f>BS!$E$5</f>
        <v>31 March 2025</v>
      </c>
      <c r="OEK313" s="1717"/>
      <c r="OEL313" s="1718"/>
      <c r="OEM313" s="1718"/>
      <c r="OEN313" s="1718"/>
      <c r="OEO313" s="1718"/>
      <c r="OEP313" s="246"/>
      <c r="OEQ313" s="246" t="str">
        <f>BS!$D$5</f>
        <v>31 March 2026</v>
      </c>
      <c r="OER313" s="247" t="str">
        <f>BS!$E$5</f>
        <v>31 March 2025</v>
      </c>
      <c r="OES313" s="1717"/>
      <c r="OET313" s="1718"/>
      <c r="OEU313" s="1718"/>
      <c r="OEV313" s="1718"/>
      <c r="OEW313" s="1718"/>
      <c r="OEX313" s="246"/>
      <c r="OEY313" s="246" t="str">
        <f>BS!$D$5</f>
        <v>31 March 2026</v>
      </c>
      <c r="OEZ313" s="247" t="str">
        <f>BS!$E$5</f>
        <v>31 March 2025</v>
      </c>
      <c r="OFA313" s="1717"/>
      <c r="OFB313" s="1718"/>
      <c r="OFC313" s="1718"/>
      <c r="OFD313" s="1718"/>
      <c r="OFE313" s="1718"/>
      <c r="OFF313" s="246"/>
      <c r="OFG313" s="246" t="str">
        <f>BS!$D$5</f>
        <v>31 March 2026</v>
      </c>
      <c r="OFH313" s="247" t="str">
        <f>BS!$E$5</f>
        <v>31 March 2025</v>
      </c>
      <c r="OFI313" s="1717"/>
      <c r="OFJ313" s="1718"/>
      <c r="OFK313" s="1718"/>
      <c r="OFL313" s="1718"/>
      <c r="OFM313" s="1718"/>
      <c r="OFN313" s="246"/>
      <c r="OFO313" s="246" t="str">
        <f>BS!$D$5</f>
        <v>31 March 2026</v>
      </c>
      <c r="OFP313" s="247" t="str">
        <f>BS!$E$5</f>
        <v>31 March 2025</v>
      </c>
      <c r="OFQ313" s="1717"/>
      <c r="OFR313" s="1718"/>
      <c r="OFS313" s="1718"/>
      <c r="OFT313" s="1718"/>
      <c r="OFU313" s="1718"/>
      <c r="OFV313" s="246"/>
      <c r="OFW313" s="246" t="str">
        <f>BS!$D$5</f>
        <v>31 March 2026</v>
      </c>
      <c r="OFX313" s="247" t="str">
        <f>BS!$E$5</f>
        <v>31 March 2025</v>
      </c>
      <c r="OFY313" s="1717"/>
      <c r="OFZ313" s="1718"/>
      <c r="OGA313" s="1718"/>
      <c r="OGB313" s="1718"/>
      <c r="OGC313" s="1718"/>
      <c r="OGD313" s="246"/>
      <c r="OGE313" s="246" t="str">
        <f>BS!$D$5</f>
        <v>31 March 2026</v>
      </c>
      <c r="OGF313" s="247" t="str">
        <f>BS!$E$5</f>
        <v>31 March 2025</v>
      </c>
      <c r="OGG313" s="1717"/>
      <c r="OGH313" s="1718"/>
      <c r="OGI313" s="1718"/>
      <c r="OGJ313" s="1718"/>
      <c r="OGK313" s="1718"/>
      <c r="OGL313" s="246"/>
      <c r="OGM313" s="246" t="str">
        <f>BS!$D$5</f>
        <v>31 March 2026</v>
      </c>
      <c r="OGN313" s="247" t="str">
        <f>BS!$E$5</f>
        <v>31 March 2025</v>
      </c>
      <c r="OGO313" s="1717"/>
      <c r="OGP313" s="1718"/>
      <c r="OGQ313" s="1718"/>
      <c r="OGR313" s="1718"/>
      <c r="OGS313" s="1718"/>
      <c r="OGT313" s="246"/>
      <c r="OGU313" s="246" t="str">
        <f>BS!$D$5</f>
        <v>31 March 2026</v>
      </c>
      <c r="OGV313" s="247" t="str">
        <f>BS!$E$5</f>
        <v>31 March 2025</v>
      </c>
      <c r="OGW313" s="1717"/>
      <c r="OGX313" s="1718"/>
      <c r="OGY313" s="1718"/>
      <c r="OGZ313" s="1718"/>
      <c r="OHA313" s="1718"/>
      <c r="OHB313" s="246"/>
      <c r="OHC313" s="246" t="str">
        <f>BS!$D$5</f>
        <v>31 March 2026</v>
      </c>
      <c r="OHD313" s="247" t="str">
        <f>BS!$E$5</f>
        <v>31 March 2025</v>
      </c>
      <c r="OHE313" s="1717"/>
      <c r="OHF313" s="1718"/>
      <c r="OHG313" s="1718"/>
      <c r="OHH313" s="1718"/>
      <c r="OHI313" s="1718"/>
      <c r="OHJ313" s="246"/>
      <c r="OHK313" s="246" t="str">
        <f>BS!$D$5</f>
        <v>31 March 2026</v>
      </c>
      <c r="OHL313" s="247" t="str">
        <f>BS!$E$5</f>
        <v>31 March 2025</v>
      </c>
      <c r="OHM313" s="1717"/>
      <c r="OHN313" s="1718"/>
      <c r="OHO313" s="1718"/>
      <c r="OHP313" s="1718"/>
      <c r="OHQ313" s="1718"/>
      <c r="OHR313" s="246"/>
      <c r="OHS313" s="246" t="str">
        <f>BS!$D$5</f>
        <v>31 March 2026</v>
      </c>
      <c r="OHT313" s="247" t="str">
        <f>BS!$E$5</f>
        <v>31 March 2025</v>
      </c>
      <c r="OHU313" s="1717"/>
      <c r="OHV313" s="1718"/>
      <c r="OHW313" s="1718"/>
      <c r="OHX313" s="1718"/>
      <c r="OHY313" s="1718"/>
      <c r="OHZ313" s="246"/>
      <c r="OIA313" s="246" t="str">
        <f>BS!$D$5</f>
        <v>31 March 2026</v>
      </c>
      <c r="OIB313" s="247" t="str">
        <f>BS!$E$5</f>
        <v>31 March 2025</v>
      </c>
      <c r="OIC313" s="1717"/>
      <c r="OID313" s="1718"/>
      <c r="OIE313" s="1718"/>
      <c r="OIF313" s="1718"/>
      <c r="OIG313" s="1718"/>
      <c r="OIH313" s="246"/>
      <c r="OII313" s="246" t="str">
        <f>BS!$D$5</f>
        <v>31 March 2026</v>
      </c>
      <c r="OIJ313" s="247" t="str">
        <f>BS!$E$5</f>
        <v>31 March 2025</v>
      </c>
      <c r="OIK313" s="1717"/>
      <c r="OIL313" s="1718"/>
      <c r="OIM313" s="1718"/>
      <c r="OIN313" s="1718"/>
      <c r="OIO313" s="1718"/>
      <c r="OIP313" s="246"/>
      <c r="OIQ313" s="246" t="str">
        <f>BS!$D$5</f>
        <v>31 March 2026</v>
      </c>
      <c r="OIR313" s="247" t="str">
        <f>BS!$E$5</f>
        <v>31 March 2025</v>
      </c>
      <c r="OIS313" s="1717"/>
      <c r="OIT313" s="1718"/>
      <c r="OIU313" s="1718"/>
      <c r="OIV313" s="1718"/>
      <c r="OIW313" s="1718"/>
      <c r="OIX313" s="246"/>
      <c r="OIY313" s="246" t="str">
        <f>BS!$D$5</f>
        <v>31 March 2026</v>
      </c>
      <c r="OIZ313" s="247" t="str">
        <f>BS!$E$5</f>
        <v>31 March 2025</v>
      </c>
      <c r="OJA313" s="1717"/>
      <c r="OJB313" s="1718"/>
      <c r="OJC313" s="1718"/>
      <c r="OJD313" s="1718"/>
      <c r="OJE313" s="1718"/>
      <c r="OJF313" s="246"/>
      <c r="OJG313" s="246" t="str">
        <f>BS!$D$5</f>
        <v>31 March 2026</v>
      </c>
      <c r="OJH313" s="247" t="str">
        <f>BS!$E$5</f>
        <v>31 March 2025</v>
      </c>
      <c r="OJI313" s="1717"/>
      <c r="OJJ313" s="1718"/>
      <c r="OJK313" s="1718"/>
      <c r="OJL313" s="1718"/>
      <c r="OJM313" s="1718"/>
      <c r="OJN313" s="246"/>
      <c r="OJO313" s="246" t="str">
        <f>BS!$D$5</f>
        <v>31 March 2026</v>
      </c>
      <c r="OJP313" s="247" t="str">
        <f>BS!$E$5</f>
        <v>31 March 2025</v>
      </c>
      <c r="OJQ313" s="1717"/>
      <c r="OJR313" s="1718"/>
      <c r="OJS313" s="1718"/>
      <c r="OJT313" s="1718"/>
      <c r="OJU313" s="1718"/>
      <c r="OJV313" s="246"/>
      <c r="OJW313" s="246" t="str">
        <f>BS!$D$5</f>
        <v>31 March 2026</v>
      </c>
      <c r="OJX313" s="247" t="str">
        <f>BS!$E$5</f>
        <v>31 March 2025</v>
      </c>
      <c r="OJY313" s="1717"/>
      <c r="OJZ313" s="1718"/>
      <c r="OKA313" s="1718"/>
      <c r="OKB313" s="1718"/>
      <c r="OKC313" s="1718"/>
      <c r="OKD313" s="246"/>
      <c r="OKE313" s="246" t="str">
        <f>BS!$D$5</f>
        <v>31 March 2026</v>
      </c>
      <c r="OKF313" s="247" t="str">
        <f>BS!$E$5</f>
        <v>31 March 2025</v>
      </c>
      <c r="OKG313" s="1717"/>
      <c r="OKH313" s="1718"/>
      <c r="OKI313" s="1718"/>
      <c r="OKJ313" s="1718"/>
      <c r="OKK313" s="1718"/>
      <c r="OKL313" s="246"/>
      <c r="OKM313" s="246" t="str">
        <f>BS!$D$5</f>
        <v>31 March 2026</v>
      </c>
      <c r="OKN313" s="247" t="str">
        <f>BS!$E$5</f>
        <v>31 March 2025</v>
      </c>
      <c r="OKO313" s="1717"/>
      <c r="OKP313" s="1718"/>
      <c r="OKQ313" s="1718"/>
      <c r="OKR313" s="1718"/>
      <c r="OKS313" s="1718"/>
      <c r="OKT313" s="246"/>
      <c r="OKU313" s="246" t="str">
        <f>BS!$D$5</f>
        <v>31 March 2026</v>
      </c>
      <c r="OKV313" s="247" t="str">
        <f>BS!$E$5</f>
        <v>31 March 2025</v>
      </c>
      <c r="OKW313" s="1717"/>
      <c r="OKX313" s="1718"/>
      <c r="OKY313" s="1718"/>
      <c r="OKZ313" s="1718"/>
      <c r="OLA313" s="1718"/>
      <c r="OLB313" s="246"/>
      <c r="OLC313" s="246" t="str">
        <f>BS!$D$5</f>
        <v>31 March 2026</v>
      </c>
      <c r="OLD313" s="247" t="str">
        <f>BS!$E$5</f>
        <v>31 March 2025</v>
      </c>
      <c r="OLE313" s="1717"/>
      <c r="OLF313" s="1718"/>
      <c r="OLG313" s="1718"/>
      <c r="OLH313" s="1718"/>
      <c r="OLI313" s="1718"/>
      <c r="OLJ313" s="246"/>
      <c r="OLK313" s="246" t="str">
        <f>BS!$D$5</f>
        <v>31 March 2026</v>
      </c>
      <c r="OLL313" s="247" t="str">
        <f>BS!$E$5</f>
        <v>31 March 2025</v>
      </c>
      <c r="OLM313" s="1717"/>
      <c r="OLN313" s="1718"/>
      <c r="OLO313" s="1718"/>
      <c r="OLP313" s="1718"/>
      <c r="OLQ313" s="1718"/>
      <c r="OLR313" s="246"/>
      <c r="OLS313" s="246" t="str">
        <f>BS!$D$5</f>
        <v>31 March 2026</v>
      </c>
      <c r="OLT313" s="247" t="str">
        <f>BS!$E$5</f>
        <v>31 March 2025</v>
      </c>
      <c r="OLU313" s="1717"/>
      <c r="OLV313" s="1718"/>
      <c r="OLW313" s="1718"/>
      <c r="OLX313" s="1718"/>
      <c r="OLY313" s="1718"/>
      <c r="OLZ313" s="246"/>
      <c r="OMA313" s="246" t="str">
        <f>BS!$D$5</f>
        <v>31 March 2026</v>
      </c>
      <c r="OMB313" s="247" t="str">
        <f>BS!$E$5</f>
        <v>31 March 2025</v>
      </c>
      <c r="OMC313" s="1717"/>
      <c r="OMD313" s="1718"/>
      <c r="OME313" s="1718"/>
      <c r="OMF313" s="1718"/>
      <c r="OMG313" s="1718"/>
      <c r="OMH313" s="246"/>
      <c r="OMI313" s="246" t="str">
        <f>BS!$D$5</f>
        <v>31 March 2026</v>
      </c>
      <c r="OMJ313" s="247" t="str">
        <f>BS!$E$5</f>
        <v>31 March 2025</v>
      </c>
      <c r="OMK313" s="1717"/>
      <c r="OML313" s="1718"/>
      <c r="OMM313" s="1718"/>
      <c r="OMN313" s="1718"/>
      <c r="OMO313" s="1718"/>
      <c r="OMP313" s="246"/>
      <c r="OMQ313" s="246" t="str">
        <f>BS!$D$5</f>
        <v>31 March 2026</v>
      </c>
      <c r="OMR313" s="247" t="str">
        <f>BS!$E$5</f>
        <v>31 March 2025</v>
      </c>
      <c r="OMS313" s="1717"/>
      <c r="OMT313" s="1718"/>
      <c r="OMU313" s="1718"/>
      <c r="OMV313" s="1718"/>
      <c r="OMW313" s="1718"/>
      <c r="OMX313" s="246"/>
      <c r="OMY313" s="246" t="str">
        <f>BS!$D$5</f>
        <v>31 March 2026</v>
      </c>
      <c r="OMZ313" s="247" t="str">
        <f>BS!$E$5</f>
        <v>31 March 2025</v>
      </c>
      <c r="ONA313" s="1717"/>
      <c r="ONB313" s="1718"/>
      <c r="ONC313" s="1718"/>
      <c r="OND313" s="1718"/>
      <c r="ONE313" s="1718"/>
      <c r="ONF313" s="246"/>
      <c r="ONG313" s="246" t="str">
        <f>BS!$D$5</f>
        <v>31 March 2026</v>
      </c>
      <c r="ONH313" s="247" t="str">
        <f>BS!$E$5</f>
        <v>31 March 2025</v>
      </c>
      <c r="ONI313" s="1717"/>
      <c r="ONJ313" s="1718"/>
      <c r="ONK313" s="1718"/>
      <c r="ONL313" s="1718"/>
      <c r="ONM313" s="1718"/>
      <c r="ONN313" s="246"/>
      <c r="ONO313" s="246" t="str">
        <f>BS!$D$5</f>
        <v>31 March 2026</v>
      </c>
      <c r="ONP313" s="247" t="str">
        <f>BS!$E$5</f>
        <v>31 March 2025</v>
      </c>
      <c r="ONQ313" s="1717"/>
      <c r="ONR313" s="1718"/>
      <c r="ONS313" s="1718"/>
      <c r="ONT313" s="1718"/>
      <c r="ONU313" s="1718"/>
      <c r="ONV313" s="246"/>
      <c r="ONW313" s="246" t="str">
        <f>BS!$D$5</f>
        <v>31 March 2026</v>
      </c>
      <c r="ONX313" s="247" t="str">
        <f>BS!$E$5</f>
        <v>31 March 2025</v>
      </c>
      <c r="ONY313" s="1717"/>
      <c r="ONZ313" s="1718"/>
      <c r="OOA313" s="1718"/>
      <c r="OOB313" s="1718"/>
      <c r="OOC313" s="1718"/>
      <c r="OOD313" s="246"/>
      <c r="OOE313" s="246" t="str">
        <f>BS!$D$5</f>
        <v>31 March 2026</v>
      </c>
      <c r="OOF313" s="247" t="str">
        <f>BS!$E$5</f>
        <v>31 March 2025</v>
      </c>
      <c r="OOG313" s="1717"/>
      <c r="OOH313" s="1718"/>
      <c r="OOI313" s="1718"/>
      <c r="OOJ313" s="1718"/>
      <c r="OOK313" s="1718"/>
      <c r="OOL313" s="246"/>
      <c r="OOM313" s="246" t="str">
        <f>BS!$D$5</f>
        <v>31 March 2026</v>
      </c>
      <c r="OON313" s="247" t="str">
        <f>BS!$E$5</f>
        <v>31 March 2025</v>
      </c>
      <c r="OOO313" s="1717"/>
      <c r="OOP313" s="1718"/>
      <c r="OOQ313" s="1718"/>
      <c r="OOR313" s="1718"/>
      <c r="OOS313" s="1718"/>
      <c r="OOT313" s="246"/>
      <c r="OOU313" s="246" t="str">
        <f>BS!$D$5</f>
        <v>31 March 2026</v>
      </c>
      <c r="OOV313" s="247" t="str">
        <f>BS!$E$5</f>
        <v>31 March 2025</v>
      </c>
      <c r="OOW313" s="1717"/>
      <c r="OOX313" s="1718"/>
      <c r="OOY313" s="1718"/>
      <c r="OOZ313" s="1718"/>
      <c r="OPA313" s="1718"/>
      <c r="OPB313" s="246"/>
      <c r="OPC313" s="246" t="str">
        <f>BS!$D$5</f>
        <v>31 March 2026</v>
      </c>
      <c r="OPD313" s="247" t="str">
        <f>BS!$E$5</f>
        <v>31 March 2025</v>
      </c>
      <c r="OPE313" s="1717"/>
      <c r="OPF313" s="1718"/>
      <c r="OPG313" s="1718"/>
      <c r="OPH313" s="1718"/>
      <c r="OPI313" s="1718"/>
      <c r="OPJ313" s="246"/>
      <c r="OPK313" s="246" t="str">
        <f>BS!$D$5</f>
        <v>31 March 2026</v>
      </c>
      <c r="OPL313" s="247" t="str">
        <f>BS!$E$5</f>
        <v>31 March 2025</v>
      </c>
      <c r="OPM313" s="1717"/>
      <c r="OPN313" s="1718"/>
      <c r="OPO313" s="1718"/>
      <c r="OPP313" s="1718"/>
      <c r="OPQ313" s="1718"/>
      <c r="OPR313" s="246"/>
      <c r="OPS313" s="246" t="str">
        <f>BS!$D$5</f>
        <v>31 March 2026</v>
      </c>
      <c r="OPT313" s="247" t="str">
        <f>BS!$E$5</f>
        <v>31 March 2025</v>
      </c>
      <c r="OPU313" s="1717"/>
      <c r="OPV313" s="1718"/>
      <c r="OPW313" s="1718"/>
      <c r="OPX313" s="1718"/>
      <c r="OPY313" s="1718"/>
      <c r="OPZ313" s="246"/>
      <c r="OQA313" s="246" t="str">
        <f>BS!$D$5</f>
        <v>31 March 2026</v>
      </c>
      <c r="OQB313" s="247" t="str">
        <f>BS!$E$5</f>
        <v>31 March 2025</v>
      </c>
      <c r="OQC313" s="1717"/>
      <c r="OQD313" s="1718"/>
      <c r="OQE313" s="1718"/>
      <c r="OQF313" s="1718"/>
      <c r="OQG313" s="1718"/>
      <c r="OQH313" s="246"/>
      <c r="OQI313" s="246" t="str">
        <f>BS!$D$5</f>
        <v>31 March 2026</v>
      </c>
      <c r="OQJ313" s="247" t="str">
        <f>BS!$E$5</f>
        <v>31 March 2025</v>
      </c>
      <c r="OQK313" s="1717"/>
      <c r="OQL313" s="1718"/>
      <c r="OQM313" s="1718"/>
      <c r="OQN313" s="1718"/>
      <c r="OQO313" s="1718"/>
      <c r="OQP313" s="246"/>
      <c r="OQQ313" s="246" t="str">
        <f>BS!$D$5</f>
        <v>31 March 2026</v>
      </c>
      <c r="OQR313" s="247" t="str">
        <f>BS!$E$5</f>
        <v>31 March 2025</v>
      </c>
      <c r="OQS313" s="1717"/>
      <c r="OQT313" s="1718"/>
      <c r="OQU313" s="1718"/>
      <c r="OQV313" s="1718"/>
      <c r="OQW313" s="1718"/>
      <c r="OQX313" s="246"/>
      <c r="OQY313" s="246" t="str">
        <f>BS!$D$5</f>
        <v>31 March 2026</v>
      </c>
      <c r="OQZ313" s="247" t="str">
        <f>BS!$E$5</f>
        <v>31 March 2025</v>
      </c>
      <c r="ORA313" s="1717"/>
      <c r="ORB313" s="1718"/>
      <c r="ORC313" s="1718"/>
      <c r="ORD313" s="1718"/>
      <c r="ORE313" s="1718"/>
      <c r="ORF313" s="246"/>
      <c r="ORG313" s="246" t="str">
        <f>BS!$D$5</f>
        <v>31 March 2026</v>
      </c>
      <c r="ORH313" s="247" t="str">
        <f>BS!$E$5</f>
        <v>31 March 2025</v>
      </c>
      <c r="ORI313" s="1717"/>
      <c r="ORJ313" s="1718"/>
      <c r="ORK313" s="1718"/>
      <c r="ORL313" s="1718"/>
      <c r="ORM313" s="1718"/>
      <c r="ORN313" s="246"/>
      <c r="ORO313" s="246" t="str">
        <f>BS!$D$5</f>
        <v>31 March 2026</v>
      </c>
      <c r="ORP313" s="247" t="str">
        <f>BS!$E$5</f>
        <v>31 March 2025</v>
      </c>
      <c r="ORQ313" s="1717"/>
      <c r="ORR313" s="1718"/>
      <c r="ORS313" s="1718"/>
      <c r="ORT313" s="1718"/>
      <c r="ORU313" s="1718"/>
      <c r="ORV313" s="246"/>
      <c r="ORW313" s="246" t="str">
        <f>BS!$D$5</f>
        <v>31 March 2026</v>
      </c>
      <c r="ORX313" s="247" t="str">
        <f>BS!$E$5</f>
        <v>31 March 2025</v>
      </c>
      <c r="ORY313" s="1717"/>
      <c r="ORZ313" s="1718"/>
      <c r="OSA313" s="1718"/>
      <c r="OSB313" s="1718"/>
      <c r="OSC313" s="1718"/>
      <c r="OSD313" s="246"/>
      <c r="OSE313" s="246" t="str">
        <f>BS!$D$5</f>
        <v>31 March 2026</v>
      </c>
      <c r="OSF313" s="247" t="str">
        <f>BS!$E$5</f>
        <v>31 March 2025</v>
      </c>
      <c r="OSG313" s="1717"/>
      <c r="OSH313" s="1718"/>
      <c r="OSI313" s="1718"/>
      <c r="OSJ313" s="1718"/>
      <c r="OSK313" s="1718"/>
      <c r="OSL313" s="246"/>
      <c r="OSM313" s="246" t="str">
        <f>BS!$D$5</f>
        <v>31 March 2026</v>
      </c>
      <c r="OSN313" s="247" t="str">
        <f>BS!$E$5</f>
        <v>31 March 2025</v>
      </c>
      <c r="OSO313" s="1717"/>
      <c r="OSP313" s="1718"/>
      <c r="OSQ313" s="1718"/>
      <c r="OSR313" s="1718"/>
      <c r="OSS313" s="1718"/>
      <c r="OST313" s="246"/>
      <c r="OSU313" s="246" t="str">
        <f>BS!$D$5</f>
        <v>31 March 2026</v>
      </c>
      <c r="OSV313" s="247" t="str">
        <f>BS!$E$5</f>
        <v>31 March 2025</v>
      </c>
      <c r="OSW313" s="1717"/>
      <c r="OSX313" s="1718"/>
      <c r="OSY313" s="1718"/>
      <c r="OSZ313" s="1718"/>
      <c r="OTA313" s="1718"/>
      <c r="OTB313" s="246"/>
      <c r="OTC313" s="246" t="str">
        <f>BS!$D$5</f>
        <v>31 March 2026</v>
      </c>
      <c r="OTD313" s="247" t="str">
        <f>BS!$E$5</f>
        <v>31 March 2025</v>
      </c>
      <c r="OTE313" s="1717"/>
      <c r="OTF313" s="1718"/>
      <c r="OTG313" s="1718"/>
      <c r="OTH313" s="1718"/>
      <c r="OTI313" s="1718"/>
      <c r="OTJ313" s="246"/>
      <c r="OTK313" s="246" t="str">
        <f>BS!$D$5</f>
        <v>31 March 2026</v>
      </c>
      <c r="OTL313" s="247" t="str">
        <f>BS!$E$5</f>
        <v>31 March 2025</v>
      </c>
      <c r="OTM313" s="1717"/>
      <c r="OTN313" s="1718"/>
      <c r="OTO313" s="1718"/>
      <c r="OTP313" s="1718"/>
      <c r="OTQ313" s="1718"/>
      <c r="OTR313" s="246"/>
      <c r="OTS313" s="246" t="str">
        <f>BS!$D$5</f>
        <v>31 March 2026</v>
      </c>
      <c r="OTT313" s="247" t="str">
        <f>BS!$E$5</f>
        <v>31 March 2025</v>
      </c>
      <c r="OTU313" s="1717"/>
      <c r="OTV313" s="1718"/>
      <c r="OTW313" s="1718"/>
      <c r="OTX313" s="1718"/>
      <c r="OTY313" s="1718"/>
      <c r="OTZ313" s="246"/>
      <c r="OUA313" s="246" t="str">
        <f>BS!$D$5</f>
        <v>31 March 2026</v>
      </c>
      <c r="OUB313" s="247" t="str">
        <f>BS!$E$5</f>
        <v>31 March 2025</v>
      </c>
      <c r="OUC313" s="1717"/>
      <c r="OUD313" s="1718"/>
      <c r="OUE313" s="1718"/>
      <c r="OUF313" s="1718"/>
      <c r="OUG313" s="1718"/>
      <c r="OUH313" s="246"/>
      <c r="OUI313" s="246" t="str">
        <f>BS!$D$5</f>
        <v>31 March 2026</v>
      </c>
      <c r="OUJ313" s="247" t="str">
        <f>BS!$E$5</f>
        <v>31 March 2025</v>
      </c>
      <c r="OUK313" s="1717"/>
      <c r="OUL313" s="1718"/>
      <c r="OUM313" s="1718"/>
      <c r="OUN313" s="1718"/>
      <c r="OUO313" s="1718"/>
      <c r="OUP313" s="246"/>
      <c r="OUQ313" s="246" t="str">
        <f>BS!$D$5</f>
        <v>31 March 2026</v>
      </c>
      <c r="OUR313" s="247" t="str">
        <f>BS!$E$5</f>
        <v>31 March 2025</v>
      </c>
      <c r="OUS313" s="1717"/>
      <c r="OUT313" s="1718"/>
      <c r="OUU313" s="1718"/>
      <c r="OUV313" s="1718"/>
      <c r="OUW313" s="1718"/>
      <c r="OUX313" s="246"/>
      <c r="OUY313" s="246" t="str">
        <f>BS!$D$5</f>
        <v>31 March 2026</v>
      </c>
      <c r="OUZ313" s="247" t="str">
        <f>BS!$E$5</f>
        <v>31 March 2025</v>
      </c>
      <c r="OVA313" s="1717"/>
      <c r="OVB313" s="1718"/>
      <c r="OVC313" s="1718"/>
      <c r="OVD313" s="1718"/>
      <c r="OVE313" s="1718"/>
      <c r="OVF313" s="246"/>
      <c r="OVG313" s="246" t="str">
        <f>BS!$D$5</f>
        <v>31 March 2026</v>
      </c>
      <c r="OVH313" s="247" t="str">
        <f>BS!$E$5</f>
        <v>31 March 2025</v>
      </c>
      <c r="OVI313" s="1717"/>
      <c r="OVJ313" s="1718"/>
      <c r="OVK313" s="1718"/>
      <c r="OVL313" s="1718"/>
      <c r="OVM313" s="1718"/>
      <c r="OVN313" s="246"/>
      <c r="OVO313" s="246" t="str">
        <f>BS!$D$5</f>
        <v>31 March 2026</v>
      </c>
      <c r="OVP313" s="247" t="str">
        <f>BS!$E$5</f>
        <v>31 March 2025</v>
      </c>
      <c r="OVQ313" s="1717"/>
      <c r="OVR313" s="1718"/>
      <c r="OVS313" s="1718"/>
      <c r="OVT313" s="1718"/>
      <c r="OVU313" s="1718"/>
      <c r="OVV313" s="246"/>
      <c r="OVW313" s="246" t="str">
        <f>BS!$D$5</f>
        <v>31 March 2026</v>
      </c>
      <c r="OVX313" s="247" t="str">
        <f>BS!$E$5</f>
        <v>31 March 2025</v>
      </c>
      <c r="OVY313" s="1717"/>
      <c r="OVZ313" s="1718"/>
      <c r="OWA313" s="1718"/>
      <c r="OWB313" s="1718"/>
      <c r="OWC313" s="1718"/>
      <c r="OWD313" s="246"/>
      <c r="OWE313" s="246" t="str">
        <f>BS!$D$5</f>
        <v>31 March 2026</v>
      </c>
      <c r="OWF313" s="247" t="str">
        <f>BS!$E$5</f>
        <v>31 March 2025</v>
      </c>
      <c r="OWG313" s="1717"/>
      <c r="OWH313" s="1718"/>
      <c r="OWI313" s="1718"/>
      <c r="OWJ313" s="1718"/>
      <c r="OWK313" s="1718"/>
      <c r="OWL313" s="246"/>
      <c r="OWM313" s="246" t="str">
        <f>BS!$D$5</f>
        <v>31 March 2026</v>
      </c>
      <c r="OWN313" s="247" t="str">
        <f>BS!$E$5</f>
        <v>31 March 2025</v>
      </c>
      <c r="OWO313" s="1717"/>
      <c r="OWP313" s="1718"/>
      <c r="OWQ313" s="1718"/>
      <c r="OWR313" s="1718"/>
      <c r="OWS313" s="1718"/>
      <c r="OWT313" s="246"/>
      <c r="OWU313" s="246" t="str">
        <f>BS!$D$5</f>
        <v>31 March 2026</v>
      </c>
      <c r="OWV313" s="247" t="str">
        <f>BS!$E$5</f>
        <v>31 March 2025</v>
      </c>
      <c r="OWW313" s="1717"/>
      <c r="OWX313" s="1718"/>
      <c r="OWY313" s="1718"/>
      <c r="OWZ313" s="1718"/>
      <c r="OXA313" s="1718"/>
      <c r="OXB313" s="246"/>
      <c r="OXC313" s="246" t="str">
        <f>BS!$D$5</f>
        <v>31 March 2026</v>
      </c>
      <c r="OXD313" s="247" t="str">
        <f>BS!$E$5</f>
        <v>31 March 2025</v>
      </c>
      <c r="OXE313" s="1717"/>
      <c r="OXF313" s="1718"/>
      <c r="OXG313" s="1718"/>
      <c r="OXH313" s="1718"/>
      <c r="OXI313" s="1718"/>
      <c r="OXJ313" s="246"/>
      <c r="OXK313" s="246" t="str">
        <f>BS!$D$5</f>
        <v>31 March 2026</v>
      </c>
      <c r="OXL313" s="247" t="str">
        <f>BS!$E$5</f>
        <v>31 March 2025</v>
      </c>
      <c r="OXM313" s="1717"/>
      <c r="OXN313" s="1718"/>
      <c r="OXO313" s="1718"/>
      <c r="OXP313" s="1718"/>
      <c r="OXQ313" s="1718"/>
      <c r="OXR313" s="246"/>
      <c r="OXS313" s="246" t="str">
        <f>BS!$D$5</f>
        <v>31 March 2026</v>
      </c>
      <c r="OXT313" s="247" t="str">
        <f>BS!$E$5</f>
        <v>31 March 2025</v>
      </c>
      <c r="OXU313" s="1717"/>
      <c r="OXV313" s="1718"/>
      <c r="OXW313" s="1718"/>
      <c r="OXX313" s="1718"/>
      <c r="OXY313" s="1718"/>
      <c r="OXZ313" s="246"/>
      <c r="OYA313" s="246" t="str">
        <f>BS!$D$5</f>
        <v>31 March 2026</v>
      </c>
      <c r="OYB313" s="247" t="str">
        <f>BS!$E$5</f>
        <v>31 March 2025</v>
      </c>
      <c r="OYC313" s="1717"/>
      <c r="OYD313" s="1718"/>
      <c r="OYE313" s="1718"/>
      <c r="OYF313" s="1718"/>
      <c r="OYG313" s="1718"/>
      <c r="OYH313" s="246"/>
      <c r="OYI313" s="246" t="str">
        <f>BS!$D$5</f>
        <v>31 March 2026</v>
      </c>
      <c r="OYJ313" s="247" t="str">
        <f>BS!$E$5</f>
        <v>31 March 2025</v>
      </c>
      <c r="OYK313" s="1717"/>
      <c r="OYL313" s="1718"/>
      <c r="OYM313" s="1718"/>
      <c r="OYN313" s="1718"/>
      <c r="OYO313" s="1718"/>
      <c r="OYP313" s="246"/>
      <c r="OYQ313" s="246" t="str">
        <f>BS!$D$5</f>
        <v>31 March 2026</v>
      </c>
      <c r="OYR313" s="247" t="str">
        <f>BS!$E$5</f>
        <v>31 March 2025</v>
      </c>
      <c r="OYS313" s="1717"/>
      <c r="OYT313" s="1718"/>
      <c r="OYU313" s="1718"/>
      <c r="OYV313" s="1718"/>
      <c r="OYW313" s="1718"/>
      <c r="OYX313" s="246"/>
      <c r="OYY313" s="246" t="str">
        <f>BS!$D$5</f>
        <v>31 March 2026</v>
      </c>
      <c r="OYZ313" s="247" t="str">
        <f>BS!$E$5</f>
        <v>31 March 2025</v>
      </c>
      <c r="OZA313" s="1717"/>
      <c r="OZB313" s="1718"/>
      <c r="OZC313" s="1718"/>
      <c r="OZD313" s="1718"/>
      <c r="OZE313" s="1718"/>
      <c r="OZF313" s="246"/>
      <c r="OZG313" s="246" t="str">
        <f>BS!$D$5</f>
        <v>31 March 2026</v>
      </c>
      <c r="OZH313" s="247" t="str">
        <f>BS!$E$5</f>
        <v>31 March 2025</v>
      </c>
      <c r="OZI313" s="1717"/>
      <c r="OZJ313" s="1718"/>
      <c r="OZK313" s="1718"/>
      <c r="OZL313" s="1718"/>
      <c r="OZM313" s="1718"/>
      <c r="OZN313" s="246"/>
      <c r="OZO313" s="246" t="str">
        <f>BS!$D$5</f>
        <v>31 March 2026</v>
      </c>
      <c r="OZP313" s="247" t="str">
        <f>BS!$E$5</f>
        <v>31 March 2025</v>
      </c>
      <c r="OZQ313" s="1717"/>
      <c r="OZR313" s="1718"/>
      <c r="OZS313" s="1718"/>
      <c r="OZT313" s="1718"/>
      <c r="OZU313" s="1718"/>
      <c r="OZV313" s="246"/>
      <c r="OZW313" s="246" t="str">
        <f>BS!$D$5</f>
        <v>31 March 2026</v>
      </c>
      <c r="OZX313" s="247" t="str">
        <f>BS!$E$5</f>
        <v>31 March 2025</v>
      </c>
      <c r="OZY313" s="1717"/>
      <c r="OZZ313" s="1718"/>
      <c r="PAA313" s="1718"/>
      <c r="PAB313" s="1718"/>
      <c r="PAC313" s="1718"/>
      <c r="PAD313" s="246"/>
      <c r="PAE313" s="246" t="str">
        <f>BS!$D$5</f>
        <v>31 March 2026</v>
      </c>
      <c r="PAF313" s="247" t="str">
        <f>BS!$E$5</f>
        <v>31 March 2025</v>
      </c>
      <c r="PAG313" s="1717"/>
      <c r="PAH313" s="1718"/>
      <c r="PAI313" s="1718"/>
      <c r="PAJ313" s="1718"/>
      <c r="PAK313" s="1718"/>
      <c r="PAL313" s="246"/>
      <c r="PAM313" s="246" t="str">
        <f>BS!$D$5</f>
        <v>31 March 2026</v>
      </c>
      <c r="PAN313" s="247" t="str">
        <f>BS!$E$5</f>
        <v>31 March 2025</v>
      </c>
      <c r="PAO313" s="1717"/>
      <c r="PAP313" s="1718"/>
      <c r="PAQ313" s="1718"/>
      <c r="PAR313" s="1718"/>
      <c r="PAS313" s="1718"/>
      <c r="PAT313" s="246"/>
      <c r="PAU313" s="246" t="str">
        <f>BS!$D$5</f>
        <v>31 March 2026</v>
      </c>
      <c r="PAV313" s="247" t="str">
        <f>BS!$E$5</f>
        <v>31 March 2025</v>
      </c>
      <c r="PAW313" s="1717"/>
      <c r="PAX313" s="1718"/>
      <c r="PAY313" s="1718"/>
      <c r="PAZ313" s="1718"/>
      <c r="PBA313" s="1718"/>
      <c r="PBB313" s="246"/>
      <c r="PBC313" s="246" t="str">
        <f>BS!$D$5</f>
        <v>31 March 2026</v>
      </c>
      <c r="PBD313" s="247" t="str">
        <f>BS!$E$5</f>
        <v>31 March 2025</v>
      </c>
      <c r="PBE313" s="1717"/>
      <c r="PBF313" s="1718"/>
      <c r="PBG313" s="1718"/>
      <c r="PBH313" s="1718"/>
      <c r="PBI313" s="1718"/>
      <c r="PBJ313" s="246"/>
      <c r="PBK313" s="246" t="str">
        <f>BS!$D$5</f>
        <v>31 March 2026</v>
      </c>
      <c r="PBL313" s="247" t="str">
        <f>BS!$E$5</f>
        <v>31 March 2025</v>
      </c>
      <c r="PBM313" s="1717"/>
      <c r="PBN313" s="1718"/>
      <c r="PBO313" s="1718"/>
      <c r="PBP313" s="1718"/>
      <c r="PBQ313" s="1718"/>
      <c r="PBR313" s="246"/>
      <c r="PBS313" s="246" t="str">
        <f>BS!$D$5</f>
        <v>31 March 2026</v>
      </c>
      <c r="PBT313" s="247" t="str">
        <f>BS!$E$5</f>
        <v>31 March 2025</v>
      </c>
      <c r="PBU313" s="1717"/>
      <c r="PBV313" s="1718"/>
      <c r="PBW313" s="1718"/>
      <c r="PBX313" s="1718"/>
      <c r="PBY313" s="1718"/>
      <c r="PBZ313" s="246"/>
      <c r="PCA313" s="246" t="str">
        <f>BS!$D$5</f>
        <v>31 March 2026</v>
      </c>
      <c r="PCB313" s="247" t="str">
        <f>BS!$E$5</f>
        <v>31 March 2025</v>
      </c>
      <c r="PCC313" s="1717"/>
      <c r="PCD313" s="1718"/>
      <c r="PCE313" s="1718"/>
      <c r="PCF313" s="1718"/>
      <c r="PCG313" s="1718"/>
      <c r="PCH313" s="246"/>
      <c r="PCI313" s="246" t="str">
        <f>BS!$D$5</f>
        <v>31 March 2026</v>
      </c>
      <c r="PCJ313" s="247" t="str">
        <f>BS!$E$5</f>
        <v>31 March 2025</v>
      </c>
      <c r="PCK313" s="1717"/>
      <c r="PCL313" s="1718"/>
      <c r="PCM313" s="1718"/>
      <c r="PCN313" s="1718"/>
      <c r="PCO313" s="1718"/>
      <c r="PCP313" s="246"/>
      <c r="PCQ313" s="246" t="str">
        <f>BS!$D$5</f>
        <v>31 March 2026</v>
      </c>
      <c r="PCR313" s="247" t="str">
        <f>BS!$E$5</f>
        <v>31 March 2025</v>
      </c>
      <c r="PCS313" s="1717"/>
      <c r="PCT313" s="1718"/>
      <c r="PCU313" s="1718"/>
      <c r="PCV313" s="1718"/>
      <c r="PCW313" s="1718"/>
      <c r="PCX313" s="246"/>
      <c r="PCY313" s="246" t="str">
        <f>BS!$D$5</f>
        <v>31 March 2026</v>
      </c>
      <c r="PCZ313" s="247" t="str">
        <f>BS!$E$5</f>
        <v>31 March 2025</v>
      </c>
      <c r="PDA313" s="1717"/>
      <c r="PDB313" s="1718"/>
      <c r="PDC313" s="1718"/>
      <c r="PDD313" s="1718"/>
      <c r="PDE313" s="1718"/>
      <c r="PDF313" s="246"/>
      <c r="PDG313" s="246" t="str">
        <f>BS!$D$5</f>
        <v>31 March 2026</v>
      </c>
      <c r="PDH313" s="247" t="str">
        <f>BS!$E$5</f>
        <v>31 March 2025</v>
      </c>
      <c r="PDI313" s="1717"/>
      <c r="PDJ313" s="1718"/>
      <c r="PDK313" s="1718"/>
      <c r="PDL313" s="1718"/>
      <c r="PDM313" s="1718"/>
      <c r="PDN313" s="246"/>
      <c r="PDO313" s="246" t="str">
        <f>BS!$D$5</f>
        <v>31 March 2026</v>
      </c>
      <c r="PDP313" s="247" t="str">
        <f>BS!$E$5</f>
        <v>31 March 2025</v>
      </c>
      <c r="PDQ313" s="1717"/>
      <c r="PDR313" s="1718"/>
      <c r="PDS313" s="1718"/>
      <c r="PDT313" s="1718"/>
      <c r="PDU313" s="1718"/>
      <c r="PDV313" s="246"/>
      <c r="PDW313" s="246" t="str">
        <f>BS!$D$5</f>
        <v>31 March 2026</v>
      </c>
      <c r="PDX313" s="247" t="str">
        <f>BS!$E$5</f>
        <v>31 March 2025</v>
      </c>
      <c r="PDY313" s="1717"/>
      <c r="PDZ313" s="1718"/>
      <c r="PEA313" s="1718"/>
      <c r="PEB313" s="1718"/>
      <c r="PEC313" s="1718"/>
      <c r="PED313" s="246"/>
      <c r="PEE313" s="246" t="str">
        <f>BS!$D$5</f>
        <v>31 March 2026</v>
      </c>
      <c r="PEF313" s="247" t="str">
        <f>BS!$E$5</f>
        <v>31 March 2025</v>
      </c>
      <c r="PEG313" s="1717"/>
      <c r="PEH313" s="1718"/>
      <c r="PEI313" s="1718"/>
      <c r="PEJ313" s="1718"/>
      <c r="PEK313" s="1718"/>
      <c r="PEL313" s="246"/>
      <c r="PEM313" s="246" t="str">
        <f>BS!$D$5</f>
        <v>31 March 2026</v>
      </c>
      <c r="PEN313" s="247" t="str">
        <f>BS!$E$5</f>
        <v>31 March 2025</v>
      </c>
      <c r="PEO313" s="1717"/>
      <c r="PEP313" s="1718"/>
      <c r="PEQ313" s="1718"/>
      <c r="PER313" s="1718"/>
      <c r="PES313" s="1718"/>
      <c r="PET313" s="246"/>
      <c r="PEU313" s="246" t="str">
        <f>BS!$D$5</f>
        <v>31 March 2026</v>
      </c>
      <c r="PEV313" s="247" t="str">
        <f>BS!$E$5</f>
        <v>31 March 2025</v>
      </c>
      <c r="PEW313" s="1717"/>
      <c r="PEX313" s="1718"/>
      <c r="PEY313" s="1718"/>
      <c r="PEZ313" s="1718"/>
      <c r="PFA313" s="1718"/>
      <c r="PFB313" s="246"/>
      <c r="PFC313" s="246" t="str">
        <f>BS!$D$5</f>
        <v>31 March 2026</v>
      </c>
      <c r="PFD313" s="247" t="str">
        <f>BS!$E$5</f>
        <v>31 March 2025</v>
      </c>
      <c r="PFE313" s="1717"/>
      <c r="PFF313" s="1718"/>
      <c r="PFG313" s="1718"/>
      <c r="PFH313" s="1718"/>
      <c r="PFI313" s="1718"/>
      <c r="PFJ313" s="246"/>
      <c r="PFK313" s="246" t="str">
        <f>BS!$D$5</f>
        <v>31 March 2026</v>
      </c>
      <c r="PFL313" s="247" t="str">
        <f>BS!$E$5</f>
        <v>31 March 2025</v>
      </c>
      <c r="PFM313" s="1717"/>
      <c r="PFN313" s="1718"/>
      <c r="PFO313" s="1718"/>
      <c r="PFP313" s="1718"/>
      <c r="PFQ313" s="1718"/>
      <c r="PFR313" s="246"/>
      <c r="PFS313" s="246" t="str">
        <f>BS!$D$5</f>
        <v>31 March 2026</v>
      </c>
      <c r="PFT313" s="247" t="str">
        <f>BS!$E$5</f>
        <v>31 March 2025</v>
      </c>
      <c r="PFU313" s="1717"/>
      <c r="PFV313" s="1718"/>
      <c r="PFW313" s="1718"/>
      <c r="PFX313" s="1718"/>
      <c r="PFY313" s="1718"/>
      <c r="PFZ313" s="246"/>
      <c r="PGA313" s="246" t="str">
        <f>BS!$D$5</f>
        <v>31 March 2026</v>
      </c>
      <c r="PGB313" s="247" t="str">
        <f>BS!$E$5</f>
        <v>31 March 2025</v>
      </c>
      <c r="PGC313" s="1717"/>
      <c r="PGD313" s="1718"/>
      <c r="PGE313" s="1718"/>
      <c r="PGF313" s="1718"/>
      <c r="PGG313" s="1718"/>
      <c r="PGH313" s="246"/>
      <c r="PGI313" s="246" t="str">
        <f>BS!$D$5</f>
        <v>31 March 2026</v>
      </c>
      <c r="PGJ313" s="247" t="str">
        <f>BS!$E$5</f>
        <v>31 March 2025</v>
      </c>
      <c r="PGK313" s="1717"/>
      <c r="PGL313" s="1718"/>
      <c r="PGM313" s="1718"/>
      <c r="PGN313" s="1718"/>
      <c r="PGO313" s="1718"/>
      <c r="PGP313" s="246"/>
      <c r="PGQ313" s="246" t="str">
        <f>BS!$D$5</f>
        <v>31 March 2026</v>
      </c>
      <c r="PGR313" s="247" t="str">
        <f>BS!$E$5</f>
        <v>31 March 2025</v>
      </c>
      <c r="PGS313" s="1717"/>
      <c r="PGT313" s="1718"/>
      <c r="PGU313" s="1718"/>
      <c r="PGV313" s="1718"/>
      <c r="PGW313" s="1718"/>
      <c r="PGX313" s="246"/>
      <c r="PGY313" s="246" t="str">
        <f>BS!$D$5</f>
        <v>31 March 2026</v>
      </c>
      <c r="PGZ313" s="247" t="str">
        <f>BS!$E$5</f>
        <v>31 March 2025</v>
      </c>
      <c r="PHA313" s="1717"/>
      <c r="PHB313" s="1718"/>
      <c r="PHC313" s="1718"/>
      <c r="PHD313" s="1718"/>
      <c r="PHE313" s="1718"/>
      <c r="PHF313" s="246"/>
      <c r="PHG313" s="246" t="str">
        <f>BS!$D$5</f>
        <v>31 March 2026</v>
      </c>
      <c r="PHH313" s="247" t="str">
        <f>BS!$E$5</f>
        <v>31 March 2025</v>
      </c>
      <c r="PHI313" s="1717"/>
      <c r="PHJ313" s="1718"/>
      <c r="PHK313" s="1718"/>
      <c r="PHL313" s="1718"/>
      <c r="PHM313" s="1718"/>
      <c r="PHN313" s="246"/>
      <c r="PHO313" s="246" t="str">
        <f>BS!$D$5</f>
        <v>31 March 2026</v>
      </c>
      <c r="PHP313" s="247" t="str">
        <f>BS!$E$5</f>
        <v>31 March 2025</v>
      </c>
      <c r="PHQ313" s="1717"/>
      <c r="PHR313" s="1718"/>
      <c r="PHS313" s="1718"/>
      <c r="PHT313" s="1718"/>
      <c r="PHU313" s="1718"/>
      <c r="PHV313" s="246"/>
      <c r="PHW313" s="246" t="str">
        <f>BS!$D$5</f>
        <v>31 March 2026</v>
      </c>
      <c r="PHX313" s="247" t="str">
        <f>BS!$E$5</f>
        <v>31 March 2025</v>
      </c>
      <c r="PHY313" s="1717"/>
      <c r="PHZ313" s="1718"/>
      <c r="PIA313" s="1718"/>
      <c r="PIB313" s="1718"/>
      <c r="PIC313" s="1718"/>
      <c r="PID313" s="246"/>
      <c r="PIE313" s="246" t="str">
        <f>BS!$D$5</f>
        <v>31 March 2026</v>
      </c>
      <c r="PIF313" s="247" t="str">
        <f>BS!$E$5</f>
        <v>31 March 2025</v>
      </c>
      <c r="PIG313" s="1717"/>
      <c r="PIH313" s="1718"/>
      <c r="PII313" s="1718"/>
      <c r="PIJ313" s="1718"/>
      <c r="PIK313" s="1718"/>
      <c r="PIL313" s="246"/>
      <c r="PIM313" s="246" t="str">
        <f>BS!$D$5</f>
        <v>31 March 2026</v>
      </c>
      <c r="PIN313" s="247" t="str">
        <f>BS!$E$5</f>
        <v>31 March 2025</v>
      </c>
      <c r="PIO313" s="1717"/>
      <c r="PIP313" s="1718"/>
      <c r="PIQ313" s="1718"/>
      <c r="PIR313" s="1718"/>
      <c r="PIS313" s="1718"/>
      <c r="PIT313" s="246"/>
      <c r="PIU313" s="246" t="str">
        <f>BS!$D$5</f>
        <v>31 March 2026</v>
      </c>
      <c r="PIV313" s="247" t="str">
        <f>BS!$E$5</f>
        <v>31 March 2025</v>
      </c>
      <c r="PIW313" s="1717"/>
      <c r="PIX313" s="1718"/>
      <c r="PIY313" s="1718"/>
      <c r="PIZ313" s="1718"/>
      <c r="PJA313" s="1718"/>
      <c r="PJB313" s="246"/>
      <c r="PJC313" s="246" t="str">
        <f>BS!$D$5</f>
        <v>31 March 2026</v>
      </c>
      <c r="PJD313" s="247" t="str">
        <f>BS!$E$5</f>
        <v>31 March 2025</v>
      </c>
      <c r="PJE313" s="1717"/>
      <c r="PJF313" s="1718"/>
      <c r="PJG313" s="1718"/>
      <c r="PJH313" s="1718"/>
      <c r="PJI313" s="1718"/>
      <c r="PJJ313" s="246"/>
      <c r="PJK313" s="246" t="str">
        <f>BS!$D$5</f>
        <v>31 March 2026</v>
      </c>
      <c r="PJL313" s="247" t="str">
        <f>BS!$E$5</f>
        <v>31 March 2025</v>
      </c>
      <c r="PJM313" s="1717"/>
      <c r="PJN313" s="1718"/>
      <c r="PJO313" s="1718"/>
      <c r="PJP313" s="1718"/>
      <c r="PJQ313" s="1718"/>
      <c r="PJR313" s="246"/>
      <c r="PJS313" s="246" t="str">
        <f>BS!$D$5</f>
        <v>31 March 2026</v>
      </c>
      <c r="PJT313" s="247" t="str">
        <f>BS!$E$5</f>
        <v>31 March 2025</v>
      </c>
      <c r="PJU313" s="1717"/>
      <c r="PJV313" s="1718"/>
      <c r="PJW313" s="1718"/>
      <c r="PJX313" s="1718"/>
      <c r="PJY313" s="1718"/>
      <c r="PJZ313" s="246"/>
      <c r="PKA313" s="246" t="str">
        <f>BS!$D$5</f>
        <v>31 March 2026</v>
      </c>
      <c r="PKB313" s="247" t="str">
        <f>BS!$E$5</f>
        <v>31 March 2025</v>
      </c>
      <c r="PKC313" s="1717"/>
      <c r="PKD313" s="1718"/>
      <c r="PKE313" s="1718"/>
      <c r="PKF313" s="1718"/>
      <c r="PKG313" s="1718"/>
      <c r="PKH313" s="246"/>
      <c r="PKI313" s="246" t="str">
        <f>BS!$D$5</f>
        <v>31 March 2026</v>
      </c>
      <c r="PKJ313" s="247" t="str">
        <f>BS!$E$5</f>
        <v>31 March 2025</v>
      </c>
      <c r="PKK313" s="1717"/>
      <c r="PKL313" s="1718"/>
      <c r="PKM313" s="1718"/>
      <c r="PKN313" s="1718"/>
      <c r="PKO313" s="1718"/>
      <c r="PKP313" s="246"/>
      <c r="PKQ313" s="246" t="str">
        <f>BS!$D$5</f>
        <v>31 March 2026</v>
      </c>
      <c r="PKR313" s="247" t="str">
        <f>BS!$E$5</f>
        <v>31 March 2025</v>
      </c>
      <c r="PKS313" s="1717"/>
      <c r="PKT313" s="1718"/>
      <c r="PKU313" s="1718"/>
      <c r="PKV313" s="1718"/>
      <c r="PKW313" s="1718"/>
      <c r="PKX313" s="246"/>
      <c r="PKY313" s="246" t="str">
        <f>BS!$D$5</f>
        <v>31 March 2026</v>
      </c>
      <c r="PKZ313" s="247" t="str">
        <f>BS!$E$5</f>
        <v>31 March 2025</v>
      </c>
      <c r="PLA313" s="1717"/>
      <c r="PLB313" s="1718"/>
      <c r="PLC313" s="1718"/>
      <c r="PLD313" s="1718"/>
      <c r="PLE313" s="1718"/>
      <c r="PLF313" s="246"/>
      <c r="PLG313" s="246" t="str">
        <f>BS!$D$5</f>
        <v>31 March 2026</v>
      </c>
      <c r="PLH313" s="247" t="str">
        <f>BS!$E$5</f>
        <v>31 March 2025</v>
      </c>
      <c r="PLI313" s="1717"/>
      <c r="PLJ313" s="1718"/>
      <c r="PLK313" s="1718"/>
      <c r="PLL313" s="1718"/>
      <c r="PLM313" s="1718"/>
      <c r="PLN313" s="246"/>
      <c r="PLO313" s="246" t="str">
        <f>BS!$D$5</f>
        <v>31 March 2026</v>
      </c>
      <c r="PLP313" s="247" t="str">
        <f>BS!$E$5</f>
        <v>31 March 2025</v>
      </c>
      <c r="PLQ313" s="1717"/>
      <c r="PLR313" s="1718"/>
      <c r="PLS313" s="1718"/>
      <c r="PLT313" s="1718"/>
      <c r="PLU313" s="1718"/>
      <c r="PLV313" s="246"/>
      <c r="PLW313" s="246" t="str">
        <f>BS!$D$5</f>
        <v>31 March 2026</v>
      </c>
      <c r="PLX313" s="247" t="str">
        <f>BS!$E$5</f>
        <v>31 March 2025</v>
      </c>
      <c r="PLY313" s="1717"/>
      <c r="PLZ313" s="1718"/>
      <c r="PMA313" s="1718"/>
      <c r="PMB313" s="1718"/>
      <c r="PMC313" s="1718"/>
      <c r="PMD313" s="246"/>
      <c r="PME313" s="246" t="str">
        <f>BS!$D$5</f>
        <v>31 March 2026</v>
      </c>
      <c r="PMF313" s="247" t="str">
        <f>BS!$E$5</f>
        <v>31 March 2025</v>
      </c>
      <c r="PMG313" s="1717"/>
      <c r="PMH313" s="1718"/>
      <c r="PMI313" s="1718"/>
      <c r="PMJ313" s="1718"/>
      <c r="PMK313" s="1718"/>
      <c r="PML313" s="246"/>
      <c r="PMM313" s="246" t="str">
        <f>BS!$D$5</f>
        <v>31 March 2026</v>
      </c>
      <c r="PMN313" s="247" t="str">
        <f>BS!$E$5</f>
        <v>31 March 2025</v>
      </c>
      <c r="PMO313" s="1717"/>
      <c r="PMP313" s="1718"/>
      <c r="PMQ313" s="1718"/>
      <c r="PMR313" s="1718"/>
      <c r="PMS313" s="1718"/>
      <c r="PMT313" s="246"/>
      <c r="PMU313" s="246" t="str">
        <f>BS!$D$5</f>
        <v>31 March 2026</v>
      </c>
      <c r="PMV313" s="247" t="str">
        <f>BS!$E$5</f>
        <v>31 March 2025</v>
      </c>
      <c r="PMW313" s="1717"/>
      <c r="PMX313" s="1718"/>
      <c r="PMY313" s="1718"/>
      <c r="PMZ313" s="1718"/>
      <c r="PNA313" s="1718"/>
      <c r="PNB313" s="246"/>
      <c r="PNC313" s="246" t="str">
        <f>BS!$D$5</f>
        <v>31 March 2026</v>
      </c>
      <c r="PND313" s="247" t="str">
        <f>BS!$E$5</f>
        <v>31 March 2025</v>
      </c>
      <c r="PNE313" s="1717"/>
      <c r="PNF313" s="1718"/>
      <c r="PNG313" s="1718"/>
      <c r="PNH313" s="1718"/>
      <c r="PNI313" s="1718"/>
      <c r="PNJ313" s="246"/>
      <c r="PNK313" s="246" t="str">
        <f>BS!$D$5</f>
        <v>31 March 2026</v>
      </c>
      <c r="PNL313" s="247" t="str">
        <f>BS!$E$5</f>
        <v>31 March 2025</v>
      </c>
      <c r="PNM313" s="1717"/>
      <c r="PNN313" s="1718"/>
      <c r="PNO313" s="1718"/>
      <c r="PNP313" s="1718"/>
      <c r="PNQ313" s="1718"/>
      <c r="PNR313" s="246"/>
      <c r="PNS313" s="246" t="str">
        <f>BS!$D$5</f>
        <v>31 March 2026</v>
      </c>
      <c r="PNT313" s="247" t="str">
        <f>BS!$E$5</f>
        <v>31 March 2025</v>
      </c>
      <c r="PNU313" s="1717"/>
      <c r="PNV313" s="1718"/>
      <c r="PNW313" s="1718"/>
      <c r="PNX313" s="1718"/>
      <c r="PNY313" s="1718"/>
      <c r="PNZ313" s="246"/>
      <c r="POA313" s="246" t="str">
        <f>BS!$D$5</f>
        <v>31 March 2026</v>
      </c>
      <c r="POB313" s="247" t="str">
        <f>BS!$E$5</f>
        <v>31 March 2025</v>
      </c>
      <c r="POC313" s="1717"/>
      <c r="POD313" s="1718"/>
      <c r="POE313" s="1718"/>
      <c r="POF313" s="1718"/>
      <c r="POG313" s="1718"/>
      <c r="POH313" s="246"/>
      <c r="POI313" s="246" t="str">
        <f>BS!$D$5</f>
        <v>31 March 2026</v>
      </c>
      <c r="POJ313" s="247" t="str">
        <f>BS!$E$5</f>
        <v>31 March 2025</v>
      </c>
      <c r="POK313" s="1717"/>
      <c r="POL313" s="1718"/>
      <c r="POM313" s="1718"/>
      <c r="PON313" s="1718"/>
      <c r="POO313" s="1718"/>
      <c r="POP313" s="246"/>
      <c r="POQ313" s="246" t="str">
        <f>BS!$D$5</f>
        <v>31 March 2026</v>
      </c>
      <c r="POR313" s="247" t="str">
        <f>BS!$E$5</f>
        <v>31 March 2025</v>
      </c>
      <c r="POS313" s="1717"/>
      <c r="POT313" s="1718"/>
      <c r="POU313" s="1718"/>
      <c r="POV313" s="1718"/>
      <c r="POW313" s="1718"/>
      <c r="POX313" s="246"/>
      <c r="POY313" s="246" t="str">
        <f>BS!$D$5</f>
        <v>31 March 2026</v>
      </c>
      <c r="POZ313" s="247" t="str">
        <f>BS!$E$5</f>
        <v>31 March 2025</v>
      </c>
      <c r="PPA313" s="1717"/>
      <c r="PPB313" s="1718"/>
      <c r="PPC313" s="1718"/>
      <c r="PPD313" s="1718"/>
      <c r="PPE313" s="1718"/>
      <c r="PPF313" s="246"/>
      <c r="PPG313" s="246" t="str">
        <f>BS!$D$5</f>
        <v>31 March 2026</v>
      </c>
      <c r="PPH313" s="247" t="str">
        <f>BS!$E$5</f>
        <v>31 March 2025</v>
      </c>
      <c r="PPI313" s="1717"/>
      <c r="PPJ313" s="1718"/>
      <c r="PPK313" s="1718"/>
      <c r="PPL313" s="1718"/>
      <c r="PPM313" s="1718"/>
      <c r="PPN313" s="246"/>
      <c r="PPO313" s="246" t="str">
        <f>BS!$D$5</f>
        <v>31 March 2026</v>
      </c>
      <c r="PPP313" s="247" t="str">
        <f>BS!$E$5</f>
        <v>31 March 2025</v>
      </c>
      <c r="PPQ313" s="1717"/>
      <c r="PPR313" s="1718"/>
      <c r="PPS313" s="1718"/>
      <c r="PPT313" s="1718"/>
      <c r="PPU313" s="1718"/>
      <c r="PPV313" s="246"/>
      <c r="PPW313" s="246" t="str">
        <f>BS!$D$5</f>
        <v>31 March 2026</v>
      </c>
      <c r="PPX313" s="247" t="str">
        <f>BS!$E$5</f>
        <v>31 March 2025</v>
      </c>
      <c r="PPY313" s="1717"/>
      <c r="PPZ313" s="1718"/>
      <c r="PQA313" s="1718"/>
      <c r="PQB313" s="1718"/>
      <c r="PQC313" s="1718"/>
      <c r="PQD313" s="246"/>
      <c r="PQE313" s="246" t="str">
        <f>BS!$D$5</f>
        <v>31 March 2026</v>
      </c>
      <c r="PQF313" s="247" t="str">
        <f>BS!$E$5</f>
        <v>31 March 2025</v>
      </c>
      <c r="PQG313" s="1717"/>
      <c r="PQH313" s="1718"/>
      <c r="PQI313" s="1718"/>
      <c r="PQJ313" s="1718"/>
      <c r="PQK313" s="1718"/>
      <c r="PQL313" s="246"/>
      <c r="PQM313" s="246" t="str">
        <f>BS!$D$5</f>
        <v>31 March 2026</v>
      </c>
      <c r="PQN313" s="247" t="str">
        <f>BS!$E$5</f>
        <v>31 March 2025</v>
      </c>
      <c r="PQO313" s="1717"/>
      <c r="PQP313" s="1718"/>
      <c r="PQQ313" s="1718"/>
      <c r="PQR313" s="1718"/>
      <c r="PQS313" s="1718"/>
      <c r="PQT313" s="246"/>
      <c r="PQU313" s="246" t="str">
        <f>BS!$D$5</f>
        <v>31 March 2026</v>
      </c>
      <c r="PQV313" s="247" t="str">
        <f>BS!$E$5</f>
        <v>31 March 2025</v>
      </c>
      <c r="PQW313" s="1717"/>
      <c r="PQX313" s="1718"/>
      <c r="PQY313" s="1718"/>
      <c r="PQZ313" s="1718"/>
      <c r="PRA313" s="1718"/>
      <c r="PRB313" s="246"/>
      <c r="PRC313" s="246" t="str">
        <f>BS!$D$5</f>
        <v>31 March 2026</v>
      </c>
      <c r="PRD313" s="247" t="str">
        <f>BS!$E$5</f>
        <v>31 March 2025</v>
      </c>
      <c r="PRE313" s="1717"/>
      <c r="PRF313" s="1718"/>
      <c r="PRG313" s="1718"/>
      <c r="PRH313" s="1718"/>
      <c r="PRI313" s="1718"/>
      <c r="PRJ313" s="246"/>
      <c r="PRK313" s="246" t="str">
        <f>BS!$D$5</f>
        <v>31 March 2026</v>
      </c>
      <c r="PRL313" s="247" t="str">
        <f>BS!$E$5</f>
        <v>31 March 2025</v>
      </c>
      <c r="PRM313" s="1717"/>
      <c r="PRN313" s="1718"/>
      <c r="PRO313" s="1718"/>
      <c r="PRP313" s="1718"/>
      <c r="PRQ313" s="1718"/>
      <c r="PRR313" s="246"/>
      <c r="PRS313" s="246" t="str">
        <f>BS!$D$5</f>
        <v>31 March 2026</v>
      </c>
      <c r="PRT313" s="247" t="str">
        <f>BS!$E$5</f>
        <v>31 March 2025</v>
      </c>
      <c r="PRU313" s="1717"/>
      <c r="PRV313" s="1718"/>
      <c r="PRW313" s="1718"/>
      <c r="PRX313" s="1718"/>
      <c r="PRY313" s="1718"/>
      <c r="PRZ313" s="246"/>
      <c r="PSA313" s="246" t="str">
        <f>BS!$D$5</f>
        <v>31 March 2026</v>
      </c>
      <c r="PSB313" s="247" t="str">
        <f>BS!$E$5</f>
        <v>31 March 2025</v>
      </c>
      <c r="PSC313" s="1717"/>
      <c r="PSD313" s="1718"/>
      <c r="PSE313" s="1718"/>
      <c r="PSF313" s="1718"/>
      <c r="PSG313" s="1718"/>
      <c r="PSH313" s="246"/>
      <c r="PSI313" s="246" t="str">
        <f>BS!$D$5</f>
        <v>31 March 2026</v>
      </c>
      <c r="PSJ313" s="247" t="str">
        <f>BS!$E$5</f>
        <v>31 March 2025</v>
      </c>
      <c r="PSK313" s="1717"/>
      <c r="PSL313" s="1718"/>
      <c r="PSM313" s="1718"/>
      <c r="PSN313" s="1718"/>
      <c r="PSO313" s="1718"/>
      <c r="PSP313" s="246"/>
      <c r="PSQ313" s="246" t="str">
        <f>BS!$D$5</f>
        <v>31 March 2026</v>
      </c>
      <c r="PSR313" s="247" t="str">
        <f>BS!$E$5</f>
        <v>31 March 2025</v>
      </c>
      <c r="PSS313" s="1717"/>
      <c r="PST313" s="1718"/>
      <c r="PSU313" s="1718"/>
      <c r="PSV313" s="1718"/>
      <c r="PSW313" s="1718"/>
      <c r="PSX313" s="246"/>
      <c r="PSY313" s="246" t="str">
        <f>BS!$D$5</f>
        <v>31 March 2026</v>
      </c>
      <c r="PSZ313" s="247" t="str">
        <f>BS!$E$5</f>
        <v>31 March 2025</v>
      </c>
      <c r="PTA313" s="1717"/>
      <c r="PTB313" s="1718"/>
      <c r="PTC313" s="1718"/>
      <c r="PTD313" s="1718"/>
      <c r="PTE313" s="1718"/>
      <c r="PTF313" s="246"/>
      <c r="PTG313" s="246" t="str">
        <f>BS!$D$5</f>
        <v>31 March 2026</v>
      </c>
      <c r="PTH313" s="247" t="str">
        <f>BS!$E$5</f>
        <v>31 March 2025</v>
      </c>
      <c r="PTI313" s="1717"/>
      <c r="PTJ313" s="1718"/>
      <c r="PTK313" s="1718"/>
      <c r="PTL313" s="1718"/>
      <c r="PTM313" s="1718"/>
      <c r="PTN313" s="246"/>
      <c r="PTO313" s="246" t="str">
        <f>BS!$D$5</f>
        <v>31 March 2026</v>
      </c>
      <c r="PTP313" s="247" t="str">
        <f>BS!$E$5</f>
        <v>31 March 2025</v>
      </c>
      <c r="PTQ313" s="1717"/>
      <c r="PTR313" s="1718"/>
      <c r="PTS313" s="1718"/>
      <c r="PTT313" s="1718"/>
      <c r="PTU313" s="1718"/>
      <c r="PTV313" s="246"/>
      <c r="PTW313" s="246" t="str">
        <f>BS!$D$5</f>
        <v>31 March 2026</v>
      </c>
      <c r="PTX313" s="247" t="str">
        <f>BS!$E$5</f>
        <v>31 March 2025</v>
      </c>
      <c r="PTY313" s="1717"/>
      <c r="PTZ313" s="1718"/>
      <c r="PUA313" s="1718"/>
      <c r="PUB313" s="1718"/>
      <c r="PUC313" s="1718"/>
      <c r="PUD313" s="246"/>
      <c r="PUE313" s="246" t="str">
        <f>BS!$D$5</f>
        <v>31 March 2026</v>
      </c>
      <c r="PUF313" s="247" t="str">
        <f>BS!$E$5</f>
        <v>31 March 2025</v>
      </c>
      <c r="PUG313" s="1717"/>
      <c r="PUH313" s="1718"/>
      <c r="PUI313" s="1718"/>
      <c r="PUJ313" s="1718"/>
      <c r="PUK313" s="1718"/>
      <c r="PUL313" s="246"/>
      <c r="PUM313" s="246" t="str">
        <f>BS!$D$5</f>
        <v>31 March 2026</v>
      </c>
      <c r="PUN313" s="247" t="str">
        <f>BS!$E$5</f>
        <v>31 March 2025</v>
      </c>
      <c r="PUO313" s="1717"/>
      <c r="PUP313" s="1718"/>
      <c r="PUQ313" s="1718"/>
      <c r="PUR313" s="1718"/>
      <c r="PUS313" s="1718"/>
      <c r="PUT313" s="246"/>
      <c r="PUU313" s="246" t="str">
        <f>BS!$D$5</f>
        <v>31 March 2026</v>
      </c>
      <c r="PUV313" s="247" t="str">
        <f>BS!$E$5</f>
        <v>31 March 2025</v>
      </c>
      <c r="PUW313" s="1717"/>
      <c r="PUX313" s="1718"/>
      <c r="PUY313" s="1718"/>
      <c r="PUZ313" s="1718"/>
      <c r="PVA313" s="1718"/>
      <c r="PVB313" s="246"/>
      <c r="PVC313" s="246" t="str">
        <f>BS!$D$5</f>
        <v>31 March 2026</v>
      </c>
      <c r="PVD313" s="247" t="str">
        <f>BS!$E$5</f>
        <v>31 March 2025</v>
      </c>
      <c r="PVE313" s="1717"/>
      <c r="PVF313" s="1718"/>
      <c r="PVG313" s="1718"/>
      <c r="PVH313" s="1718"/>
      <c r="PVI313" s="1718"/>
      <c r="PVJ313" s="246"/>
      <c r="PVK313" s="246" t="str">
        <f>BS!$D$5</f>
        <v>31 March 2026</v>
      </c>
      <c r="PVL313" s="247" t="str">
        <f>BS!$E$5</f>
        <v>31 March 2025</v>
      </c>
      <c r="PVM313" s="1717"/>
      <c r="PVN313" s="1718"/>
      <c r="PVO313" s="1718"/>
      <c r="PVP313" s="1718"/>
      <c r="PVQ313" s="1718"/>
      <c r="PVR313" s="246"/>
      <c r="PVS313" s="246" t="str">
        <f>BS!$D$5</f>
        <v>31 March 2026</v>
      </c>
      <c r="PVT313" s="247" t="str">
        <f>BS!$E$5</f>
        <v>31 March 2025</v>
      </c>
      <c r="PVU313" s="1717"/>
      <c r="PVV313" s="1718"/>
      <c r="PVW313" s="1718"/>
      <c r="PVX313" s="1718"/>
      <c r="PVY313" s="1718"/>
      <c r="PVZ313" s="246"/>
      <c r="PWA313" s="246" t="str">
        <f>BS!$D$5</f>
        <v>31 March 2026</v>
      </c>
      <c r="PWB313" s="247" t="str">
        <f>BS!$E$5</f>
        <v>31 March 2025</v>
      </c>
      <c r="PWC313" s="1717"/>
      <c r="PWD313" s="1718"/>
      <c r="PWE313" s="1718"/>
      <c r="PWF313" s="1718"/>
      <c r="PWG313" s="1718"/>
      <c r="PWH313" s="246"/>
      <c r="PWI313" s="246" t="str">
        <f>BS!$D$5</f>
        <v>31 March 2026</v>
      </c>
      <c r="PWJ313" s="247" t="str">
        <f>BS!$E$5</f>
        <v>31 March 2025</v>
      </c>
      <c r="PWK313" s="1717"/>
      <c r="PWL313" s="1718"/>
      <c r="PWM313" s="1718"/>
      <c r="PWN313" s="1718"/>
      <c r="PWO313" s="1718"/>
      <c r="PWP313" s="246"/>
      <c r="PWQ313" s="246" t="str">
        <f>BS!$D$5</f>
        <v>31 March 2026</v>
      </c>
      <c r="PWR313" s="247" t="str">
        <f>BS!$E$5</f>
        <v>31 March 2025</v>
      </c>
      <c r="PWS313" s="1717"/>
      <c r="PWT313" s="1718"/>
      <c r="PWU313" s="1718"/>
      <c r="PWV313" s="1718"/>
      <c r="PWW313" s="1718"/>
      <c r="PWX313" s="246"/>
      <c r="PWY313" s="246" t="str">
        <f>BS!$D$5</f>
        <v>31 March 2026</v>
      </c>
      <c r="PWZ313" s="247" t="str">
        <f>BS!$E$5</f>
        <v>31 March 2025</v>
      </c>
      <c r="PXA313" s="1717"/>
      <c r="PXB313" s="1718"/>
      <c r="PXC313" s="1718"/>
      <c r="PXD313" s="1718"/>
      <c r="PXE313" s="1718"/>
      <c r="PXF313" s="246"/>
      <c r="PXG313" s="246" t="str">
        <f>BS!$D$5</f>
        <v>31 March 2026</v>
      </c>
      <c r="PXH313" s="247" t="str">
        <f>BS!$E$5</f>
        <v>31 March 2025</v>
      </c>
      <c r="PXI313" s="1717"/>
      <c r="PXJ313" s="1718"/>
      <c r="PXK313" s="1718"/>
      <c r="PXL313" s="1718"/>
      <c r="PXM313" s="1718"/>
      <c r="PXN313" s="246"/>
      <c r="PXO313" s="246" t="str">
        <f>BS!$D$5</f>
        <v>31 March 2026</v>
      </c>
      <c r="PXP313" s="247" t="str">
        <f>BS!$E$5</f>
        <v>31 March 2025</v>
      </c>
      <c r="PXQ313" s="1717"/>
      <c r="PXR313" s="1718"/>
      <c r="PXS313" s="1718"/>
      <c r="PXT313" s="1718"/>
      <c r="PXU313" s="1718"/>
      <c r="PXV313" s="246"/>
      <c r="PXW313" s="246" t="str">
        <f>BS!$D$5</f>
        <v>31 March 2026</v>
      </c>
      <c r="PXX313" s="247" t="str">
        <f>BS!$E$5</f>
        <v>31 March 2025</v>
      </c>
      <c r="PXY313" s="1717"/>
      <c r="PXZ313" s="1718"/>
      <c r="PYA313" s="1718"/>
      <c r="PYB313" s="1718"/>
      <c r="PYC313" s="1718"/>
      <c r="PYD313" s="246"/>
      <c r="PYE313" s="246" t="str">
        <f>BS!$D$5</f>
        <v>31 March 2026</v>
      </c>
      <c r="PYF313" s="247" t="str">
        <f>BS!$E$5</f>
        <v>31 March 2025</v>
      </c>
      <c r="PYG313" s="1717"/>
      <c r="PYH313" s="1718"/>
      <c r="PYI313" s="1718"/>
      <c r="PYJ313" s="1718"/>
      <c r="PYK313" s="1718"/>
      <c r="PYL313" s="246"/>
      <c r="PYM313" s="246" t="str">
        <f>BS!$D$5</f>
        <v>31 March 2026</v>
      </c>
      <c r="PYN313" s="247" t="str">
        <f>BS!$E$5</f>
        <v>31 March 2025</v>
      </c>
      <c r="PYO313" s="1717"/>
      <c r="PYP313" s="1718"/>
      <c r="PYQ313" s="1718"/>
      <c r="PYR313" s="1718"/>
      <c r="PYS313" s="1718"/>
      <c r="PYT313" s="246"/>
      <c r="PYU313" s="246" t="str">
        <f>BS!$D$5</f>
        <v>31 March 2026</v>
      </c>
      <c r="PYV313" s="247" t="str">
        <f>BS!$E$5</f>
        <v>31 March 2025</v>
      </c>
      <c r="PYW313" s="1717"/>
      <c r="PYX313" s="1718"/>
      <c r="PYY313" s="1718"/>
      <c r="PYZ313" s="1718"/>
      <c r="PZA313" s="1718"/>
      <c r="PZB313" s="246"/>
      <c r="PZC313" s="246" t="str">
        <f>BS!$D$5</f>
        <v>31 March 2026</v>
      </c>
      <c r="PZD313" s="247" t="str">
        <f>BS!$E$5</f>
        <v>31 March 2025</v>
      </c>
      <c r="PZE313" s="1717"/>
      <c r="PZF313" s="1718"/>
      <c r="PZG313" s="1718"/>
      <c r="PZH313" s="1718"/>
      <c r="PZI313" s="1718"/>
      <c r="PZJ313" s="246"/>
      <c r="PZK313" s="246" t="str">
        <f>BS!$D$5</f>
        <v>31 March 2026</v>
      </c>
      <c r="PZL313" s="247" t="str">
        <f>BS!$E$5</f>
        <v>31 March 2025</v>
      </c>
      <c r="PZM313" s="1717"/>
      <c r="PZN313" s="1718"/>
      <c r="PZO313" s="1718"/>
      <c r="PZP313" s="1718"/>
      <c r="PZQ313" s="1718"/>
      <c r="PZR313" s="246"/>
      <c r="PZS313" s="246" t="str">
        <f>BS!$D$5</f>
        <v>31 March 2026</v>
      </c>
      <c r="PZT313" s="247" t="str">
        <f>BS!$E$5</f>
        <v>31 March 2025</v>
      </c>
      <c r="PZU313" s="1717"/>
      <c r="PZV313" s="1718"/>
      <c r="PZW313" s="1718"/>
      <c r="PZX313" s="1718"/>
      <c r="PZY313" s="1718"/>
      <c r="PZZ313" s="246"/>
      <c r="QAA313" s="246" t="str">
        <f>BS!$D$5</f>
        <v>31 March 2026</v>
      </c>
      <c r="QAB313" s="247" t="str">
        <f>BS!$E$5</f>
        <v>31 March 2025</v>
      </c>
      <c r="QAC313" s="1717"/>
      <c r="QAD313" s="1718"/>
      <c r="QAE313" s="1718"/>
      <c r="QAF313" s="1718"/>
      <c r="QAG313" s="1718"/>
      <c r="QAH313" s="246"/>
      <c r="QAI313" s="246" t="str">
        <f>BS!$D$5</f>
        <v>31 March 2026</v>
      </c>
      <c r="QAJ313" s="247" t="str">
        <f>BS!$E$5</f>
        <v>31 March 2025</v>
      </c>
      <c r="QAK313" s="1717"/>
      <c r="QAL313" s="1718"/>
      <c r="QAM313" s="1718"/>
      <c r="QAN313" s="1718"/>
      <c r="QAO313" s="1718"/>
      <c r="QAP313" s="246"/>
      <c r="QAQ313" s="246" t="str">
        <f>BS!$D$5</f>
        <v>31 March 2026</v>
      </c>
      <c r="QAR313" s="247" t="str">
        <f>BS!$E$5</f>
        <v>31 March 2025</v>
      </c>
      <c r="QAS313" s="1717"/>
      <c r="QAT313" s="1718"/>
      <c r="QAU313" s="1718"/>
      <c r="QAV313" s="1718"/>
      <c r="QAW313" s="1718"/>
      <c r="QAX313" s="246"/>
      <c r="QAY313" s="246" t="str">
        <f>BS!$D$5</f>
        <v>31 March 2026</v>
      </c>
      <c r="QAZ313" s="247" t="str">
        <f>BS!$E$5</f>
        <v>31 March 2025</v>
      </c>
      <c r="QBA313" s="1717"/>
      <c r="QBB313" s="1718"/>
      <c r="QBC313" s="1718"/>
      <c r="QBD313" s="1718"/>
      <c r="QBE313" s="1718"/>
      <c r="QBF313" s="246"/>
      <c r="QBG313" s="246" t="str">
        <f>BS!$D$5</f>
        <v>31 March 2026</v>
      </c>
      <c r="QBH313" s="247" t="str">
        <f>BS!$E$5</f>
        <v>31 March 2025</v>
      </c>
      <c r="QBI313" s="1717"/>
      <c r="QBJ313" s="1718"/>
      <c r="QBK313" s="1718"/>
      <c r="QBL313" s="1718"/>
      <c r="QBM313" s="1718"/>
      <c r="QBN313" s="246"/>
      <c r="QBO313" s="246" t="str">
        <f>BS!$D$5</f>
        <v>31 March 2026</v>
      </c>
      <c r="QBP313" s="247" t="str">
        <f>BS!$E$5</f>
        <v>31 March 2025</v>
      </c>
      <c r="QBQ313" s="1717"/>
      <c r="QBR313" s="1718"/>
      <c r="QBS313" s="1718"/>
      <c r="QBT313" s="1718"/>
      <c r="QBU313" s="1718"/>
      <c r="QBV313" s="246"/>
      <c r="QBW313" s="246" t="str">
        <f>BS!$D$5</f>
        <v>31 March 2026</v>
      </c>
      <c r="QBX313" s="247" t="str">
        <f>BS!$E$5</f>
        <v>31 March 2025</v>
      </c>
      <c r="QBY313" s="1717"/>
      <c r="QBZ313" s="1718"/>
      <c r="QCA313" s="1718"/>
      <c r="QCB313" s="1718"/>
      <c r="QCC313" s="1718"/>
      <c r="QCD313" s="246"/>
      <c r="QCE313" s="246" t="str">
        <f>BS!$D$5</f>
        <v>31 March 2026</v>
      </c>
      <c r="QCF313" s="247" t="str">
        <f>BS!$E$5</f>
        <v>31 March 2025</v>
      </c>
      <c r="QCG313" s="1717"/>
      <c r="QCH313" s="1718"/>
      <c r="QCI313" s="1718"/>
      <c r="QCJ313" s="1718"/>
      <c r="QCK313" s="1718"/>
      <c r="QCL313" s="246"/>
      <c r="QCM313" s="246" t="str">
        <f>BS!$D$5</f>
        <v>31 March 2026</v>
      </c>
      <c r="QCN313" s="247" t="str">
        <f>BS!$E$5</f>
        <v>31 March 2025</v>
      </c>
      <c r="QCO313" s="1717"/>
      <c r="QCP313" s="1718"/>
      <c r="QCQ313" s="1718"/>
      <c r="QCR313" s="1718"/>
      <c r="QCS313" s="1718"/>
      <c r="QCT313" s="246"/>
      <c r="QCU313" s="246" t="str">
        <f>BS!$D$5</f>
        <v>31 March 2026</v>
      </c>
      <c r="QCV313" s="247" t="str">
        <f>BS!$E$5</f>
        <v>31 March 2025</v>
      </c>
      <c r="QCW313" s="1717"/>
      <c r="QCX313" s="1718"/>
      <c r="QCY313" s="1718"/>
      <c r="QCZ313" s="1718"/>
      <c r="QDA313" s="1718"/>
      <c r="QDB313" s="246"/>
      <c r="QDC313" s="246" t="str">
        <f>BS!$D$5</f>
        <v>31 March 2026</v>
      </c>
      <c r="QDD313" s="247" t="str">
        <f>BS!$E$5</f>
        <v>31 March 2025</v>
      </c>
      <c r="QDE313" s="1717"/>
      <c r="QDF313" s="1718"/>
      <c r="QDG313" s="1718"/>
      <c r="QDH313" s="1718"/>
      <c r="QDI313" s="1718"/>
      <c r="QDJ313" s="246"/>
      <c r="QDK313" s="246" t="str">
        <f>BS!$D$5</f>
        <v>31 March 2026</v>
      </c>
      <c r="QDL313" s="247" t="str">
        <f>BS!$E$5</f>
        <v>31 March 2025</v>
      </c>
      <c r="QDM313" s="1717"/>
      <c r="QDN313" s="1718"/>
      <c r="QDO313" s="1718"/>
      <c r="QDP313" s="1718"/>
      <c r="QDQ313" s="1718"/>
      <c r="QDR313" s="246"/>
      <c r="QDS313" s="246" t="str">
        <f>BS!$D$5</f>
        <v>31 March 2026</v>
      </c>
      <c r="QDT313" s="247" t="str">
        <f>BS!$E$5</f>
        <v>31 March 2025</v>
      </c>
      <c r="QDU313" s="1717"/>
      <c r="QDV313" s="1718"/>
      <c r="QDW313" s="1718"/>
      <c r="QDX313" s="1718"/>
      <c r="QDY313" s="1718"/>
      <c r="QDZ313" s="246"/>
      <c r="QEA313" s="246" t="str">
        <f>BS!$D$5</f>
        <v>31 March 2026</v>
      </c>
      <c r="QEB313" s="247" t="str">
        <f>BS!$E$5</f>
        <v>31 March 2025</v>
      </c>
      <c r="QEC313" s="1717"/>
      <c r="QED313" s="1718"/>
      <c r="QEE313" s="1718"/>
      <c r="QEF313" s="1718"/>
      <c r="QEG313" s="1718"/>
      <c r="QEH313" s="246"/>
      <c r="QEI313" s="246" t="str">
        <f>BS!$D$5</f>
        <v>31 March 2026</v>
      </c>
      <c r="QEJ313" s="247" t="str">
        <f>BS!$E$5</f>
        <v>31 March 2025</v>
      </c>
      <c r="QEK313" s="1717"/>
      <c r="QEL313" s="1718"/>
      <c r="QEM313" s="1718"/>
      <c r="QEN313" s="1718"/>
      <c r="QEO313" s="1718"/>
      <c r="QEP313" s="246"/>
      <c r="QEQ313" s="246" t="str">
        <f>BS!$D$5</f>
        <v>31 March 2026</v>
      </c>
      <c r="QER313" s="247" t="str">
        <f>BS!$E$5</f>
        <v>31 March 2025</v>
      </c>
      <c r="QES313" s="1717"/>
      <c r="QET313" s="1718"/>
      <c r="QEU313" s="1718"/>
      <c r="QEV313" s="1718"/>
      <c r="QEW313" s="1718"/>
      <c r="QEX313" s="246"/>
      <c r="QEY313" s="246" t="str">
        <f>BS!$D$5</f>
        <v>31 March 2026</v>
      </c>
      <c r="QEZ313" s="247" t="str">
        <f>BS!$E$5</f>
        <v>31 March 2025</v>
      </c>
      <c r="QFA313" s="1717"/>
      <c r="QFB313" s="1718"/>
      <c r="QFC313" s="1718"/>
      <c r="QFD313" s="1718"/>
      <c r="QFE313" s="1718"/>
      <c r="QFF313" s="246"/>
      <c r="QFG313" s="246" t="str">
        <f>BS!$D$5</f>
        <v>31 March 2026</v>
      </c>
      <c r="QFH313" s="247" t="str">
        <f>BS!$E$5</f>
        <v>31 March 2025</v>
      </c>
      <c r="QFI313" s="1717"/>
      <c r="QFJ313" s="1718"/>
      <c r="QFK313" s="1718"/>
      <c r="QFL313" s="1718"/>
      <c r="QFM313" s="1718"/>
      <c r="QFN313" s="246"/>
      <c r="QFO313" s="246" t="str">
        <f>BS!$D$5</f>
        <v>31 March 2026</v>
      </c>
      <c r="QFP313" s="247" t="str">
        <f>BS!$E$5</f>
        <v>31 March 2025</v>
      </c>
      <c r="QFQ313" s="1717"/>
      <c r="QFR313" s="1718"/>
      <c r="QFS313" s="1718"/>
      <c r="QFT313" s="1718"/>
      <c r="QFU313" s="1718"/>
      <c r="QFV313" s="246"/>
      <c r="QFW313" s="246" t="str">
        <f>BS!$D$5</f>
        <v>31 March 2026</v>
      </c>
      <c r="QFX313" s="247" t="str">
        <f>BS!$E$5</f>
        <v>31 March 2025</v>
      </c>
      <c r="QFY313" s="1717"/>
      <c r="QFZ313" s="1718"/>
      <c r="QGA313" s="1718"/>
      <c r="QGB313" s="1718"/>
      <c r="QGC313" s="1718"/>
      <c r="QGD313" s="246"/>
      <c r="QGE313" s="246" t="str">
        <f>BS!$D$5</f>
        <v>31 March 2026</v>
      </c>
      <c r="QGF313" s="247" t="str">
        <f>BS!$E$5</f>
        <v>31 March 2025</v>
      </c>
      <c r="QGG313" s="1717"/>
      <c r="QGH313" s="1718"/>
      <c r="QGI313" s="1718"/>
      <c r="QGJ313" s="1718"/>
      <c r="QGK313" s="1718"/>
      <c r="QGL313" s="246"/>
      <c r="QGM313" s="246" t="str">
        <f>BS!$D$5</f>
        <v>31 March 2026</v>
      </c>
      <c r="QGN313" s="247" t="str">
        <f>BS!$E$5</f>
        <v>31 March 2025</v>
      </c>
      <c r="QGO313" s="1717"/>
      <c r="QGP313" s="1718"/>
      <c r="QGQ313" s="1718"/>
      <c r="QGR313" s="1718"/>
      <c r="QGS313" s="1718"/>
      <c r="QGT313" s="246"/>
      <c r="QGU313" s="246" t="str">
        <f>BS!$D$5</f>
        <v>31 March 2026</v>
      </c>
      <c r="QGV313" s="247" t="str">
        <f>BS!$E$5</f>
        <v>31 March 2025</v>
      </c>
      <c r="QGW313" s="1717"/>
      <c r="QGX313" s="1718"/>
      <c r="QGY313" s="1718"/>
      <c r="QGZ313" s="1718"/>
      <c r="QHA313" s="1718"/>
      <c r="QHB313" s="246"/>
      <c r="QHC313" s="246" t="str">
        <f>BS!$D$5</f>
        <v>31 March 2026</v>
      </c>
      <c r="QHD313" s="247" t="str">
        <f>BS!$E$5</f>
        <v>31 March 2025</v>
      </c>
      <c r="QHE313" s="1717"/>
      <c r="QHF313" s="1718"/>
      <c r="QHG313" s="1718"/>
      <c r="QHH313" s="1718"/>
      <c r="QHI313" s="1718"/>
      <c r="QHJ313" s="246"/>
      <c r="QHK313" s="246" t="str">
        <f>BS!$D$5</f>
        <v>31 March 2026</v>
      </c>
      <c r="QHL313" s="247" t="str">
        <f>BS!$E$5</f>
        <v>31 March 2025</v>
      </c>
      <c r="QHM313" s="1717"/>
      <c r="QHN313" s="1718"/>
      <c r="QHO313" s="1718"/>
      <c r="QHP313" s="1718"/>
      <c r="QHQ313" s="1718"/>
      <c r="QHR313" s="246"/>
      <c r="QHS313" s="246" t="str">
        <f>BS!$D$5</f>
        <v>31 March 2026</v>
      </c>
      <c r="QHT313" s="247" t="str">
        <f>BS!$E$5</f>
        <v>31 March 2025</v>
      </c>
      <c r="QHU313" s="1717"/>
      <c r="QHV313" s="1718"/>
      <c r="QHW313" s="1718"/>
      <c r="QHX313" s="1718"/>
      <c r="QHY313" s="1718"/>
      <c r="QHZ313" s="246"/>
      <c r="QIA313" s="246" t="str">
        <f>BS!$D$5</f>
        <v>31 March 2026</v>
      </c>
      <c r="QIB313" s="247" t="str">
        <f>BS!$E$5</f>
        <v>31 March 2025</v>
      </c>
      <c r="QIC313" s="1717"/>
      <c r="QID313" s="1718"/>
      <c r="QIE313" s="1718"/>
      <c r="QIF313" s="1718"/>
      <c r="QIG313" s="1718"/>
      <c r="QIH313" s="246"/>
      <c r="QII313" s="246" t="str">
        <f>BS!$D$5</f>
        <v>31 March 2026</v>
      </c>
      <c r="QIJ313" s="247" t="str">
        <f>BS!$E$5</f>
        <v>31 March 2025</v>
      </c>
      <c r="QIK313" s="1717"/>
      <c r="QIL313" s="1718"/>
      <c r="QIM313" s="1718"/>
      <c r="QIN313" s="1718"/>
      <c r="QIO313" s="1718"/>
      <c r="QIP313" s="246"/>
      <c r="QIQ313" s="246" t="str">
        <f>BS!$D$5</f>
        <v>31 March 2026</v>
      </c>
      <c r="QIR313" s="247" t="str">
        <f>BS!$E$5</f>
        <v>31 March 2025</v>
      </c>
      <c r="QIS313" s="1717"/>
      <c r="QIT313" s="1718"/>
      <c r="QIU313" s="1718"/>
      <c r="QIV313" s="1718"/>
      <c r="QIW313" s="1718"/>
      <c r="QIX313" s="246"/>
      <c r="QIY313" s="246" t="str">
        <f>BS!$D$5</f>
        <v>31 March 2026</v>
      </c>
      <c r="QIZ313" s="247" t="str">
        <f>BS!$E$5</f>
        <v>31 March 2025</v>
      </c>
      <c r="QJA313" s="1717"/>
      <c r="QJB313" s="1718"/>
      <c r="QJC313" s="1718"/>
      <c r="QJD313" s="1718"/>
      <c r="QJE313" s="1718"/>
      <c r="QJF313" s="246"/>
      <c r="QJG313" s="246" t="str">
        <f>BS!$D$5</f>
        <v>31 March 2026</v>
      </c>
      <c r="QJH313" s="247" t="str">
        <f>BS!$E$5</f>
        <v>31 March 2025</v>
      </c>
      <c r="QJI313" s="1717"/>
      <c r="QJJ313" s="1718"/>
      <c r="QJK313" s="1718"/>
      <c r="QJL313" s="1718"/>
      <c r="QJM313" s="1718"/>
      <c r="QJN313" s="246"/>
      <c r="QJO313" s="246" t="str">
        <f>BS!$D$5</f>
        <v>31 March 2026</v>
      </c>
      <c r="QJP313" s="247" t="str">
        <f>BS!$E$5</f>
        <v>31 March 2025</v>
      </c>
      <c r="QJQ313" s="1717"/>
      <c r="QJR313" s="1718"/>
      <c r="QJS313" s="1718"/>
      <c r="QJT313" s="1718"/>
      <c r="QJU313" s="1718"/>
      <c r="QJV313" s="246"/>
      <c r="QJW313" s="246" t="str">
        <f>BS!$D$5</f>
        <v>31 March 2026</v>
      </c>
      <c r="QJX313" s="247" t="str">
        <f>BS!$E$5</f>
        <v>31 March 2025</v>
      </c>
      <c r="QJY313" s="1717"/>
      <c r="QJZ313" s="1718"/>
      <c r="QKA313" s="1718"/>
      <c r="QKB313" s="1718"/>
      <c r="QKC313" s="1718"/>
      <c r="QKD313" s="246"/>
      <c r="QKE313" s="246" t="str">
        <f>BS!$D$5</f>
        <v>31 March 2026</v>
      </c>
      <c r="QKF313" s="247" t="str">
        <f>BS!$E$5</f>
        <v>31 March 2025</v>
      </c>
      <c r="QKG313" s="1717"/>
      <c r="QKH313" s="1718"/>
      <c r="QKI313" s="1718"/>
      <c r="QKJ313" s="1718"/>
      <c r="QKK313" s="1718"/>
      <c r="QKL313" s="246"/>
      <c r="QKM313" s="246" t="str">
        <f>BS!$D$5</f>
        <v>31 March 2026</v>
      </c>
      <c r="QKN313" s="247" t="str">
        <f>BS!$E$5</f>
        <v>31 March 2025</v>
      </c>
      <c r="QKO313" s="1717"/>
      <c r="QKP313" s="1718"/>
      <c r="QKQ313" s="1718"/>
      <c r="QKR313" s="1718"/>
      <c r="QKS313" s="1718"/>
      <c r="QKT313" s="246"/>
      <c r="QKU313" s="246" t="str">
        <f>BS!$D$5</f>
        <v>31 March 2026</v>
      </c>
      <c r="QKV313" s="247" t="str">
        <f>BS!$E$5</f>
        <v>31 March 2025</v>
      </c>
      <c r="QKW313" s="1717"/>
      <c r="QKX313" s="1718"/>
      <c r="QKY313" s="1718"/>
      <c r="QKZ313" s="1718"/>
      <c r="QLA313" s="1718"/>
      <c r="QLB313" s="246"/>
      <c r="QLC313" s="246" t="str">
        <f>BS!$D$5</f>
        <v>31 March 2026</v>
      </c>
      <c r="QLD313" s="247" t="str">
        <f>BS!$E$5</f>
        <v>31 March 2025</v>
      </c>
      <c r="QLE313" s="1717"/>
      <c r="QLF313" s="1718"/>
      <c r="QLG313" s="1718"/>
      <c r="QLH313" s="1718"/>
      <c r="QLI313" s="1718"/>
      <c r="QLJ313" s="246"/>
      <c r="QLK313" s="246" t="str">
        <f>BS!$D$5</f>
        <v>31 March 2026</v>
      </c>
      <c r="QLL313" s="247" t="str">
        <f>BS!$E$5</f>
        <v>31 March 2025</v>
      </c>
      <c r="QLM313" s="1717"/>
      <c r="QLN313" s="1718"/>
      <c r="QLO313" s="1718"/>
      <c r="QLP313" s="1718"/>
      <c r="QLQ313" s="1718"/>
      <c r="QLR313" s="246"/>
      <c r="QLS313" s="246" t="str">
        <f>BS!$D$5</f>
        <v>31 March 2026</v>
      </c>
      <c r="QLT313" s="247" t="str">
        <f>BS!$E$5</f>
        <v>31 March 2025</v>
      </c>
      <c r="QLU313" s="1717"/>
      <c r="QLV313" s="1718"/>
      <c r="QLW313" s="1718"/>
      <c r="QLX313" s="1718"/>
      <c r="QLY313" s="1718"/>
      <c r="QLZ313" s="246"/>
      <c r="QMA313" s="246" t="str">
        <f>BS!$D$5</f>
        <v>31 March 2026</v>
      </c>
      <c r="QMB313" s="247" t="str">
        <f>BS!$E$5</f>
        <v>31 March 2025</v>
      </c>
      <c r="QMC313" s="1717"/>
      <c r="QMD313" s="1718"/>
      <c r="QME313" s="1718"/>
      <c r="QMF313" s="1718"/>
      <c r="QMG313" s="1718"/>
      <c r="QMH313" s="246"/>
      <c r="QMI313" s="246" t="str">
        <f>BS!$D$5</f>
        <v>31 March 2026</v>
      </c>
      <c r="QMJ313" s="247" t="str">
        <f>BS!$E$5</f>
        <v>31 March 2025</v>
      </c>
      <c r="QMK313" s="1717"/>
      <c r="QML313" s="1718"/>
      <c r="QMM313" s="1718"/>
      <c r="QMN313" s="1718"/>
      <c r="QMO313" s="1718"/>
      <c r="QMP313" s="246"/>
      <c r="QMQ313" s="246" t="str">
        <f>BS!$D$5</f>
        <v>31 March 2026</v>
      </c>
      <c r="QMR313" s="247" t="str">
        <f>BS!$E$5</f>
        <v>31 March 2025</v>
      </c>
      <c r="QMS313" s="1717"/>
      <c r="QMT313" s="1718"/>
      <c r="QMU313" s="1718"/>
      <c r="QMV313" s="1718"/>
      <c r="QMW313" s="1718"/>
      <c r="QMX313" s="246"/>
      <c r="QMY313" s="246" t="str">
        <f>BS!$D$5</f>
        <v>31 March 2026</v>
      </c>
      <c r="QMZ313" s="247" t="str">
        <f>BS!$E$5</f>
        <v>31 March 2025</v>
      </c>
      <c r="QNA313" s="1717"/>
      <c r="QNB313" s="1718"/>
      <c r="QNC313" s="1718"/>
      <c r="QND313" s="1718"/>
      <c r="QNE313" s="1718"/>
      <c r="QNF313" s="246"/>
      <c r="QNG313" s="246" t="str">
        <f>BS!$D$5</f>
        <v>31 March 2026</v>
      </c>
      <c r="QNH313" s="247" t="str">
        <f>BS!$E$5</f>
        <v>31 March 2025</v>
      </c>
      <c r="QNI313" s="1717"/>
      <c r="QNJ313" s="1718"/>
      <c r="QNK313" s="1718"/>
      <c r="QNL313" s="1718"/>
      <c r="QNM313" s="1718"/>
      <c r="QNN313" s="246"/>
      <c r="QNO313" s="246" t="str">
        <f>BS!$D$5</f>
        <v>31 March 2026</v>
      </c>
      <c r="QNP313" s="247" t="str">
        <f>BS!$E$5</f>
        <v>31 March 2025</v>
      </c>
      <c r="QNQ313" s="1717"/>
      <c r="QNR313" s="1718"/>
      <c r="QNS313" s="1718"/>
      <c r="QNT313" s="1718"/>
      <c r="QNU313" s="1718"/>
      <c r="QNV313" s="246"/>
      <c r="QNW313" s="246" t="str">
        <f>BS!$D$5</f>
        <v>31 March 2026</v>
      </c>
      <c r="QNX313" s="247" t="str">
        <f>BS!$E$5</f>
        <v>31 March 2025</v>
      </c>
      <c r="QNY313" s="1717"/>
      <c r="QNZ313" s="1718"/>
      <c r="QOA313" s="1718"/>
      <c r="QOB313" s="1718"/>
      <c r="QOC313" s="1718"/>
      <c r="QOD313" s="246"/>
      <c r="QOE313" s="246" t="str">
        <f>BS!$D$5</f>
        <v>31 March 2026</v>
      </c>
      <c r="QOF313" s="247" t="str">
        <f>BS!$E$5</f>
        <v>31 March 2025</v>
      </c>
      <c r="QOG313" s="1717"/>
      <c r="QOH313" s="1718"/>
      <c r="QOI313" s="1718"/>
      <c r="QOJ313" s="1718"/>
      <c r="QOK313" s="1718"/>
      <c r="QOL313" s="246"/>
      <c r="QOM313" s="246" t="str">
        <f>BS!$D$5</f>
        <v>31 March 2026</v>
      </c>
      <c r="QON313" s="247" t="str">
        <f>BS!$E$5</f>
        <v>31 March 2025</v>
      </c>
      <c r="QOO313" s="1717"/>
      <c r="QOP313" s="1718"/>
      <c r="QOQ313" s="1718"/>
      <c r="QOR313" s="1718"/>
      <c r="QOS313" s="1718"/>
      <c r="QOT313" s="246"/>
      <c r="QOU313" s="246" t="str">
        <f>BS!$D$5</f>
        <v>31 March 2026</v>
      </c>
      <c r="QOV313" s="247" t="str">
        <f>BS!$E$5</f>
        <v>31 March 2025</v>
      </c>
      <c r="QOW313" s="1717"/>
      <c r="QOX313" s="1718"/>
      <c r="QOY313" s="1718"/>
      <c r="QOZ313" s="1718"/>
      <c r="QPA313" s="1718"/>
      <c r="QPB313" s="246"/>
      <c r="QPC313" s="246" t="str">
        <f>BS!$D$5</f>
        <v>31 March 2026</v>
      </c>
      <c r="QPD313" s="247" t="str">
        <f>BS!$E$5</f>
        <v>31 March 2025</v>
      </c>
      <c r="QPE313" s="1717"/>
      <c r="QPF313" s="1718"/>
      <c r="QPG313" s="1718"/>
      <c r="QPH313" s="1718"/>
      <c r="QPI313" s="1718"/>
      <c r="QPJ313" s="246"/>
      <c r="QPK313" s="246" t="str">
        <f>BS!$D$5</f>
        <v>31 March 2026</v>
      </c>
      <c r="QPL313" s="247" t="str">
        <f>BS!$E$5</f>
        <v>31 March 2025</v>
      </c>
      <c r="QPM313" s="1717"/>
      <c r="QPN313" s="1718"/>
      <c r="QPO313" s="1718"/>
      <c r="QPP313" s="1718"/>
      <c r="QPQ313" s="1718"/>
      <c r="QPR313" s="246"/>
      <c r="QPS313" s="246" t="str">
        <f>BS!$D$5</f>
        <v>31 March 2026</v>
      </c>
      <c r="QPT313" s="247" t="str">
        <f>BS!$E$5</f>
        <v>31 March 2025</v>
      </c>
      <c r="QPU313" s="1717"/>
      <c r="QPV313" s="1718"/>
      <c r="QPW313" s="1718"/>
      <c r="QPX313" s="1718"/>
      <c r="QPY313" s="1718"/>
      <c r="QPZ313" s="246"/>
      <c r="QQA313" s="246" t="str">
        <f>BS!$D$5</f>
        <v>31 March 2026</v>
      </c>
      <c r="QQB313" s="247" t="str">
        <f>BS!$E$5</f>
        <v>31 March 2025</v>
      </c>
      <c r="QQC313" s="1717"/>
      <c r="QQD313" s="1718"/>
      <c r="QQE313" s="1718"/>
      <c r="QQF313" s="1718"/>
      <c r="QQG313" s="1718"/>
      <c r="QQH313" s="246"/>
      <c r="QQI313" s="246" t="str">
        <f>BS!$D$5</f>
        <v>31 March 2026</v>
      </c>
      <c r="QQJ313" s="247" t="str">
        <f>BS!$E$5</f>
        <v>31 March 2025</v>
      </c>
      <c r="QQK313" s="1717"/>
      <c r="QQL313" s="1718"/>
      <c r="QQM313" s="1718"/>
      <c r="QQN313" s="1718"/>
      <c r="QQO313" s="1718"/>
      <c r="QQP313" s="246"/>
      <c r="QQQ313" s="246" t="str">
        <f>BS!$D$5</f>
        <v>31 March 2026</v>
      </c>
      <c r="QQR313" s="247" t="str">
        <f>BS!$E$5</f>
        <v>31 March 2025</v>
      </c>
      <c r="QQS313" s="1717"/>
      <c r="QQT313" s="1718"/>
      <c r="QQU313" s="1718"/>
      <c r="QQV313" s="1718"/>
      <c r="QQW313" s="1718"/>
      <c r="QQX313" s="246"/>
      <c r="QQY313" s="246" t="str">
        <f>BS!$D$5</f>
        <v>31 March 2026</v>
      </c>
      <c r="QQZ313" s="247" t="str">
        <f>BS!$E$5</f>
        <v>31 March 2025</v>
      </c>
      <c r="QRA313" s="1717"/>
      <c r="QRB313" s="1718"/>
      <c r="QRC313" s="1718"/>
      <c r="QRD313" s="1718"/>
      <c r="QRE313" s="1718"/>
      <c r="QRF313" s="246"/>
      <c r="QRG313" s="246" t="str">
        <f>BS!$D$5</f>
        <v>31 March 2026</v>
      </c>
      <c r="QRH313" s="247" t="str">
        <f>BS!$E$5</f>
        <v>31 March 2025</v>
      </c>
      <c r="QRI313" s="1717"/>
      <c r="QRJ313" s="1718"/>
      <c r="QRK313" s="1718"/>
      <c r="QRL313" s="1718"/>
      <c r="QRM313" s="1718"/>
      <c r="QRN313" s="246"/>
      <c r="QRO313" s="246" t="str">
        <f>BS!$D$5</f>
        <v>31 March 2026</v>
      </c>
      <c r="QRP313" s="247" t="str">
        <f>BS!$E$5</f>
        <v>31 March 2025</v>
      </c>
      <c r="QRQ313" s="1717"/>
      <c r="QRR313" s="1718"/>
      <c r="QRS313" s="1718"/>
      <c r="QRT313" s="1718"/>
      <c r="QRU313" s="1718"/>
      <c r="QRV313" s="246"/>
      <c r="QRW313" s="246" t="str">
        <f>BS!$D$5</f>
        <v>31 March 2026</v>
      </c>
      <c r="QRX313" s="247" t="str">
        <f>BS!$E$5</f>
        <v>31 March 2025</v>
      </c>
      <c r="QRY313" s="1717"/>
      <c r="QRZ313" s="1718"/>
      <c r="QSA313" s="1718"/>
      <c r="QSB313" s="1718"/>
      <c r="QSC313" s="1718"/>
      <c r="QSD313" s="246"/>
      <c r="QSE313" s="246" t="str">
        <f>BS!$D$5</f>
        <v>31 March 2026</v>
      </c>
      <c r="QSF313" s="247" t="str">
        <f>BS!$E$5</f>
        <v>31 March 2025</v>
      </c>
      <c r="QSG313" s="1717"/>
      <c r="QSH313" s="1718"/>
      <c r="QSI313" s="1718"/>
      <c r="QSJ313" s="1718"/>
      <c r="QSK313" s="1718"/>
      <c r="QSL313" s="246"/>
      <c r="QSM313" s="246" t="str">
        <f>BS!$D$5</f>
        <v>31 March 2026</v>
      </c>
      <c r="QSN313" s="247" t="str">
        <f>BS!$E$5</f>
        <v>31 March 2025</v>
      </c>
      <c r="QSO313" s="1717"/>
      <c r="QSP313" s="1718"/>
      <c r="QSQ313" s="1718"/>
      <c r="QSR313" s="1718"/>
      <c r="QSS313" s="1718"/>
      <c r="QST313" s="246"/>
      <c r="QSU313" s="246" t="str">
        <f>BS!$D$5</f>
        <v>31 March 2026</v>
      </c>
      <c r="QSV313" s="247" t="str">
        <f>BS!$E$5</f>
        <v>31 March 2025</v>
      </c>
      <c r="QSW313" s="1717"/>
      <c r="QSX313" s="1718"/>
      <c r="QSY313" s="1718"/>
      <c r="QSZ313" s="1718"/>
      <c r="QTA313" s="1718"/>
      <c r="QTB313" s="246"/>
      <c r="QTC313" s="246" t="str">
        <f>BS!$D$5</f>
        <v>31 March 2026</v>
      </c>
      <c r="QTD313" s="247" t="str">
        <f>BS!$E$5</f>
        <v>31 March 2025</v>
      </c>
      <c r="QTE313" s="1717"/>
      <c r="QTF313" s="1718"/>
      <c r="QTG313" s="1718"/>
      <c r="QTH313" s="1718"/>
      <c r="QTI313" s="1718"/>
      <c r="QTJ313" s="246"/>
      <c r="QTK313" s="246" t="str">
        <f>BS!$D$5</f>
        <v>31 March 2026</v>
      </c>
      <c r="QTL313" s="247" t="str">
        <f>BS!$E$5</f>
        <v>31 March 2025</v>
      </c>
      <c r="QTM313" s="1717"/>
      <c r="QTN313" s="1718"/>
      <c r="QTO313" s="1718"/>
      <c r="QTP313" s="1718"/>
      <c r="QTQ313" s="1718"/>
      <c r="QTR313" s="246"/>
      <c r="QTS313" s="246" t="str">
        <f>BS!$D$5</f>
        <v>31 March 2026</v>
      </c>
      <c r="QTT313" s="247" t="str">
        <f>BS!$E$5</f>
        <v>31 March 2025</v>
      </c>
      <c r="QTU313" s="1717"/>
      <c r="QTV313" s="1718"/>
      <c r="QTW313" s="1718"/>
      <c r="QTX313" s="1718"/>
      <c r="QTY313" s="1718"/>
      <c r="QTZ313" s="246"/>
      <c r="QUA313" s="246" t="str">
        <f>BS!$D$5</f>
        <v>31 March 2026</v>
      </c>
      <c r="QUB313" s="247" t="str">
        <f>BS!$E$5</f>
        <v>31 March 2025</v>
      </c>
      <c r="QUC313" s="1717"/>
      <c r="QUD313" s="1718"/>
      <c r="QUE313" s="1718"/>
      <c r="QUF313" s="1718"/>
      <c r="QUG313" s="1718"/>
      <c r="QUH313" s="246"/>
      <c r="QUI313" s="246" t="str">
        <f>BS!$D$5</f>
        <v>31 March 2026</v>
      </c>
      <c r="QUJ313" s="247" t="str">
        <f>BS!$E$5</f>
        <v>31 March 2025</v>
      </c>
      <c r="QUK313" s="1717"/>
      <c r="QUL313" s="1718"/>
      <c r="QUM313" s="1718"/>
      <c r="QUN313" s="1718"/>
      <c r="QUO313" s="1718"/>
      <c r="QUP313" s="246"/>
      <c r="QUQ313" s="246" t="str">
        <f>BS!$D$5</f>
        <v>31 March 2026</v>
      </c>
      <c r="QUR313" s="247" t="str">
        <f>BS!$E$5</f>
        <v>31 March 2025</v>
      </c>
      <c r="QUS313" s="1717"/>
      <c r="QUT313" s="1718"/>
      <c r="QUU313" s="1718"/>
      <c r="QUV313" s="1718"/>
      <c r="QUW313" s="1718"/>
      <c r="QUX313" s="246"/>
      <c r="QUY313" s="246" t="str">
        <f>BS!$D$5</f>
        <v>31 March 2026</v>
      </c>
      <c r="QUZ313" s="247" t="str">
        <f>BS!$E$5</f>
        <v>31 March 2025</v>
      </c>
      <c r="QVA313" s="1717"/>
      <c r="QVB313" s="1718"/>
      <c r="QVC313" s="1718"/>
      <c r="QVD313" s="1718"/>
      <c r="QVE313" s="1718"/>
      <c r="QVF313" s="246"/>
      <c r="QVG313" s="246" t="str">
        <f>BS!$D$5</f>
        <v>31 March 2026</v>
      </c>
      <c r="QVH313" s="247" t="str">
        <f>BS!$E$5</f>
        <v>31 March 2025</v>
      </c>
      <c r="QVI313" s="1717"/>
      <c r="QVJ313" s="1718"/>
      <c r="QVK313" s="1718"/>
      <c r="QVL313" s="1718"/>
      <c r="QVM313" s="1718"/>
      <c r="QVN313" s="246"/>
      <c r="QVO313" s="246" t="str">
        <f>BS!$D$5</f>
        <v>31 March 2026</v>
      </c>
      <c r="QVP313" s="247" t="str">
        <f>BS!$E$5</f>
        <v>31 March 2025</v>
      </c>
      <c r="QVQ313" s="1717"/>
      <c r="QVR313" s="1718"/>
      <c r="QVS313" s="1718"/>
      <c r="QVT313" s="1718"/>
      <c r="QVU313" s="1718"/>
      <c r="QVV313" s="246"/>
      <c r="QVW313" s="246" t="str">
        <f>BS!$D$5</f>
        <v>31 March 2026</v>
      </c>
      <c r="QVX313" s="247" t="str">
        <f>BS!$E$5</f>
        <v>31 March 2025</v>
      </c>
      <c r="QVY313" s="1717"/>
      <c r="QVZ313" s="1718"/>
      <c r="QWA313" s="1718"/>
      <c r="QWB313" s="1718"/>
      <c r="QWC313" s="1718"/>
      <c r="QWD313" s="246"/>
      <c r="QWE313" s="246" t="str">
        <f>BS!$D$5</f>
        <v>31 March 2026</v>
      </c>
      <c r="QWF313" s="247" t="str">
        <f>BS!$E$5</f>
        <v>31 March 2025</v>
      </c>
      <c r="QWG313" s="1717"/>
      <c r="QWH313" s="1718"/>
      <c r="QWI313" s="1718"/>
      <c r="QWJ313" s="1718"/>
      <c r="QWK313" s="1718"/>
      <c r="QWL313" s="246"/>
      <c r="QWM313" s="246" t="str">
        <f>BS!$D$5</f>
        <v>31 March 2026</v>
      </c>
      <c r="QWN313" s="247" t="str">
        <f>BS!$E$5</f>
        <v>31 March 2025</v>
      </c>
      <c r="QWO313" s="1717"/>
      <c r="QWP313" s="1718"/>
      <c r="QWQ313" s="1718"/>
      <c r="QWR313" s="1718"/>
      <c r="QWS313" s="1718"/>
      <c r="QWT313" s="246"/>
      <c r="QWU313" s="246" t="str">
        <f>BS!$D$5</f>
        <v>31 March 2026</v>
      </c>
      <c r="QWV313" s="247" t="str">
        <f>BS!$E$5</f>
        <v>31 March 2025</v>
      </c>
      <c r="QWW313" s="1717"/>
      <c r="QWX313" s="1718"/>
      <c r="QWY313" s="1718"/>
      <c r="QWZ313" s="1718"/>
      <c r="QXA313" s="1718"/>
      <c r="QXB313" s="246"/>
      <c r="QXC313" s="246" t="str">
        <f>BS!$D$5</f>
        <v>31 March 2026</v>
      </c>
      <c r="QXD313" s="247" t="str">
        <f>BS!$E$5</f>
        <v>31 March 2025</v>
      </c>
      <c r="QXE313" s="1717"/>
      <c r="QXF313" s="1718"/>
      <c r="QXG313" s="1718"/>
      <c r="QXH313" s="1718"/>
      <c r="QXI313" s="1718"/>
      <c r="QXJ313" s="246"/>
      <c r="QXK313" s="246" t="str">
        <f>BS!$D$5</f>
        <v>31 March 2026</v>
      </c>
      <c r="QXL313" s="247" t="str">
        <f>BS!$E$5</f>
        <v>31 March 2025</v>
      </c>
      <c r="QXM313" s="1717"/>
      <c r="QXN313" s="1718"/>
      <c r="QXO313" s="1718"/>
      <c r="QXP313" s="1718"/>
      <c r="QXQ313" s="1718"/>
      <c r="QXR313" s="246"/>
      <c r="QXS313" s="246" t="str">
        <f>BS!$D$5</f>
        <v>31 March 2026</v>
      </c>
      <c r="QXT313" s="247" t="str">
        <f>BS!$E$5</f>
        <v>31 March 2025</v>
      </c>
      <c r="QXU313" s="1717"/>
      <c r="QXV313" s="1718"/>
      <c r="QXW313" s="1718"/>
      <c r="QXX313" s="1718"/>
      <c r="QXY313" s="1718"/>
      <c r="QXZ313" s="246"/>
      <c r="QYA313" s="246" t="str">
        <f>BS!$D$5</f>
        <v>31 March 2026</v>
      </c>
      <c r="QYB313" s="247" t="str">
        <f>BS!$E$5</f>
        <v>31 March 2025</v>
      </c>
      <c r="QYC313" s="1717"/>
      <c r="QYD313" s="1718"/>
      <c r="QYE313" s="1718"/>
      <c r="QYF313" s="1718"/>
      <c r="QYG313" s="1718"/>
      <c r="QYH313" s="246"/>
      <c r="QYI313" s="246" t="str">
        <f>BS!$D$5</f>
        <v>31 March 2026</v>
      </c>
      <c r="QYJ313" s="247" t="str">
        <f>BS!$E$5</f>
        <v>31 March 2025</v>
      </c>
      <c r="QYK313" s="1717"/>
      <c r="QYL313" s="1718"/>
      <c r="QYM313" s="1718"/>
      <c r="QYN313" s="1718"/>
      <c r="QYO313" s="1718"/>
      <c r="QYP313" s="246"/>
      <c r="QYQ313" s="246" t="str">
        <f>BS!$D$5</f>
        <v>31 March 2026</v>
      </c>
      <c r="QYR313" s="247" t="str">
        <f>BS!$E$5</f>
        <v>31 March 2025</v>
      </c>
      <c r="QYS313" s="1717"/>
      <c r="QYT313" s="1718"/>
      <c r="QYU313" s="1718"/>
      <c r="QYV313" s="1718"/>
      <c r="QYW313" s="1718"/>
      <c r="QYX313" s="246"/>
      <c r="QYY313" s="246" t="str">
        <f>BS!$D$5</f>
        <v>31 March 2026</v>
      </c>
      <c r="QYZ313" s="247" t="str">
        <f>BS!$E$5</f>
        <v>31 March 2025</v>
      </c>
      <c r="QZA313" s="1717"/>
      <c r="QZB313" s="1718"/>
      <c r="QZC313" s="1718"/>
      <c r="QZD313" s="1718"/>
      <c r="QZE313" s="1718"/>
      <c r="QZF313" s="246"/>
      <c r="QZG313" s="246" t="str">
        <f>BS!$D$5</f>
        <v>31 March 2026</v>
      </c>
      <c r="QZH313" s="247" t="str">
        <f>BS!$E$5</f>
        <v>31 March 2025</v>
      </c>
      <c r="QZI313" s="1717"/>
      <c r="QZJ313" s="1718"/>
      <c r="QZK313" s="1718"/>
      <c r="QZL313" s="1718"/>
      <c r="QZM313" s="1718"/>
      <c r="QZN313" s="246"/>
      <c r="QZO313" s="246" t="str">
        <f>BS!$D$5</f>
        <v>31 March 2026</v>
      </c>
      <c r="QZP313" s="247" t="str">
        <f>BS!$E$5</f>
        <v>31 March 2025</v>
      </c>
      <c r="QZQ313" s="1717"/>
      <c r="QZR313" s="1718"/>
      <c r="QZS313" s="1718"/>
      <c r="QZT313" s="1718"/>
      <c r="QZU313" s="1718"/>
      <c r="QZV313" s="246"/>
      <c r="QZW313" s="246" t="str">
        <f>BS!$D$5</f>
        <v>31 March 2026</v>
      </c>
      <c r="QZX313" s="247" t="str">
        <f>BS!$E$5</f>
        <v>31 March 2025</v>
      </c>
      <c r="QZY313" s="1717"/>
      <c r="QZZ313" s="1718"/>
      <c r="RAA313" s="1718"/>
      <c r="RAB313" s="1718"/>
      <c r="RAC313" s="1718"/>
      <c r="RAD313" s="246"/>
      <c r="RAE313" s="246" t="str">
        <f>BS!$D$5</f>
        <v>31 March 2026</v>
      </c>
      <c r="RAF313" s="247" t="str">
        <f>BS!$E$5</f>
        <v>31 March 2025</v>
      </c>
      <c r="RAG313" s="1717"/>
      <c r="RAH313" s="1718"/>
      <c r="RAI313" s="1718"/>
      <c r="RAJ313" s="1718"/>
      <c r="RAK313" s="1718"/>
      <c r="RAL313" s="246"/>
      <c r="RAM313" s="246" t="str">
        <f>BS!$D$5</f>
        <v>31 March 2026</v>
      </c>
      <c r="RAN313" s="247" t="str">
        <f>BS!$E$5</f>
        <v>31 March 2025</v>
      </c>
      <c r="RAO313" s="1717"/>
      <c r="RAP313" s="1718"/>
      <c r="RAQ313" s="1718"/>
      <c r="RAR313" s="1718"/>
      <c r="RAS313" s="1718"/>
      <c r="RAT313" s="246"/>
      <c r="RAU313" s="246" t="str">
        <f>BS!$D$5</f>
        <v>31 March 2026</v>
      </c>
      <c r="RAV313" s="247" t="str">
        <f>BS!$E$5</f>
        <v>31 March 2025</v>
      </c>
      <c r="RAW313" s="1717"/>
      <c r="RAX313" s="1718"/>
      <c r="RAY313" s="1718"/>
      <c r="RAZ313" s="1718"/>
      <c r="RBA313" s="1718"/>
      <c r="RBB313" s="246"/>
      <c r="RBC313" s="246" t="str">
        <f>BS!$D$5</f>
        <v>31 March 2026</v>
      </c>
      <c r="RBD313" s="247" t="str">
        <f>BS!$E$5</f>
        <v>31 March 2025</v>
      </c>
      <c r="RBE313" s="1717"/>
      <c r="RBF313" s="1718"/>
      <c r="RBG313" s="1718"/>
      <c r="RBH313" s="1718"/>
      <c r="RBI313" s="1718"/>
      <c r="RBJ313" s="246"/>
      <c r="RBK313" s="246" t="str">
        <f>BS!$D$5</f>
        <v>31 March 2026</v>
      </c>
      <c r="RBL313" s="247" t="str">
        <f>BS!$E$5</f>
        <v>31 March 2025</v>
      </c>
      <c r="RBM313" s="1717"/>
      <c r="RBN313" s="1718"/>
      <c r="RBO313" s="1718"/>
      <c r="RBP313" s="1718"/>
      <c r="RBQ313" s="1718"/>
      <c r="RBR313" s="246"/>
      <c r="RBS313" s="246" t="str">
        <f>BS!$D$5</f>
        <v>31 March 2026</v>
      </c>
      <c r="RBT313" s="247" t="str">
        <f>BS!$E$5</f>
        <v>31 March 2025</v>
      </c>
      <c r="RBU313" s="1717"/>
      <c r="RBV313" s="1718"/>
      <c r="RBW313" s="1718"/>
      <c r="RBX313" s="1718"/>
      <c r="RBY313" s="1718"/>
      <c r="RBZ313" s="246"/>
      <c r="RCA313" s="246" t="str">
        <f>BS!$D$5</f>
        <v>31 March 2026</v>
      </c>
      <c r="RCB313" s="247" t="str">
        <f>BS!$E$5</f>
        <v>31 March 2025</v>
      </c>
      <c r="RCC313" s="1717"/>
      <c r="RCD313" s="1718"/>
      <c r="RCE313" s="1718"/>
      <c r="RCF313" s="1718"/>
      <c r="RCG313" s="1718"/>
      <c r="RCH313" s="246"/>
      <c r="RCI313" s="246" t="str">
        <f>BS!$D$5</f>
        <v>31 March 2026</v>
      </c>
      <c r="RCJ313" s="247" t="str">
        <f>BS!$E$5</f>
        <v>31 March 2025</v>
      </c>
      <c r="RCK313" s="1717"/>
      <c r="RCL313" s="1718"/>
      <c r="RCM313" s="1718"/>
      <c r="RCN313" s="1718"/>
      <c r="RCO313" s="1718"/>
      <c r="RCP313" s="246"/>
      <c r="RCQ313" s="246" t="str">
        <f>BS!$D$5</f>
        <v>31 March 2026</v>
      </c>
      <c r="RCR313" s="247" t="str">
        <f>BS!$E$5</f>
        <v>31 March 2025</v>
      </c>
      <c r="RCS313" s="1717"/>
      <c r="RCT313" s="1718"/>
      <c r="RCU313" s="1718"/>
      <c r="RCV313" s="1718"/>
      <c r="RCW313" s="1718"/>
      <c r="RCX313" s="246"/>
      <c r="RCY313" s="246" t="str">
        <f>BS!$D$5</f>
        <v>31 March 2026</v>
      </c>
      <c r="RCZ313" s="247" t="str">
        <f>BS!$E$5</f>
        <v>31 March 2025</v>
      </c>
      <c r="RDA313" s="1717"/>
      <c r="RDB313" s="1718"/>
      <c r="RDC313" s="1718"/>
      <c r="RDD313" s="1718"/>
      <c r="RDE313" s="1718"/>
      <c r="RDF313" s="246"/>
      <c r="RDG313" s="246" t="str">
        <f>BS!$D$5</f>
        <v>31 March 2026</v>
      </c>
      <c r="RDH313" s="247" t="str">
        <f>BS!$E$5</f>
        <v>31 March 2025</v>
      </c>
      <c r="RDI313" s="1717"/>
      <c r="RDJ313" s="1718"/>
      <c r="RDK313" s="1718"/>
      <c r="RDL313" s="1718"/>
      <c r="RDM313" s="1718"/>
      <c r="RDN313" s="246"/>
      <c r="RDO313" s="246" t="str">
        <f>BS!$D$5</f>
        <v>31 March 2026</v>
      </c>
      <c r="RDP313" s="247" t="str">
        <f>BS!$E$5</f>
        <v>31 March 2025</v>
      </c>
      <c r="RDQ313" s="1717"/>
      <c r="RDR313" s="1718"/>
      <c r="RDS313" s="1718"/>
      <c r="RDT313" s="1718"/>
      <c r="RDU313" s="1718"/>
      <c r="RDV313" s="246"/>
      <c r="RDW313" s="246" t="str">
        <f>BS!$D$5</f>
        <v>31 March 2026</v>
      </c>
      <c r="RDX313" s="247" t="str">
        <f>BS!$E$5</f>
        <v>31 March 2025</v>
      </c>
      <c r="RDY313" s="1717"/>
      <c r="RDZ313" s="1718"/>
      <c r="REA313" s="1718"/>
      <c r="REB313" s="1718"/>
      <c r="REC313" s="1718"/>
      <c r="RED313" s="246"/>
      <c r="REE313" s="246" t="str">
        <f>BS!$D$5</f>
        <v>31 March 2026</v>
      </c>
      <c r="REF313" s="247" t="str">
        <f>BS!$E$5</f>
        <v>31 March 2025</v>
      </c>
      <c r="REG313" s="1717"/>
      <c r="REH313" s="1718"/>
      <c r="REI313" s="1718"/>
      <c r="REJ313" s="1718"/>
      <c r="REK313" s="1718"/>
      <c r="REL313" s="246"/>
      <c r="REM313" s="246" t="str">
        <f>BS!$D$5</f>
        <v>31 March 2026</v>
      </c>
      <c r="REN313" s="247" t="str">
        <f>BS!$E$5</f>
        <v>31 March 2025</v>
      </c>
      <c r="REO313" s="1717"/>
      <c r="REP313" s="1718"/>
      <c r="REQ313" s="1718"/>
      <c r="RER313" s="1718"/>
      <c r="RES313" s="1718"/>
      <c r="RET313" s="246"/>
      <c r="REU313" s="246" t="str">
        <f>BS!$D$5</f>
        <v>31 March 2026</v>
      </c>
      <c r="REV313" s="247" t="str">
        <f>BS!$E$5</f>
        <v>31 March 2025</v>
      </c>
      <c r="REW313" s="1717"/>
      <c r="REX313" s="1718"/>
      <c r="REY313" s="1718"/>
      <c r="REZ313" s="1718"/>
      <c r="RFA313" s="1718"/>
      <c r="RFB313" s="246"/>
      <c r="RFC313" s="246" t="str">
        <f>BS!$D$5</f>
        <v>31 March 2026</v>
      </c>
      <c r="RFD313" s="247" t="str">
        <f>BS!$E$5</f>
        <v>31 March 2025</v>
      </c>
      <c r="RFE313" s="1717"/>
      <c r="RFF313" s="1718"/>
      <c r="RFG313" s="1718"/>
      <c r="RFH313" s="1718"/>
      <c r="RFI313" s="1718"/>
      <c r="RFJ313" s="246"/>
      <c r="RFK313" s="246" t="str">
        <f>BS!$D$5</f>
        <v>31 March 2026</v>
      </c>
      <c r="RFL313" s="247" t="str">
        <f>BS!$E$5</f>
        <v>31 March 2025</v>
      </c>
      <c r="RFM313" s="1717"/>
      <c r="RFN313" s="1718"/>
      <c r="RFO313" s="1718"/>
      <c r="RFP313" s="1718"/>
      <c r="RFQ313" s="1718"/>
      <c r="RFR313" s="246"/>
      <c r="RFS313" s="246" t="str">
        <f>BS!$D$5</f>
        <v>31 March 2026</v>
      </c>
      <c r="RFT313" s="247" t="str">
        <f>BS!$E$5</f>
        <v>31 March 2025</v>
      </c>
      <c r="RFU313" s="1717"/>
      <c r="RFV313" s="1718"/>
      <c r="RFW313" s="1718"/>
      <c r="RFX313" s="1718"/>
      <c r="RFY313" s="1718"/>
      <c r="RFZ313" s="246"/>
      <c r="RGA313" s="246" t="str">
        <f>BS!$D$5</f>
        <v>31 March 2026</v>
      </c>
      <c r="RGB313" s="247" t="str">
        <f>BS!$E$5</f>
        <v>31 March 2025</v>
      </c>
      <c r="RGC313" s="1717"/>
      <c r="RGD313" s="1718"/>
      <c r="RGE313" s="1718"/>
      <c r="RGF313" s="1718"/>
      <c r="RGG313" s="1718"/>
      <c r="RGH313" s="246"/>
      <c r="RGI313" s="246" t="str">
        <f>BS!$D$5</f>
        <v>31 March 2026</v>
      </c>
      <c r="RGJ313" s="247" t="str">
        <f>BS!$E$5</f>
        <v>31 March 2025</v>
      </c>
      <c r="RGK313" s="1717"/>
      <c r="RGL313" s="1718"/>
      <c r="RGM313" s="1718"/>
      <c r="RGN313" s="1718"/>
      <c r="RGO313" s="1718"/>
      <c r="RGP313" s="246"/>
      <c r="RGQ313" s="246" t="str">
        <f>BS!$D$5</f>
        <v>31 March 2026</v>
      </c>
      <c r="RGR313" s="247" t="str">
        <f>BS!$E$5</f>
        <v>31 March 2025</v>
      </c>
      <c r="RGS313" s="1717"/>
      <c r="RGT313" s="1718"/>
      <c r="RGU313" s="1718"/>
      <c r="RGV313" s="1718"/>
      <c r="RGW313" s="1718"/>
      <c r="RGX313" s="246"/>
      <c r="RGY313" s="246" t="str">
        <f>BS!$D$5</f>
        <v>31 March 2026</v>
      </c>
      <c r="RGZ313" s="247" t="str">
        <f>BS!$E$5</f>
        <v>31 March 2025</v>
      </c>
      <c r="RHA313" s="1717"/>
      <c r="RHB313" s="1718"/>
      <c r="RHC313" s="1718"/>
      <c r="RHD313" s="1718"/>
      <c r="RHE313" s="1718"/>
      <c r="RHF313" s="246"/>
      <c r="RHG313" s="246" t="str">
        <f>BS!$D$5</f>
        <v>31 March 2026</v>
      </c>
      <c r="RHH313" s="247" t="str">
        <f>BS!$E$5</f>
        <v>31 March 2025</v>
      </c>
      <c r="RHI313" s="1717"/>
      <c r="RHJ313" s="1718"/>
      <c r="RHK313" s="1718"/>
      <c r="RHL313" s="1718"/>
      <c r="RHM313" s="1718"/>
      <c r="RHN313" s="246"/>
      <c r="RHO313" s="246" t="str">
        <f>BS!$D$5</f>
        <v>31 March 2026</v>
      </c>
      <c r="RHP313" s="247" t="str">
        <f>BS!$E$5</f>
        <v>31 March 2025</v>
      </c>
      <c r="RHQ313" s="1717"/>
      <c r="RHR313" s="1718"/>
      <c r="RHS313" s="1718"/>
      <c r="RHT313" s="1718"/>
      <c r="RHU313" s="1718"/>
      <c r="RHV313" s="246"/>
      <c r="RHW313" s="246" t="str">
        <f>BS!$D$5</f>
        <v>31 March 2026</v>
      </c>
      <c r="RHX313" s="247" t="str">
        <f>BS!$E$5</f>
        <v>31 March 2025</v>
      </c>
      <c r="RHY313" s="1717"/>
      <c r="RHZ313" s="1718"/>
      <c r="RIA313" s="1718"/>
      <c r="RIB313" s="1718"/>
      <c r="RIC313" s="1718"/>
      <c r="RID313" s="246"/>
      <c r="RIE313" s="246" t="str">
        <f>BS!$D$5</f>
        <v>31 March 2026</v>
      </c>
      <c r="RIF313" s="247" t="str">
        <f>BS!$E$5</f>
        <v>31 March 2025</v>
      </c>
      <c r="RIG313" s="1717"/>
      <c r="RIH313" s="1718"/>
      <c r="RII313" s="1718"/>
      <c r="RIJ313" s="1718"/>
      <c r="RIK313" s="1718"/>
      <c r="RIL313" s="246"/>
      <c r="RIM313" s="246" t="str">
        <f>BS!$D$5</f>
        <v>31 March 2026</v>
      </c>
      <c r="RIN313" s="247" t="str">
        <f>BS!$E$5</f>
        <v>31 March 2025</v>
      </c>
      <c r="RIO313" s="1717"/>
      <c r="RIP313" s="1718"/>
      <c r="RIQ313" s="1718"/>
      <c r="RIR313" s="1718"/>
      <c r="RIS313" s="1718"/>
      <c r="RIT313" s="246"/>
      <c r="RIU313" s="246" t="str">
        <f>BS!$D$5</f>
        <v>31 March 2026</v>
      </c>
      <c r="RIV313" s="247" t="str">
        <f>BS!$E$5</f>
        <v>31 March 2025</v>
      </c>
      <c r="RIW313" s="1717"/>
      <c r="RIX313" s="1718"/>
      <c r="RIY313" s="1718"/>
      <c r="RIZ313" s="1718"/>
      <c r="RJA313" s="1718"/>
      <c r="RJB313" s="246"/>
      <c r="RJC313" s="246" t="str">
        <f>BS!$D$5</f>
        <v>31 March 2026</v>
      </c>
      <c r="RJD313" s="247" t="str">
        <f>BS!$E$5</f>
        <v>31 March 2025</v>
      </c>
      <c r="RJE313" s="1717"/>
      <c r="RJF313" s="1718"/>
      <c r="RJG313" s="1718"/>
      <c r="RJH313" s="1718"/>
      <c r="RJI313" s="1718"/>
      <c r="RJJ313" s="246"/>
      <c r="RJK313" s="246" t="str">
        <f>BS!$D$5</f>
        <v>31 March 2026</v>
      </c>
      <c r="RJL313" s="247" t="str">
        <f>BS!$E$5</f>
        <v>31 March 2025</v>
      </c>
      <c r="RJM313" s="1717"/>
      <c r="RJN313" s="1718"/>
      <c r="RJO313" s="1718"/>
      <c r="RJP313" s="1718"/>
      <c r="RJQ313" s="1718"/>
      <c r="RJR313" s="246"/>
      <c r="RJS313" s="246" t="str">
        <f>BS!$D$5</f>
        <v>31 March 2026</v>
      </c>
      <c r="RJT313" s="247" t="str">
        <f>BS!$E$5</f>
        <v>31 March 2025</v>
      </c>
      <c r="RJU313" s="1717"/>
      <c r="RJV313" s="1718"/>
      <c r="RJW313" s="1718"/>
      <c r="RJX313" s="1718"/>
      <c r="RJY313" s="1718"/>
      <c r="RJZ313" s="246"/>
      <c r="RKA313" s="246" t="str">
        <f>BS!$D$5</f>
        <v>31 March 2026</v>
      </c>
      <c r="RKB313" s="247" t="str">
        <f>BS!$E$5</f>
        <v>31 March 2025</v>
      </c>
      <c r="RKC313" s="1717"/>
      <c r="RKD313" s="1718"/>
      <c r="RKE313" s="1718"/>
      <c r="RKF313" s="1718"/>
      <c r="RKG313" s="1718"/>
      <c r="RKH313" s="246"/>
      <c r="RKI313" s="246" t="str">
        <f>BS!$D$5</f>
        <v>31 March 2026</v>
      </c>
      <c r="RKJ313" s="247" t="str">
        <f>BS!$E$5</f>
        <v>31 March 2025</v>
      </c>
      <c r="RKK313" s="1717"/>
      <c r="RKL313" s="1718"/>
      <c r="RKM313" s="1718"/>
      <c r="RKN313" s="1718"/>
      <c r="RKO313" s="1718"/>
      <c r="RKP313" s="246"/>
      <c r="RKQ313" s="246" t="str">
        <f>BS!$D$5</f>
        <v>31 March 2026</v>
      </c>
      <c r="RKR313" s="247" t="str">
        <f>BS!$E$5</f>
        <v>31 March 2025</v>
      </c>
      <c r="RKS313" s="1717"/>
      <c r="RKT313" s="1718"/>
      <c r="RKU313" s="1718"/>
      <c r="RKV313" s="1718"/>
      <c r="RKW313" s="1718"/>
      <c r="RKX313" s="246"/>
      <c r="RKY313" s="246" t="str">
        <f>BS!$D$5</f>
        <v>31 March 2026</v>
      </c>
      <c r="RKZ313" s="247" t="str">
        <f>BS!$E$5</f>
        <v>31 March 2025</v>
      </c>
      <c r="RLA313" s="1717"/>
      <c r="RLB313" s="1718"/>
      <c r="RLC313" s="1718"/>
      <c r="RLD313" s="1718"/>
      <c r="RLE313" s="1718"/>
      <c r="RLF313" s="246"/>
      <c r="RLG313" s="246" t="str">
        <f>BS!$D$5</f>
        <v>31 March 2026</v>
      </c>
      <c r="RLH313" s="247" t="str">
        <f>BS!$E$5</f>
        <v>31 March 2025</v>
      </c>
      <c r="RLI313" s="1717"/>
      <c r="RLJ313" s="1718"/>
      <c r="RLK313" s="1718"/>
      <c r="RLL313" s="1718"/>
      <c r="RLM313" s="1718"/>
      <c r="RLN313" s="246"/>
      <c r="RLO313" s="246" t="str">
        <f>BS!$D$5</f>
        <v>31 March 2026</v>
      </c>
      <c r="RLP313" s="247" t="str">
        <f>BS!$E$5</f>
        <v>31 March 2025</v>
      </c>
      <c r="RLQ313" s="1717"/>
      <c r="RLR313" s="1718"/>
      <c r="RLS313" s="1718"/>
      <c r="RLT313" s="1718"/>
      <c r="RLU313" s="1718"/>
      <c r="RLV313" s="246"/>
      <c r="RLW313" s="246" t="str">
        <f>BS!$D$5</f>
        <v>31 March 2026</v>
      </c>
      <c r="RLX313" s="247" t="str">
        <f>BS!$E$5</f>
        <v>31 March 2025</v>
      </c>
      <c r="RLY313" s="1717"/>
      <c r="RLZ313" s="1718"/>
      <c r="RMA313" s="1718"/>
      <c r="RMB313" s="1718"/>
      <c r="RMC313" s="1718"/>
      <c r="RMD313" s="246"/>
      <c r="RME313" s="246" t="str">
        <f>BS!$D$5</f>
        <v>31 March 2026</v>
      </c>
      <c r="RMF313" s="247" t="str">
        <f>BS!$E$5</f>
        <v>31 March 2025</v>
      </c>
      <c r="RMG313" s="1717"/>
      <c r="RMH313" s="1718"/>
      <c r="RMI313" s="1718"/>
      <c r="RMJ313" s="1718"/>
      <c r="RMK313" s="1718"/>
      <c r="RML313" s="246"/>
      <c r="RMM313" s="246" t="str">
        <f>BS!$D$5</f>
        <v>31 March 2026</v>
      </c>
      <c r="RMN313" s="247" t="str">
        <f>BS!$E$5</f>
        <v>31 March 2025</v>
      </c>
      <c r="RMO313" s="1717"/>
      <c r="RMP313" s="1718"/>
      <c r="RMQ313" s="1718"/>
      <c r="RMR313" s="1718"/>
      <c r="RMS313" s="1718"/>
      <c r="RMT313" s="246"/>
      <c r="RMU313" s="246" t="str">
        <f>BS!$D$5</f>
        <v>31 March 2026</v>
      </c>
      <c r="RMV313" s="247" t="str">
        <f>BS!$E$5</f>
        <v>31 March 2025</v>
      </c>
      <c r="RMW313" s="1717"/>
      <c r="RMX313" s="1718"/>
      <c r="RMY313" s="1718"/>
      <c r="RMZ313" s="1718"/>
      <c r="RNA313" s="1718"/>
      <c r="RNB313" s="246"/>
      <c r="RNC313" s="246" t="str">
        <f>BS!$D$5</f>
        <v>31 March 2026</v>
      </c>
      <c r="RND313" s="247" t="str">
        <f>BS!$E$5</f>
        <v>31 March 2025</v>
      </c>
      <c r="RNE313" s="1717"/>
      <c r="RNF313" s="1718"/>
      <c r="RNG313" s="1718"/>
      <c r="RNH313" s="1718"/>
      <c r="RNI313" s="1718"/>
      <c r="RNJ313" s="246"/>
      <c r="RNK313" s="246" t="str">
        <f>BS!$D$5</f>
        <v>31 March 2026</v>
      </c>
      <c r="RNL313" s="247" t="str">
        <f>BS!$E$5</f>
        <v>31 March 2025</v>
      </c>
      <c r="RNM313" s="1717"/>
      <c r="RNN313" s="1718"/>
      <c r="RNO313" s="1718"/>
      <c r="RNP313" s="1718"/>
      <c r="RNQ313" s="1718"/>
      <c r="RNR313" s="246"/>
      <c r="RNS313" s="246" t="str">
        <f>BS!$D$5</f>
        <v>31 March 2026</v>
      </c>
      <c r="RNT313" s="247" t="str">
        <f>BS!$E$5</f>
        <v>31 March 2025</v>
      </c>
      <c r="RNU313" s="1717"/>
      <c r="RNV313" s="1718"/>
      <c r="RNW313" s="1718"/>
      <c r="RNX313" s="1718"/>
      <c r="RNY313" s="1718"/>
      <c r="RNZ313" s="246"/>
      <c r="ROA313" s="246" t="str">
        <f>BS!$D$5</f>
        <v>31 March 2026</v>
      </c>
      <c r="ROB313" s="247" t="str">
        <f>BS!$E$5</f>
        <v>31 March 2025</v>
      </c>
      <c r="ROC313" s="1717"/>
      <c r="ROD313" s="1718"/>
      <c r="ROE313" s="1718"/>
      <c r="ROF313" s="1718"/>
      <c r="ROG313" s="1718"/>
      <c r="ROH313" s="246"/>
      <c r="ROI313" s="246" t="str">
        <f>BS!$D$5</f>
        <v>31 March 2026</v>
      </c>
      <c r="ROJ313" s="247" t="str">
        <f>BS!$E$5</f>
        <v>31 March 2025</v>
      </c>
      <c r="ROK313" s="1717"/>
      <c r="ROL313" s="1718"/>
      <c r="ROM313" s="1718"/>
      <c r="RON313" s="1718"/>
      <c r="ROO313" s="1718"/>
      <c r="ROP313" s="246"/>
      <c r="ROQ313" s="246" t="str">
        <f>BS!$D$5</f>
        <v>31 March 2026</v>
      </c>
      <c r="ROR313" s="247" t="str">
        <f>BS!$E$5</f>
        <v>31 March 2025</v>
      </c>
      <c r="ROS313" s="1717"/>
      <c r="ROT313" s="1718"/>
      <c r="ROU313" s="1718"/>
      <c r="ROV313" s="1718"/>
      <c r="ROW313" s="1718"/>
      <c r="ROX313" s="246"/>
      <c r="ROY313" s="246" t="str">
        <f>BS!$D$5</f>
        <v>31 March 2026</v>
      </c>
      <c r="ROZ313" s="247" t="str">
        <f>BS!$E$5</f>
        <v>31 March 2025</v>
      </c>
      <c r="RPA313" s="1717"/>
      <c r="RPB313" s="1718"/>
      <c r="RPC313" s="1718"/>
      <c r="RPD313" s="1718"/>
      <c r="RPE313" s="1718"/>
      <c r="RPF313" s="246"/>
      <c r="RPG313" s="246" t="str">
        <f>BS!$D$5</f>
        <v>31 March 2026</v>
      </c>
      <c r="RPH313" s="247" t="str">
        <f>BS!$E$5</f>
        <v>31 March 2025</v>
      </c>
      <c r="RPI313" s="1717"/>
      <c r="RPJ313" s="1718"/>
      <c r="RPK313" s="1718"/>
      <c r="RPL313" s="1718"/>
      <c r="RPM313" s="1718"/>
      <c r="RPN313" s="246"/>
      <c r="RPO313" s="246" t="str">
        <f>BS!$D$5</f>
        <v>31 March 2026</v>
      </c>
      <c r="RPP313" s="247" t="str">
        <f>BS!$E$5</f>
        <v>31 March 2025</v>
      </c>
      <c r="RPQ313" s="1717"/>
      <c r="RPR313" s="1718"/>
      <c r="RPS313" s="1718"/>
      <c r="RPT313" s="1718"/>
      <c r="RPU313" s="1718"/>
      <c r="RPV313" s="246"/>
      <c r="RPW313" s="246" t="str">
        <f>BS!$D$5</f>
        <v>31 March 2026</v>
      </c>
      <c r="RPX313" s="247" t="str">
        <f>BS!$E$5</f>
        <v>31 March 2025</v>
      </c>
      <c r="RPY313" s="1717"/>
      <c r="RPZ313" s="1718"/>
      <c r="RQA313" s="1718"/>
      <c r="RQB313" s="1718"/>
      <c r="RQC313" s="1718"/>
      <c r="RQD313" s="246"/>
      <c r="RQE313" s="246" t="str">
        <f>BS!$D$5</f>
        <v>31 March 2026</v>
      </c>
      <c r="RQF313" s="247" t="str">
        <f>BS!$E$5</f>
        <v>31 March 2025</v>
      </c>
      <c r="RQG313" s="1717"/>
      <c r="RQH313" s="1718"/>
      <c r="RQI313" s="1718"/>
      <c r="RQJ313" s="1718"/>
      <c r="RQK313" s="1718"/>
      <c r="RQL313" s="246"/>
      <c r="RQM313" s="246" t="str">
        <f>BS!$D$5</f>
        <v>31 March 2026</v>
      </c>
      <c r="RQN313" s="247" t="str">
        <f>BS!$E$5</f>
        <v>31 March 2025</v>
      </c>
      <c r="RQO313" s="1717"/>
      <c r="RQP313" s="1718"/>
      <c r="RQQ313" s="1718"/>
      <c r="RQR313" s="1718"/>
      <c r="RQS313" s="1718"/>
      <c r="RQT313" s="246"/>
      <c r="RQU313" s="246" t="str">
        <f>BS!$D$5</f>
        <v>31 March 2026</v>
      </c>
      <c r="RQV313" s="247" t="str">
        <f>BS!$E$5</f>
        <v>31 March 2025</v>
      </c>
      <c r="RQW313" s="1717"/>
      <c r="RQX313" s="1718"/>
      <c r="RQY313" s="1718"/>
      <c r="RQZ313" s="1718"/>
      <c r="RRA313" s="1718"/>
      <c r="RRB313" s="246"/>
      <c r="RRC313" s="246" t="str">
        <f>BS!$D$5</f>
        <v>31 March 2026</v>
      </c>
      <c r="RRD313" s="247" t="str">
        <f>BS!$E$5</f>
        <v>31 March 2025</v>
      </c>
      <c r="RRE313" s="1717"/>
      <c r="RRF313" s="1718"/>
      <c r="RRG313" s="1718"/>
      <c r="RRH313" s="1718"/>
      <c r="RRI313" s="1718"/>
      <c r="RRJ313" s="246"/>
      <c r="RRK313" s="246" t="str">
        <f>BS!$D$5</f>
        <v>31 March 2026</v>
      </c>
      <c r="RRL313" s="247" t="str">
        <f>BS!$E$5</f>
        <v>31 March 2025</v>
      </c>
      <c r="RRM313" s="1717"/>
      <c r="RRN313" s="1718"/>
      <c r="RRO313" s="1718"/>
      <c r="RRP313" s="1718"/>
      <c r="RRQ313" s="1718"/>
      <c r="RRR313" s="246"/>
      <c r="RRS313" s="246" t="str">
        <f>BS!$D$5</f>
        <v>31 March 2026</v>
      </c>
      <c r="RRT313" s="247" t="str">
        <f>BS!$E$5</f>
        <v>31 March 2025</v>
      </c>
      <c r="RRU313" s="1717"/>
      <c r="RRV313" s="1718"/>
      <c r="RRW313" s="1718"/>
      <c r="RRX313" s="1718"/>
      <c r="RRY313" s="1718"/>
      <c r="RRZ313" s="246"/>
      <c r="RSA313" s="246" t="str">
        <f>BS!$D$5</f>
        <v>31 March 2026</v>
      </c>
      <c r="RSB313" s="247" t="str">
        <f>BS!$E$5</f>
        <v>31 March 2025</v>
      </c>
      <c r="RSC313" s="1717"/>
      <c r="RSD313" s="1718"/>
      <c r="RSE313" s="1718"/>
      <c r="RSF313" s="1718"/>
      <c r="RSG313" s="1718"/>
      <c r="RSH313" s="246"/>
      <c r="RSI313" s="246" t="str">
        <f>BS!$D$5</f>
        <v>31 March 2026</v>
      </c>
      <c r="RSJ313" s="247" t="str">
        <f>BS!$E$5</f>
        <v>31 March 2025</v>
      </c>
      <c r="RSK313" s="1717"/>
      <c r="RSL313" s="1718"/>
      <c r="RSM313" s="1718"/>
      <c r="RSN313" s="1718"/>
      <c r="RSO313" s="1718"/>
      <c r="RSP313" s="246"/>
      <c r="RSQ313" s="246" t="str">
        <f>BS!$D$5</f>
        <v>31 March 2026</v>
      </c>
      <c r="RSR313" s="247" t="str">
        <f>BS!$E$5</f>
        <v>31 March 2025</v>
      </c>
      <c r="RSS313" s="1717"/>
      <c r="RST313" s="1718"/>
      <c r="RSU313" s="1718"/>
      <c r="RSV313" s="1718"/>
      <c r="RSW313" s="1718"/>
      <c r="RSX313" s="246"/>
      <c r="RSY313" s="246" t="str">
        <f>BS!$D$5</f>
        <v>31 March 2026</v>
      </c>
      <c r="RSZ313" s="247" t="str">
        <f>BS!$E$5</f>
        <v>31 March 2025</v>
      </c>
      <c r="RTA313" s="1717"/>
      <c r="RTB313" s="1718"/>
      <c r="RTC313" s="1718"/>
      <c r="RTD313" s="1718"/>
      <c r="RTE313" s="1718"/>
      <c r="RTF313" s="246"/>
      <c r="RTG313" s="246" t="str">
        <f>BS!$D$5</f>
        <v>31 March 2026</v>
      </c>
      <c r="RTH313" s="247" t="str">
        <f>BS!$E$5</f>
        <v>31 March 2025</v>
      </c>
      <c r="RTI313" s="1717"/>
      <c r="RTJ313" s="1718"/>
      <c r="RTK313" s="1718"/>
      <c r="RTL313" s="1718"/>
      <c r="RTM313" s="1718"/>
      <c r="RTN313" s="246"/>
      <c r="RTO313" s="246" t="str">
        <f>BS!$D$5</f>
        <v>31 March 2026</v>
      </c>
      <c r="RTP313" s="247" t="str">
        <f>BS!$E$5</f>
        <v>31 March 2025</v>
      </c>
      <c r="RTQ313" s="1717"/>
      <c r="RTR313" s="1718"/>
      <c r="RTS313" s="1718"/>
      <c r="RTT313" s="1718"/>
      <c r="RTU313" s="1718"/>
      <c r="RTV313" s="246"/>
      <c r="RTW313" s="246" t="str">
        <f>BS!$D$5</f>
        <v>31 March 2026</v>
      </c>
      <c r="RTX313" s="247" t="str">
        <f>BS!$E$5</f>
        <v>31 March 2025</v>
      </c>
      <c r="RTY313" s="1717"/>
      <c r="RTZ313" s="1718"/>
      <c r="RUA313" s="1718"/>
      <c r="RUB313" s="1718"/>
      <c r="RUC313" s="1718"/>
      <c r="RUD313" s="246"/>
      <c r="RUE313" s="246" t="str">
        <f>BS!$D$5</f>
        <v>31 March 2026</v>
      </c>
      <c r="RUF313" s="247" t="str">
        <f>BS!$E$5</f>
        <v>31 March 2025</v>
      </c>
      <c r="RUG313" s="1717"/>
      <c r="RUH313" s="1718"/>
      <c r="RUI313" s="1718"/>
      <c r="RUJ313" s="1718"/>
      <c r="RUK313" s="1718"/>
      <c r="RUL313" s="246"/>
      <c r="RUM313" s="246" t="str">
        <f>BS!$D$5</f>
        <v>31 March 2026</v>
      </c>
      <c r="RUN313" s="247" t="str">
        <f>BS!$E$5</f>
        <v>31 March 2025</v>
      </c>
      <c r="RUO313" s="1717"/>
      <c r="RUP313" s="1718"/>
      <c r="RUQ313" s="1718"/>
      <c r="RUR313" s="1718"/>
      <c r="RUS313" s="1718"/>
      <c r="RUT313" s="246"/>
      <c r="RUU313" s="246" t="str">
        <f>BS!$D$5</f>
        <v>31 March 2026</v>
      </c>
      <c r="RUV313" s="247" t="str">
        <f>BS!$E$5</f>
        <v>31 March 2025</v>
      </c>
      <c r="RUW313" s="1717"/>
      <c r="RUX313" s="1718"/>
      <c r="RUY313" s="1718"/>
      <c r="RUZ313" s="1718"/>
      <c r="RVA313" s="1718"/>
      <c r="RVB313" s="246"/>
      <c r="RVC313" s="246" t="str">
        <f>BS!$D$5</f>
        <v>31 March 2026</v>
      </c>
      <c r="RVD313" s="247" t="str">
        <f>BS!$E$5</f>
        <v>31 March 2025</v>
      </c>
      <c r="RVE313" s="1717"/>
      <c r="RVF313" s="1718"/>
      <c r="RVG313" s="1718"/>
      <c r="RVH313" s="1718"/>
      <c r="RVI313" s="1718"/>
      <c r="RVJ313" s="246"/>
      <c r="RVK313" s="246" t="str">
        <f>BS!$D$5</f>
        <v>31 March 2026</v>
      </c>
      <c r="RVL313" s="247" t="str">
        <f>BS!$E$5</f>
        <v>31 March 2025</v>
      </c>
      <c r="RVM313" s="1717"/>
      <c r="RVN313" s="1718"/>
      <c r="RVO313" s="1718"/>
      <c r="RVP313" s="1718"/>
      <c r="RVQ313" s="1718"/>
      <c r="RVR313" s="246"/>
      <c r="RVS313" s="246" t="str">
        <f>BS!$D$5</f>
        <v>31 March 2026</v>
      </c>
      <c r="RVT313" s="247" t="str">
        <f>BS!$E$5</f>
        <v>31 March 2025</v>
      </c>
      <c r="RVU313" s="1717"/>
      <c r="RVV313" s="1718"/>
      <c r="RVW313" s="1718"/>
      <c r="RVX313" s="1718"/>
      <c r="RVY313" s="1718"/>
      <c r="RVZ313" s="246"/>
      <c r="RWA313" s="246" t="str">
        <f>BS!$D$5</f>
        <v>31 March 2026</v>
      </c>
      <c r="RWB313" s="247" t="str">
        <f>BS!$E$5</f>
        <v>31 March 2025</v>
      </c>
      <c r="RWC313" s="1717"/>
      <c r="RWD313" s="1718"/>
      <c r="RWE313" s="1718"/>
      <c r="RWF313" s="1718"/>
      <c r="RWG313" s="1718"/>
      <c r="RWH313" s="246"/>
      <c r="RWI313" s="246" t="str">
        <f>BS!$D$5</f>
        <v>31 March 2026</v>
      </c>
      <c r="RWJ313" s="247" t="str">
        <f>BS!$E$5</f>
        <v>31 March 2025</v>
      </c>
      <c r="RWK313" s="1717"/>
      <c r="RWL313" s="1718"/>
      <c r="RWM313" s="1718"/>
      <c r="RWN313" s="1718"/>
      <c r="RWO313" s="1718"/>
      <c r="RWP313" s="246"/>
      <c r="RWQ313" s="246" t="str">
        <f>BS!$D$5</f>
        <v>31 March 2026</v>
      </c>
      <c r="RWR313" s="247" t="str">
        <f>BS!$E$5</f>
        <v>31 March 2025</v>
      </c>
      <c r="RWS313" s="1717"/>
      <c r="RWT313" s="1718"/>
      <c r="RWU313" s="1718"/>
      <c r="RWV313" s="1718"/>
      <c r="RWW313" s="1718"/>
      <c r="RWX313" s="246"/>
      <c r="RWY313" s="246" t="str">
        <f>BS!$D$5</f>
        <v>31 March 2026</v>
      </c>
      <c r="RWZ313" s="247" t="str">
        <f>BS!$E$5</f>
        <v>31 March 2025</v>
      </c>
      <c r="RXA313" s="1717"/>
      <c r="RXB313" s="1718"/>
      <c r="RXC313" s="1718"/>
      <c r="RXD313" s="1718"/>
      <c r="RXE313" s="1718"/>
      <c r="RXF313" s="246"/>
      <c r="RXG313" s="246" t="str">
        <f>BS!$D$5</f>
        <v>31 March 2026</v>
      </c>
      <c r="RXH313" s="247" t="str">
        <f>BS!$E$5</f>
        <v>31 March 2025</v>
      </c>
      <c r="RXI313" s="1717"/>
      <c r="RXJ313" s="1718"/>
      <c r="RXK313" s="1718"/>
      <c r="RXL313" s="1718"/>
      <c r="RXM313" s="1718"/>
      <c r="RXN313" s="246"/>
      <c r="RXO313" s="246" t="str">
        <f>BS!$D$5</f>
        <v>31 March 2026</v>
      </c>
      <c r="RXP313" s="247" t="str">
        <f>BS!$E$5</f>
        <v>31 March 2025</v>
      </c>
      <c r="RXQ313" s="1717"/>
      <c r="RXR313" s="1718"/>
      <c r="RXS313" s="1718"/>
      <c r="RXT313" s="1718"/>
      <c r="RXU313" s="1718"/>
      <c r="RXV313" s="246"/>
      <c r="RXW313" s="246" t="str">
        <f>BS!$D$5</f>
        <v>31 March 2026</v>
      </c>
      <c r="RXX313" s="247" t="str">
        <f>BS!$E$5</f>
        <v>31 March 2025</v>
      </c>
      <c r="RXY313" s="1717"/>
      <c r="RXZ313" s="1718"/>
      <c r="RYA313" s="1718"/>
      <c r="RYB313" s="1718"/>
      <c r="RYC313" s="1718"/>
      <c r="RYD313" s="246"/>
      <c r="RYE313" s="246" t="str">
        <f>BS!$D$5</f>
        <v>31 March 2026</v>
      </c>
      <c r="RYF313" s="247" t="str">
        <f>BS!$E$5</f>
        <v>31 March 2025</v>
      </c>
      <c r="RYG313" s="1717"/>
      <c r="RYH313" s="1718"/>
      <c r="RYI313" s="1718"/>
      <c r="RYJ313" s="1718"/>
      <c r="RYK313" s="1718"/>
      <c r="RYL313" s="246"/>
      <c r="RYM313" s="246" t="str">
        <f>BS!$D$5</f>
        <v>31 March 2026</v>
      </c>
      <c r="RYN313" s="247" t="str">
        <f>BS!$E$5</f>
        <v>31 March 2025</v>
      </c>
      <c r="RYO313" s="1717"/>
      <c r="RYP313" s="1718"/>
      <c r="RYQ313" s="1718"/>
      <c r="RYR313" s="1718"/>
      <c r="RYS313" s="1718"/>
      <c r="RYT313" s="246"/>
      <c r="RYU313" s="246" t="str">
        <f>BS!$D$5</f>
        <v>31 March 2026</v>
      </c>
      <c r="RYV313" s="247" t="str">
        <f>BS!$E$5</f>
        <v>31 March 2025</v>
      </c>
      <c r="RYW313" s="1717"/>
      <c r="RYX313" s="1718"/>
      <c r="RYY313" s="1718"/>
      <c r="RYZ313" s="1718"/>
      <c r="RZA313" s="1718"/>
      <c r="RZB313" s="246"/>
      <c r="RZC313" s="246" t="str">
        <f>BS!$D$5</f>
        <v>31 March 2026</v>
      </c>
      <c r="RZD313" s="247" t="str">
        <f>BS!$E$5</f>
        <v>31 March 2025</v>
      </c>
      <c r="RZE313" s="1717"/>
      <c r="RZF313" s="1718"/>
      <c r="RZG313" s="1718"/>
      <c r="RZH313" s="1718"/>
      <c r="RZI313" s="1718"/>
      <c r="RZJ313" s="246"/>
      <c r="RZK313" s="246" t="str">
        <f>BS!$D$5</f>
        <v>31 March 2026</v>
      </c>
      <c r="RZL313" s="247" t="str">
        <f>BS!$E$5</f>
        <v>31 March 2025</v>
      </c>
      <c r="RZM313" s="1717"/>
      <c r="RZN313" s="1718"/>
      <c r="RZO313" s="1718"/>
      <c r="RZP313" s="1718"/>
      <c r="RZQ313" s="1718"/>
      <c r="RZR313" s="246"/>
      <c r="RZS313" s="246" t="str">
        <f>BS!$D$5</f>
        <v>31 March 2026</v>
      </c>
      <c r="RZT313" s="247" t="str">
        <f>BS!$E$5</f>
        <v>31 March 2025</v>
      </c>
      <c r="RZU313" s="1717"/>
      <c r="RZV313" s="1718"/>
      <c r="RZW313" s="1718"/>
      <c r="RZX313" s="1718"/>
      <c r="RZY313" s="1718"/>
      <c r="RZZ313" s="246"/>
      <c r="SAA313" s="246" t="str">
        <f>BS!$D$5</f>
        <v>31 March 2026</v>
      </c>
      <c r="SAB313" s="247" t="str">
        <f>BS!$E$5</f>
        <v>31 March 2025</v>
      </c>
      <c r="SAC313" s="1717"/>
      <c r="SAD313" s="1718"/>
      <c r="SAE313" s="1718"/>
      <c r="SAF313" s="1718"/>
      <c r="SAG313" s="1718"/>
      <c r="SAH313" s="246"/>
      <c r="SAI313" s="246" t="str">
        <f>BS!$D$5</f>
        <v>31 March 2026</v>
      </c>
      <c r="SAJ313" s="247" t="str">
        <f>BS!$E$5</f>
        <v>31 March 2025</v>
      </c>
      <c r="SAK313" s="1717"/>
      <c r="SAL313" s="1718"/>
      <c r="SAM313" s="1718"/>
      <c r="SAN313" s="1718"/>
      <c r="SAO313" s="1718"/>
      <c r="SAP313" s="246"/>
      <c r="SAQ313" s="246" t="str">
        <f>BS!$D$5</f>
        <v>31 March 2026</v>
      </c>
      <c r="SAR313" s="247" t="str">
        <f>BS!$E$5</f>
        <v>31 March 2025</v>
      </c>
      <c r="SAS313" s="1717"/>
      <c r="SAT313" s="1718"/>
      <c r="SAU313" s="1718"/>
      <c r="SAV313" s="1718"/>
      <c r="SAW313" s="1718"/>
      <c r="SAX313" s="246"/>
      <c r="SAY313" s="246" t="str">
        <f>BS!$D$5</f>
        <v>31 March 2026</v>
      </c>
      <c r="SAZ313" s="247" t="str">
        <f>BS!$E$5</f>
        <v>31 March 2025</v>
      </c>
      <c r="SBA313" s="1717"/>
      <c r="SBB313" s="1718"/>
      <c r="SBC313" s="1718"/>
      <c r="SBD313" s="1718"/>
      <c r="SBE313" s="1718"/>
      <c r="SBF313" s="246"/>
      <c r="SBG313" s="246" t="str">
        <f>BS!$D$5</f>
        <v>31 March 2026</v>
      </c>
      <c r="SBH313" s="247" t="str">
        <f>BS!$E$5</f>
        <v>31 March 2025</v>
      </c>
      <c r="SBI313" s="1717"/>
      <c r="SBJ313" s="1718"/>
      <c r="SBK313" s="1718"/>
      <c r="SBL313" s="1718"/>
      <c r="SBM313" s="1718"/>
      <c r="SBN313" s="246"/>
      <c r="SBO313" s="246" t="str">
        <f>BS!$D$5</f>
        <v>31 March 2026</v>
      </c>
      <c r="SBP313" s="247" t="str">
        <f>BS!$E$5</f>
        <v>31 March 2025</v>
      </c>
      <c r="SBQ313" s="1717"/>
      <c r="SBR313" s="1718"/>
      <c r="SBS313" s="1718"/>
      <c r="SBT313" s="1718"/>
      <c r="SBU313" s="1718"/>
      <c r="SBV313" s="246"/>
      <c r="SBW313" s="246" t="str">
        <f>BS!$D$5</f>
        <v>31 March 2026</v>
      </c>
      <c r="SBX313" s="247" t="str">
        <f>BS!$E$5</f>
        <v>31 March 2025</v>
      </c>
      <c r="SBY313" s="1717"/>
      <c r="SBZ313" s="1718"/>
      <c r="SCA313" s="1718"/>
      <c r="SCB313" s="1718"/>
      <c r="SCC313" s="1718"/>
      <c r="SCD313" s="246"/>
      <c r="SCE313" s="246" t="str">
        <f>BS!$D$5</f>
        <v>31 March 2026</v>
      </c>
      <c r="SCF313" s="247" t="str">
        <f>BS!$E$5</f>
        <v>31 March 2025</v>
      </c>
      <c r="SCG313" s="1717"/>
      <c r="SCH313" s="1718"/>
      <c r="SCI313" s="1718"/>
      <c r="SCJ313" s="1718"/>
      <c r="SCK313" s="1718"/>
      <c r="SCL313" s="246"/>
      <c r="SCM313" s="246" t="str">
        <f>BS!$D$5</f>
        <v>31 March 2026</v>
      </c>
      <c r="SCN313" s="247" t="str">
        <f>BS!$E$5</f>
        <v>31 March 2025</v>
      </c>
      <c r="SCO313" s="1717"/>
      <c r="SCP313" s="1718"/>
      <c r="SCQ313" s="1718"/>
      <c r="SCR313" s="1718"/>
      <c r="SCS313" s="1718"/>
      <c r="SCT313" s="246"/>
      <c r="SCU313" s="246" t="str">
        <f>BS!$D$5</f>
        <v>31 March 2026</v>
      </c>
      <c r="SCV313" s="247" t="str">
        <f>BS!$E$5</f>
        <v>31 March 2025</v>
      </c>
      <c r="SCW313" s="1717"/>
      <c r="SCX313" s="1718"/>
      <c r="SCY313" s="1718"/>
      <c r="SCZ313" s="1718"/>
      <c r="SDA313" s="1718"/>
      <c r="SDB313" s="246"/>
      <c r="SDC313" s="246" t="str">
        <f>BS!$D$5</f>
        <v>31 March 2026</v>
      </c>
      <c r="SDD313" s="247" t="str">
        <f>BS!$E$5</f>
        <v>31 March 2025</v>
      </c>
      <c r="SDE313" s="1717"/>
      <c r="SDF313" s="1718"/>
      <c r="SDG313" s="1718"/>
      <c r="SDH313" s="1718"/>
      <c r="SDI313" s="1718"/>
      <c r="SDJ313" s="246"/>
      <c r="SDK313" s="246" t="str">
        <f>BS!$D$5</f>
        <v>31 March 2026</v>
      </c>
      <c r="SDL313" s="247" t="str">
        <f>BS!$E$5</f>
        <v>31 March 2025</v>
      </c>
      <c r="SDM313" s="1717"/>
      <c r="SDN313" s="1718"/>
      <c r="SDO313" s="1718"/>
      <c r="SDP313" s="1718"/>
      <c r="SDQ313" s="1718"/>
      <c r="SDR313" s="246"/>
      <c r="SDS313" s="246" t="str">
        <f>BS!$D$5</f>
        <v>31 March 2026</v>
      </c>
      <c r="SDT313" s="247" t="str">
        <f>BS!$E$5</f>
        <v>31 March 2025</v>
      </c>
      <c r="SDU313" s="1717"/>
      <c r="SDV313" s="1718"/>
      <c r="SDW313" s="1718"/>
      <c r="SDX313" s="1718"/>
      <c r="SDY313" s="1718"/>
      <c r="SDZ313" s="246"/>
      <c r="SEA313" s="246" t="str">
        <f>BS!$D$5</f>
        <v>31 March 2026</v>
      </c>
      <c r="SEB313" s="247" t="str">
        <f>BS!$E$5</f>
        <v>31 March 2025</v>
      </c>
      <c r="SEC313" s="1717"/>
      <c r="SED313" s="1718"/>
      <c r="SEE313" s="1718"/>
      <c r="SEF313" s="1718"/>
      <c r="SEG313" s="1718"/>
      <c r="SEH313" s="246"/>
      <c r="SEI313" s="246" t="str">
        <f>BS!$D$5</f>
        <v>31 March 2026</v>
      </c>
      <c r="SEJ313" s="247" t="str">
        <f>BS!$E$5</f>
        <v>31 March 2025</v>
      </c>
      <c r="SEK313" s="1717"/>
      <c r="SEL313" s="1718"/>
      <c r="SEM313" s="1718"/>
      <c r="SEN313" s="1718"/>
      <c r="SEO313" s="1718"/>
      <c r="SEP313" s="246"/>
      <c r="SEQ313" s="246" t="str">
        <f>BS!$D$5</f>
        <v>31 March 2026</v>
      </c>
      <c r="SER313" s="247" t="str">
        <f>BS!$E$5</f>
        <v>31 March 2025</v>
      </c>
      <c r="SES313" s="1717"/>
      <c r="SET313" s="1718"/>
      <c r="SEU313" s="1718"/>
      <c r="SEV313" s="1718"/>
      <c r="SEW313" s="1718"/>
      <c r="SEX313" s="246"/>
      <c r="SEY313" s="246" t="str">
        <f>BS!$D$5</f>
        <v>31 March 2026</v>
      </c>
      <c r="SEZ313" s="247" t="str">
        <f>BS!$E$5</f>
        <v>31 March 2025</v>
      </c>
      <c r="SFA313" s="1717"/>
      <c r="SFB313" s="1718"/>
      <c r="SFC313" s="1718"/>
      <c r="SFD313" s="1718"/>
      <c r="SFE313" s="1718"/>
      <c r="SFF313" s="246"/>
      <c r="SFG313" s="246" t="str">
        <f>BS!$D$5</f>
        <v>31 March 2026</v>
      </c>
      <c r="SFH313" s="247" t="str">
        <f>BS!$E$5</f>
        <v>31 March 2025</v>
      </c>
      <c r="SFI313" s="1717"/>
      <c r="SFJ313" s="1718"/>
      <c r="SFK313" s="1718"/>
      <c r="SFL313" s="1718"/>
      <c r="SFM313" s="1718"/>
      <c r="SFN313" s="246"/>
      <c r="SFO313" s="246" t="str">
        <f>BS!$D$5</f>
        <v>31 March 2026</v>
      </c>
      <c r="SFP313" s="247" t="str">
        <f>BS!$E$5</f>
        <v>31 March 2025</v>
      </c>
      <c r="SFQ313" s="1717"/>
      <c r="SFR313" s="1718"/>
      <c r="SFS313" s="1718"/>
      <c r="SFT313" s="1718"/>
      <c r="SFU313" s="1718"/>
      <c r="SFV313" s="246"/>
      <c r="SFW313" s="246" t="str">
        <f>BS!$D$5</f>
        <v>31 March 2026</v>
      </c>
      <c r="SFX313" s="247" t="str">
        <f>BS!$E$5</f>
        <v>31 March 2025</v>
      </c>
      <c r="SFY313" s="1717"/>
      <c r="SFZ313" s="1718"/>
      <c r="SGA313" s="1718"/>
      <c r="SGB313" s="1718"/>
      <c r="SGC313" s="1718"/>
      <c r="SGD313" s="246"/>
      <c r="SGE313" s="246" t="str">
        <f>BS!$D$5</f>
        <v>31 March 2026</v>
      </c>
      <c r="SGF313" s="247" t="str">
        <f>BS!$E$5</f>
        <v>31 March 2025</v>
      </c>
      <c r="SGG313" s="1717"/>
      <c r="SGH313" s="1718"/>
      <c r="SGI313" s="1718"/>
      <c r="SGJ313" s="1718"/>
      <c r="SGK313" s="1718"/>
      <c r="SGL313" s="246"/>
      <c r="SGM313" s="246" t="str">
        <f>BS!$D$5</f>
        <v>31 March 2026</v>
      </c>
      <c r="SGN313" s="247" t="str">
        <f>BS!$E$5</f>
        <v>31 March 2025</v>
      </c>
      <c r="SGO313" s="1717"/>
      <c r="SGP313" s="1718"/>
      <c r="SGQ313" s="1718"/>
      <c r="SGR313" s="1718"/>
      <c r="SGS313" s="1718"/>
      <c r="SGT313" s="246"/>
      <c r="SGU313" s="246" t="str">
        <f>BS!$D$5</f>
        <v>31 March 2026</v>
      </c>
      <c r="SGV313" s="247" t="str">
        <f>BS!$E$5</f>
        <v>31 March 2025</v>
      </c>
      <c r="SGW313" s="1717"/>
      <c r="SGX313" s="1718"/>
      <c r="SGY313" s="1718"/>
      <c r="SGZ313" s="1718"/>
      <c r="SHA313" s="1718"/>
      <c r="SHB313" s="246"/>
      <c r="SHC313" s="246" t="str">
        <f>BS!$D$5</f>
        <v>31 March 2026</v>
      </c>
      <c r="SHD313" s="247" t="str">
        <f>BS!$E$5</f>
        <v>31 March 2025</v>
      </c>
      <c r="SHE313" s="1717"/>
      <c r="SHF313" s="1718"/>
      <c r="SHG313" s="1718"/>
      <c r="SHH313" s="1718"/>
      <c r="SHI313" s="1718"/>
      <c r="SHJ313" s="246"/>
      <c r="SHK313" s="246" t="str">
        <f>BS!$D$5</f>
        <v>31 March 2026</v>
      </c>
      <c r="SHL313" s="247" t="str">
        <f>BS!$E$5</f>
        <v>31 March 2025</v>
      </c>
      <c r="SHM313" s="1717"/>
      <c r="SHN313" s="1718"/>
      <c r="SHO313" s="1718"/>
      <c r="SHP313" s="1718"/>
      <c r="SHQ313" s="1718"/>
      <c r="SHR313" s="246"/>
      <c r="SHS313" s="246" t="str">
        <f>BS!$D$5</f>
        <v>31 March 2026</v>
      </c>
      <c r="SHT313" s="247" t="str">
        <f>BS!$E$5</f>
        <v>31 March 2025</v>
      </c>
      <c r="SHU313" s="1717"/>
      <c r="SHV313" s="1718"/>
      <c r="SHW313" s="1718"/>
      <c r="SHX313" s="1718"/>
      <c r="SHY313" s="1718"/>
      <c r="SHZ313" s="246"/>
      <c r="SIA313" s="246" t="str">
        <f>BS!$D$5</f>
        <v>31 March 2026</v>
      </c>
      <c r="SIB313" s="247" t="str">
        <f>BS!$E$5</f>
        <v>31 March 2025</v>
      </c>
      <c r="SIC313" s="1717"/>
      <c r="SID313" s="1718"/>
      <c r="SIE313" s="1718"/>
      <c r="SIF313" s="1718"/>
      <c r="SIG313" s="1718"/>
      <c r="SIH313" s="246"/>
      <c r="SII313" s="246" t="str">
        <f>BS!$D$5</f>
        <v>31 March 2026</v>
      </c>
      <c r="SIJ313" s="247" t="str">
        <f>BS!$E$5</f>
        <v>31 March 2025</v>
      </c>
      <c r="SIK313" s="1717"/>
      <c r="SIL313" s="1718"/>
      <c r="SIM313" s="1718"/>
      <c r="SIN313" s="1718"/>
      <c r="SIO313" s="1718"/>
      <c r="SIP313" s="246"/>
      <c r="SIQ313" s="246" t="str">
        <f>BS!$D$5</f>
        <v>31 March 2026</v>
      </c>
      <c r="SIR313" s="247" t="str">
        <f>BS!$E$5</f>
        <v>31 March 2025</v>
      </c>
      <c r="SIS313" s="1717"/>
      <c r="SIT313" s="1718"/>
      <c r="SIU313" s="1718"/>
      <c r="SIV313" s="1718"/>
      <c r="SIW313" s="1718"/>
      <c r="SIX313" s="246"/>
      <c r="SIY313" s="246" t="str">
        <f>BS!$D$5</f>
        <v>31 March 2026</v>
      </c>
      <c r="SIZ313" s="247" t="str">
        <f>BS!$E$5</f>
        <v>31 March 2025</v>
      </c>
      <c r="SJA313" s="1717"/>
      <c r="SJB313" s="1718"/>
      <c r="SJC313" s="1718"/>
      <c r="SJD313" s="1718"/>
      <c r="SJE313" s="1718"/>
      <c r="SJF313" s="246"/>
      <c r="SJG313" s="246" t="str">
        <f>BS!$D$5</f>
        <v>31 March 2026</v>
      </c>
      <c r="SJH313" s="247" t="str">
        <f>BS!$E$5</f>
        <v>31 March 2025</v>
      </c>
      <c r="SJI313" s="1717"/>
      <c r="SJJ313" s="1718"/>
      <c r="SJK313" s="1718"/>
      <c r="SJL313" s="1718"/>
      <c r="SJM313" s="1718"/>
      <c r="SJN313" s="246"/>
      <c r="SJO313" s="246" t="str">
        <f>BS!$D$5</f>
        <v>31 March 2026</v>
      </c>
      <c r="SJP313" s="247" t="str">
        <f>BS!$E$5</f>
        <v>31 March 2025</v>
      </c>
      <c r="SJQ313" s="1717"/>
      <c r="SJR313" s="1718"/>
      <c r="SJS313" s="1718"/>
      <c r="SJT313" s="1718"/>
      <c r="SJU313" s="1718"/>
      <c r="SJV313" s="246"/>
      <c r="SJW313" s="246" t="str">
        <f>BS!$D$5</f>
        <v>31 March 2026</v>
      </c>
      <c r="SJX313" s="247" t="str">
        <f>BS!$E$5</f>
        <v>31 March 2025</v>
      </c>
      <c r="SJY313" s="1717"/>
      <c r="SJZ313" s="1718"/>
      <c r="SKA313" s="1718"/>
      <c r="SKB313" s="1718"/>
      <c r="SKC313" s="1718"/>
      <c r="SKD313" s="246"/>
      <c r="SKE313" s="246" t="str">
        <f>BS!$D$5</f>
        <v>31 March 2026</v>
      </c>
      <c r="SKF313" s="247" t="str">
        <f>BS!$E$5</f>
        <v>31 March 2025</v>
      </c>
      <c r="SKG313" s="1717"/>
      <c r="SKH313" s="1718"/>
      <c r="SKI313" s="1718"/>
      <c r="SKJ313" s="1718"/>
      <c r="SKK313" s="1718"/>
      <c r="SKL313" s="246"/>
      <c r="SKM313" s="246" t="str">
        <f>BS!$D$5</f>
        <v>31 March 2026</v>
      </c>
      <c r="SKN313" s="247" t="str">
        <f>BS!$E$5</f>
        <v>31 March 2025</v>
      </c>
      <c r="SKO313" s="1717"/>
      <c r="SKP313" s="1718"/>
      <c r="SKQ313" s="1718"/>
      <c r="SKR313" s="1718"/>
      <c r="SKS313" s="1718"/>
      <c r="SKT313" s="246"/>
      <c r="SKU313" s="246" t="str">
        <f>BS!$D$5</f>
        <v>31 March 2026</v>
      </c>
      <c r="SKV313" s="247" t="str">
        <f>BS!$E$5</f>
        <v>31 March 2025</v>
      </c>
      <c r="SKW313" s="1717"/>
      <c r="SKX313" s="1718"/>
      <c r="SKY313" s="1718"/>
      <c r="SKZ313" s="1718"/>
      <c r="SLA313" s="1718"/>
      <c r="SLB313" s="246"/>
      <c r="SLC313" s="246" t="str">
        <f>BS!$D$5</f>
        <v>31 March 2026</v>
      </c>
      <c r="SLD313" s="247" t="str">
        <f>BS!$E$5</f>
        <v>31 March 2025</v>
      </c>
      <c r="SLE313" s="1717"/>
      <c r="SLF313" s="1718"/>
      <c r="SLG313" s="1718"/>
      <c r="SLH313" s="1718"/>
      <c r="SLI313" s="1718"/>
      <c r="SLJ313" s="246"/>
      <c r="SLK313" s="246" t="str">
        <f>BS!$D$5</f>
        <v>31 March 2026</v>
      </c>
      <c r="SLL313" s="247" t="str">
        <f>BS!$E$5</f>
        <v>31 March 2025</v>
      </c>
      <c r="SLM313" s="1717"/>
      <c r="SLN313" s="1718"/>
      <c r="SLO313" s="1718"/>
      <c r="SLP313" s="1718"/>
      <c r="SLQ313" s="1718"/>
      <c r="SLR313" s="246"/>
      <c r="SLS313" s="246" t="str">
        <f>BS!$D$5</f>
        <v>31 March 2026</v>
      </c>
      <c r="SLT313" s="247" t="str">
        <f>BS!$E$5</f>
        <v>31 March 2025</v>
      </c>
      <c r="SLU313" s="1717"/>
      <c r="SLV313" s="1718"/>
      <c r="SLW313" s="1718"/>
      <c r="SLX313" s="1718"/>
      <c r="SLY313" s="1718"/>
      <c r="SLZ313" s="246"/>
      <c r="SMA313" s="246" t="str">
        <f>BS!$D$5</f>
        <v>31 March 2026</v>
      </c>
      <c r="SMB313" s="247" t="str">
        <f>BS!$E$5</f>
        <v>31 March 2025</v>
      </c>
      <c r="SMC313" s="1717"/>
      <c r="SMD313" s="1718"/>
      <c r="SME313" s="1718"/>
      <c r="SMF313" s="1718"/>
      <c r="SMG313" s="1718"/>
      <c r="SMH313" s="246"/>
      <c r="SMI313" s="246" t="str">
        <f>BS!$D$5</f>
        <v>31 March 2026</v>
      </c>
      <c r="SMJ313" s="247" t="str">
        <f>BS!$E$5</f>
        <v>31 March 2025</v>
      </c>
      <c r="SMK313" s="1717"/>
      <c r="SML313" s="1718"/>
      <c r="SMM313" s="1718"/>
      <c r="SMN313" s="1718"/>
      <c r="SMO313" s="1718"/>
      <c r="SMP313" s="246"/>
      <c r="SMQ313" s="246" t="str">
        <f>BS!$D$5</f>
        <v>31 March 2026</v>
      </c>
      <c r="SMR313" s="247" t="str">
        <f>BS!$E$5</f>
        <v>31 March 2025</v>
      </c>
      <c r="SMS313" s="1717"/>
      <c r="SMT313" s="1718"/>
      <c r="SMU313" s="1718"/>
      <c r="SMV313" s="1718"/>
      <c r="SMW313" s="1718"/>
      <c r="SMX313" s="246"/>
      <c r="SMY313" s="246" t="str">
        <f>BS!$D$5</f>
        <v>31 March 2026</v>
      </c>
      <c r="SMZ313" s="247" t="str">
        <f>BS!$E$5</f>
        <v>31 March 2025</v>
      </c>
      <c r="SNA313" s="1717"/>
      <c r="SNB313" s="1718"/>
      <c r="SNC313" s="1718"/>
      <c r="SND313" s="1718"/>
      <c r="SNE313" s="1718"/>
      <c r="SNF313" s="246"/>
      <c r="SNG313" s="246" t="str">
        <f>BS!$D$5</f>
        <v>31 March 2026</v>
      </c>
      <c r="SNH313" s="247" t="str">
        <f>BS!$E$5</f>
        <v>31 March 2025</v>
      </c>
      <c r="SNI313" s="1717"/>
      <c r="SNJ313" s="1718"/>
      <c r="SNK313" s="1718"/>
      <c r="SNL313" s="1718"/>
      <c r="SNM313" s="1718"/>
      <c r="SNN313" s="246"/>
      <c r="SNO313" s="246" t="str">
        <f>BS!$D$5</f>
        <v>31 March 2026</v>
      </c>
      <c r="SNP313" s="247" t="str">
        <f>BS!$E$5</f>
        <v>31 March 2025</v>
      </c>
      <c r="SNQ313" s="1717"/>
      <c r="SNR313" s="1718"/>
      <c r="SNS313" s="1718"/>
      <c r="SNT313" s="1718"/>
      <c r="SNU313" s="1718"/>
      <c r="SNV313" s="246"/>
      <c r="SNW313" s="246" t="str">
        <f>BS!$D$5</f>
        <v>31 March 2026</v>
      </c>
      <c r="SNX313" s="247" t="str">
        <f>BS!$E$5</f>
        <v>31 March 2025</v>
      </c>
      <c r="SNY313" s="1717"/>
      <c r="SNZ313" s="1718"/>
      <c r="SOA313" s="1718"/>
      <c r="SOB313" s="1718"/>
      <c r="SOC313" s="1718"/>
      <c r="SOD313" s="246"/>
      <c r="SOE313" s="246" t="str">
        <f>BS!$D$5</f>
        <v>31 March 2026</v>
      </c>
      <c r="SOF313" s="247" t="str">
        <f>BS!$E$5</f>
        <v>31 March 2025</v>
      </c>
      <c r="SOG313" s="1717"/>
      <c r="SOH313" s="1718"/>
      <c r="SOI313" s="1718"/>
      <c r="SOJ313" s="1718"/>
      <c r="SOK313" s="1718"/>
      <c r="SOL313" s="246"/>
      <c r="SOM313" s="246" t="str">
        <f>BS!$D$5</f>
        <v>31 March 2026</v>
      </c>
      <c r="SON313" s="247" t="str">
        <f>BS!$E$5</f>
        <v>31 March 2025</v>
      </c>
      <c r="SOO313" s="1717"/>
      <c r="SOP313" s="1718"/>
      <c r="SOQ313" s="1718"/>
      <c r="SOR313" s="1718"/>
      <c r="SOS313" s="1718"/>
      <c r="SOT313" s="246"/>
      <c r="SOU313" s="246" t="str">
        <f>BS!$D$5</f>
        <v>31 March 2026</v>
      </c>
      <c r="SOV313" s="247" t="str">
        <f>BS!$E$5</f>
        <v>31 March 2025</v>
      </c>
      <c r="SOW313" s="1717"/>
      <c r="SOX313" s="1718"/>
      <c r="SOY313" s="1718"/>
      <c r="SOZ313" s="1718"/>
      <c r="SPA313" s="1718"/>
      <c r="SPB313" s="246"/>
      <c r="SPC313" s="246" t="str">
        <f>BS!$D$5</f>
        <v>31 March 2026</v>
      </c>
      <c r="SPD313" s="247" t="str">
        <f>BS!$E$5</f>
        <v>31 March 2025</v>
      </c>
      <c r="SPE313" s="1717"/>
      <c r="SPF313" s="1718"/>
      <c r="SPG313" s="1718"/>
      <c r="SPH313" s="1718"/>
      <c r="SPI313" s="1718"/>
      <c r="SPJ313" s="246"/>
      <c r="SPK313" s="246" t="str">
        <f>BS!$D$5</f>
        <v>31 March 2026</v>
      </c>
      <c r="SPL313" s="247" t="str">
        <f>BS!$E$5</f>
        <v>31 March 2025</v>
      </c>
      <c r="SPM313" s="1717"/>
      <c r="SPN313" s="1718"/>
      <c r="SPO313" s="1718"/>
      <c r="SPP313" s="1718"/>
      <c r="SPQ313" s="1718"/>
      <c r="SPR313" s="246"/>
      <c r="SPS313" s="246" t="str">
        <f>BS!$D$5</f>
        <v>31 March 2026</v>
      </c>
      <c r="SPT313" s="247" t="str">
        <f>BS!$E$5</f>
        <v>31 March 2025</v>
      </c>
      <c r="SPU313" s="1717"/>
      <c r="SPV313" s="1718"/>
      <c r="SPW313" s="1718"/>
      <c r="SPX313" s="1718"/>
      <c r="SPY313" s="1718"/>
      <c r="SPZ313" s="246"/>
      <c r="SQA313" s="246" t="str">
        <f>BS!$D$5</f>
        <v>31 March 2026</v>
      </c>
      <c r="SQB313" s="247" t="str">
        <f>BS!$E$5</f>
        <v>31 March 2025</v>
      </c>
      <c r="SQC313" s="1717"/>
      <c r="SQD313" s="1718"/>
      <c r="SQE313" s="1718"/>
      <c r="SQF313" s="1718"/>
      <c r="SQG313" s="1718"/>
      <c r="SQH313" s="246"/>
      <c r="SQI313" s="246" t="str">
        <f>BS!$D$5</f>
        <v>31 March 2026</v>
      </c>
      <c r="SQJ313" s="247" t="str">
        <f>BS!$E$5</f>
        <v>31 March 2025</v>
      </c>
      <c r="SQK313" s="1717"/>
      <c r="SQL313" s="1718"/>
      <c r="SQM313" s="1718"/>
      <c r="SQN313" s="1718"/>
      <c r="SQO313" s="1718"/>
      <c r="SQP313" s="246"/>
      <c r="SQQ313" s="246" t="str">
        <f>BS!$D$5</f>
        <v>31 March 2026</v>
      </c>
      <c r="SQR313" s="247" t="str">
        <f>BS!$E$5</f>
        <v>31 March 2025</v>
      </c>
      <c r="SQS313" s="1717"/>
      <c r="SQT313" s="1718"/>
      <c r="SQU313" s="1718"/>
      <c r="SQV313" s="1718"/>
      <c r="SQW313" s="1718"/>
      <c r="SQX313" s="246"/>
      <c r="SQY313" s="246" t="str">
        <f>BS!$D$5</f>
        <v>31 March 2026</v>
      </c>
      <c r="SQZ313" s="247" t="str">
        <f>BS!$E$5</f>
        <v>31 March 2025</v>
      </c>
      <c r="SRA313" s="1717"/>
      <c r="SRB313" s="1718"/>
      <c r="SRC313" s="1718"/>
      <c r="SRD313" s="1718"/>
      <c r="SRE313" s="1718"/>
      <c r="SRF313" s="246"/>
      <c r="SRG313" s="246" t="str">
        <f>BS!$D$5</f>
        <v>31 March 2026</v>
      </c>
      <c r="SRH313" s="247" t="str">
        <f>BS!$E$5</f>
        <v>31 March 2025</v>
      </c>
      <c r="SRI313" s="1717"/>
      <c r="SRJ313" s="1718"/>
      <c r="SRK313" s="1718"/>
      <c r="SRL313" s="1718"/>
      <c r="SRM313" s="1718"/>
      <c r="SRN313" s="246"/>
      <c r="SRO313" s="246" t="str">
        <f>BS!$D$5</f>
        <v>31 March 2026</v>
      </c>
      <c r="SRP313" s="247" t="str">
        <f>BS!$E$5</f>
        <v>31 March 2025</v>
      </c>
      <c r="SRQ313" s="1717"/>
      <c r="SRR313" s="1718"/>
      <c r="SRS313" s="1718"/>
      <c r="SRT313" s="1718"/>
      <c r="SRU313" s="1718"/>
      <c r="SRV313" s="246"/>
      <c r="SRW313" s="246" t="str">
        <f>BS!$D$5</f>
        <v>31 March 2026</v>
      </c>
      <c r="SRX313" s="247" t="str">
        <f>BS!$E$5</f>
        <v>31 March 2025</v>
      </c>
      <c r="SRY313" s="1717"/>
      <c r="SRZ313" s="1718"/>
      <c r="SSA313" s="1718"/>
      <c r="SSB313" s="1718"/>
      <c r="SSC313" s="1718"/>
      <c r="SSD313" s="246"/>
      <c r="SSE313" s="246" t="str">
        <f>BS!$D$5</f>
        <v>31 March 2026</v>
      </c>
      <c r="SSF313" s="247" t="str">
        <f>BS!$E$5</f>
        <v>31 March 2025</v>
      </c>
      <c r="SSG313" s="1717"/>
      <c r="SSH313" s="1718"/>
      <c r="SSI313" s="1718"/>
      <c r="SSJ313" s="1718"/>
      <c r="SSK313" s="1718"/>
      <c r="SSL313" s="246"/>
      <c r="SSM313" s="246" t="str">
        <f>BS!$D$5</f>
        <v>31 March 2026</v>
      </c>
      <c r="SSN313" s="247" t="str">
        <f>BS!$E$5</f>
        <v>31 March 2025</v>
      </c>
      <c r="SSO313" s="1717"/>
      <c r="SSP313" s="1718"/>
      <c r="SSQ313" s="1718"/>
      <c r="SSR313" s="1718"/>
      <c r="SSS313" s="1718"/>
      <c r="SST313" s="246"/>
      <c r="SSU313" s="246" t="str">
        <f>BS!$D$5</f>
        <v>31 March 2026</v>
      </c>
      <c r="SSV313" s="247" t="str">
        <f>BS!$E$5</f>
        <v>31 March 2025</v>
      </c>
      <c r="SSW313" s="1717"/>
      <c r="SSX313" s="1718"/>
      <c r="SSY313" s="1718"/>
      <c r="SSZ313" s="1718"/>
      <c r="STA313" s="1718"/>
      <c r="STB313" s="246"/>
      <c r="STC313" s="246" t="str">
        <f>BS!$D$5</f>
        <v>31 March 2026</v>
      </c>
      <c r="STD313" s="247" t="str">
        <f>BS!$E$5</f>
        <v>31 March 2025</v>
      </c>
      <c r="STE313" s="1717"/>
      <c r="STF313" s="1718"/>
      <c r="STG313" s="1718"/>
      <c r="STH313" s="1718"/>
      <c r="STI313" s="1718"/>
      <c r="STJ313" s="246"/>
      <c r="STK313" s="246" t="str">
        <f>BS!$D$5</f>
        <v>31 March 2026</v>
      </c>
      <c r="STL313" s="247" t="str">
        <f>BS!$E$5</f>
        <v>31 March 2025</v>
      </c>
      <c r="STM313" s="1717"/>
      <c r="STN313" s="1718"/>
      <c r="STO313" s="1718"/>
      <c r="STP313" s="1718"/>
      <c r="STQ313" s="1718"/>
      <c r="STR313" s="246"/>
      <c r="STS313" s="246" t="str">
        <f>BS!$D$5</f>
        <v>31 March 2026</v>
      </c>
      <c r="STT313" s="247" t="str">
        <f>BS!$E$5</f>
        <v>31 March 2025</v>
      </c>
      <c r="STU313" s="1717"/>
      <c r="STV313" s="1718"/>
      <c r="STW313" s="1718"/>
      <c r="STX313" s="1718"/>
      <c r="STY313" s="1718"/>
      <c r="STZ313" s="246"/>
      <c r="SUA313" s="246" t="str">
        <f>BS!$D$5</f>
        <v>31 March 2026</v>
      </c>
      <c r="SUB313" s="247" t="str">
        <f>BS!$E$5</f>
        <v>31 March 2025</v>
      </c>
      <c r="SUC313" s="1717"/>
      <c r="SUD313" s="1718"/>
      <c r="SUE313" s="1718"/>
      <c r="SUF313" s="1718"/>
      <c r="SUG313" s="1718"/>
      <c r="SUH313" s="246"/>
      <c r="SUI313" s="246" t="str">
        <f>BS!$D$5</f>
        <v>31 March 2026</v>
      </c>
      <c r="SUJ313" s="247" t="str">
        <f>BS!$E$5</f>
        <v>31 March 2025</v>
      </c>
      <c r="SUK313" s="1717"/>
      <c r="SUL313" s="1718"/>
      <c r="SUM313" s="1718"/>
      <c r="SUN313" s="1718"/>
      <c r="SUO313" s="1718"/>
      <c r="SUP313" s="246"/>
      <c r="SUQ313" s="246" t="str">
        <f>BS!$D$5</f>
        <v>31 March 2026</v>
      </c>
      <c r="SUR313" s="247" t="str">
        <f>BS!$E$5</f>
        <v>31 March 2025</v>
      </c>
      <c r="SUS313" s="1717"/>
      <c r="SUT313" s="1718"/>
      <c r="SUU313" s="1718"/>
      <c r="SUV313" s="1718"/>
      <c r="SUW313" s="1718"/>
      <c r="SUX313" s="246"/>
      <c r="SUY313" s="246" t="str">
        <f>BS!$D$5</f>
        <v>31 March 2026</v>
      </c>
      <c r="SUZ313" s="247" t="str">
        <f>BS!$E$5</f>
        <v>31 March 2025</v>
      </c>
      <c r="SVA313" s="1717"/>
      <c r="SVB313" s="1718"/>
      <c r="SVC313" s="1718"/>
      <c r="SVD313" s="1718"/>
      <c r="SVE313" s="1718"/>
      <c r="SVF313" s="246"/>
      <c r="SVG313" s="246" t="str">
        <f>BS!$D$5</f>
        <v>31 March 2026</v>
      </c>
      <c r="SVH313" s="247" t="str">
        <f>BS!$E$5</f>
        <v>31 March 2025</v>
      </c>
      <c r="SVI313" s="1717"/>
      <c r="SVJ313" s="1718"/>
      <c r="SVK313" s="1718"/>
      <c r="SVL313" s="1718"/>
      <c r="SVM313" s="1718"/>
      <c r="SVN313" s="246"/>
      <c r="SVO313" s="246" t="str">
        <f>BS!$D$5</f>
        <v>31 March 2026</v>
      </c>
      <c r="SVP313" s="247" t="str">
        <f>BS!$E$5</f>
        <v>31 March 2025</v>
      </c>
      <c r="SVQ313" s="1717"/>
      <c r="SVR313" s="1718"/>
      <c r="SVS313" s="1718"/>
      <c r="SVT313" s="1718"/>
      <c r="SVU313" s="1718"/>
      <c r="SVV313" s="246"/>
      <c r="SVW313" s="246" t="str">
        <f>BS!$D$5</f>
        <v>31 March 2026</v>
      </c>
      <c r="SVX313" s="247" t="str">
        <f>BS!$E$5</f>
        <v>31 March 2025</v>
      </c>
      <c r="SVY313" s="1717"/>
      <c r="SVZ313" s="1718"/>
      <c r="SWA313" s="1718"/>
      <c r="SWB313" s="1718"/>
      <c r="SWC313" s="1718"/>
      <c r="SWD313" s="246"/>
      <c r="SWE313" s="246" t="str">
        <f>BS!$D$5</f>
        <v>31 March 2026</v>
      </c>
      <c r="SWF313" s="247" t="str">
        <f>BS!$E$5</f>
        <v>31 March 2025</v>
      </c>
      <c r="SWG313" s="1717"/>
      <c r="SWH313" s="1718"/>
      <c r="SWI313" s="1718"/>
      <c r="SWJ313" s="1718"/>
      <c r="SWK313" s="1718"/>
      <c r="SWL313" s="246"/>
      <c r="SWM313" s="246" t="str">
        <f>BS!$D$5</f>
        <v>31 March 2026</v>
      </c>
      <c r="SWN313" s="247" t="str">
        <f>BS!$E$5</f>
        <v>31 March 2025</v>
      </c>
      <c r="SWO313" s="1717"/>
      <c r="SWP313" s="1718"/>
      <c r="SWQ313" s="1718"/>
      <c r="SWR313" s="1718"/>
      <c r="SWS313" s="1718"/>
      <c r="SWT313" s="246"/>
      <c r="SWU313" s="246" t="str">
        <f>BS!$D$5</f>
        <v>31 March 2026</v>
      </c>
      <c r="SWV313" s="247" t="str">
        <f>BS!$E$5</f>
        <v>31 March 2025</v>
      </c>
      <c r="SWW313" s="1717"/>
      <c r="SWX313" s="1718"/>
      <c r="SWY313" s="1718"/>
      <c r="SWZ313" s="1718"/>
      <c r="SXA313" s="1718"/>
      <c r="SXB313" s="246"/>
      <c r="SXC313" s="246" t="str">
        <f>BS!$D$5</f>
        <v>31 March 2026</v>
      </c>
      <c r="SXD313" s="247" t="str">
        <f>BS!$E$5</f>
        <v>31 March 2025</v>
      </c>
      <c r="SXE313" s="1717"/>
      <c r="SXF313" s="1718"/>
      <c r="SXG313" s="1718"/>
      <c r="SXH313" s="1718"/>
      <c r="SXI313" s="1718"/>
      <c r="SXJ313" s="246"/>
      <c r="SXK313" s="246" t="str">
        <f>BS!$D$5</f>
        <v>31 March 2026</v>
      </c>
      <c r="SXL313" s="247" t="str">
        <f>BS!$E$5</f>
        <v>31 March 2025</v>
      </c>
      <c r="SXM313" s="1717"/>
      <c r="SXN313" s="1718"/>
      <c r="SXO313" s="1718"/>
      <c r="SXP313" s="1718"/>
      <c r="SXQ313" s="1718"/>
      <c r="SXR313" s="246"/>
      <c r="SXS313" s="246" t="str">
        <f>BS!$D$5</f>
        <v>31 March 2026</v>
      </c>
      <c r="SXT313" s="247" t="str">
        <f>BS!$E$5</f>
        <v>31 March 2025</v>
      </c>
      <c r="SXU313" s="1717"/>
      <c r="SXV313" s="1718"/>
      <c r="SXW313" s="1718"/>
      <c r="SXX313" s="1718"/>
      <c r="SXY313" s="1718"/>
      <c r="SXZ313" s="246"/>
      <c r="SYA313" s="246" t="str">
        <f>BS!$D$5</f>
        <v>31 March 2026</v>
      </c>
      <c r="SYB313" s="247" t="str">
        <f>BS!$E$5</f>
        <v>31 March 2025</v>
      </c>
      <c r="SYC313" s="1717"/>
      <c r="SYD313" s="1718"/>
      <c r="SYE313" s="1718"/>
      <c r="SYF313" s="1718"/>
      <c r="SYG313" s="1718"/>
      <c r="SYH313" s="246"/>
      <c r="SYI313" s="246" t="str">
        <f>BS!$D$5</f>
        <v>31 March 2026</v>
      </c>
      <c r="SYJ313" s="247" t="str">
        <f>BS!$E$5</f>
        <v>31 March 2025</v>
      </c>
      <c r="SYK313" s="1717"/>
      <c r="SYL313" s="1718"/>
      <c r="SYM313" s="1718"/>
      <c r="SYN313" s="1718"/>
      <c r="SYO313" s="1718"/>
      <c r="SYP313" s="246"/>
      <c r="SYQ313" s="246" t="str">
        <f>BS!$D$5</f>
        <v>31 March 2026</v>
      </c>
      <c r="SYR313" s="247" t="str">
        <f>BS!$E$5</f>
        <v>31 March 2025</v>
      </c>
      <c r="SYS313" s="1717"/>
      <c r="SYT313" s="1718"/>
      <c r="SYU313" s="1718"/>
      <c r="SYV313" s="1718"/>
      <c r="SYW313" s="1718"/>
      <c r="SYX313" s="246"/>
      <c r="SYY313" s="246" t="str">
        <f>BS!$D$5</f>
        <v>31 March 2026</v>
      </c>
      <c r="SYZ313" s="247" t="str">
        <f>BS!$E$5</f>
        <v>31 March 2025</v>
      </c>
      <c r="SZA313" s="1717"/>
      <c r="SZB313" s="1718"/>
      <c r="SZC313" s="1718"/>
      <c r="SZD313" s="1718"/>
      <c r="SZE313" s="1718"/>
      <c r="SZF313" s="246"/>
      <c r="SZG313" s="246" t="str">
        <f>BS!$D$5</f>
        <v>31 March 2026</v>
      </c>
      <c r="SZH313" s="247" t="str">
        <f>BS!$E$5</f>
        <v>31 March 2025</v>
      </c>
      <c r="SZI313" s="1717"/>
      <c r="SZJ313" s="1718"/>
      <c r="SZK313" s="1718"/>
      <c r="SZL313" s="1718"/>
      <c r="SZM313" s="1718"/>
      <c r="SZN313" s="246"/>
      <c r="SZO313" s="246" t="str">
        <f>BS!$D$5</f>
        <v>31 March 2026</v>
      </c>
      <c r="SZP313" s="247" t="str">
        <f>BS!$E$5</f>
        <v>31 March 2025</v>
      </c>
      <c r="SZQ313" s="1717"/>
      <c r="SZR313" s="1718"/>
      <c r="SZS313" s="1718"/>
      <c r="SZT313" s="1718"/>
      <c r="SZU313" s="1718"/>
      <c r="SZV313" s="246"/>
      <c r="SZW313" s="246" t="str">
        <f>BS!$D$5</f>
        <v>31 March 2026</v>
      </c>
      <c r="SZX313" s="247" t="str">
        <f>BS!$E$5</f>
        <v>31 March 2025</v>
      </c>
      <c r="SZY313" s="1717"/>
      <c r="SZZ313" s="1718"/>
      <c r="TAA313" s="1718"/>
      <c r="TAB313" s="1718"/>
      <c r="TAC313" s="1718"/>
      <c r="TAD313" s="246"/>
      <c r="TAE313" s="246" t="str">
        <f>BS!$D$5</f>
        <v>31 March 2026</v>
      </c>
      <c r="TAF313" s="247" t="str">
        <f>BS!$E$5</f>
        <v>31 March 2025</v>
      </c>
      <c r="TAG313" s="1717"/>
      <c r="TAH313" s="1718"/>
      <c r="TAI313" s="1718"/>
      <c r="TAJ313" s="1718"/>
      <c r="TAK313" s="1718"/>
      <c r="TAL313" s="246"/>
      <c r="TAM313" s="246" t="str">
        <f>BS!$D$5</f>
        <v>31 March 2026</v>
      </c>
      <c r="TAN313" s="247" t="str">
        <f>BS!$E$5</f>
        <v>31 March 2025</v>
      </c>
      <c r="TAO313" s="1717"/>
      <c r="TAP313" s="1718"/>
      <c r="TAQ313" s="1718"/>
      <c r="TAR313" s="1718"/>
      <c r="TAS313" s="1718"/>
      <c r="TAT313" s="246"/>
      <c r="TAU313" s="246" t="str">
        <f>BS!$D$5</f>
        <v>31 March 2026</v>
      </c>
      <c r="TAV313" s="247" t="str">
        <f>BS!$E$5</f>
        <v>31 March 2025</v>
      </c>
      <c r="TAW313" s="1717"/>
      <c r="TAX313" s="1718"/>
      <c r="TAY313" s="1718"/>
      <c r="TAZ313" s="1718"/>
      <c r="TBA313" s="1718"/>
      <c r="TBB313" s="246"/>
      <c r="TBC313" s="246" t="str">
        <f>BS!$D$5</f>
        <v>31 March 2026</v>
      </c>
      <c r="TBD313" s="247" t="str">
        <f>BS!$E$5</f>
        <v>31 March 2025</v>
      </c>
      <c r="TBE313" s="1717"/>
      <c r="TBF313" s="1718"/>
      <c r="TBG313" s="1718"/>
      <c r="TBH313" s="1718"/>
      <c r="TBI313" s="1718"/>
      <c r="TBJ313" s="246"/>
      <c r="TBK313" s="246" t="str">
        <f>BS!$D$5</f>
        <v>31 March 2026</v>
      </c>
      <c r="TBL313" s="247" t="str">
        <f>BS!$E$5</f>
        <v>31 March 2025</v>
      </c>
      <c r="TBM313" s="1717"/>
      <c r="TBN313" s="1718"/>
      <c r="TBO313" s="1718"/>
      <c r="TBP313" s="1718"/>
      <c r="TBQ313" s="1718"/>
      <c r="TBR313" s="246"/>
      <c r="TBS313" s="246" t="str">
        <f>BS!$D$5</f>
        <v>31 March 2026</v>
      </c>
      <c r="TBT313" s="247" t="str">
        <f>BS!$E$5</f>
        <v>31 March 2025</v>
      </c>
      <c r="TBU313" s="1717"/>
      <c r="TBV313" s="1718"/>
      <c r="TBW313" s="1718"/>
      <c r="TBX313" s="1718"/>
      <c r="TBY313" s="1718"/>
      <c r="TBZ313" s="246"/>
      <c r="TCA313" s="246" t="str">
        <f>BS!$D$5</f>
        <v>31 March 2026</v>
      </c>
      <c r="TCB313" s="247" t="str">
        <f>BS!$E$5</f>
        <v>31 March 2025</v>
      </c>
      <c r="TCC313" s="1717"/>
      <c r="TCD313" s="1718"/>
      <c r="TCE313" s="1718"/>
      <c r="TCF313" s="1718"/>
      <c r="TCG313" s="1718"/>
      <c r="TCH313" s="246"/>
      <c r="TCI313" s="246" t="str">
        <f>BS!$D$5</f>
        <v>31 March 2026</v>
      </c>
      <c r="TCJ313" s="247" t="str">
        <f>BS!$E$5</f>
        <v>31 March 2025</v>
      </c>
      <c r="TCK313" s="1717"/>
      <c r="TCL313" s="1718"/>
      <c r="TCM313" s="1718"/>
      <c r="TCN313" s="1718"/>
      <c r="TCO313" s="1718"/>
      <c r="TCP313" s="246"/>
      <c r="TCQ313" s="246" t="str">
        <f>BS!$D$5</f>
        <v>31 March 2026</v>
      </c>
      <c r="TCR313" s="247" t="str">
        <f>BS!$E$5</f>
        <v>31 March 2025</v>
      </c>
      <c r="TCS313" s="1717"/>
      <c r="TCT313" s="1718"/>
      <c r="TCU313" s="1718"/>
      <c r="TCV313" s="1718"/>
      <c r="TCW313" s="1718"/>
      <c r="TCX313" s="246"/>
      <c r="TCY313" s="246" t="str">
        <f>BS!$D$5</f>
        <v>31 March 2026</v>
      </c>
      <c r="TCZ313" s="247" t="str">
        <f>BS!$E$5</f>
        <v>31 March 2025</v>
      </c>
      <c r="TDA313" s="1717"/>
      <c r="TDB313" s="1718"/>
      <c r="TDC313" s="1718"/>
      <c r="TDD313" s="1718"/>
      <c r="TDE313" s="1718"/>
      <c r="TDF313" s="246"/>
      <c r="TDG313" s="246" t="str">
        <f>BS!$D$5</f>
        <v>31 March 2026</v>
      </c>
      <c r="TDH313" s="247" t="str">
        <f>BS!$E$5</f>
        <v>31 March 2025</v>
      </c>
      <c r="TDI313" s="1717"/>
      <c r="TDJ313" s="1718"/>
      <c r="TDK313" s="1718"/>
      <c r="TDL313" s="1718"/>
      <c r="TDM313" s="1718"/>
      <c r="TDN313" s="246"/>
      <c r="TDO313" s="246" t="str">
        <f>BS!$D$5</f>
        <v>31 March 2026</v>
      </c>
      <c r="TDP313" s="247" t="str">
        <f>BS!$E$5</f>
        <v>31 March 2025</v>
      </c>
      <c r="TDQ313" s="1717"/>
      <c r="TDR313" s="1718"/>
      <c r="TDS313" s="1718"/>
      <c r="TDT313" s="1718"/>
      <c r="TDU313" s="1718"/>
      <c r="TDV313" s="246"/>
      <c r="TDW313" s="246" t="str">
        <f>BS!$D$5</f>
        <v>31 March 2026</v>
      </c>
      <c r="TDX313" s="247" t="str">
        <f>BS!$E$5</f>
        <v>31 March 2025</v>
      </c>
      <c r="TDY313" s="1717"/>
      <c r="TDZ313" s="1718"/>
      <c r="TEA313" s="1718"/>
      <c r="TEB313" s="1718"/>
      <c r="TEC313" s="1718"/>
      <c r="TED313" s="246"/>
      <c r="TEE313" s="246" t="str">
        <f>BS!$D$5</f>
        <v>31 March 2026</v>
      </c>
      <c r="TEF313" s="247" t="str">
        <f>BS!$E$5</f>
        <v>31 March 2025</v>
      </c>
      <c r="TEG313" s="1717"/>
      <c r="TEH313" s="1718"/>
      <c r="TEI313" s="1718"/>
      <c r="TEJ313" s="1718"/>
      <c r="TEK313" s="1718"/>
      <c r="TEL313" s="246"/>
      <c r="TEM313" s="246" t="str">
        <f>BS!$D$5</f>
        <v>31 March 2026</v>
      </c>
      <c r="TEN313" s="247" t="str">
        <f>BS!$E$5</f>
        <v>31 March 2025</v>
      </c>
      <c r="TEO313" s="1717"/>
      <c r="TEP313" s="1718"/>
      <c r="TEQ313" s="1718"/>
      <c r="TER313" s="1718"/>
      <c r="TES313" s="1718"/>
      <c r="TET313" s="246"/>
      <c r="TEU313" s="246" t="str">
        <f>BS!$D$5</f>
        <v>31 March 2026</v>
      </c>
      <c r="TEV313" s="247" t="str">
        <f>BS!$E$5</f>
        <v>31 March 2025</v>
      </c>
      <c r="TEW313" s="1717"/>
      <c r="TEX313" s="1718"/>
      <c r="TEY313" s="1718"/>
      <c r="TEZ313" s="1718"/>
      <c r="TFA313" s="1718"/>
      <c r="TFB313" s="246"/>
      <c r="TFC313" s="246" t="str">
        <f>BS!$D$5</f>
        <v>31 March 2026</v>
      </c>
      <c r="TFD313" s="247" t="str">
        <f>BS!$E$5</f>
        <v>31 March 2025</v>
      </c>
      <c r="TFE313" s="1717"/>
      <c r="TFF313" s="1718"/>
      <c r="TFG313" s="1718"/>
      <c r="TFH313" s="1718"/>
      <c r="TFI313" s="1718"/>
      <c r="TFJ313" s="246"/>
      <c r="TFK313" s="246" t="str">
        <f>BS!$D$5</f>
        <v>31 March 2026</v>
      </c>
      <c r="TFL313" s="247" t="str">
        <f>BS!$E$5</f>
        <v>31 March 2025</v>
      </c>
      <c r="TFM313" s="1717"/>
      <c r="TFN313" s="1718"/>
      <c r="TFO313" s="1718"/>
      <c r="TFP313" s="1718"/>
      <c r="TFQ313" s="1718"/>
      <c r="TFR313" s="246"/>
      <c r="TFS313" s="246" t="str">
        <f>BS!$D$5</f>
        <v>31 March 2026</v>
      </c>
      <c r="TFT313" s="247" t="str">
        <f>BS!$E$5</f>
        <v>31 March 2025</v>
      </c>
      <c r="TFU313" s="1717"/>
      <c r="TFV313" s="1718"/>
      <c r="TFW313" s="1718"/>
      <c r="TFX313" s="1718"/>
      <c r="TFY313" s="1718"/>
      <c r="TFZ313" s="246"/>
      <c r="TGA313" s="246" t="str">
        <f>BS!$D$5</f>
        <v>31 March 2026</v>
      </c>
      <c r="TGB313" s="247" t="str">
        <f>BS!$E$5</f>
        <v>31 March 2025</v>
      </c>
      <c r="TGC313" s="1717"/>
      <c r="TGD313" s="1718"/>
      <c r="TGE313" s="1718"/>
      <c r="TGF313" s="1718"/>
      <c r="TGG313" s="1718"/>
      <c r="TGH313" s="246"/>
      <c r="TGI313" s="246" t="str">
        <f>BS!$D$5</f>
        <v>31 March 2026</v>
      </c>
      <c r="TGJ313" s="247" t="str">
        <f>BS!$E$5</f>
        <v>31 March 2025</v>
      </c>
      <c r="TGK313" s="1717"/>
      <c r="TGL313" s="1718"/>
      <c r="TGM313" s="1718"/>
      <c r="TGN313" s="1718"/>
      <c r="TGO313" s="1718"/>
      <c r="TGP313" s="246"/>
      <c r="TGQ313" s="246" t="str">
        <f>BS!$D$5</f>
        <v>31 March 2026</v>
      </c>
      <c r="TGR313" s="247" t="str">
        <f>BS!$E$5</f>
        <v>31 March 2025</v>
      </c>
      <c r="TGS313" s="1717"/>
      <c r="TGT313" s="1718"/>
      <c r="TGU313" s="1718"/>
      <c r="TGV313" s="1718"/>
      <c r="TGW313" s="1718"/>
      <c r="TGX313" s="246"/>
      <c r="TGY313" s="246" t="str">
        <f>BS!$D$5</f>
        <v>31 March 2026</v>
      </c>
      <c r="TGZ313" s="247" t="str">
        <f>BS!$E$5</f>
        <v>31 March 2025</v>
      </c>
      <c r="THA313" s="1717"/>
      <c r="THB313" s="1718"/>
      <c r="THC313" s="1718"/>
      <c r="THD313" s="1718"/>
      <c r="THE313" s="1718"/>
      <c r="THF313" s="246"/>
      <c r="THG313" s="246" t="str">
        <f>BS!$D$5</f>
        <v>31 March 2026</v>
      </c>
      <c r="THH313" s="247" t="str">
        <f>BS!$E$5</f>
        <v>31 March 2025</v>
      </c>
      <c r="THI313" s="1717"/>
      <c r="THJ313" s="1718"/>
      <c r="THK313" s="1718"/>
      <c r="THL313" s="1718"/>
      <c r="THM313" s="1718"/>
      <c r="THN313" s="246"/>
      <c r="THO313" s="246" t="str">
        <f>BS!$D$5</f>
        <v>31 March 2026</v>
      </c>
      <c r="THP313" s="247" t="str">
        <f>BS!$E$5</f>
        <v>31 March 2025</v>
      </c>
      <c r="THQ313" s="1717"/>
      <c r="THR313" s="1718"/>
      <c r="THS313" s="1718"/>
      <c r="THT313" s="1718"/>
      <c r="THU313" s="1718"/>
      <c r="THV313" s="246"/>
      <c r="THW313" s="246" t="str">
        <f>BS!$D$5</f>
        <v>31 March 2026</v>
      </c>
      <c r="THX313" s="247" t="str">
        <f>BS!$E$5</f>
        <v>31 March 2025</v>
      </c>
      <c r="THY313" s="1717"/>
      <c r="THZ313" s="1718"/>
      <c r="TIA313" s="1718"/>
      <c r="TIB313" s="1718"/>
      <c r="TIC313" s="1718"/>
      <c r="TID313" s="246"/>
      <c r="TIE313" s="246" t="str">
        <f>BS!$D$5</f>
        <v>31 March 2026</v>
      </c>
      <c r="TIF313" s="247" t="str">
        <f>BS!$E$5</f>
        <v>31 March 2025</v>
      </c>
      <c r="TIG313" s="1717"/>
      <c r="TIH313" s="1718"/>
      <c r="TII313" s="1718"/>
      <c r="TIJ313" s="1718"/>
      <c r="TIK313" s="1718"/>
      <c r="TIL313" s="246"/>
      <c r="TIM313" s="246" t="str">
        <f>BS!$D$5</f>
        <v>31 March 2026</v>
      </c>
      <c r="TIN313" s="247" t="str">
        <f>BS!$E$5</f>
        <v>31 March 2025</v>
      </c>
      <c r="TIO313" s="1717"/>
      <c r="TIP313" s="1718"/>
      <c r="TIQ313" s="1718"/>
      <c r="TIR313" s="1718"/>
      <c r="TIS313" s="1718"/>
      <c r="TIT313" s="246"/>
      <c r="TIU313" s="246" t="str">
        <f>BS!$D$5</f>
        <v>31 March 2026</v>
      </c>
      <c r="TIV313" s="247" t="str">
        <f>BS!$E$5</f>
        <v>31 March 2025</v>
      </c>
      <c r="TIW313" s="1717"/>
      <c r="TIX313" s="1718"/>
      <c r="TIY313" s="1718"/>
      <c r="TIZ313" s="1718"/>
      <c r="TJA313" s="1718"/>
      <c r="TJB313" s="246"/>
      <c r="TJC313" s="246" t="str">
        <f>BS!$D$5</f>
        <v>31 March 2026</v>
      </c>
      <c r="TJD313" s="247" t="str">
        <f>BS!$E$5</f>
        <v>31 March 2025</v>
      </c>
      <c r="TJE313" s="1717"/>
      <c r="TJF313" s="1718"/>
      <c r="TJG313" s="1718"/>
      <c r="TJH313" s="1718"/>
      <c r="TJI313" s="1718"/>
      <c r="TJJ313" s="246"/>
      <c r="TJK313" s="246" t="str">
        <f>BS!$D$5</f>
        <v>31 March 2026</v>
      </c>
      <c r="TJL313" s="247" t="str">
        <f>BS!$E$5</f>
        <v>31 March 2025</v>
      </c>
      <c r="TJM313" s="1717"/>
      <c r="TJN313" s="1718"/>
      <c r="TJO313" s="1718"/>
      <c r="TJP313" s="1718"/>
      <c r="TJQ313" s="1718"/>
      <c r="TJR313" s="246"/>
      <c r="TJS313" s="246" t="str">
        <f>BS!$D$5</f>
        <v>31 March 2026</v>
      </c>
      <c r="TJT313" s="247" t="str">
        <f>BS!$E$5</f>
        <v>31 March 2025</v>
      </c>
      <c r="TJU313" s="1717"/>
      <c r="TJV313" s="1718"/>
      <c r="TJW313" s="1718"/>
      <c r="TJX313" s="1718"/>
      <c r="TJY313" s="1718"/>
      <c r="TJZ313" s="246"/>
      <c r="TKA313" s="246" t="str">
        <f>BS!$D$5</f>
        <v>31 March 2026</v>
      </c>
      <c r="TKB313" s="247" t="str">
        <f>BS!$E$5</f>
        <v>31 March 2025</v>
      </c>
      <c r="TKC313" s="1717"/>
      <c r="TKD313" s="1718"/>
      <c r="TKE313" s="1718"/>
      <c r="TKF313" s="1718"/>
      <c r="TKG313" s="1718"/>
      <c r="TKH313" s="246"/>
      <c r="TKI313" s="246" t="str">
        <f>BS!$D$5</f>
        <v>31 March 2026</v>
      </c>
      <c r="TKJ313" s="247" t="str">
        <f>BS!$E$5</f>
        <v>31 March 2025</v>
      </c>
      <c r="TKK313" s="1717"/>
      <c r="TKL313" s="1718"/>
      <c r="TKM313" s="1718"/>
      <c r="TKN313" s="1718"/>
      <c r="TKO313" s="1718"/>
      <c r="TKP313" s="246"/>
      <c r="TKQ313" s="246" t="str">
        <f>BS!$D$5</f>
        <v>31 March 2026</v>
      </c>
      <c r="TKR313" s="247" t="str">
        <f>BS!$E$5</f>
        <v>31 March 2025</v>
      </c>
      <c r="TKS313" s="1717"/>
      <c r="TKT313" s="1718"/>
      <c r="TKU313" s="1718"/>
      <c r="TKV313" s="1718"/>
      <c r="TKW313" s="1718"/>
      <c r="TKX313" s="246"/>
      <c r="TKY313" s="246" t="str">
        <f>BS!$D$5</f>
        <v>31 March 2026</v>
      </c>
      <c r="TKZ313" s="247" t="str">
        <f>BS!$E$5</f>
        <v>31 March 2025</v>
      </c>
      <c r="TLA313" s="1717"/>
      <c r="TLB313" s="1718"/>
      <c r="TLC313" s="1718"/>
      <c r="TLD313" s="1718"/>
      <c r="TLE313" s="1718"/>
      <c r="TLF313" s="246"/>
      <c r="TLG313" s="246" t="str">
        <f>BS!$D$5</f>
        <v>31 March 2026</v>
      </c>
      <c r="TLH313" s="247" t="str">
        <f>BS!$E$5</f>
        <v>31 March 2025</v>
      </c>
      <c r="TLI313" s="1717"/>
      <c r="TLJ313" s="1718"/>
      <c r="TLK313" s="1718"/>
      <c r="TLL313" s="1718"/>
      <c r="TLM313" s="1718"/>
      <c r="TLN313" s="246"/>
      <c r="TLO313" s="246" t="str">
        <f>BS!$D$5</f>
        <v>31 March 2026</v>
      </c>
      <c r="TLP313" s="247" t="str">
        <f>BS!$E$5</f>
        <v>31 March 2025</v>
      </c>
      <c r="TLQ313" s="1717"/>
      <c r="TLR313" s="1718"/>
      <c r="TLS313" s="1718"/>
      <c r="TLT313" s="1718"/>
      <c r="TLU313" s="1718"/>
      <c r="TLV313" s="246"/>
      <c r="TLW313" s="246" t="str">
        <f>BS!$D$5</f>
        <v>31 March 2026</v>
      </c>
      <c r="TLX313" s="247" t="str">
        <f>BS!$E$5</f>
        <v>31 March 2025</v>
      </c>
      <c r="TLY313" s="1717"/>
      <c r="TLZ313" s="1718"/>
      <c r="TMA313" s="1718"/>
      <c r="TMB313" s="1718"/>
      <c r="TMC313" s="1718"/>
      <c r="TMD313" s="246"/>
      <c r="TME313" s="246" t="str">
        <f>BS!$D$5</f>
        <v>31 March 2026</v>
      </c>
      <c r="TMF313" s="247" t="str">
        <f>BS!$E$5</f>
        <v>31 March 2025</v>
      </c>
      <c r="TMG313" s="1717"/>
      <c r="TMH313" s="1718"/>
      <c r="TMI313" s="1718"/>
      <c r="TMJ313" s="1718"/>
      <c r="TMK313" s="1718"/>
      <c r="TML313" s="246"/>
      <c r="TMM313" s="246" t="str">
        <f>BS!$D$5</f>
        <v>31 March 2026</v>
      </c>
      <c r="TMN313" s="247" t="str">
        <f>BS!$E$5</f>
        <v>31 March 2025</v>
      </c>
      <c r="TMO313" s="1717"/>
      <c r="TMP313" s="1718"/>
      <c r="TMQ313" s="1718"/>
      <c r="TMR313" s="1718"/>
      <c r="TMS313" s="1718"/>
      <c r="TMT313" s="246"/>
      <c r="TMU313" s="246" t="str">
        <f>BS!$D$5</f>
        <v>31 March 2026</v>
      </c>
      <c r="TMV313" s="247" t="str">
        <f>BS!$E$5</f>
        <v>31 March 2025</v>
      </c>
      <c r="TMW313" s="1717"/>
      <c r="TMX313" s="1718"/>
      <c r="TMY313" s="1718"/>
      <c r="TMZ313" s="1718"/>
      <c r="TNA313" s="1718"/>
      <c r="TNB313" s="246"/>
      <c r="TNC313" s="246" t="str">
        <f>BS!$D$5</f>
        <v>31 March 2026</v>
      </c>
      <c r="TND313" s="247" t="str">
        <f>BS!$E$5</f>
        <v>31 March 2025</v>
      </c>
      <c r="TNE313" s="1717"/>
      <c r="TNF313" s="1718"/>
      <c r="TNG313" s="1718"/>
      <c r="TNH313" s="1718"/>
      <c r="TNI313" s="1718"/>
      <c r="TNJ313" s="246"/>
      <c r="TNK313" s="246" t="str">
        <f>BS!$D$5</f>
        <v>31 March 2026</v>
      </c>
      <c r="TNL313" s="247" t="str">
        <f>BS!$E$5</f>
        <v>31 March 2025</v>
      </c>
      <c r="TNM313" s="1717"/>
      <c r="TNN313" s="1718"/>
      <c r="TNO313" s="1718"/>
      <c r="TNP313" s="1718"/>
      <c r="TNQ313" s="1718"/>
      <c r="TNR313" s="246"/>
      <c r="TNS313" s="246" t="str">
        <f>BS!$D$5</f>
        <v>31 March 2026</v>
      </c>
      <c r="TNT313" s="247" t="str">
        <f>BS!$E$5</f>
        <v>31 March 2025</v>
      </c>
      <c r="TNU313" s="1717"/>
      <c r="TNV313" s="1718"/>
      <c r="TNW313" s="1718"/>
      <c r="TNX313" s="1718"/>
      <c r="TNY313" s="1718"/>
      <c r="TNZ313" s="246"/>
      <c r="TOA313" s="246" t="str">
        <f>BS!$D$5</f>
        <v>31 March 2026</v>
      </c>
      <c r="TOB313" s="247" t="str">
        <f>BS!$E$5</f>
        <v>31 March 2025</v>
      </c>
      <c r="TOC313" s="1717"/>
      <c r="TOD313" s="1718"/>
      <c r="TOE313" s="1718"/>
      <c r="TOF313" s="1718"/>
      <c r="TOG313" s="1718"/>
      <c r="TOH313" s="246"/>
      <c r="TOI313" s="246" t="str">
        <f>BS!$D$5</f>
        <v>31 March 2026</v>
      </c>
      <c r="TOJ313" s="247" t="str">
        <f>BS!$E$5</f>
        <v>31 March 2025</v>
      </c>
      <c r="TOK313" s="1717"/>
      <c r="TOL313" s="1718"/>
      <c r="TOM313" s="1718"/>
      <c r="TON313" s="1718"/>
      <c r="TOO313" s="1718"/>
      <c r="TOP313" s="246"/>
      <c r="TOQ313" s="246" t="str">
        <f>BS!$D$5</f>
        <v>31 March 2026</v>
      </c>
      <c r="TOR313" s="247" t="str">
        <f>BS!$E$5</f>
        <v>31 March 2025</v>
      </c>
      <c r="TOS313" s="1717"/>
      <c r="TOT313" s="1718"/>
      <c r="TOU313" s="1718"/>
      <c r="TOV313" s="1718"/>
      <c r="TOW313" s="1718"/>
      <c r="TOX313" s="246"/>
      <c r="TOY313" s="246" t="str">
        <f>BS!$D$5</f>
        <v>31 March 2026</v>
      </c>
      <c r="TOZ313" s="247" t="str">
        <f>BS!$E$5</f>
        <v>31 March 2025</v>
      </c>
      <c r="TPA313" s="1717"/>
      <c r="TPB313" s="1718"/>
      <c r="TPC313" s="1718"/>
      <c r="TPD313" s="1718"/>
      <c r="TPE313" s="1718"/>
      <c r="TPF313" s="246"/>
      <c r="TPG313" s="246" t="str">
        <f>BS!$D$5</f>
        <v>31 March 2026</v>
      </c>
      <c r="TPH313" s="247" t="str">
        <f>BS!$E$5</f>
        <v>31 March 2025</v>
      </c>
      <c r="TPI313" s="1717"/>
      <c r="TPJ313" s="1718"/>
      <c r="TPK313" s="1718"/>
      <c r="TPL313" s="1718"/>
      <c r="TPM313" s="1718"/>
      <c r="TPN313" s="246"/>
      <c r="TPO313" s="246" t="str">
        <f>BS!$D$5</f>
        <v>31 March 2026</v>
      </c>
      <c r="TPP313" s="247" t="str">
        <f>BS!$E$5</f>
        <v>31 March 2025</v>
      </c>
      <c r="TPQ313" s="1717"/>
      <c r="TPR313" s="1718"/>
      <c r="TPS313" s="1718"/>
      <c r="TPT313" s="1718"/>
      <c r="TPU313" s="1718"/>
      <c r="TPV313" s="246"/>
      <c r="TPW313" s="246" t="str">
        <f>BS!$D$5</f>
        <v>31 March 2026</v>
      </c>
      <c r="TPX313" s="247" t="str">
        <f>BS!$E$5</f>
        <v>31 March 2025</v>
      </c>
      <c r="TPY313" s="1717"/>
      <c r="TPZ313" s="1718"/>
      <c r="TQA313" s="1718"/>
      <c r="TQB313" s="1718"/>
      <c r="TQC313" s="1718"/>
      <c r="TQD313" s="246"/>
      <c r="TQE313" s="246" t="str">
        <f>BS!$D$5</f>
        <v>31 March 2026</v>
      </c>
      <c r="TQF313" s="247" t="str">
        <f>BS!$E$5</f>
        <v>31 March 2025</v>
      </c>
      <c r="TQG313" s="1717"/>
      <c r="TQH313" s="1718"/>
      <c r="TQI313" s="1718"/>
      <c r="TQJ313" s="1718"/>
      <c r="TQK313" s="1718"/>
      <c r="TQL313" s="246"/>
      <c r="TQM313" s="246" t="str">
        <f>BS!$D$5</f>
        <v>31 March 2026</v>
      </c>
      <c r="TQN313" s="247" t="str">
        <f>BS!$E$5</f>
        <v>31 March 2025</v>
      </c>
      <c r="TQO313" s="1717"/>
      <c r="TQP313" s="1718"/>
      <c r="TQQ313" s="1718"/>
      <c r="TQR313" s="1718"/>
      <c r="TQS313" s="1718"/>
      <c r="TQT313" s="246"/>
      <c r="TQU313" s="246" t="str">
        <f>BS!$D$5</f>
        <v>31 March 2026</v>
      </c>
      <c r="TQV313" s="247" t="str">
        <f>BS!$E$5</f>
        <v>31 March 2025</v>
      </c>
      <c r="TQW313" s="1717"/>
      <c r="TQX313" s="1718"/>
      <c r="TQY313" s="1718"/>
      <c r="TQZ313" s="1718"/>
      <c r="TRA313" s="1718"/>
      <c r="TRB313" s="246"/>
      <c r="TRC313" s="246" t="str">
        <f>BS!$D$5</f>
        <v>31 March 2026</v>
      </c>
      <c r="TRD313" s="247" t="str">
        <f>BS!$E$5</f>
        <v>31 March 2025</v>
      </c>
      <c r="TRE313" s="1717"/>
      <c r="TRF313" s="1718"/>
      <c r="TRG313" s="1718"/>
      <c r="TRH313" s="1718"/>
      <c r="TRI313" s="1718"/>
      <c r="TRJ313" s="246"/>
      <c r="TRK313" s="246" t="str">
        <f>BS!$D$5</f>
        <v>31 March 2026</v>
      </c>
      <c r="TRL313" s="247" t="str">
        <f>BS!$E$5</f>
        <v>31 March 2025</v>
      </c>
      <c r="TRM313" s="1717"/>
      <c r="TRN313" s="1718"/>
      <c r="TRO313" s="1718"/>
      <c r="TRP313" s="1718"/>
      <c r="TRQ313" s="1718"/>
      <c r="TRR313" s="246"/>
      <c r="TRS313" s="246" t="str">
        <f>BS!$D$5</f>
        <v>31 March 2026</v>
      </c>
      <c r="TRT313" s="247" t="str">
        <f>BS!$E$5</f>
        <v>31 March 2025</v>
      </c>
      <c r="TRU313" s="1717"/>
      <c r="TRV313" s="1718"/>
      <c r="TRW313" s="1718"/>
      <c r="TRX313" s="1718"/>
      <c r="TRY313" s="1718"/>
      <c r="TRZ313" s="246"/>
      <c r="TSA313" s="246" t="str">
        <f>BS!$D$5</f>
        <v>31 March 2026</v>
      </c>
      <c r="TSB313" s="247" t="str">
        <f>BS!$E$5</f>
        <v>31 March 2025</v>
      </c>
      <c r="TSC313" s="1717"/>
      <c r="TSD313" s="1718"/>
      <c r="TSE313" s="1718"/>
      <c r="TSF313" s="1718"/>
      <c r="TSG313" s="1718"/>
      <c r="TSH313" s="246"/>
      <c r="TSI313" s="246" t="str">
        <f>BS!$D$5</f>
        <v>31 March 2026</v>
      </c>
      <c r="TSJ313" s="247" t="str">
        <f>BS!$E$5</f>
        <v>31 March 2025</v>
      </c>
      <c r="TSK313" s="1717"/>
      <c r="TSL313" s="1718"/>
      <c r="TSM313" s="1718"/>
      <c r="TSN313" s="1718"/>
      <c r="TSO313" s="1718"/>
      <c r="TSP313" s="246"/>
      <c r="TSQ313" s="246" t="str">
        <f>BS!$D$5</f>
        <v>31 March 2026</v>
      </c>
      <c r="TSR313" s="247" t="str">
        <f>BS!$E$5</f>
        <v>31 March 2025</v>
      </c>
      <c r="TSS313" s="1717"/>
      <c r="TST313" s="1718"/>
      <c r="TSU313" s="1718"/>
      <c r="TSV313" s="1718"/>
      <c r="TSW313" s="1718"/>
      <c r="TSX313" s="246"/>
      <c r="TSY313" s="246" t="str">
        <f>BS!$D$5</f>
        <v>31 March 2026</v>
      </c>
      <c r="TSZ313" s="247" t="str">
        <f>BS!$E$5</f>
        <v>31 March 2025</v>
      </c>
      <c r="TTA313" s="1717"/>
      <c r="TTB313" s="1718"/>
      <c r="TTC313" s="1718"/>
      <c r="TTD313" s="1718"/>
      <c r="TTE313" s="1718"/>
      <c r="TTF313" s="246"/>
      <c r="TTG313" s="246" t="str">
        <f>BS!$D$5</f>
        <v>31 March 2026</v>
      </c>
      <c r="TTH313" s="247" t="str">
        <f>BS!$E$5</f>
        <v>31 March 2025</v>
      </c>
      <c r="TTI313" s="1717"/>
      <c r="TTJ313" s="1718"/>
      <c r="TTK313" s="1718"/>
      <c r="TTL313" s="1718"/>
      <c r="TTM313" s="1718"/>
      <c r="TTN313" s="246"/>
      <c r="TTO313" s="246" t="str">
        <f>BS!$D$5</f>
        <v>31 March 2026</v>
      </c>
      <c r="TTP313" s="247" t="str">
        <f>BS!$E$5</f>
        <v>31 March 2025</v>
      </c>
      <c r="TTQ313" s="1717"/>
      <c r="TTR313" s="1718"/>
      <c r="TTS313" s="1718"/>
      <c r="TTT313" s="1718"/>
      <c r="TTU313" s="1718"/>
      <c r="TTV313" s="246"/>
      <c r="TTW313" s="246" t="str">
        <f>BS!$D$5</f>
        <v>31 March 2026</v>
      </c>
      <c r="TTX313" s="247" t="str">
        <f>BS!$E$5</f>
        <v>31 March 2025</v>
      </c>
      <c r="TTY313" s="1717"/>
      <c r="TTZ313" s="1718"/>
      <c r="TUA313" s="1718"/>
      <c r="TUB313" s="1718"/>
      <c r="TUC313" s="1718"/>
      <c r="TUD313" s="246"/>
      <c r="TUE313" s="246" t="str">
        <f>BS!$D$5</f>
        <v>31 March 2026</v>
      </c>
      <c r="TUF313" s="247" t="str">
        <f>BS!$E$5</f>
        <v>31 March 2025</v>
      </c>
      <c r="TUG313" s="1717"/>
      <c r="TUH313" s="1718"/>
      <c r="TUI313" s="1718"/>
      <c r="TUJ313" s="1718"/>
      <c r="TUK313" s="1718"/>
      <c r="TUL313" s="246"/>
      <c r="TUM313" s="246" t="str">
        <f>BS!$D$5</f>
        <v>31 March 2026</v>
      </c>
      <c r="TUN313" s="247" t="str">
        <f>BS!$E$5</f>
        <v>31 March 2025</v>
      </c>
      <c r="TUO313" s="1717"/>
      <c r="TUP313" s="1718"/>
      <c r="TUQ313" s="1718"/>
      <c r="TUR313" s="1718"/>
      <c r="TUS313" s="1718"/>
      <c r="TUT313" s="246"/>
      <c r="TUU313" s="246" t="str">
        <f>BS!$D$5</f>
        <v>31 March 2026</v>
      </c>
      <c r="TUV313" s="247" t="str">
        <f>BS!$E$5</f>
        <v>31 March 2025</v>
      </c>
      <c r="TUW313" s="1717"/>
      <c r="TUX313" s="1718"/>
      <c r="TUY313" s="1718"/>
      <c r="TUZ313" s="1718"/>
      <c r="TVA313" s="1718"/>
      <c r="TVB313" s="246"/>
      <c r="TVC313" s="246" t="str">
        <f>BS!$D$5</f>
        <v>31 March 2026</v>
      </c>
      <c r="TVD313" s="247" t="str">
        <f>BS!$E$5</f>
        <v>31 March 2025</v>
      </c>
      <c r="TVE313" s="1717"/>
      <c r="TVF313" s="1718"/>
      <c r="TVG313" s="1718"/>
      <c r="TVH313" s="1718"/>
      <c r="TVI313" s="1718"/>
      <c r="TVJ313" s="246"/>
      <c r="TVK313" s="246" t="str">
        <f>BS!$D$5</f>
        <v>31 March 2026</v>
      </c>
      <c r="TVL313" s="247" t="str">
        <f>BS!$E$5</f>
        <v>31 March 2025</v>
      </c>
      <c r="TVM313" s="1717"/>
      <c r="TVN313" s="1718"/>
      <c r="TVO313" s="1718"/>
      <c r="TVP313" s="1718"/>
      <c r="TVQ313" s="1718"/>
      <c r="TVR313" s="246"/>
      <c r="TVS313" s="246" t="str">
        <f>BS!$D$5</f>
        <v>31 March 2026</v>
      </c>
      <c r="TVT313" s="247" t="str">
        <f>BS!$E$5</f>
        <v>31 March 2025</v>
      </c>
      <c r="TVU313" s="1717"/>
      <c r="TVV313" s="1718"/>
      <c r="TVW313" s="1718"/>
      <c r="TVX313" s="1718"/>
      <c r="TVY313" s="1718"/>
      <c r="TVZ313" s="246"/>
      <c r="TWA313" s="246" t="str">
        <f>BS!$D$5</f>
        <v>31 March 2026</v>
      </c>
      <c r="TWB313" s="247" t="str">
        <f>BS!$E$5</f>
        <v>31 March 2025</v>
      </c>
      <c r="TWC313" s="1717"/>
      <c r="TWD313" s="1718"/>
      <c r="TWE313" s="1718"/>
      <c r="TWF313" s="1718"/>
      <c r="TWG313" s="1718"/>
      <c r="TWH313" s="246"/>
      <c r="TWI313" s="246" t="str">
        <f>BS!$D$5</f>
        <v>31 March 2026</v>
      </c>
      <c r="TWJ313" s="247" t="str">
        <f>BS!$E$5</f>
        <v>31 March 2025</v>
      </c>
      <c r="TWK313" s="1717"/>
      <c r="TWL313" s="1718"/>
      <c r="TWM313" s="1718"/>
      <c r="TWN313" s="1718"/>
      <c r="TWO313" s="1718"/>
      <c r="TWP313" s="246"/>
      <c r="TWQ313" s="246" t="str">
        <f>BS!$D$5</f>
        <v>31 March 2026</v>
      </c>
      <c r="TWR313" s="247" t="str">
        <f>BS!$E$5</f>
        <v>31 March 2025</v>
      </c>
      <c r="TWS313" s="1717"/>
      <c r="TWT313" s="1718"/>
      <c r="TWU313" s="1718"/>
      <c r="TWV313" s="1718"/>
      <c r="TWW313" s="1718"/>
      <c r="TWX313" s="246"/>
      <c r="TWY313" s="246" t="str">
        <f>BS!$D$5</f>
        <v>31 March 2026</v>
      </c>
      <c r="TWZ313" s="247" t="str">
        <f>BS!$E$5</f>
        <v>31 March 2025</v>
      </c>
      <c r="TXA313" s="1717"/>
      <c r="TXB313" s="1718"/>
      <c r="TXC313" s="1718"/>
      <c r="TXD313" s="1718"/>
      <c r="TXE313" s="1718"/>
      <c r="TXF313" s="246"/>
      <c r="TXG313" s="246" t="str">
        <f>BS!$D$5</f>
        <v>31 March 2026</v>
      </c>
      <c r="TXH313" s="247" t="str">
        <f>BS!$E$5</f>
        <v>31 March 2025</v>
      </c>
      <c r="TXI313" s="1717"/>
      <c r="TXJ313" s="1718"/>
      <c r="TXK313" s="1718"/>
      <c r="TXL313" s="1718"/>
      <c r="TXM313" s="1718"/>
      <c r="TXN313" s="246"/>
      <c r="TXO313" s="246" t="str">
        <f>BS!$D$5</f>
        <v>31 March 2026</v>
      </c>
      <c r="TXP313" s="247" t="str">
        <f>BS!$E$5</f>
        <v>31 March 2025</v>
      </c>
      <c r="TXQ313" s="1717"/>
      <c r="TXR313" s="1718"/>
      <c r="TXS313" s="1718"/>
      <c r="TXT313" s="1718"/>
      <c r="TXU313" s="1718"/>
      <c r="TXV313" s="246"/>
      <c r="TXW313" s="246" t="str">
        <f>BS!$D$5</f>
        <v>31 March 2026</v>
      </c>
      <c r="TXX313" s="247" t="str">
        <f>BS!$E$5</f>
        <v>31 March 2025</v>
      </c>
      <c r="TXY313" s="1717"/>
      <c r="TXZ313" s="1718"/>
      <c r="TYA313" s="1718"/>
      <c r="TYB313" s="1718"/>
      <c r="TYC313" s="1718"/>
      <c r="TYD313" s="246"/>
      <c r="TYE313" s="246" t="str">
        <f>BS!$D$5</f>
        <v>31 March 2026</v>
      </c>
      <c r="TYF313" s="247" t="str">
        <f>BS!$E$5</f>
        <v>31 March 2025</v>
      </c>
      <c r="TYG313" s="1717"/>
      <c r="TYH313" s="1718"/>
      <c r="TYI313" s="1718"/>
      <c r="TYJ313" s="1718"/>
      <c r="TYK313" s="1718"/>
      <c r="TYL313" s="246"/>
      <c r="TYM313" s="246" t="str">
        <f>BS!$D$5</f>
        <v>31 March 2026</v>
      </c>
      <c r="TYN313" s="247" t="str">
        <f>BS!$E$5</f>
        <v>31 March 2025</v>
      </c>
      <c r="TYO313" s="1717"/>
      <c r="TYP313" s="1718"/>
      <c r="TYQ313" s="1718"/>
      <c r="TYR313" s="1718"/>
      <c r="TYS313" s="1718"/>
      <c r="TYT313" s="246"/>
      <c r="TYU313" s="246" t="str">
        <f>BS!$D$5</f>
        <v>31 March 2026</v>
      </c>
      <c r="TYV313" s="247" t="str">
        <f>BS!$E$5</f>
        <v>31 March 2025</v>
      </c>
      <c r="TYW313" s="1717"/>
      <c r="TYX313" s="1718"/>
      <c r="TYY313" s="1718"/>
      <c r="TYZ313" s="1718"/>
      <c r="TZA313" s="1718"/>
      <c r="TZB313" s="246"/>
      <c r="TZC313" s="246" t="str">
        <f>BS!$D$5</f>
        <v>31 March 2026</v>
      </c>
      <c r="TZD313" s="247" t="str">
        <f>BS!$E$5</f>
        <v>31 March 2025</v>
      </c>
      <c r="TZE313" s="1717"/>
      <c r="TZF313" s="1718"/>
      <c r="TZG313" s="1718"/>
      <c r="TZH313" s="1718"/>
      <c r="TZI313" s="1718"/>
      <c r="TZJ313" s="246"/>
      <c r="TZK313" s="246" t="str">
        <f>BS!$D$5</f>
        <v>31 March 2026</v>
      </c>
      <c r="TZL313" s="247" t="str">
        <f>BS!$E$5</f>
        <v>31 March 2025</v>
      </c>
      <c r="TZM313" s="1717"/>
      <c r="TZN313" s="1718"/>
      <c r="TZO313" s="1718"/>
      <c r="TZP313" s="1718"/>
      <c r="TZQ313" s="1718"/>
      <c r="TZR313" s="246"/>
      <c r="TZS313" s="246" t="str">
        <f>BS!$D$5</f>
        <v>31 March 2026</v>
      </c>
      <c r="TZT313" s="247" t="str">
        <f>BS!$E$5</f>
        <v>31 March 2025</v>
      </c>
      <c r="TZU313" s="1717"/>
      <c r="TZV313" s="1718"/>
      <c r="TZW313" s="1718"/>
      <c r="TZX313" s="1718"/>
      <c r="TZY313" s="1718"/>
      <c r="TZZ313" s="246"/>
      <c r="UAA313" s="246" t="str">
        <f>BS!$D$5</f>
        <v>31 March 2026</v>
      </c>
      <c r="UAB313" s="247" t="str">
        <f>BS!$E$5</f>
        <v>31 March 2025</v>
      </c>
      <c r="UAC313" s="1717"/>
      <c r="UAD313" s="1718"/>
      <c r="UAE313" s="1718"/>
      <c r="UAF313" s="1718"/>
      <c r="UAG313" s="1718"/>
      <c r="UAH313" s="246"/>
      <c r="UAI313" s="246" t="str">
        <f>BS!$D$5</f>
        <v>31 March 2026</v>
      </c>
      <c r="UAJ313" s="247" t="str">
        <f>BS!$E$5</f>
        <v>31 March 2025</v>
      </c>
      <c r="UAK313" s="1717"/>
      <c r="UAL313" s="1718"/>
      <c r="UAM313" s="1718"/>
      <c r="UAN313" s="1718"/>
      <c r="UAO313" s="1718"/>
      <c r="UAP313" s="246"/>
      <c r="UAQ313" s="246" t="str">
        <f>BS!$D$5</f>
        <v>31 March 2026</v>
      </c>
      <c r="UAR313" s="247" t="str">
        <f>BS!$E$5</f>
        <v>31 March 2025</v>
      </c>
      <c r="UAS313" s="1717"/>
      <c r="UAT313" s="1718"/>
      <c r="UAU313" s="1718"/>
      <c r="UAV313" s="1718"/>
      <c r="UAW313" s="1718"/>
      <c r="UAX313" s="246"/>
      <c r="UAY313" s="246" t="str">
        <f>BS!$D$5</f>
        <v>31 March 2026</v>
      </c>
      <c r="UAZ313" s="247" t="str">
        <f>BS!$E$5</f>
        <v>31 March 2025</v>
      </c>
      <c r="UBA313" s="1717"/>
      <c r="UBB313" s="1718"/>
      <c r="UBC313" s="1718"/>
      <c r="UBD313" s="1718"/>
      <c r="UBE313" s="1718"/>
      <c r="UBF313" s="246"/>
      <c r="UBG313" s="246" t="str">
        <f>BS!$D$5</f>
        <v>31 March 2026</v>
      </c>
      <c r="UBH313" s="247" t="str">
        <f>BS!$E$5</f>
        <v>31 March 2025</v>
      </c>
      <c r="UBI313" s="1717"/>
      <c r="UBJ313" s="1718"/>
      <c r="UBK313" s="1718"/>
      <c r="UBL313" s="1718"/>
      <c r="UBM313" s="1718"/>
      <c r="UBN313" s="246"/>
      <c r="UBO313" s="246" t="str">
        <f>BS!$D$5</f>
        <v>31 March 2026</v>
      </c>
      <c r="UBP313" s="247" t="str">
        <f>BS!$E$5</f>
        <v>31 March 2025</v>
      </c>
      <c r="UBQ313" s="1717"/>
      <c r="UBR313" s="1718"/>
      <c r="UBS313" s="1718"/>
      <c r="UBT313" s="1718"/>
      <c r="UBU313" s="1718"/>
      <c r="UBV313" s="246"/>
      <c r="UBW313" s="246" t="str">
        <f>BS!$D$5</f>
        <v>31 March 2026</v>
      </c>
      <c r="UBX313" s="247" t="str">
        <f>BS!$E$5</f>
        <v>31 March 2025</v>
      </c>
      <c r="UBY313" s="1717"/>
      <c r="UBZ313" s="1718"/>
      <c r="UCA313" s="1718"/>
      <c r="UCB313" s="1718"/>
      <c r="UCC313" s="1718"/>
      <c r="UCD313" s="246"/>
      <c r="UCE313" s="246" t="str">
        <f>BS!$D$5</f>
        <v>31 March 2026</v>
      </c>
      <c r="UCF313" s="247" t="str">
        <f>BS!$E$5</f>
        <v>31 March 2025</v>
      </c>
      <c r="UCG313" s="1717"/>
      <c r="UCH313" s="1718"/>
      <c r="UCI313" s="1718"/>
      <c r="UCJ313" s="1718"/>
      <c r="UCK313" s="1718"/>
      <c r="UCL313" s="246"/>
      <c r="UCM313" s="246" t="str">
        <f>BS!$D$5</f>
        <v>31 March 2026</v>
      </c>
      <c r="UCN313" s="247" t="str">
        <f>BS!$E$5</f>
        <v>31 March 2025</v>
      </c>
      <c r="UCO313" s="1717"/>
      <c r="UCP313" s="1718"/>
      <c r="UCQ313" s="1718"/>
      <c r="UCR313" s="1718"/>
      <c r="UCS313" s="1718"/>
      <c r="UCT313" s="246"/>
      <c r="UCU313" s="246" t="str">
        <f>BS!$D$5</f>
        <v>31 March 2026</v>
      </c>
      <c r="UCV313" s="247" t="str">
        <f>BS!$E$5</f>
        <v>31 March 2025</v>
      </c>
      <c r="UCW313" s="1717"/>
      <c r="UCX313" s="1718"/>
      <c r="UCY313" s="1718"/>
      <c r="UCZ313" s="1718"/>
      <c r="UDA313" s="1718"/>
      <c r="UDB313" s="246"/>
      <c r="UDC313" s="246" t="str">
        <f>BS!$D$5</f>
        <v>31 March 2026</v>
      </c>
      <c r="UDD313" s="247" t="str">
        <f>BS!$E$5</f>
        <v>31 March 2025</v>
      </c>
      <c r="UDE313" s="1717"/>
      <c r="UDF313" s="1718"/>
      <c r="UDG313" s="1718"/>
      <c r="UDH313" s="1718"/>
      <c r="UDI313" s="1718"/>
      <c r="UDJ313" s="246"/>
      <c r="UDK313" s="246" t="str">
        <f>BS!$D$5</f>
        <v>31 March 2026</v>
      </c>
      <c r="UDL313" s="247" t="str">
        <f>BS!$E$5</f>
        <v>31 March 2025</v>
      </c>
      <c r="UDM313" s="1717"/>
      <c r="UDN313" s="1718"/>
      <c r="UDO313" s="1718"/>
      <c r="UDP313" s="1718"/>
      <c r="UDQ313" s="1718"/>
      <c r="UDR313" s="246"/>
      <c r="UDS313" s="246" t="str">
        <f>BS!$D$5</f>
        <v>31 March 2026</v>
      </c>
      <c r="UDT313" s="247" t="str">
        <f>BS!$E$5</f>
        <v>31 March 2025</v>
      </c>
      <c r="UDU313" s="1717"/>
      <c r="UDV313" s="1718"/>
      <c r="UDW313" s="1718"/>
      <c r="UDX313" s="1718"/>
      <c r="UDY313" s="1718"/>
      <c r="UDZ313" s="246"/>
      <c r="UEA313" s="246" t="str">
        <f>BS!$D$5</f>
        <v>31 March 2026</v>
      </c>
      <c r="UEB313" s="247" t="str">
        <f>BS!$E$5</f>
        <v>31 March 2025</v>
      </c>
      <c r="UEC313" s="1717"/>
      <c r="UED313" s="1718"/>
      <c r="UEE313" s="1718"/>
      <c r="UEF313" s="1718"/>
      <c r="UEG313" s="1718"/>
      <c r="UEH313" s="246"/>
      <c r="UEI313" s="246" t="str">
        <f>BS!$D$5</f>
        <v>31 March 2026</v>
      </c>
      <c r="UEJ313" s="247" t="str">
        <f>BS!$E$5</f>
        <v>31 March 2025</v>
      </c>
      <c r="UEK313" s="1717"/>
      <c r="UEL313" s="1718"/>
      <c r="UEM313" s="1718"/>
      <c r="UEN313" s="1718"/>
      <c r="UEO313" s="1718"/>
      <c r="UEP313" s="246"/>
      <c r="UEQ313" s="246" t="str">
        <f>BS!$D$5</f>
        <v>31 March 2026</v>
      </c>
      <c r="UER313" s="247" t="str">
        <f>BS!$E$5</f>
        <v>31 March 2025</v>
      </c>
      <c r="UES313" s="1717"/>
      <c r="UET313" s="1718"/>
      <c r="UEU313" s="1718"/>
      <c r="UEV313" s="1718"/>
      <c r="UEW313" s="1718"/>
      <c r="UEX313" s="246"/>
      <c r="UEY313" s="246" t="str">
        <f>BS!$D$5</f>
        <v>31 March 2026</v>
      </c>
      <c r="UEZ313" s="247" t="str">
        <f>BS!$E$5</f>
        <v>31 March 2025</v>
      </c>
      <c r="UFA313" s="1717"/>
      <c r="UFB313" s="1718"/>
      <c r="UFC313" s="1718"/>
      <c r="UFD313" s="1718"/>
      <c r="UFE313" s="1718"/>
      <c r="UFF313" s="246"/>
      <c r="UFG313" s="246" t="str">
        <f>BS!$D$5</f>
        <v>31 March 2026</v>
      </c>
      <c r="UFH313" s="247" t="str">
        <f>BS!$E$5</f>
        <v>31 March 2025</v>
      </c>
      <c r="UFI313" s="1717"/>
      <c r="UFJ313" s="1718"/>
      <c r="UFK313" s="1718"/>
      <c r="UFL313" s="1718"/>
      <c r="UFM313" s="1718"/>
      <c r="UFN313" s="246"/>
      <c r="UFO313" s="246" t="str">
        <f>BS!$D$5</f>
        <v>31 March 2026</v>
      </c>
      <c r="UFP313" s="247" t="str">
        <f>BS!$E$5</f>
        <v>31 March 2025</v>
      </c>
      <c r="UFQ313" s="1717"/>
      <c r="UFR313" s="1718"/>
      <c r="UFS313" s="1718"/>
      <c r="UFT313" s="1718"/>
      <c r="UFU313" s="1718"/>
      <c r="UFV313" s="246"/>
      <c r="UFW313" s="246" t="str">
        <f>BS!$D$5</f>
        <v>31 March 2026</v>
      </c>
      <c r="UFX313" s="247" t="str">
        <f>BS!$E$5</f>
        <v>31 March 2025</v>
      </c>
      <c r="UFY313" s="1717"/>
      <c r="UFZ313" s="1718"/>
      <c r="UGA313" s="1718"/>
      <c r="UGB313" s="1718"/>
      <c r="UGC313" s="1718"/>
      <c r="UGD313" s="246"/>
      <c r="UGE313" s="246" t="str">
        <f>BS!$D$5</f>
        <v>31 March 2026</v>
      </c>
      <c r="UGF313" s="247" t="str">
        <f>BS!$E$5</f>
        <v>31 March 2025</v>
      </c>
      <c r="UGG313" s="1717"/>
      <c r="UGH313" s="1718"/>
      <c r="UGI313" s="1718"/>
      <c r="UGJ313" s="1718"/>
      <c r="UGK313" s="1718"/>
      <c r="UGL313" s="246"/>
      <c r="UGM313" s="246" t="str">
        <f>BS!$D$5</f>
        <v>31 March 2026</v>
      </c>
      <c r="UGN313" s="247" t="str">
        <f>BS!$E$5</f>
        <v>31 March 2025</v>
      </c>
      <c r="UGO313" s="1717"/>
      <c r="UGP313" s="1718"/>
      <c r="UGQ313" s="1718"/>
      <c r="UGR313" s="1718"/>
      <c r="UGS313" s="1718"/>
      <c r="UGT313" s="246"/>
      <c r="UGU313" s="246" t="str">
        <f>BS!$D$5</f>
        <v>31 March 2026</v>
      </c>
      <c r="UGV313" s="247" t="str">
        <f>BS!$E$5</f>
        <v>31 March 2025</v>
      </c>
      <c r="UGW313" s="1717"/>
      <c r="UGX313" s="1718"/>
      <c r="UGY313" s="1718"/>
      <c r="UGZ313" s="1718"/>
      <c r="UHA313" s="1718"/>
      <c r="UHB313" s="246"/>
      <c r="UHC313" s="246" t="str">
        <f>BS!$D$5</f>
        <v>31 March 2026</v>
      </c>
      <c r="UHD313" s="247" t="str">
        <f>BS!$E$5</f>
        <v>31 March 2025</v>
      </c>
      <c r="UHE313" s="1717"/>
      <c r="UHF313" s="1718"/>
      <c r="UHG313" s="1718"/>
      <c r="UHH313" s="1718"/>
      <c r="UHI313" s="1718"/>
      <c r="UHJ313" s="246"/>
      <c r="UHK313" s="246" t="str">
        <f>BS!$D$5</f>
        <v>31 March 2026</v>
      </c>
      <c r="UHL313" s="247" t="str">
        <f>BS!$E$5</f>
        <v>31 March 2025</v>
      </c>
      <c r="UHM313" s="1717"/>
      <c r="UHN313" s="1718"/>
      <c r="UHO313" s="1718"/>
      <c r="UHP313" s="1718"/>
      <c r="UHQ313" s="1718"/>
      <c r="UHR313" s="246"/>
      <c r="UHS313" s="246" t="str">
        <f>BS!$D$5</f>
        <v>31 March 2026</v>
      </c>
      <c r="UHT313" s="247" t="str">
        <f>BS!$E$5</f>
        <v>31 March 2025</v>
      </c>
      <c r="UHU313" s="1717"/>
      <c r="UHV313" s="1718"/>
      <c r="UHW313" s="1718"/>
      <c r="UHX313" s="1718"/>
      <c r="UHY313" s="1718"/>
      <c r="UHZ313" s="246"/>
      <c r="UIA313" s="246" t="str">
        <f>BS!$D$5</f>
        <v>31 March 2026</v>
      </c>
      <c r="UIB313" s="247" t="str">
        <f>BS!$E$5</f>
        <v>31 March 2025</v>
      </c>
      <c r="UIC313" s="1717"/>
      <c r="UID313" s="1718"/>
      <c r="UIE313" s="1718"/>
      <c r="UIF313" s="1718"/>
      <c r="UIG313" s="1718"/>
      <c r="UIH313" s="246"/>
      <c r="UII313" s="246" t="str">
        <f>BS!$D$5</f>
        <v>31 March 2026</v>
      </c>
      <c r="UIJ313" s="247" t="str">
        <f>BS!$E$5</f>
        <v>31 March 2025</v>
      </c>
      <c r="UIK313" s="1717"/>
      <c r="UIL313" s="1718"/>
      <c r="UIM313" s="1718"/>
      <c r="UIN313" s="1718"/>
      <c r="UIO313" s="1718"/>
      <c r="UIP313" s="246"/>
      <c r="UIQ313" s="246" t="str">
        <f>BS!$D$5</f>
        <v>31 March 2026</v>
      </c>
      <c r="UIR313" s="247" t="str">
        <f>BS!$E$5</f>
        <v>31 March 2025</v>
      </c>
      <c r="UIS313" s="1717"/>
      <c r="UIT313" s="1718"/>
      <c r="UIU313" s="1718"/>
      <c r="UIV313" s="1718"/>
      <c r="UIW313" s="1718"/>
      <c r="UIX313" s="246"/>
      <c r="UIY313" s="246" t="str">
        <f>BS!$D$5</f>
        <v>31 March 2026</v>
      </c>
      <c r="UIZ313" s="247" t="str">
        <f>BS!$E$5</f>
        <v>31 March 2025</v>
      </c>
      <c r="UJA313" s="1717"/>
      <c r="UJB313" s="1718"/>
      <c r="UJC313" s="1718"/>
      <c r="UJD313" s="1718"/>
      <c r="UJE313" s="1718"/>
      <c r="UJF313" s="246"/>
      <c r="UJG313" s="246" t="str">
        <f>BS!$D$5</f>
        <v>31 March 2026</v>
      </c>
      <c r="UJH313" s="247" t="str">
        <f>BS!$E$5</f>
        <v>31 March 2025</v>
      </c>
      <c r="UJI313" s="1717"/>
      <c r="UJJ313" s="1718"/>
      <c r="UJK313" s="1718"/>
      <c r="UJL313" s="1718"/>
      <c r="UJM313" s="1718"/>
      <c r="UJN313" s="246"/>
      <c r="UJO313" s="246" t="str">
        <f>BS!$D$5</f>
        <v>31 March 2026</v>
      </c>
      <c r="UJP313" s="247" t="str">
        <f>BS!$E$5</f>
        <v>31 March 2025</v>
      </c>
      <c r="UJQ313" s="1717"/>
      <c r="UJR313" s="1718"/>
      <c r="UJS313" s="1718"/>
      <c r="UJT313" s="1718"/>
      <c r="UJU313" s="1718"/>
      <c r="UJV313" s="246"/>
      <c r="UJW313" s="246" t="str">
        <f>BS!$D$5</f>
        <v>31 March 2026</v>
      </c>
      <c r="UJX313" s="247" t="str">
        <f>BS!$E$5</f>
        <v>31 March 2025</v>
      </c>
      <c r="UJY313" s="1717"/>
      <c r="UJZ313" s="1718"/>
      <c r="UKA313" s="1718"/>
      <c r="UKB313" s="1718"/>
      <c r="UKC313" s="1718"/>
      <c r="UKD313" s="246"/>
      <c r="UKE313" s="246" t="str">
        <f>BS!$D$5</f>
        <v>31 March 2026</v>
      </c>
      <c r="UKF313" s="247" t="str">
        <f>BS!$E$5</f>
        <v>31 March 2025</v>
      </c>
      <c r="UKG313" s="1717"/>
      <c r="UKH313" s="1718"/>
      <c r="UKI313" s="1718"/>
      <c r="UKJ313" s="1718"/>
      <c r="UKK313" s="1718"/>
      <c r="UKL313" s="246"/>
      <c r="UKM313" s="246" t="str">
        <f>BS!$D$5</f>
        <v>31 March 2026</v>
      </c>
      <c r="UKN313" s="247" t="str">
        <f>BS!$E$5</f>
        <v>31 March 2025</v>
      </c>
      <c r="UKO313" s="1717"/>
      <c r="UKP313" s="1718"/>
      <c r="UKQ313" s="1718"/>
      <c r="UKR313" s="1718"/>
      <c r="UKS313" s="1718"/>
      <c r="UKT313" s="246"/>
      <c r="UKU313" s="246" t="str">
        <f>BS!$D$5</f>
        <v>31 March 2026</v>
      </c>
      <c r="UKV313" s="247" t="str">
        <f>BS!$E$5</f>
        <v>31 March 2025</v>
      </c>
      <c r="UKW313" s="1717"/>
      <c r="UKX313" s="1718"/>
      <c r="UKY313" s="1718"/>
      <c r="UKZ313" s="1718"/>
      <c r="ULA313" s="1718"/>
      <c r="ULB313" s="246"/>
      <c r="ULC313" s="246" t="str">
        <f>BS!$D$5</f>
        <v>31 March 2026</v>
      </c>
      <c r="ULD313" s="247" t="str">
        <f>BS!$E$5</f>
        <v>31 March 2025</v>
      </c>
      <c r="ULE313" s="1717"/>
      <c r="ULF313" s="1718"/>
      <c r="ULG313" s="1718"/>
      <c r="ULH313" s="1718"/>
      <c r="ULI313" s="1718"/>
      <c r="ULJ313" s="246"/>
      <c r="ULK313" s="246" t="str">
        <f>BS!$D$5</f>
        <v>31 March 2026</v>
      </c>
      <c r="ULL313" s="247" t="str">
        <f>BS!$E$5</f>
        <v>31 March 2025</v>
      </c>
      <c r="ULM313" s="1717"/>
      <c r="ULN313" s="1718"/>
      <c r="ULO313" s="1718"/>
      <c r="ULP313" s="1718"/>
      <c r="ULQ313" s="1718"/>
      <c r="ULR313" s="246"/>
      <c r="ULS313" s="246" t="str">
        <f>BS!$D$5</f>
        <v>31 March 2026</v>
      </c>
      <c r="ULT313" s="247" t="str">
        <f>BS!$E$5</f>
        <v>31 March 2025</v>
      </c>
      <c r="ULU313" s="1717"/>
      <c r="ULV313" s="1718"/>
      <c r="ULW313" s="1718"/>
      <c r="ULX313" s="1718"/>
      <c r="ULY313" s="1718"/>
      <c r="ULZ313" s="246"/>
      <c r="UMA313" s="246" t="str">
        <f>BS!$D$5</f>
        <v>31 March 2026</v>
      </c>
      <c r="UMB313" s="247" t="str">
        <f>BS!$E$5</f>
        <v>31 March 2025</v>
      </c>
      <c r="UMC313" s="1717"/>
      <c r="UMD313" s="1718"/>
      <c r="UME313" s="1718"/>
      <c r="UMF313" s="1718"/>
      <c r="UMG313" s="1718"/>
      <c r="UMH313" s="246"/>
      <c r="UMI313" s="246" t="str">
        <f>BS!$D$5</f>
        <v>31 March 2026</v>
      </c>
      <c r="UMJ313" s="247" t="str">
        <f>BS!$E$5</f>
        <v>31 March 2025</v>
      </c>
      <c r="UMK313" s="1717"/>
      <c r="UML313" s="1718"/>
      <c r="UMM313" s="1718"/>
      <c r="UMN313" s="1718"/>
      <c r="UMO313" s="1718"/>
      <c r="UMP313" s="246"/>
      <c r="UMQ313" s="246" t="str">
        <f>BS!$D$5</f>
        <v>31 March 2026</v>
      </c>
      <c r="UMR313" s="247" t="str">
        <f>BS!$E$5</f>
        <v>31 March 2025</v>
      </c>
      <c r="UMS313" s="1717"/>
      <c r="UMT313" s="1718"/>
      <c r="UMU313" s="1718"/>
      <c r="UMV313" s="1718"/>
      <c r="UMW313" s="1718"/>
      <c r="UMX313" s="246"/>
      <c r="UMY313" s="246" t="str">
        <f>BS!$D$5</f>
        <v>31 March 2026</v>
      </c>
      <c r="UMZ313" s="247" t="str">
        <f>BS!$E$5</f>
        <v>31 March 2025</v>
      </c>
      <c r="UNA313" s="1717"/>
      <c r="UNB313" s="1718"/>
      <c r="UNC313" s="1718"/>
      <c r="UND313" s="1718"/>
      <c r="UNE313" s="1718"/>
      <c r="UNF313" s="246"/>
      <c r="UNG313" s="246" t="str">
        <f>BS!$D$5</f>
        <v>31 March 2026</v>
      </c>
      <c r="UNH313" s="247" t="str">
        <f>BS!$E$5</f>
        <v>31 March 2025</v>
      </c>
      <c r="UNI313" s="1717"/>
      <c r="UNJ313" s="1718"/>
      <c r="UNK313" s="1718"/>
      <c r="UNL313" s="1718"/>
      <c r="UNM313" s="1718"/>
      <c r="UNN313" s="246"/>
      <c r="UNO313" s="246" t="str">
        <f>BS!$D$5</f>
        <v>31 March 2026</v>
      </c>
      <c r="UNP313" s="247" t="str">
        <f>BS!$E$5</f>
        <v>31 March 2025</v>
      </c>
      <c r="UNQ313" s="1717"/>
      <c r="UNR313" s="1718"/>
      <c r="UNS313" s="1718"/>
      <c r="UNT313" s="1718"/>
      <c r="UNU313" s="1718"/>
      <c r="UNV313" s="246"/>
      <c r="UNW313" s="246" t="str">
        <f>BS!$D$5</f>
        <v>31 March 2026</v>
      </c>
      <c r="UNX313" s="247" t="str">
        <f>BS!$E$5</f>
        <v>31 March 2025</v>
      </c>
      <c r="UNY313" s="1717"/>
      <c r="UNZ313" s="1718"/>
      <c r="UOA313" s="1718"/>
      <c r="UOB313" s="1718"/>
      <c r="UOC313" s="1718"/>
      <c r="UOD313" s="246"/>
      <c r="UOE313" s="246" t="str">
        <f>BS!$D$5</f>
        <v>31 March 2026</v>
      </c>
      <c r="UOF313" s="247" t="str">
        <f>BS!$E$5</f>
        <v>31 March 2025</v>
      </c>
      <c r="UOG313" s="1717"/>
      <c r="UOH313" s="1718"/>
      <c r="UOI313" s="1718"/>
      <c r="UOJ313" s="1718"/>
      <c r="UOK313" s="1718"/>
      <c r="UOL313" s="246"/>
      <c r="UOM313" s="246" t="str">
        <f>BS!$D$5</f>
        <v>31 March 2026</v>
      </c>
      <c r="UON313" s="247" t="str">
        <f>BS!$E$5</f>
        <v>31 March 2025</v>
      </c>
      <c r="UOO313" s="1717"/>
      <c r="UOP313" s="1718"/>
      <c r="UOQ313" s="1718"/>
      <c r="UOR313" s="1718"/>
      <c r="UOS313" s="1718"/>
      <c r="UOT313" s="246"/>
      <c r="UOU313" s="246" t="str">
        <f>BS!$D$5</f>
        <v>31 March 2026</v>
      </c>
      <c r="UOV313" s="247" t="str">
        <f>BS!$E$5</f>
        <v>31 March 2025</v>
      </c>
      <c r="UOW313" s="1717"/>
      <c r="UOX313" s="1718"/>
      <c r="UOY313" s="1718"/>
      <c r="UOZ313" s="1718"/>
      <c r="UPA313" s="1718"/>
      <c r="UPB313" s="246"/>
      <c r="UPC313" s="246" t="str">
        <f>BS!$D$5</f>
        <v>31 March 2026</v>
      </c>
      <c r="UPD313" s="247" t="str">
        <f>BS!$E$5</f>
        <v>31 March 2025</v>
      </c>
      <c r="UPE313" s="1717"/>
      <c r="UPF313" s="1718"/>
      <c r="UPG313" s="1718"/>
      <c r="UPH313" s="1718"/>
      <c r="UPI313" s="1718"/>
      <c r="UPJ313" s="246"/>
      <c r="UPK313" s="246" t="str">
        <f>BS!$D$5</f>
        <v>31 March 2026</v>
      </c>
      <c r="UPL313" s="247" t="str">
        <f>BS!$E$5</f>
        <v>31 March 2025</v>
      </c>
      <c r="UPM313" s="1717"/>
      <c r="UPN313" s="1718"/>
      <c r="UPO313" s="1718"/>
      <c r="UPP313" s="1718"/>
      <c r="UPQ313" s="1718"/>
      <c r="UPR313" s="246"/>
      <c r="UPS313" s="246" t="str">
        <f>BS!$D$5</f>
        <v>31 March 2026</v>
      </c>
      <c r="UPT313" s="247" t="str">
        <f>BS!$E$5</f>
        <v>31 March 2025</v>
      </c>
      <c r="UPU313" s="1717"/>
      <c r="UPV313" s="1718"/>
      <c r="UPW313" s="1718"/>
      <c r="UPX313" s="1718"/>
      <c r="UPY313" s="1718"/>
      <c r="UPZ313" s="246"/>
      <c r="UQA313" s="246" t="str">
        <f>BS!$D$5</f>
        <v>31 March 2026</v>
      </c>
      <c r="UQB313" s="247" t="str">
        <f>BS!$E$5</f>
        <v>31 March 2025</v>
      </c>
      <c r="UQC313" s="1717"/>
      <c r="UQD313" s="1718"/>
      <c r="UQE313" s="1718"/>
      <c r="UQF313" s="1718"/>
      <c r="UQG313" s="1718"/>
      <c r="UQH313" s="246"/>
      <c r="UQI313" s="246" t="str">
        <f>BS!$D$5</f>
        <v>31 March 2026</v>
      </c>
      <c r="UQJ313" s="247" t="str">
        <f>BS!$E$5</f>
        <v>31 March 2025</v>
      </c>
      <c r="UQK313" s="1717"/>
      <c r="UQL313" s="1718"/>
      <c r="UQM313" s="1718"/>
      <c r="UQN313" s="1718"/>
      <c r="UQO313" s="1718"/>
      <c r="UQP313" s="246"/>
      <c r="UQQ313" s="246" t="str">
        <f>BS!$D$5</f>
        <v>31 March 2026</v>
      </c>
      <c r="UQR313" s="247" t="str">
        <f>BS!$E$5</f>
        <v>31 March 2025</v>
      </c>
      <c r="UQS313" s="1717"/>
      <c r="UQT313" s="1718"/>
      <c r="UQU313" s="1718"/>
      <c r="UQV313" s="1718"/>
      <c r="UQW313" s="1718"/>
      <c r="UQX313" s="246"/>
      <c r="UQY313" s="246" t="str">
        <f>BS!$D$5</f>
        <v>31 March 2026</v>
      </c>
      <c r="UQZ313" s="247" t="str">
        <f>BS!$E$5</f>
        <v>31 March 2025</v>
      </c>
      <c r="URA313" s="1717"/>
      <c r="URB313" s="1718"/>
      <c r="URC313" s="1718"/>
      <c r="URD313" s="1718"/>
      <c r="URE313" s="1718"/>
      <c r="URF313" s="246"/>
      <c r="URG313" s="246" t="str">
        <f>BS!$D$5</f>
        <v>31 March 2026</v>
      </c>
      <c r="URH313" s="247" t="str">
        <f>BS!$E$5</f>
        <v>31 March 2025</v>
      </c>
      <c r="URI313" s="1717"/>
      <c r="URJ313" s="1718"/>
      <c r="URK313" s="1718"/>
      <c r="URL313" s="1718"/>
      <c r="URM313" s="1718"/>
      <c r="URN313" s="246"/>
      <c r="URO313" s="246" t="str">
        <f>BS!$D$5</f>
        <v>31 March 2026</v>
      </c>
      <c r="URP313" s="247" t="str">
        <f>BS!$E$5</f>
        <v>31 March 2025</v>
      </c>
      <c r="URQ313" s="1717"/>
      <c r="URR313" s="1718"/>
      <c r="URS313" s="1718"/>
      <c r="URT313" s="1718"/>
      <c r="URU313" s="1718"/>
      <c r="URV313" s="246"/>
      <c r="URW313" s="246" t="str">
        <f>BS!$D$5</f>
        <v>31 March 2026</v>
      </c>
      <c r="URX313" s="247" t="str">
        <f>BS!$E$5</f>
        <v>31 March 2025</v>
      </c>
      <c r="URY313" s="1717"/>
      <c r="URZ313" s="1718"/>
      <c r="USA313" s="1718"/>
      <c r="USB313" s="1718"/>
      <c r="USC313" s="1718"/>
      <c r="USD313" s="246"/>
      <c r="USE313" s="246" t="str">
        <f>BS!$D$5</f>
        <v>31 March 2026</v>
      </c>
      <c r="USF313" s="247" t="str">
        <f>BS!$E$5</f>
        <v>31 March 2025</v>
      </c>
      <c r="USG313" s="1717"/>
      <c r="USH313" s="1718"/>
      <c r="USI313" s="1718"/>
      <c r="USJ313" s="1718"/>
      <c r="USK313" s="1718"/>
      <c r="USL313" s="246"/>
      <c r="USM313" s="246" t="str">
        <f>BS!$D$5</f>
        <v>31 March 2026</v>
      </c>
      <c r="USN313" s="247" t="str">
        <f>BS!$E$5</f>
        <v>31 March 2025</v>
      </c>
      <c r="USO313" s="1717"/>
      <c r="USP313" s="1718"/>
      <c r="USQ313" s="1718"/>
      <c r="USR313" s="1718"/>
      <c r="USS313" s="1718"/>
      <c r="UST313" s="246"/>
      <c r="USU313" s="246" t="str">
        <f>BS!$D$5</f>
        <v>31 March 2026</v>
      </c>
      <c r="USV313" s="247" t="str">
        <f>BS!$E$5</f>
        <v>31 March 2025</v>
      </c>
      <c r="USW313" s="1717"/>
      <c r="USX313" s="1718"/>
      <c r="USY313" s="1718"/>
      <c r="USZ313" s="1718"/>
      <c r="UTA313" s="1718"/>
      <c r="UTB313" s="246"/>
      <c r="UTC313" s="246" t="str">
        <f>BS!$D$5</f>
        <v>31 March 2026</v>
      </c>
      <c r="UTD313" s="247" t="str">
        <f>BS!$E$5</f>
        <v>31 March 2025</v>
      </c>
      <c r="UTE313" s="1717"/>
      <c r="UTF313" s="1718"/>
      <c r="UTG313" s="1718"/>
      <c r="UTH313" s="1718"/>
      <c r="UTI313" s="1718"/>
      <c r="UTJ313" s="246"/>
      <c r="UTK313" s="246" t="str">
        <f>BS!$D$5</f>
        <v>31 March 2026</v>
      </c>
      <c r="UTL313" s="247" t="str">
        <f>BS!$E$5</f>
        <v>31 March 2025</v>
      </c>
      <c r="UTM313" s="1717"/>
      <c r="UTN313" s="1718"/>
      <c r="UTO313" s="1718"/>
      <c r="UTP313" s="1718"/>
      <c r="UTQ313" s="1718"/>
      <c r="UTR313" s="246"/>
      <c r="UTS313" s="246" t="str">
        <f>BS!$D$5</f>
        <v>31 March 2026</v>
      </c>
      <c r="UTT313" s="247" t="str">
        <f>BS!$E$5</f>
        <v>31 March 2025</v>
      </c>
      <c r="UTU313" s="1717"/>
      <c r="UTV313" s="1718"/>
      <c r="UTW313" s="1718"/>
      <c r="UTX313" s="1718"/>
      <c r="UTY313" s="1718"/>
      <c r="UTZ313" s="246"/>
      <c r="UUA313" s="246" t="str">
        <f>BS!$D$5</f>
        <v>31 March 2026</v>
      </c>
      <c r="UUB313" s="247" t="str">
        <f>BS!$E$5</f>
        <v>31 March 2025</v>
      </c>
      <c r="UUC313" s="1717"/>
      <c r="UUD313" s="1718"/>
      <c r="UUE313" s="1718"/>
      <c r="UUF313" s="1718"/>
      <c r="UUG313" s="1718"/>
      <c r="UUH313" s="246"/>
      <c r="UUI313" s="246" t="str">
        <f>BS!$D$5</f>
        <v>31 March 2026</v>
      </c>
      <c r="UUJ313" s="247" t="str">
        <f>BS!$E$5</f>
        <v>31 March 2025</v>
      </c>
      <c r="UUK313" s="1717"/>
      <c r="UUL313" s="1718"/>
      <c r="UUM313" s="1718"/>
      <c r="UUN313" s="1718"/>
      <c r="UUO313" s="1718"/>
      <c r="UUP313" s="246"/>
      <c r="UUQ313" s="246" t="str">
        <f>BS!$D$5</f>
        <v>31 March 2026</v>
      </c>
      <c r="UUR313" s="247" t="str">
        <f>BS!$E$5</f>
        <v>31 March 2025</v>
      </c>
      <c r="UUS313" s="1717"/>
      <c r="UUT313" s="1718"/>
      <c r="UUU313" s="1718"/>
      <c r="UUV313" s="1718"/>
      <c r="UUW313" s="1718"/>
      <c r="UUX313" s="246"/>
      <c r="UUY313" s="246" t="str">
        <f>BS!$D$5</f>
        <v>31 March 2026</v>
      </c>
      <c r="UUZ313" s="247" t="str">
        <f>BS!$E$5</f>
        <v>31 March 2025</v>
      </c>
      <c r="UVA313" s="1717"/>
      <c r="UVB313" s="1718"/>
      <c r="UVC313" s="1718"/>
      <c r="UVD313" s="1718"/>
      <c r="UVE313" s="1718"/>
      <c r="UVF313" s="246"/>
      <c r="UVG313" s="246" t="str">
        <f>BS!$D$5</f>
        <v>31 March 2026</v>
      </c>
      <c r="UVH313" s="247" t="str">
        <f>BS!$E$5</f>
        <v>31 March 2025</v>
      </c>
      <c r="UVI313" s="1717"/>
      <c r="UVJ313" s="1718"/>
      <c r="UVK313" s="1718"/>
      <c r="UVL313" s="1718"/>
      <c r="UVM313" s="1718"/>
      <c r="UVN313" s="246"/>
      <c r="UVO313" s="246" t="str">
        <f>BS!$D$5</f>
        <v>31 March 2026</v>
      </c>
      <c r="UVP313" s="247" t="str">
        <f>BS!$E$5</f>
        <v>31 March 2025</v>
      </c>
      <c r="UVQ313" s="1717"/>
      <c r="UVR313" s="1718"/>
      <c r="UVS313" s="1718"/>
      <c r="UVT313" s="1718"/>
      <c r="UVU313" s="1718"/>
      <c r="UVV313" s="246"/>
      <c r="UVW313" s="246" t="str">
        <f>BS!$D$5</f>
        <v>31 March 2026</v>
      </c>
      <c r="UVX313" s="247" t="str">
        <f>BS!$E$5</f>
        <v>31 March 2025</v>
      </c>
      <c r="UVY313" s="1717"/>
      <c r="UVZ313" s="1718"/>
      <c r="UWA313" s="1718"/>
      <c r="UWB313" s="1718"/>
      <c r="UWC313" s="1718"/>
      <c r="UWD313" s="246"/>
      <c r="UWE313" s="246" t="str">
        <f>BS!$D$5</f>
        <v>31 March 2026</v>
      </c>
      <c r="UWF313" s="247" t="str">
        <f>BS!$E$5</f>
        <v>31 March 2025</v>
      </c>
      <c r="UWG313" s="1717"/>
      <c r="UWH313" s="1718"/>
      <c r="UWI313" s="1718"/>
      <c r="UWJ313" s="1718"/>
      <c r="UWK313" s="1718"/>
      <c r="UWL313" s="246"/>
      <c r="UWM313" s="246" t="str">
        <f>BS!$D$5</f>
        <v>31 March 2026</v>
      </c>
      <c r="UWN313" s="247" t="str">
        <f>BS!$E$5</f>
        <v>31 March 2025</v>
      </c>
      <c r="UWO313" s="1717"/>
      <c r="UWP313" s="1718"/>
      <c r="UWQ313" s="1718"/>
      <c r="UWR313" s="1718"/>
      <c r="UWS313" s="1718"/>
      <c r="UWT313" s="246"/>
      <c r="UWU313" s="246" t="str">
        <f>BS!$D$5</f>
        <v>31 March 2026</v>
      </c>
      <c r="UWV313" s="247" t="str">
        <f>BS!$E$5</f>
        <v>31 March 2025</v>
      </c>
      <c r="UWW313" s="1717"/>
      <c r="UWX313" s="1718"/>
      <c r="UWY313" s="1718"/>
      <c r="UWZ313" s="1718"/>
      <c r="UXA313" s="1718"/>
      <c r="UXB313" s="246"/>
      <c r="UXC313" s="246" t="str">
        <f>BS!$D$5</f>
        <v>31 March 2026</v>
      </c>
      <c r="UXD313" s="247" t="str">
        <f>BS!$E$5</f>
        <v>31 March 2025</v>
      </c>
      <c r="UXE313" s="1717"/>
      <c r="UXF313" s="1718"/>
      <c r="UXG313" s="1718"/>
      <c r="UXH313" s="1718"/>
      <c r="UXI313" s="1718"/>
      <c r="UXJ313" s="246"/>
      <c r="UXK313" s="246" t="str">
        <f>BS!$D$5</f>
        <v>31 March 2026</v>
      </c>
      <c r="UXL313" s="247" t="str">
        <f>BS!$E$5</f>
        <v>31 March 2025</v>
      </c>
      <c r="UXM313" s="1717"/>
      <c r="UXN313" s="1718"/>
      <c r="UXO313" s="1718"/>
      <c r="UXP313" s="1718"/>
      <c r="UXQ313" s="1718"/>
      <c r="UXR313" s="246"/>
      <c r="UXS313" s="246" t="str">
        <f>BS!$D$5</f>
        <v>31 March 2026</v>
      </c>
      <c r="UXT313" s="247" t="str">
        <f>BS!$E$5</f>
        <v>31 March 2025</v>
      </c>
      <c r="UXU313" s="1717"/>
      <c r="UXV313" s="1718"/>
      <c r="UXW313" s="1718"/>
      <c r="UXX313" s="1718"/>
      <c r="UXY313" s="1718"/>
      <c r="UXZ313" s="246"/>
      <c r="UYA313" s="246" t="str">
        <f>BS!$D$5</f>
        <v>31 March 2026</v>
      </c>
      <c r="UYB313" s="247" t="str">
        <f>BS!$E$5</f>
        <v>31 March 2025</v>
      </c>
      <c r="UYC313" s="1717"/>
      <c r="UYD313" s="1718"/>
      <c r="UYE313" s="1718"/>
      <c r="UYF313" s="1718"/>
      <c r="UYG313" s="1718"/>
      <c r="UYH313" s="246"/>
      <c r="UYI313" s="246" t="str">
        <f>BS!$D$5</f>
        <v>31 March 2026</v>
      </c>
      <c r="UYJ313" s="247" t="str">
        <f>BS!$E$5</f>
        <v>31 March 2025</v>
      </c>
      <c r="UYK313" s="1717"/>
      <c r="UYL313" s="1718"/>
      <c r="UYM313" s="1718"/>
      <c r="UYN313" s="1718"/>
      <c r="UYO313" s="1718"/>
      <c r="UYP313" s="246"/>
      <c r="UYQ313" s="246" t="str">
        <f>BS!$D$5</f>
        <v>31 March 2026</v>
      </c>
      <c r="UYR313" s="247" t="str">
        <f>BS!$E$5</f>
        <v>31 March 2025</v>
      </c>
      <c r="UYS313" s="1717"/>
      <c r="UYT313" s="1718"/>
      <c r="UYU313" s="1718"/>
      <c r="UYV313" s="1718"/>
      <c r="UYW313" s="1718"/>
      <c r="UYX313" s="246"/>
      <c r="UYY313" s="246" t="str">
        <f>BS!$D$5</f>
        <v>31 March 2026</v>
      </c>
      <c r="UYZ313" s="247" t="str">
        <f>BS!$E$5</f>
        <v>31 March 2025</v>
      </c>
      <c r="UZA313" s="1717"/>
      <c r="UZB313" s="1718"/>
      <c r="UZC313" s="1718"/>
      <c r="UZD313" s="1718"/>
      <c r="UZE313" s="1718"/>
      <c r="UZF313" s="246"/>
      <c r="UZG313" s="246" t="str">
        <f>BS!$D$5</f>
        <v>31 March 2026</v>
      </c>
      <c r="UZH313" s="247" t="str">
        <f>BS!$E$5</f>
        <v>31 March 2025</v>
      </c>
      <c r="UZI313" s="1717"/>
      <c r="UZJ313" s="1718"/>
      <c r="UZK313" s="1718"/>
      <c r="UZL313" s="1718"/>
      <c r="UZM313" s="1718"/>
      <c r="UZN313" s="246"/>
      <c r="UZO313" s="246" t="str">
        <f>BS!$D$5</f>
        <v>31 March 2026</v>
      </c>
      <c r="UZP313" s="247" t="str">
        <f>BS!$E$5</f>
        <v>31 March 2025</v>
      </c>
      <c r="UZQ313" s="1717"/>
      <c r="UZR313" s="1718"/>
      <c r="UZS313" s="1718"/>
      <c r="UZT313" s="1718"/>
      <c r="UZU313" s="1718"/>
      <c r="UZV313" s="246"/>
      <c r="UZW313" s="246" t="str">
        <f>BS!$D$5</f>
        <v>31 March 2026</v>
      </c>
      <c r="UZX313" s="247" t="str">
        <f>BS!$E$5</f>
        <v>31 March 2025</v>
      </c>
      <c r="UZY313" s="1717"/>
      <c r="UZZ313" s="1718"/>
      <c r="VAA313" s="1718"/>
      <c r="VAB313" s="1718"/>
      <c r="VAC313" s="1718"/>
      <c r="VAD313" s="246"/>
      <c r="VAE313" s="246" t="str">
        <f>BS!$D$5</f>
        <v>31 March 2026</v>
      </c>
      <c r="VAF313" s="247" t="str">
        <f>BS!$E$5</f>
        <v>31 March 2025</v>
      </c>
      <c r="VAG313" s="1717"/>
      <c r="VAH313" s="1718"/>
      <c r="VAI313" s="1718"/>
      <c r="VAJ313" s="1718"/>
      <c r="VAK313" s="1718"/>
      <c r="VAL313" s="246"/>
      <c r="VAM313" s="246" t="str">
        <f>BS!$D$5</f>
        <v>31 March 2026</v>
      </c>
      <c r="VAN313" s="247" t="str">
        <f>BS!$E$5</f>
        <v>31 March 2025</v>
      </c>
      <c r="VAO313" s="1717"/>
      <c r="VAP313" s="1718"/>
      <c r="VAQ313" s="1718"/>
      <c r="VAR313" s="1718"/>
      <c r="VAS313" s="1718"/>
      <c r="VAT313" s="246"/>
      <c r="VAU313" s="246" t="str">
        <f>BS!$D$5</f>
        <v>31 March 2026</v>
      </c>
      <c r="VAV313" s="247" t="str">
        <f>BS!$E$5</f>
        <v>31 March 2025</v>
      </c>
      <c r="VAW313" s="1717"/>
      <c r="VAX313" s="1718"/>
      <c r="VAY313" s="1718"/>
      <c r="VAZ313" s="1718"/>
      <c r="VBA313" s="1718"/>
      <c r="VBB313" s="246"/>
      <c r="VBC313" s="246" t="str">
        <f>BS!$D$5</f>
        <v>31 March 2026</v>
      </c>
      <c r="VBD313" s="247" t="str">
        <f>BS!$E$5</f>
        <v>31 March 2025</v>
      </c>
      <c r="VBE313" s="1717"/>
      <c r="VBF313" s="1718"/>
      <c r="VBG313" s="1718"/>
      <c r="VBH313" s="1718"/>
      <c r="VBI313" s="1718"/>
      <c r="VBJ313" s="246"/>
      <c r="VBK313" s="246" t="str">
        <f>BS!$D$5</f>
        <v>31 March 2026</v>
      </c>
      <c r="VBL313" s="247" t="str">
        <f>BS!$E$5</f>
        <v>31 March 2025</v>
      </c>
      <c r="VBM313" s="1717"/>
      <c r="VBN313" s="1718"/>
      <c r="VBO313" s="1718"/>
      <c r="VBP313" s="1718"/>
      <c r="VBQ313" s="1718"/>
      <c r="VBR313" s="246"/>
      <c r="VBS313" s="246" t="str">
        <f>BS!$D$5</f>
        <v>31 March 2026</v>
      </c>
      <c r="VBT313" s="247" t="str">
        <f>BS!$E$5</f>
        <v>31 March 2025</v>
      </c>
      <c r="VBU313" s="1717"/>
      <c r="VBV313" s="1718"/>
      <c r="VBW313" s="1718"/>
      <c r="VBX313" s="1718"/>
      <c r="VBY313" s="1718"/>
      <c r="VBZ313" s="246"/>
      <c r="VCA313" s="246" t="str">
        <f>BS!$D$5</f>
        <v>31 March 2026</v>
      </c>
      <c r="VCB313" s="247" t="str">
        <f>BS!$E$5</f>
        <v>31 March 2025</v>
      </c>
      <c r="VCC313" s="1717"/>
      <c r="VCD313" s="1718"/>
      <c r="VCE313" s="1718"/>
      <c r="VCF313" s="1718"/>
      <c r="VCG313" s="1718"/>
      <c r="VCH313" s="246"/>
      <c r="VCI313" s="246" t="str">
        <f>BS!$D$5</f>
        <v>31 March 2026</v>
      </c>
      <c r="VCJ313" s="247" t="str">
        <f>BS!$E$5</f>
        <v>31 March 2025</v>
      </c>
      <c r="VCK313" s="1717"/>
      <c r="VCL313" s="1718"/>
      <c r="VCM313" s="1718"/>
      <c r="VCN313" s="1718"/>
      <c r="VCO313" s="1718"/>
      <c r="VCP313" s="246"/>
      <c r="VCQ313" s="246" t="str">
        <f>BS!$D$5</f>
        <v>31 March 2026</v>
      </c>
      <c r="VCR313" s="247" t="str">
        <f>BS!$E$5</f>
        <v>31 March 2025</v>
      </c>
      <c r="VCS313" s="1717"/>
      <c r="VCT313" s="1718"/>
      <c r="VCU313" s="1718"/>
      <c r="VCV313" s="1718"/>
      <c r="VCW313" s="1718"/>
      <c r="VCX313" s="246"/>
      <c r="VCY313" s="246" t="str">
        <f>BS!$D$5</f>
        <v>31 March 2026</v>
      </c>
      <c r="VCZ313" s="247" t="str">
        <f>BS!$E$5</f>
        <v>31 March 2025</v>
      </c>
      <c r="VDA313" s="1717"/>
      <c r="VDB313" s="1718"/>
      <c r="VDC313" s="1718"/>
      <c r="VDD313" s="1718"/>
      <c r="VDE313" s="1718"/>
      <c r="VDF313" s="246"/>
      <c r="VDG313" s="246" t="str">
        <f>BS!$D$5</f>
        <v>31 March 2026</v>
      </c>
      <c r="VDH313" s="247" t="str">
        <f>BS!$E$5</f>
        <v>31 March 2025</v>
      </c>
      <c r="VDI313" s="1717"/>
      <c r="VDJ313" s="1718"/>
      <c r="VDK313" s="1718"/>
      <c r="VDL313" s="1718"/>
      <c r="VDM313" s="1718"/>
      <c r="VDN313" s="246"/>
      <c r="VDO313" s="246" t="str">
        <f>BS!$D$5</f>
        <v>31 March 2026</v>
      </c>
      <c r="VDP313" s="247" t="str">
        <f>BS!$E$5</f>
        <v>31 March 2025</v>
      </c>
      <c r="VDQ313" s="1717"/>
      <c r="VDR313" s="1718"/>
      <c r="VDS313" s="1718"/>
      <c r="VDT313" s="1718"/>
      <c r="VDU313" s="1718"/>
      <c r="VDV313" s="246"/>
      <c r="VDW313" s="246" t="str">
        <f>BS!$D$5</f>
        <v>31 March 2026</v>
      </c>
      <c r="VDX313" s="247" t="str">
        <f>BS!$E$5</f>
        <v>31 March 2025</v>
      </c>
      <c r="VDY313" s="1717"/>
      <c r="VDZ313" s="1718"/>
      <c r="VEA313" s="1718"/>
      <c r="VEB313" s="1718"/>
      <c r="VEC313" s="1718"/>
      <c r="VED313" s="246"/>
      <c r="VEE313" s="246" t="str">
        <f>BS!$D$5</f>
        <v>31 March 2026</v>
      </c>
      <c r="VEF313" s="247" t="str">
        <f>BS!$E$5</f>
        <v>31 March 2025</v>
      </c>
      <c r="VEG313" s="1717"/>
      <c r="VEH313" s="1718"/>
      <c r="VEI313" s="1718"/>
      <c r="VEJ313" s="1718"/>
      <c r="VEK313" s="1718"/>
      <c r="VEL313" s="246"/>
      <c r="VEM313" s="246" t="str">
        <f>BS!$D$5</f>
        <v>31 March 2026</v>
      </c>
      <c r="VEN313" s="247" t="str">
        <f>BS!$E$5</f>
        <v>31 March 2025</v>
      </c>
      <c r="VEO313" s="1717"/>
      <c r="VEP313" s="1718"/>
      <c r="VEQ313" s="1718"/>
      <c r="VER313" s="1718"/>
      <c r="VES313" s="1718"/>
      <c r="VET313" s="246"/>
      <c r="VEU313" s="246" t="str">
        <f>BS!$D$5</f>
        <v>31 March 2026</v>
      </c>
      <c r="VEV313" s="247" t="str">
        <f>BS!$E$5</f>
        <v>31 March 2025</v>
      </c>
      <c r="VEW313" s="1717"/>
      <c r="VEX313" s="1718"/>
      <c r="VEY313" s="1718"/>
      <c r="VEZ313" s="1718"/>
      <c r="VFA313" s="1718"/>
      <c r="VFB313" s="246"/>
      <c r="VFC313" s="246" t="str">
        <f>BS!$D$5</f>
        <v>31 March 2026</v>
      </c>
      <c r="VFD313" s="247" t="str">
        <f>BS!$E$5</f>
        <v>31 March 2025</v>
      </c>
      <c r="VFE313" s="1717"/>
      <c r="VFF313" s="1718"/>
      <c r="VFG313" s="1718"/>
      <c r="VFH313" s="1718"/>
      <c r="VFI313" s="1718"/>
      <c r="VFJ313" s="246"/>
      <c r="VFK313" s="246" t="str">
        <f>BS!$D$5</f>
        <v>31 March 2026</v>
      </c>
      <c r="VFL313" s="247" t="str">
        <f>BS!$E$5</f>
        <v>31 March 2025</v>
      </c>
      <c r="VFM313" s="1717"/>
      <c r="VFN313" s="1718"/>
      <c r="VFO313" s="1718"/>
      <c r="VFP313" s="1718"/>
      <c r="VFQ313" s="1718"/>
      <c r="VFR313" s="246"/>
      <c r="VFS313" s="246" t="str">
        <f>BS!$D$5</f>
        <v>31 March 2026</v>
      </c>
      <c r="VFT313" s="247" t="str">
        <f>BS!$E$5</f>
        <v>31 March 2025</v>
      </c>
      <c r="VFU313" s="1717"/>
      <c r="VFV313" s="1718"/>
      <c r="VFW313" s="1718"/>
      <c r="VFX313" s="1718"/>
      <c r="VFY313" s="1718"/>
      <c r="VFZ313" s="246"/>
      <c r="VGA313" s="246" t="str">
        <f>BS!$D$5</f>
        <v>31 March 2026</v>
      </c>
      <c r="VGB313" s="247" t="str">
        <f>BS!$E$5</f>
        <v>31 March 2025</v>
      </c>
      <c r="VGC313" s="1717"/>
      <c r="VGD313" s="1718"/>
      <c r="VGE313" s="1718"/>
      <c r="VGF313" s="1718"/>
      <c r="VGG313" s="1718"/>
      <c r="VGH313" s="246"/>
      <c r="VGI313" s="246" t="str">
        <f>BS!$D$5</f>
        <v>31 March 2026</v>
      </c>
      <c r="VGJ313" s="247" t="str">
        <f>BS!$E$5</f>
        <v>31 March 2025</v>
      </c>
      <c r="VGK313" s="1717"/>
      <c r="VGL313" s="1718"/>
      <c r="VGM313" s="1718"/>
      <c r="VGN313" s="1718"/>
      <c r="VGO313" s="1718"/>
      <c r="VGP313" s="246"/>
      <c r="VGQ313" s="246" t="str">
        <f>BS!$D$5</f>
        <v>31 March 2026</v>
      </c>
      <c r="VGR313" s="247" t="str">
        <f>BS!$E$5</f>
        <v>31 March 2025</v>
      </c>
      <c r="VGS313" s="1717"/>
      <c r="VGT313" s="1718"/>
      <c r="VGU313" s="1718"/>
      <c r="VGV313" s="1718"/>
      <c r="VGW313" s="1718"/>
      <c r="VGX313" s="246"/>
      <c r="VGY313" s="246" t="str">
        <f>BS!$D$5</f>
        <v>31 March 2026</v>
      </c>
      <c r="VGZ313" s="247" t="str">
        <f>BS!$E$5</f>
        <v>31 March 2025</v>
      </c>
      <c r="VHA313" s="1717"/>
      <c r="VHB313" s="1718"/>
      <c r="VHC313" s="1718"/>
      <c r="VHD313" s="1718"/>
      <c r="VHE313" s="1718"/>
      <c r="VHF313" s="246"/>
      <c r="VHG313" s="246" t="str">
        <f>BS!$D$5</f>
        <v>31 March 2026</v>
      </c>
      <c r="VHH313" s="247" t="str">
        <f>BS!$E$5</f>
        <v>31 March 2025</v>
      </c>
      <c r="VHI313" s="1717"/>
      <c r="VHJ313" s="1718"/>
      <c r="VHK313" s="1718"/>
      <c r="VHL313" s="1718"/>
      <c r="VHM313" s="1718"/>
      <c r="VHN313" s="246"/>
      <c r="VHO313" s="246" t="str">
        <f>BS!$D$5</f>
        <v>31 March 2026</v>
      </c>
      <c r="VHP313" s="247" t="str">
        <f>BS!$E$5</f>
        <v>31 March 2025</v>
      </c>
      <c r="VHQ313" s="1717"/>
      <c r="VHR313" s="1718"/>
      <c r="VHS313" s="1718"/>
      <c r="VHT313" s="1718"/>
      <c r="VHU313" s="1718"/>
      <c r="VHV313" s="246"/>
      <c r="VHW313" s="246" t="str">
        <f>BS!$D$5</f>
        <v>31 March 2026</v>
      </c>
      <c r="VHX313" s="247" t="str">
        <f>BS!$E$5</f>
        <v>31 March 2025</v>
      </c>
      <c r="VHY313" s="1717"/>
      <c r="VHZ313" s="1718"/>
      <c r="VIA313" s="1718"/>
      <c r="VIB313" s="1718"/>
      <c r="VIC313" s="1718"/>
      <c r="VID313" s="246"/>
      <c r="VIE313" s="246" t="str">
        <f>BS!$D$5</f>
        <v>31 March 2026</v>
      </c>
      <c r="VIF313" s="247" t="str">
        <f>BS!$E$5</f>
        <v>31 March 2025</v>
      </c>
      <c r="VIG313" s="1717"/>
      <c r="VIH313" s="1718"/>
      <c r="VII313" s="1718"/>
      <c r="VIJ313" s="1718"/>
      <c r="VIK313" s="1718"/>
      <c r="VIL313" s="246"/>
      <c r="VIM313" s="246" t="str">
        <f>BS!$D$5</f>
        <v>31 March 2026</v>
      </c>
      <c r="VIN313" s="247" t="str">
        <f>BS!$E$5</f>
        <v>31 March 2025</v>
      </c>
      <c r="VIO313" s="1717"/>
      <c r="VIP313" s="1718"/>
      <c r="VIQ313" s="1718"/>
      <c r="VIR313" s="1718"/>
      <c r="VIS313" s="1718"/>
      <c r="VIT313" s="246"/>
      <c r="VIU313" s="246" t="str">
        <f>BS!$D$5</f>
        <v>31 March 2026</v>
      </c>
      <c r="VIV313" s="247" t="str">
        <f>BS!$E$5</f>
        <v>31 March 2025</v>
      </c>
      <c r="VIW313" s="1717"/>
      <c r="VIX313" s="1718"/>
      <c r="VIY313" s="1718"/>
      <c r="VIZ313" s="1718"/>
      <c r="VJA313" s="1718"/>
      <c r="VJB313" s="246"/>
      <c r="VJC313" s="246" t="str">
        <f>BS!$D$5</f>
        <v>31 March 2026</v>
      </c>
      <c r="VJD313" s="247" t="str">
        <f>BS!$E$5</f>
        <v>31 March 2025</v>
      </c>
      <c r="VJE313" s="1717"/>
      <c r="VJF313" s="1718"/>
      <c r="VJG313" s="1718"/>
      <c r="VJH313" s="1718"/>
      <c r="VJI313" s="1718"/>
      <c r="VJJ313" s="246"/>
      <c r="VJK313" s="246" t="str">
        <f>BS!$D$5</f>
        <v>31 March 2026</v>
      </c>
      <c r="VJL313" s="247" t="str">
        <f>BS!$E$5</f>
        <v>31 March 2025</v>
      </c>
      <c r="VJM313" s="1717"/>
      <c r="VJN313" s="1718"/>
      <c r="VJO313" s="1718"/>
      <c r="VJP313" s="1718"/>
      <c r="VJQ313" s="1718"/>
      <c r="VJR313" s="246"/>
      <c r="VJS313" s="246" t="str">
        <f>BS!$D$5</f>
        <v>31 March 2026</v>
      </c>
      <c r="VJT313" s="247" t="str">
        <f>BS!$E$5</f>
        <v>31 March 2025</v>
      </c>
      <c r="VJU313" s="1717"/>
      <c r="VJV313" s="1718"/>
      <c r="VJW313" s="1718"/>
      <c r="VJX313" s="1718"/>
      <c r="VJY313" s="1718"/>
      <c r="VJZ313" s="246"/>
      <c r="VKA313" s="246" t="str">
        <f>BS!$D$5</f>
        <v>31 March 2026</v>
      </c>
      <c r="VKB313" s="247" t="str">
        <f>BS!$E$5</f>
        <v>31 March 2025</v>
      </c>
      <c r="VKC313" s="1717"/>
      <c r="VKD313" s="1718"/>
      <c r="VKE313" s="1718"/>
      <c r="VKF313" s="1718"/>
      <c r="VKG313" s="1718"/>
      <c r="VKH313" s="246"/>
      <c r="VKI313" s="246" t="str">
        <f>BS!$D$5</f>
        <v>31 March 2026</v>
      </c>
      <c r="VKJ313" s="247" t="str">
        <f>BS!$E$5</f>
        <v>31 March 2025</v>
      </c>
      <c r="VKK313" s="1717"/>
      <c r="VKL313" s="1718"/>
      <c r="VKM313" s="1718"/>
      <c r="VKN313" s="1718"/>
      <c r="VKO313" s="1718"/>
      <c r="VKP313" s="246"/>
      <c r="VKQ313" s="246" t="str">
        <f>BS!$D$5</f>
        <v>31 March 2026</v>
      </c>
      <c r="VKR313" s="247" t="str">
        <f>BS!$E$5</f>
        <v>31 March 2025</v>
      </c>
      <c r="VKS313" s="1717"/>
      <c r="VKT313" s="1718"/>
      <c r="VKU313" s="1718"/>
      <c r="VKV313" s="1718"/>
      <c r="VKW313" s="1718"/>
      <c r="VKX313" s="246"/>
      <c r="VKY313" s="246" t="str">
        <f>BS!$D$5</f>
        <v>31 March 2026</v>
      </c>
      <c r="VKZ313" s="247" t="str">
        <f>BS!$E$5</f>
        <v>31 March 2025</v>
      </c>
      <c r="VLA313" s="1717"/>
      <c r="VLB313" s="1718"/>
      <c r="VLC313" s="1718"/>
      <c r="VLD313" s="1718"/>
      <c r="VLE313" s="1718"/>
      <c r="VLF313" s="246"/>
      <c r="VLG313" s="246" t="str">
        <f>BS!$D$5</f>
        <v>31 March 2026</v>
      </c>
      <c r="VLH313" s="247" t="str">
        <f>BS!$E$5</f>
        <v>31 March 2025</v>
      </c>
      <c r="VLI313" s="1717"/>
      <c r="VLJ313" s="1718"/>
      <c r="VLK313" s="1718"/>
      <c r="VLL313" s="1718"/>
      <c r="VLM313" s="1718"/>
      <c r="VLN313" s="246"/>
      <c r="VLO313" s="246" t="str">
        <f>BS!$D$5</f>
        <v>31 March 2026</v>
      </c>
      <c r="VLP313" s="247" t="str">
        <f>BS!$E$5</f>
        <v>31 March 2025</v>
      </c>
      <c r="VLQ313" s="1717"/>
      <c r="VLR313" s="1718"/>
      <c r="VLS313" s="1718"/>
      <c r="VLT313" s="1718"/>
      <c r="VLU313" s="1718"/>
      <c r="VLV313" s="246"/>
      <c r="VLW313" s="246" t="str">
        <f>BS!$D$5</f>
        <v>31 March 2026</v>
      </c>
      <c r="VLX313" s="247" t="str">
        <f>BS!$E$5</f>
        <v>31 March 2025</v>
      </c>
      <c r="VLY313" s="1717"/>
      <c r="VLZ313" s="1718"/>
      <c r="VMA313" s="1718"/>
      <c r="VMB313" s="1718"/>
      <c r="VMC313" s="1718"/>
      <c r="VMD313" s="246"/>
      <c r="VME313" s="246" t="str">
        <f>BS!$D$5</f>
        <v>31 March 2026</v>
      </c>
      <c r="VMF313" s="247" t="str">
        <f>BS!$E$5</f>
        <v>31 March 2025</v>
      </c>
      <c r="VMG313" s="1717"/>
      <c r="VMH313" s="1718"/>
      <c r="VMI313" s="1718"/>
      <c r="VMJ313" s="1718"/>
      <c r="VMK313" s="1718"/>
      <c r="VML313" s="246"/>
      <c r="VMM313" s="246" t="str">
        <f>BS!$D$5</f>
        <v>31 March 2026</v>
      </c>
      <c r="VMN313" s="247" t="str">
        <f>BS!$E$5</f>
        <v>31 March 2025</v>
      </c>
      <c r="VMO313" s="1717"/>
      <c r="VMP313" s="1718"/>
      <c r="VMQ313" s="1718"/>
      <c r="VMR313" s="1718"/>
      <c r="VMS313" s="1718"/>
      <c r="VMT313" s="246"/>
      <c r="VMU313" s="246" t="str">
        <f>BS!$D$5</f>
        <v>31 March 2026</v>
      </c>
      <c r="VMV313" s="247" t="str">
        <f>BS!$E$5</f>
        <v>31 March 2025</v>
      </c>
      <c r="VMW313" s="1717"/>
      <c r="VMX313" s="1718"/>
      <c r="VMY313" s="1718"/>
      <c r="VMZ313" s="1718"/>
      <c r="VNA313" s="1718"/>
      <c r="VNB313" s="246"/>
      <c r="VNC313" s="246" t="str">
        <f>BS!$D$5</f>
        <v>31 March 2026</v>
      </c>
      <c r="VND313" s="247" t="str">
        <f>BS!$E$5</f>
        <v>31 March 2025</v>
      </c>
      <c r="VNE313" s="1717"/>
      <c r="VNF313" s="1718"/>
      <c r="VNG313" s="1718"/>
      <c r="VNH313" s="1718"/>
      <c r="VNI313" s="1718"/>
      <c r="VNJ313" s="246"/>
      <c r="VNK313" s="246" t="str">
        <f>BS!$D$5</f>
        <v>31 March 2026</v>
      </c>
      <c r="VNL313" s="247" t="str">
        <f>BS!$E$5</f>
        <v>31 March 2025</v>
      </c>
      <c r="VNM313" s="1717"/>
      <c r="VNN313" s="1718"/>
      <c r="VNO313" s="1718"/>
      <c r="VNP313" s="1718"/>
      <c r="VNQ313" s="1718"/>
      <c r="VNR313" s="246"/>
      <c r="VNS313" s="246" t="str">
        <f>BS!$D$5</f>
        <v>31 March 2026</v>
      </c>
      <c r="VNT313" s="247" t="str">
        <f>BS!$E$5</f>
        <v>31 March 2025</v>
      </c>
      <c r="VNU313" s="1717"/>
      <c r="VNV313" s="1718"/>
      <c r="VNW313" s="1718"/>
      <c r="VNX313" s="1718"/>
      <c r="VNY313" s="1718"/>
      <c r="VNZ313" s="246"/>
      <c r="VOA313" s="246" t="str">
        <f>BS!$D$5</f>
        <v>31 March 2026</v>
      </c>
      <c r="VOB313" s="247" t="str">
        <f>BS!$E$5</f>
        <v>31 March 2025</v>
      </c>
      <c r="VOC313" s="1717"/>
      <c r="VOD313" s="1718"/>
      <c r="VOE313" s="1718"/>
      <c r="VOF313" s="1718"/>
      <c r="VOG313" s="1718"/>
      <c r="VOH313" s="246"/>
      <c r="VOI313" s="246" t="str">
        <f>BS!$D$5</f>
        <v>31 March 2026</v>
      </c>
      <c r="VOJ313" s="247" t="str">
        <f>BS!$E$5</f>
        <v>31 March 2025</v>
      </c>
      <c r="VOK313" s="1717"/>
      <c r="VOL313" s="1718"/>
      <c r="VOM313" s="1718"/>
      <c r="VON313" s="1718"/>
      <c r="VOO313" s="1718"/>
      <c r="VOP313" s="246"/>
      <c r="VOQ313" s="246" t="str">
        <f>BS!$D$5</f>
        <v>31 March 2026</v>
      </c>
      <c r="VOR313" s="247" t="str">
        <f>BS!$E$5</f>
        <v>31 March 2025</v>
      </c>
      <c r="VOS313" s="1717"/>
      <c r="VOT313" s="1718"/>
      <c r="VOU313" s="1718"/>
      <c r="VOV313" s="1718"/>
      <c r="VOW313" s="1718"/>
      <c r="VOX313" s="246"/>
      <c r="VOY313" s="246" t="str">
        <f>BS!$D$5</f>
        <v>31 March 2026</v>
      </c>
      <c r="VOZ313" s="247" t="str">
        <f>BS!$E$5</f>
        <v>31 March 2025</v>
      </c>
      <c r="VPA313" s="1717"/>
      <c r="VPB313" s="1718"/>
      <c r="VPC313" s="1718"/>
      <c r="VPD313" s="1718"/>
      <c r="VPE313" s="1718"/>
      <c r="VPF313" s="246"/>
      <c r="VPG313" s="246" t="str">
        <f>BS!$D$5</f>
        <v>31 March 2026</v>
      </c>
      <c r="VPH313" s="247" t="str">
        <f>BS!$E$5</f>
        <v>31 March 2025</v>
      </c>
      <c r="VPI313" s="1717"/>
      <c r="VPJ313" s="1718"/>
      <c r="VPK313" s="1718"/>
      <c r="VPL313" s="1718"/>
      <c r="VPM313" s="1718"/>
      <c r="VPN313" s="246"/>
      <c r="VPO313" s="246" t="str">
        <f>BS!$D$5</f>
        <v>31 March 2026</v>
      </c>
      <c r="VPP313" s="247" t="str">
        <f>BS!$E$5</f>
        <v>31 March 2025</v>
      </c>
      <c r="VPQ313" s="1717"/>
      <c r="VPR313" s="1718"/>
      <c r="VPS313" s="1718"/>
      <c r="VPT313" s="1718"/>
      <c r="VPU313" s="1718"/>
      <c r="VPV313" s="246"/>
      <c r="VPW313" s="246" t="str">
        <f>BS!$D$5</f>
        <v>31 March 2026</v>
      </c>
      <c r="VPX313" s="247" t="str">
        <f>BS!$E$5</f>
        <v>31 March 2025</v>
      </c>
      <c r="VPY313" s="1717"/>
      <c r="VPZ313" s="1718"/>
      <c r="VQA313" s="1718"/>
      <c r="VQB313" s="1718"/>
      <c r="VQC313" s="1718"/>
      <c r="VQD313" s="246"/>
      <c r="VQE313" s="246" t="str">
        <f>BS!$D$5</f>
        <v>31 March 2026</v>
      </c>
      <c r="VQF313" s="247" t="str">
        <f>BS!$E$5</f>
        <v>31 March 2025</v>
      </c>
      <c r="VQG313" s="1717"/>
      <c r="VQH313" s="1718"/>
      <c r="VQI313" s="1718"/>
      <c r="VQJ313" s="1718"/>
      <c r="VQK313" s="1718"/>
      <c r="VQL313" s="246"/>
      <c r="VQM313" s="246" t="str">
        <f>BS!$D$5</f>
        <v>31 March 2026</v>
      </c>
      <c r="VQN313" s="247" t="str">
        <f>BS!$E$5</f>
        <v>31 March 2025</v>
      </c>
      <c r="VQO313" s="1717"/>
      <c r="VQP313" s="1718"/>
      <c r="VQQ313" s="1718"/>
      <c r="VQR313" s="1718"/>
      <c r="VQS313" s="1718"/>
      <c r="VQT313" s="246"/>
      <c r="VQU313" s="246" t="str">
        <f>BS!$D$5</f>
        <v>31 March 2026</v>
      </c>
      <c r="VQV313" s="247" t="str">
        <f>BS!$E$5</f>
        <v>31 March 2025</v>
      </c>
      <c r="VQW313" s="1717"/>
      <c r="VQX313" s="1718"/>
      <c r="VQY313" s="1718"/>
      <c r="VQZ313" s="1718"/>
      <c r="VRA313" s="1718"/>
      <c r="VRB313" s="246"/>
      <c r="VRC313" s="246" t="str">
        <f>BS!$D$5</f>
        <v>31 March 2026</v>
      </c>
      <c r="VRD313" s="247" t="str">
        <f>BS!$E$5</f>
        <v>31 March 2025</v>
      </c>
      <c r="VRE313" s="1717"/>
      <c r="VRF313" s="1718"/>
      <c r="VRG313" s="1718"/>
      <c r="VRH313" s="1718"/>
      <c r="VRI313" s="1718"/>
      <c r="VRJ313" s="246"/>
      <c r="VRK313" s="246" t="str">
        <f>BS!$D$5</f>
        <v>31 March 2026</v>
      </c>
      <c r="VRL313" s="247" t="str">
        <f>BS!$E$5</f>
        <v>31 March 2025</v>
      </c>
      <c r="VRM313" s="1717"/>
      <c r="VRN313" s="1718"/>
      <c r="VRO313" s="1718"/>
      <c r="VRP313" s="1718"/>
      <c r="VRQ313" s="1718"/>
      <c r="VRR313" s="246"/>
      <c r="VRS313" s="246" t="str">
        <f>BS!$D$5</f>
        <v>31 March 2026</v>
      </c>
      <c r="VRT313" s="247" t="str">
        <f>BS!$E$5</f>
        <v>31 March 2025</v>
      </c>
      <c r="VRU313" s="1717"/>
      <c r="VRV313" s="1718"/>
      <c r="VRW313" s="1718"/>
      <c r="VRX313" s="1718"/>
      <c r="VRY313" s="1718"/>
      <c r="VRZ313" s="246"/>
      <c r="VSA313" s="246" t="str">
        <f>BS!$D$5</f>
        <v>31 March 2026</v>
      </c>
      <c r="VSB313" s="247" t="str">
        <f>BS!$E$5</f>
        <v>31 March 2025</v>
      </c>
      <c r="VSC313" s="1717"/>
      <c r="VSD313" s="1718"/>
      <c r="VSE313" s="1718"/>
      <c r="VSF313" s="1718"/>
      <c r="VSG313" s="1718"/>
      <c r="VSH313" s="246"/>
      <c r="VSI313" s="246" t="str">
        <f>BS!$D$5</f>
        <v>31 March 2026</v>
      </c>
      <c r="VSJ313" s="247" t="str">
        <f>BS!$E$5</f>
        <v>31 March 2025</v>
      </c>
      <c r="VSK313" s="1717"/>
      <c r="VSL313" s="1718"/>
      <c r="VSM313" s="1718"/>
      <c r="VSN313" s="1718"/>
      <c r="VSO313" s="1718"/>
      <c r="VSP313" s="246"/>
      <c r="VSQ313" s="246" t="str">
        <f>BS!$D$5</f>
        <v>31 March 2026</v>
      </c>
      <c r="VSR313" s="247" t="str">
        <f>BS!$E$5</f>
        <v>31 March 2025</v>
      </c>
      <c r="VSS313" s="1717"/>
      <c r="VST313" s="1718"/>
      <c r="VSU313" s="1718"/>
      <c r="VSV313" s="1718"/>
      <c r="VSW313" s="1718"/>
      <c r="VSX313" s="246"/>
      <c r="VSY313" s="246" t="str">
        <f>BS!$D$5</f>
        <v>31 March 2026</v>
      </c>
      <c r="VSZ313" s="247" t="str">
        <f>BS!$E$5</f>
        <v>31 March 2025</v>
      </c>
      <c r="VTA313" s="1717"/>
      <c r="VTB313" s="1718"/>
      <c r="VTC313" s="1718"/>
      <c r="VTD313" s="1718"/>
      <c r="VTE313" s="1718"/>
      <c r="VTF313" s="246"/>
      <c r="VTG313" s="246" t="str">
        <f>BS!$D$5</f>
        <v>31 March 2026</v>
      </c>
      <c r="VTH313" s="247" t="str">
        <f>BS!$E$5</f>
        <v>31 March 2025</v>
      </c>
      <c r="VTI313" s="1717"/>
      <c r="VTJ313" s="1718"/>
      <c r="VTK313" s="1718"/>
      <c r="VTL313" s="1718"/>
      <c r="VTM313" s="1718"/>
      <c r="VTN313" s="246"/>
      <c r="VTO313" s="246" t="str">
        <f>BS!$D$5</f>
        <v>31 March 2026</v>
      </c>
      <c r="VTP313" s="247" t="str">
        <f>BS!$E$5</f>
        <v>31 March 2025</v>
      </c>
      <c r="VTQ313" s="1717"/>
      <c r="VTR313" s="1718"/>
      <c r="VTS313" s="1718"/>
      <c r="VTT313" s="1718"/>
      <c r="VTU313" s="1718"/>
      <c r="VTV313" s="246"/>
      <c r="VTW313" s="246" t="str">
        <f>BS!$D$5</f>
        <v>31 March 2026</v>
      </c>
      <c r="VTX313" s="247" t="str">
        <f>BS!$E$5</f>
        <v>31 March 2025</v>
      </c>
      <c r="VTY313" s="1717"/>
      <c r="VTZ313" s="1718"/>
      <c r="VUA313" s="1718"/>
      <c r="VUB313" s="1718"/>
      <c r="VUC313" s="1718"/>
      <c r="VUD313" s="246"/>
      <c r="VUE313" s="246" t="str">
        <f>BS!$D$5</f>
        <v>31 March 2026</v>
      </c>
      <c r="VUF313" s="247" t="str">
        <f>BS!$E$5</f>
        <v>31 March 2025</v>
      </c>
      <c r="VUG313" s="1717"/>
      <c r="VUH313" s="1718"/>
      <c r="VUI313" s="1718"/>
      <c r="VUJ313" s="1718"/>
      <c r="VUK313" s="1718"/>
      <c r="VUL313" s="246"/>
      <c r="VUM313" s="246" t="str">
        <f>BS!$D$5</f>
        <v>31 March 2026</v>
      </c>
      <c r="VUN313" s="247" t="str">
        <f>BS!$E$5</f>
        <v>31 March 2025</v>
      </c>
      <c r="VUO313" s="1717"/>
      <c r="VUP313" s="1718"/>
      <c r="VUQ313" s="1718"/>
      <c r="VUR313" s="1718"/>
      <c r="VUS313" s="1718"/>
      <c r="VUT313" s="246"/>
      <c r="VUU313" s="246" t="str">
        <f>BS!$D$5</f>
        <v>31 March 2026</v>
      </c>
      <c r="VUV313" s="247" t="str">
        <f>BS!$E$5</f>
        <v>31 March 2025</v>
      </c>
      <c r="VUW313" s="1717"/>
      <c r="VUX313" s="1718"/>
      <c r="VUY313" s="1718"/>
      <c r="VUZ313" s="1718"/>
      <c r="VVA313" s="1718"/>
      <c r="VVB313" s="246"/>
      <c r="VVC313" s="246" t="str">
        <f>BS!$D$5</f>
        <v>31 March 2026</v>
      </c>
      <c r="VVD313" s="247" t="str">
        <f>BS!$E$5</f>
        <v>31 March 2025</v>
      </c>
      <c r="VVE313" s="1717"/>
      <c r="VVF313" s="1718"/>
      <c r="VVG313" s="1718"/>
      <c r="VVH313" s="1718"/>
      <c r="VVI313" s="1718"/>
      <c r="VVJ313" s="246"/>
      <c r="VVK313" s="246" t="str">
        <f>BS!$D$5</f>
        <v>31 March 2026</v>
      </c>
      <c r="VVL313" s="247" t="str">
        <f>BS!$E$5</f>
        <v>31 March 2025</v>
      </c>
      <c r="VVM313" s="1717"/>
      <c r="VVN313" s="1718"/>
      <c r="VVO313" s="1718"/>
      <c r="VVP313" s="1718"/>
      <c r="VVQ313" s="1718"/>
      <c r="VVR313" s="246"/>
      <c r="VVS313" s="246" t="str">
        <f>BS!$D$5</f>
        <v>31 March 2026</v>
      </c>
      <c r="VVT313" s="247" t="str">
        <f>BS!$E$5</f>
        <v>31 March 2025</v>
      </c>
      <c r="VVU313" s="1717"/>
      <c r="VVV313" s="1718"/>
      <c r="VVW313" s="1718"/>
      <c r="VVX313" s="1718"/>
      <c r="VVY313" s="1718"/>
      <c r="VVZ313" s="246"/>
      <c r="VWA313" s="246" t="str">
        <f>BS!$D$5</f>
        <v>31 March 2026</v>
      </c>
      <c r="VWB313" s="247" t="str">
        <f>BS!$E$5</f>
        <v>31 March 2025</v>
      </c>
      <c r="VWC313" s="1717"/>
      <c r="VWD313" s="1718"/>
      <c r="VWE313" s="1718"/>
      <c r="VWF313" s="1718"/>
      <c r="VWG313" s="1718"/>
      <c r="VWH313" s="246"/>
      <c r="VWI313" s="246" t="str">
        <f>BS!$D$5</f>
        <v>31 March 2026</v>
      </c>
      <c r="VWJ313" s="247" t="str">
        <f>BS!$E$5</f>
        <v>31 March 2025</v>
      </c>
      <c r="VWK313" s="1717"/>
      <c r="VWL313" s="1718"/>
      <c r="VWM313" s="1718"/>
      <c r="VWN313" s="1718"/>
      <c r="VWO313" s="1718"/>
      <c r="VWP313" s="246"/>
      <c r="VWQ313" s="246" t="str">
        <f>BS!$D$5</f>
        <v>31 March 2026</v>
      </c>
      <c r="VWR313" s="247" t="str">
        <f>BS!$E$5</f>
        <v>31 March 2025</v>
      </c>
      <c r="VWS313" s="1717"/>
      <c r="VWT313" s="1718"/>
      <c r="VWU313" s="1718"/>
      <c r="VWV313" s="1718"/>
      <c r="VWW313" s="1718"/>
      <c r="VWX313" s="246"/>
      <c r="VWY313" s="246" t="str">
        <f>BS!$D$5</f>
        <v>31 March 2026</v>
      </c>
      <c r="VWZ313" s="247" t="str">
        <f>BS!$E$5</f>
        <v>31 March 2025</v>
      </c>
      <c r="VXA313" s="1717"/>
      <c r="VXB313" s="1718"/>
      <c r="VXC313" s="1718"/>
      <c r="VXD313" s="1718"/>
      <c r="VXE313" s="1718"/>
      <c r="VXF313" s="246"/>
      <c r="VXG313" s="246" t="str">
        <f>BS!$D$5</f>
        <v>31 March 2026</v>
      </c>
      <c r="VXH313" s="247" t="str">
        <f>BS!$E$5</f>
        <v>31 March 2025</v>
      </c>
      <c r="VXI313" s="1717"/>
      <c r="VXJ313" s="1718"/>
      <c r="VXK313" s="1718"/>
      <c r="VXL313" s="1718"/>
      <c r="VXM313" s="1718"/>
      <c r="VXN313" s="246"/>
      <c r="VXO313" s="246" t="str">
        <f>BS!$D$5</f>
        <v>31 March 2026</v>
      </c>
      <c r="VXP313" s="247" t="str">
        <f>BS!$E$5</f>
        <v>31 March 2025</v>
      </c>
      <c r="VXQ313" s="1717"/>
      <c r="VXR313" s="1718"/>
      <c r="VXS313" s="1718"/>
      <c r="VXT313" s="1718"/>
      <c r="VXU313" s="1718"/>
      <c r="VXV313" s="246"/>
      <c r="VXW313" s="246" t="str">
        <f>BS!$D$5</f>
        <v>31 March 2026</v>
      </c>
      <c r="VXX313" s="247" t="str">
        <f>BS!$E$5</f>
        <v>31 March 2025</v>
      </c>
      <c r="VXY313" s="1717"/>
      <c r="VXZ313" s="1718"/>
      <c r="VYA313" s="1718"/>
      <c r="VYB313" s="1718"/>
      <c r="VYC313" s="1718"/>
      <c r="VYD313" s="246"/>
      <c r="VYE313" s="246" t="str">
        <f>BS!$D$5</f>
        <v>31 March 2026</v>
      </c>
      <c r="VYF313" s="247" t="str">
        <f>BS!$E$5</f>
        <v>31 March 2025</v>
      </c>
      <c r="VYG313" s="1717"/>
      <c r="VYH313" s="1718"/>
      <c r="VYI313" s="1718"/>
      <c r="VYJ313" s="1718"/>
      <c r="VYK313" s="1718"/>
      <c r="VYL313" s="246"/>
      <c r="VYM313" s="246" t="str">
        <f>BS!$D$5</f>
        <v>31 March 2026</v>
      </c>
      <c r="VYN313" s="247" t="str">
        <f>BS!$E$5</f>
        <v>31 March 2025</v>
      </c>
      <c r="VYO313" s="1717"/>
      <c r="VYP313" s="1718"/>
      <c r="VYQ313" s="1718"/>
      <c r="VYR313" s="1718"/>
      <c r="VYS313" s="1718"/>
      <c r="VYT313" s="246"/>
      <c r="VYU313" s="246" t="str">
        <f>BS!$D$5</f>
        <v>31 March 2026</v>
      </c>
      <c r="VYV313" s="247" t="str">
        <f>BS!$E$5</f>
        <v>31 March 2025</v>
      </c>
      <c r="VYW313" s="1717"/>
      <c r="VYX313" s="1718"/>
      <c r="VYY313" s="1718"/>
      <c r="VYZ313" s="1718"/>
      <c r="VZA313" s="1718"/>
      <c r="VZB313" s="246"/>
      <c r="VZC313" s="246" t="str">
        <f>BS!$D$5</f>
        <v>31 March 2026</v>
      </c>
      <c r="VZD313" s="247" t="str">
        <f>BS!$E$5</f>
        <v>31 March 2025</v>
      </c>
      <c r="VZE313" s="1717"/>
      <c r="VZF313" s="1718"/>
      <c r="VZG313" s="1718"/>
      <c r="VZH313" s="1718"/>
      <c r="VZI313" s="1718"/>
      <c r="VZJ313" s="246"/>
      <c r="VZK313" s="246" t="str">
        <f>BS!$D$5</f>
        <v>31 March 2026</v>
      </c>
      <c r="VZL313" s="247" t="str">
        <f>BS!$E$5</f>
        <v>31 March 2025</v>
      </c>
      <c r="VZM313" s="1717"/>
      <c r="VZN313" s="1718"/>
      <c r="VZO313" s="1718"/>
      <c r="VZP313" s="1718"/>
      <c r="VZQ313" s="1718"/>
      <c r="VZR313" s="246"/>
      <c r="VZS313" s="246" t="str">
        <f>BS!$D$5</f>
        <v>31 March 2026</v>
      </c>
      <c r="VZT313" s="247" t="str">
        <f>BS!$E$5</f>
        <v>31 March 2025</v>
      </c>
      <c r="VZU313" s="1717"/>
      <c r="VZV313" s="1718"/>
      <c r="VZW313" s="1718"/>
      <c r="VZX313" s="1718"/>
      <c r="VZY313" s="1718"/>
      <c r="VZZ313" s="246"/>
      <c r="WAA313" s="246" t="str">
        <f>BS!$D$5</f>
        <v>31 March 2026</v>
      </c>
      <c r="WAB313" s="247" t="str">
        <f>BS!$E$5</f>
        <v>31 March 2025</v>
      </c>
      <c r="WAC313" s="1717"/>
      <c r="WAD313" s="1718"/>
      <c r="WAE313" s="1718"/>
      <c r="WAF313" s="1718"/>
      <c r="WAG313" s="1718"/>
      <c r="WAH313" s="246"/>
      <c r="WAI313" s="246" t="str">
        <f>BS!$D$5</f>
        <v>31 March 2026</v>
      </c>
      <c r="WAJ313" s="247" t="str">
        <f>BS!$E$5</f>
        <v>31 March 2025</v>
      </c>
      <c r="WAK313" s="1717"/>
      <c r="WAL313" s="1718"/>
      <c r="WAM313" s="1718"/>
      <c r="WAN313" s="1718"/>
      <c r="WAO313" s="1718"/>
      <c r="WAP313" s="246"/>
      <c r="WAQ313" s="246" t="str">
        <f>BS!$D$5</f>
        <v>31 March 2026</v>
      </c>
      <c r="WAR313" s="247" t="str">
        <f>BS!$E$5</f>
        <v>31 March 2025</v>
      </c>
      <c r="WAS313" s="1717"/>
      <c r="WAT313" s="1718"/>
      <c r="WAU313" s="1718"/>
      <c r="WAV313" s="1718"/>
      <c r="WAW313" s="1718"/>
      <c r="WAX313" s="246"/>
      <c r="WAY313" s="246" t="str">
        <f>BS!$D$5</f>
        <v>31 March 2026</v>
      </c>
      <c r="WAZ313" s="247" t="str">
        <f>BS!$E$5</f>
        <v>31 March 2025</v>
      </c>
      <c r="WBA313" s="1717"/>
      <c r="WBB313" s="1718"/>
      <c r="WBC313" s="1718"/>
      <c r="WBD313" s="1718"/>
      <c r="WBE313" s="1718"/>
      <c r="WBF313" s="246"/>
      <c r="WBG313" s="246" t="str">
        <f>BS!$D$5</f>
        <v>31 March 2026</v>
      </c>
      <c r="WBH313" s="247" t="str">
        <f>BS!$E$5</f>
        <v>31 March 2025</v>
      </c>
      <c r="WBI313" s="1717"/>
      <c r="WBJ313" s="1718"/>
      <c r="WBK313" s="1718"/>
      <c r="WBL313" s="1718"/>
      <c r="WBM313" s="1718"/>
      <c r="WBN313" s="246"/>
      <c r="WBO313" s="246" t="str">
        <f>BS!$D$5</f>
        <v>31 March 2026</v>
      </c>
      <c r="WBP313" s="247" t="str">
        <f>BS!$E$5</f>
        <v>31 March 2025</v>
      </c>
      <c r="WBQ313" s="1717"/>
      <c r="WBR313" s="1718"/>
      <c r="WBS313" s="1718"/>
      <c r="WBT313" s="1718"/>
      <c r="WBU313" s="1718"/>
      <c r="WBV313" s="246"/>
      <c r="WBW313" s="246" t="str">
        <f>BS!$D$5</f>
        <v>31 March 2026</v>
      </c>
      <c r="WBX313" s="247" t="str">
        <f>BS!$E$5</f>
        <v>31 March 2025</v>
      </c>
      <c r="WBY313" s="1717"/>
      <c r="WBZ313" s="1718"/>
      <c r="WCA313" s="1718"/>
      <c r="WCB313" s="1718"/>
      <c r="WCC313" s="1718"/>
      <c r="WCD313" s="246"/>
      <c r="WCE313" s="246" t="str">
        <f>BS!$D$5</f>
        <v>31 March 2026</v>
      </c>
      <c r="WCF313" s="247" t="str">
        <f>BS!$E$5</f>
        <v>31 March 2025</v>
      </c>
      <c r="WCG313" s="1717"/>
      <c r="WCH313" s="1718"/>
      <c r="WCI313" s="1718"/>
      <c r="WCJ313" s="1718"/>
      <c r="WCK313" s="1718"/>
      <c r="WCL313" s="246"/>
      <c r="WCM313" s="246" t="str">
        <f>BS!$D$5</f>
        <v>31 March 2026</v>
      </c>
      <c r="WCN313" s="247" t="str">
        <f>BS!$E$5</f>
        <v>31 March 2025</v>
      </c>
      <c r="WCO313" s="1717"/>
      <c r="WCP313" s="1718"/>
      <c r="WCQ313" s="1718"/>
      <c r="WCR313" s="1718"/>
      <c r="WCS313" s="1718"/>
      <c r="WCT313" s="246"/>
      <c r="WCU313" s="246" t="str">
        <f>BS!$D$5</f>
        <v>31 March 2026</v>
      </c>
      <c r="WCV313" s="247" t="str">
        <f>BS!$E$5</f>
        <v>31 March 2025</v>
      </c>
      <c r="WCW313" s="1717"/>
      <c r="WCX313" s="1718"/>
      <c r="WCY313" s="1718"/>
      <c r="WCZ313" s="1718"/>
      <c r="WDA313" s="1718"/>
      <c r="WDB313" s="246"/>
      <c r="WDC313" s="246" t="str">
        <f>BS!$D$5</f>
        <v>31 March 2026</v>
      </c>
      <c r="WDD313" s="247" t="str">
        <f>BS!$E$5</f>
        <v>31 March 2025</v>
      </c>
      <c r="WDE313" s="1717"/>
      <c r="WDF313" s="1718"/>
      <c r="WDG313" s="1718"/>
      <c r="WDH313" s="1718"/>
      <c r="WDI313" s="1718"/>
      <c r="WDJ313" s="246"/>
      <c r="WDK313" s="246" t="str">
        <f>BS!$D$5</f>
        <v>31 March 2026</v>
      </c>
      <c r="WDL313" s="247" t="str">
        <f>BS!$E$5</f>
        <v>31 March 2025</v>
      </c>
      <c r="WDM313" s="1717"/>
      <c r="WDN313" s="1718"/>
      <c r="WDO313" s="1718"/>
      <c r="WDP313" s="1718"/>
      <c r="WDQ313" s="1718"/>
      <c r="WDR313" s="246"/>
      <c r="WDS313" s="246" t="str">
        <f>BS!$D$5</f>
        <v>31 March 2026</v>
      </c>
      <c r="WDT313" s="247" t="str">
        <f>BS!$E$5</f>
        <v>31 March 2025</v>
      </c>
      <c r="WDU313" s="1717"/>
      <c r="WDV313" s="1718"/>
      <c r="WDW313" s="1718"/>
      <c r="WDX313" s="1718"/>
      <c r="WDY313" s="1718"/>
      <c r="WDZ313" s="246"/>
      <c r="WEA313" s="246" t="str">
        <f>BS!$D$5</f>
        <v>31 March 2026</v>
      </c>
      <c r="WEB313" s="247" t="str">
        <f>BS!$E$5</f>
        <v>31 March 2025</v>
      </c>
      <c r="WEC313" s="1717"/>
      <c r="WED313" s="1718"/>
      <c r="WEE313" s="1718"/>
      <c r="WEF313" s="1718"/>
      <c r="WEG313" s="1718"/>
      <c r="WEH313" s="246"/>
      <c r="WEI313" s="246" t="str">
        <f>BS!$D$5</f>
        <v>31 March 2026</v>
      </c>
      <c r="WEJ313" s="247" t="str">
        <f>BS!$E$5</f>
        <v>31 March 2025</v>
      </c>
      <c r="WEK313" s="1717"/>
      <c r="WEL313" s="1718"/>
      <c r="WEM313" s="1718"/>
      <c r="WEN313" s="1718"/>
      <c r="WEO313" s="1718"/>
      <c r="WEP313" s="246"/>
      <c r="WEQ313" s="246" t="str">
        <f>BS!$D$5</f>
        <v>31 March 2026</v>
      </c>
      <c r="WER313" s="247" t="str">
        <f>BS!$E$5</f>
        <v>31 March 2025</v>
      </c>
      <c r="WES313" s="1717"/>
      <c r="WET313" s="1718"/>
      <c r="WEU313" s="1718"/>
      <c r="WEV313" s="1718"/>
      <c r="WEW313" s="1718"/>
      <c r="WEX313" s="246"/>
      <c r="WEY313" s="246" t="str">
        <f>BS!$D$5</f>
        <v>31 March 2026</v>
      </c>
      <c r="WEZ313" s="247" t="str">
        <f>BS!$E$5</f>
        <v>31 March 2025</v>
      </c>
      <c r="WFA313" s="1717"/>
      <c r="WFB313" s="1718"/>
      <c r="WFC313" s="1718"/>
      <c r="WFD313" s="1718"/>
      <c r="WFE313" s="1718"/>
      <c r="WFF313" s="246"/>
      <c r="WFG313" s="246" t="str">
        <f>BS!$D$5</f>
        <v>31 March 2026</v>
      </c>
      <c r="WFH313" s="247" t="str">
        <f>BS!$E$5</f>
        <v>31 March 2025</v>
      </c>
      <c r="WFI313" s="1717"/>
      <c r="WFJ313" s="1718"/>
      <c r="WFK313" s="1718"/>
      <c r="WFL313" s="1718"/>
      <c r="WFM313" s="1718"/>
      <c r="WFN313" s="246"/>
      <c r="WFO313" s="246" t="str">
        <f>BS!$D$5</f>
        <v>31 March 2026</v>
      </c>
      <c r="WFP313" s="247" t="str">
        <f>BS!$E$5</f>
        <v>31 March 2025</v>
      </c>
      <c r="WFQ313" s="1717"/>
      <c r="WFR313" s="1718"/>
      <c r="WFS313" s="1718"/>
      <c r="WFT313" s="1718"/>
      <c r="WFU313" s="1718"/>
      <c r="WFV313" s="246"/>
      <c r="WFW313" s="246" t="str">
        <f>BS!$D$5</f>
        <v>31 March 2026</v>
      </c>
      <c r="WFX313" s="247" t="str">
        <f>BS!$E$5</f>
        <v>31 March 2025</v>
      </c>
      <c r="WFY313" s="1717"/>
      <c r="WFZ313" s="1718"/>
      <c r="WGA313" s="1718"/>
      <c r="WGB313" s="1718"/>
      <c r="WGC313" s="1718"/>
      <c r="WGD313" s="246"/>
      <c r="WGE313" s="246" t="str">
        <f>BS!$D$5</f>
        <v>31 March 2026</v>
      </c>
      <c r="WGF313" s="247" t="str">
        <f>BS!$E$5</f>
        <v>31 March 2025</v>
      </c>
      <c r="WGG313" s="1717"/>
      <c r="WGH313" s="1718"/>
      <c r="WGI313" s="1718"/>
      <c r="WGJ313" s="1718"/>
      <c r="WGK313" s="1718"/>
      <c r="WGL313" s="246"/>
      <c r="WGM313" s="246" t="str">
        <f>BS!$D$5</f>
        <v>31 March 2026</v>
      </c>
      <c r="WGN313" s="247" t="str">
        <f>BS!$E$5</f>
        <v>31 March 2025</v>
      </c>
      <c r="WGO313" s="1717"/>
      <c r="WGP313" s="1718"/>
      <c r="WGQ313" s="1718"/>
      <c r="WGR313" s="1718"/>
      <c r="WGS313" s="1718"/>
      <c r="WGT313" s="246"/>
      <c r="WGU313" s="246" t="str">
        <f>BS!$D$5</f>
        <v>31 March 2026</v>
      </c>
      <c r="WGV313" s="247" t="str">
        <f>BS!$E$5</f>
        <v>31 March 2025</v>
      </c>
      <c r="WGW313" s="1717"/>
      <c r="WGX313" s="1718"/>
      <c r="WGY313" s="1718"/>
      <c r="WGZ313" s="1718"/>
      <c r="WHA313" s="1718"/>
      <c r="WHB313" s="246"/>
      <c r="WHC313" s="246" t="str">
        <f>BS!$D$5</f>
        <v>31 March 2026</v>
      </c>
      <c r="WHD313" s="247" t="str">
        <f>BS!$E$5</f>
        <v>31 March 2025</v>
      </c>
      <c r="WHE313" s="1717"/>
      <c r="WHF313" s="1718"/>
      <c r="WHG313" s="1718"/>
      <c r="WHH313" s="1718"/>
      <c r="WHI313" s="1718"/>
      <c r="WHJ313" s="246"/>
      <c r="WHK313" s="246" t="str">
        <f>BS!$D$5</f>
        <v>31 March 2026</v>
      </c>
      <c r="WHL313" s="247" t="str">
        <f>BS!$E$5</f>
        <v>31 March 2025</v>
      </c>
      <c r="WHM313" s="1717"/>
      <c r="WHN313" s="1718"/>
      <c r="WHO313" s="1718"/>
      <c r="WHP313" s="1718"/>
      <c r="WHQ313" s="1718"/>
      <c r="WHR313" s="246"/>
      <c r="WHS313" s="246" t="str">
        <f>BS!$D$5</f>
        <v>31 March 2026</v>
      </c>
      <c r="WHT313" s="247" t="str">
        <f>BS!$E$5</f>
        <v>31 March 2025</v>
      </c>
      <c r="WHU313" s="1717"/>
      <c r="WHV313" s="1718"/>
      <c r="WHW313" s="1718"/>
      <c r="WHX313" s="1718"/>
      <c r="WHY313" s="1718"/>
      <c r="WHZ313" s="246"/>
      <c r="WIA313" s="246" t="str">
        <f>BS!$D$5</f>
        <v>31 March 2026</v>
      </c>
      <c r="WIB313" s="247" t="str">
        <f>BS!$E$5</f>
        <v>31 March 2025</v>
      </c>
      <c r="WIC313" s="1717"/>
      <c r="WID313" s="1718"/>
      <c r="WIE313" s="1718"/>
      <c r="WIF313" s="1718"/>
      <c r="WIG313" s="1718"/>
      <c r="WIH313" s="246"/>
      <c r="WII313" s="246" t="str">
        <f>BS!$D$5</f>
        <v>31 March 2026</v>
      </c>
      <c r="WIJ313" s="247" t="str">
        <f>BS!$E$5</f>
        <v>31 March 2025</v>
      </c>
      <c r="WIK313" s="1717"/>
      <c r="WIL313" s="1718"/>
      <c r="WIM313" s="1718"/>
      <c r="WIN313" s="1718"/>
      <c r="WIO313" s="1718"/>
      <c r="WIP313" s="246"/>
      <c r="WIQ313" s="246" t="str">
        <f>BS!$D$5</f>
        <v>31 March 2026</v>
      </c>
      <c r="WIR313" s="247" t="str">
        <f>BS!$E$5</f>
        <v>31 March 2025</v>
      </c>
      <c r="WIS313" s="1717"/>
      <c r="WIT313" s="1718"/>
      <c r="WIU313" s="1718"/>
      <c r="WIV313" s="1718"/>
      <c r="WIW313" s="1718"/>
      <c r="WIX313" s="246"/>
      <c r="WIY313" s="246" t="str">
        <f>BS!$D$5</f>
        <v>31 March 2026</v>
      </c>
      <c r="WIZ313" s="247" t="str">
        <f>BS!$E$5</f>
        <v>31 March 2025</v>
      </c>
      <c r="WJA313" s="1717"/>
      <c r="WJB313" s="1718"/>
      <c r="WJC313" s="1718"/>
      <c r="WJD313" s="1718"/>
      <c r="WJE313" s="1718"/>
      <c r="WJF313" s="246"/>
      <c r="WJG313" s="246" t="str">
        <f>BS!$D$5</f>
        <v>31 March 2026</v>
      </c>
      <c r="WJH313" s="247" t="str">
        <f>BS!$E$5</f>
        <v>31 March 2025</v>
      </c>
      <c r="WJI313" s="1717"/>
      <c r="WJJ313" s="1718"/>
      <c r="WJK313" s="1718"/>
      <c r="WJL313" s="1718"/>
      <c r="WJM313" s="1718"/>
      <c r="WJN313" s="246"/>
      <c r="WJO313" s="246" t="str">
        <f>BS!$D$5</f>
        <v>31 March 2026</v>
      </c>
      <c r="WJP313" s="247" t="str">
        <f>BS!$E$5</f>
        <v>31 March 2025</v>
      </c>
      <c r="WJQ313" s="1717"/>
      <c r="WJR313" s="1718"/>
      <c r="WJS313" s="1718"/>
      <c r="WJT313" s="1718"/>
      <c r="WJU313" s="1718"/>
      <c r="WJV313" s="246"/>
      <c r="WJW313" s="246" t="str">
        <f>BS!$D$5</f>
        <v>31 March 2026</v>
      </c>
      <c r="WJX313" s="247" t="str">
        <f>BS!$E$5</f>
        <v>31 March 2025</v>
      </c>
      <c r="WJY313" s="1717"/>
      <c r="WJZ313" s="1718"/>
      <c r="WKA313" s="1718"/>
      <c r="WKB313" s="1718"/>
      <c r="WKC313" s="1718"/>
      <c r="WKD313" s="246"/>
      <c r="WKE313" s="246" t="str">
        <f>BS!$D$5</f>
        <v>31 March 2026</v>
      </c>
      <c r="WKF313" s="247" t="str">
        <f>BS!$E$5</f>
        <v>31 March 2025</v>
      </c>
      <c r="WKG313" s="1717"/>
      <c r="WKH313" s="1718"/>
      <c r="WKI313" s="1718"/>
      <c r="WKJ313" s="1718"/>
      <c r="WKK313" s="1718"/>
      <c r="WKL313" s="246"/>
      <c r="WKM313" s="246" t="str">
        <f>BS!$D$5</f>
        <v>31 March 2026</v>
      </c>
      <c r="WKN313" s="247" t="str">
        <f>BS!$E$5</f>
        <v>31 March 2025</v>
      </c>
      <c r="WKO313" s="1717"/>
      <c r="WKP313" s="1718"/>
      <c r="WKQ313" s="1718"/>
      <c r="WKR313" s="1718"/>
      <c r="WKS313" s="1718"/>
      <c r="WKT313" s="246"/>
      <c r="WKU313" s="246" t="str">
        <f>BS!$D$5</f>
        <v>31 March 2026</v>
      </c>
      <c r="WKV313" s="247" t="str">
        <f>BS!$E$5</f>
        <v>31 March 2025</v>
      </c>
      <c r="WKW313" s="1717"/>
      <c r="WKX313" s="1718"/>
      <c r="WKY313" s="1718"/>
      <c r="WKZ313" s="1718"/>
      <c r="WLA313" s="1718"/>
      <c r="WLB313" s="246"/>
      <c r="WLC313" s="246" t="str">
        <f>BS!$D$5</f>
        <v>31 March 2026</v>
      </c>
      <c r="WLD313" s="247" t="str">
        <f>BS!$E$5</f>
        <v>31 March 2025</v>
      </c>
      <c r="WLE313" s="1717"/>
      <c r="WLF313" s="1718"/>
      <c r="WLG313" s="1718"/>
      <c r="WLH313" s="1718"/>
      <c r="WLI313" s="1718"/>
      <c r="WLJ313" s="246"/>
      <c r="WLK313" s="246" t="str">
        <f>BS!$D$5</f>
        <v>31 March 2026</v>
      </c>
      <c r="WLL313" s="247" t="str">
        <f>BS!$E$5</f>
        <v>31 March 2025</v>
      </c>
      <c r="WLM313" s="1717"/>
      <c r="WLN313" s="1718"/>
      <c r="WLO313" s="1718"/>
      <c r="WLP313" s="1718"/>
      <c r="WLQ313" s="1718"/>
      <c r="WLR313" s="246"/>
      <c r="WLS313" s="246" t="str">
        <f>BS!$D$5</f>
        <v>31 March 2026</v>
      </c>
      <c r="WLT313" s="247" t="str">
        <f>BS!$E$5</f>
        <v>31 March 2025</v>
      </c>
      <c r="WLU313" s="1717"/>
      <c r="WLV313" s="1718"/>
      <c r="WLW313" s="1718"/>
      <c r="WLX313" s="1718"/>
      <c r="WLY313" s="1718"/>
      <c r="WLZ313" s="246"/>
      <c r="WMA313" s="246" t="str">
        <f>BS!$D$5</f>
        <v>31 March 2026</v>
      </c>
      <c r="WMB313" s="247" t="str">
        <f>BS!$E$5</f>
        <v>31 March 2025</v>
      </c>
      <c r="WMC313" s="1717"/>
      <c r="WMD313" s="1718"/>
      <c r="WME313" s="1718"/>
      <c r="WMF313" s="1718"/>
      <c r="WMG313" s="1718"/>
      <c r="WMH313" s="246"/>
      <c r="WMI313" s="246" t="str">
        <f>BS!$D$5</f>
        <v>31 March 2026</v>
      </c>
      <c r="WMJ313" s="247" t="str">
        <f>BS!$E$5</f>
        <v>31 March 2025</v>
      </c>
      <c r="WMK313" s="1717"/>
      <c r="WML313" s="1718"/>
      <c r="WMM313" s="1718"/>
      <c r="WMN313" s="1718"/>
      <c r="WMO313" s="1718"/>
      <c r="WMP313" s="246"/>
      <c r="WMQ313" s="246" t="str">
        <f>BS!$D$5</f>
        <v>31 March 2026</v>
      </c>
      <c r="WMR313" s="247" t="str">
        <f>BS!$E$5</f>
        <v>31 March 2025</v>
      </c>
      <c r="WMS313" s="1717"/>
      <c r="WMT313" s="1718"/>
      <c r="WMU313" s="1718"/>
      <c r="WMV313" s="1718"/>
      <c r="WMW313" s="1718"/>
      <c r="WMX313" s="246"/>
      <c r="WMY313" s="246" t="str">
        <f>BS!$D$5</f>
        <v>31 March 2026</v>
      </c>
      <c r="WMZ313" s="247" t="str">
        <f>BS!$E$5</f>
        <v>31 March 2025</v>
      </c>
      <c r="WNA313" s="1717"/>
      <c r="WNB313" s="1718"/>
      <c r="WNC313" s="1718"/>
      <c r="WND313" s="1718"/>
      <c r="WNE313" s="1718"/>
      <c r="WNF313" s="246"/>
      <c r="WNG313" s="246" t="str">
        <f>BS!$D$5</f>
        <v>31 March 2026</v>
      </c>
      <c r="WNH313" s="247" t="str">
        <f>BS!$E$5</f>
        <v>31 March 2025</v>
      </c>
      <c r="WNI313" s="1717"/>
      <c r="WNJ313" s="1718"/>
      <c r="WNK313" s="1718"/>
      <c r="WNL313" s="1718"/>
      <c r="WNM313" s="1718"/>
      <c r="WNN313" s="246"/>
      <c r="WNO313" s="246" t="str">
        <f>BS!$D$5</f>
        <v>31 March 2026</v>
      </c>
      <c r="WNP313" s="247" t="str">
        <f>BS!$E$5</f>
        <v>31 March 2025</v>
      </c>
      <c r="WNQ313" s="1717"/>
      <c r="WNR313" s="1718"/>
      <c r="WNS313" s="1718"/>
      <c r="WNT313" s="1718"/>
      <c r="WNU313" s="1718"/>
      <c r="WNV313" s="246"/>
      <c r="WNW313" s="246" t="str">
        <f>BS!$D$5</f>
        <v>31 March 2026</v>
      </c>
      <c r="WNX313" s="247" t="str">
        <f>BS!$E$5</f>
        <v>31 March 2025</v>
      </c>
      <c r="WNY313" s="1717"/>
      <c r="WNZ313" s="1718"/>
      <c r="WOA313" s="1718"/>
      <c r="WOB313" s="1718"/>
      <c r="WOC313" s="1718"/>
      <c r="WOD313" s="246"/>
      <c r="WOE313" s="246" t="str">
        <f>BS!$D$5</f>
        <v>31 March 2026</v>
      </c>
      <c r="WOF313" s="247" t="str">
        <f>BS!$E$5</f>
        <v>31 March 2025</v>
      </c>
      <c r="WOG313" s="1717"/>
      <c r="WOH313" s="1718"/>
      <c r="WOI313" s="1718"/>
      <c r="WOJ313" s="1718"/>
      <c r="WOK313" s="1718"/>
      <c r="WOL313" s="246"/>
      <c r="WOM313" s="246" t="str">
        <f>BS!$D$5</f>
        <v>31 March 2026</v>
      </c>
      <c r="WON313" s="247" t="str">
        <f>BS!$E$5</f>
        <v>31 March 2025</v>
      </c>
      <c r="WOO313" s="1717"/>
      <c r="WOP313" s="1718"/>
      <c r="WOQ313" s="1718"/>
      <c r="WOR313" s="1718"/>
      <c r="WOS313" s="1718"/>
      <c r="WOT313" s="246"/>
      <c r="WOU313" s="246" t="str">
        <f>BS!$D$5</f>
        <v>31 March 2026</v>
      </c>
      <c r="WOV313" s="247" t="str">
        <f>BS!$E$5</f>
        <v>31 March 2025</v>
      </c>
      <c r="WOW313" s="1717"/>
      <c r="WOX313" s="1718"/>
      <c r="WOY313" s="1718"/>
      <c r="WOZ313" s="1718"/>
      <c r="WPA313" s="1718"/>
      <c r="WPB313" s="246"/>
      <c r="WPC313" s="246" t="str">
        <f>BS!$D$5</f>
        <v>31 March 2026</v>
      </c>
      <c r="WPD313" s="247" t="str">
        <f>BS!$E$5</f>
        <v>31 March 2025</v>
      </c>
      <c r="WPE313" s="1717"/>
      <c r="WPF313" s="1718"/>
      <c r="WPG313" s="1718"/>
      <c r="WPH313" s="1718"/>
      <c r="WPI313" s="1718"/>
      <c r="WPJ313" s="246"/>
      <c r="WPK313" s="246" t="str">
        <f>BS!$D$5</f>
        <v>31 March 2026</v>
      </c>
      <c r="WPL313" s="247" t="str">
        <f>BS!$E$5</f>
        <v>31 March 2025</v>
      </c>
      <c r="WPM313" s="1717"/>
      <c r="WPN313" s="1718"/>
      <c r="WPO313" s="1718"/>
      <c r="WPP313" s="1718"/>
      <c r="WPQ313" s="1718"/>
      <c r="WPR313" s="246"/>
      <c r="WPS313" s="246" t="str">
        <f>BS!$D$5</f>
        <v>31 March 2026</v>
      </c>
      <c r="WPT313" s="247" t="str">
        <f>BS!$E$5</f>
        <v>31 March 2025</v>
      </c>
      <c r="WPU313" s="1717"/>
      <c r="WPV313" s="1718"/>
      <c r="WPW313" s="1718"/>
      <c r="WPX313" s="1718"/>
      <c r="WPY313" s="1718"/>
      <c r="WPZ313" s="246"/>
      <c r="WQA313" s="246" t="str">
        <f>BS!$D$5</f>
        <v>31 March 2026</v>
      </c>
      <c r="WQB313" s="247" t="str">
        <f>BS!$E$5</f>
        <v>31 March 2025</v>
      </c>
      <c r="WQC313" s="1717"/>
      <c r="WQD313" s="1718"/>
      <c r="WQE313" s="1718"/>
      <c r="WQF313" s="1718"/>
      <c r="WQG313" s="1718"/>
      <c r="WQH313" s="246"/>
      <c r="WQI313" s="246" t="str">
        <f>BS!$D$5</f>
        <v>31 March 2026</v>
      </c>
      <c r="WQJ313" s="247" t="str">
        <f>BS!$E$5</f>
        <v>31 March 2025</v>
      </c>
      <c r="WQK313" s="1717"/>
      <c r="WQL313" s="1718"/>
      <c r="WQM313" s="1718"/>
      <c r="WQN313" s="1718"/>
      <c r="WQO313" s="1718"/>
      <c r="WQP313" s="246"/>
      <c r="WQQ313" s="246" t="str">
        <f>BS!$D$5</f>
        <v>31 March 2026</v>
      </c>
      <c r="WQR313" s="247" t="str">
        <f>BS!$E$5</f>
        <v>31 March 2025</v>
      </c>
      <c r="WQS313" s="1717"/>
      <c r="WQT313" s="1718"/>
      <c r="WQU313" s="1718"/>
      <c r="WQV313" s="1718"/>
      <c r="WQW313" s="1718"/>
      <c r="WQX313" s="246"/>
      <c r="WQY313" s="246" t="str">
        <f>BS!$D$5</f>
        <v>31 March 2026</v>
      </c>
      <c r="WQZ313" s="247" t="str">
        <f>BS!$E$5</f>
        <v>31 March 2025</v>
      </c>
      <c r="WRA313" s="1717"/>
      <c r="WRB313" s="1718"/>
      <c r="WRC313" s="1718"/>
      <c r="WRD313" s="1718"/>
      <c r="WRE313" s="1718"/>
      <c r="WRF313" s="246"/>
      <c r="WRG313" s="246" t="str">
        <f>BS!$D$5</f>
        <v>31 March 2026</v>
      </c>
      <c r="WRH313" s="247" t="str">
        <f>BS!$E$5</f>
        <v>31 March 2025</v>
      </c>
      <c r="WRI313" s="1717"/>
      <c r="WRJ313" s="1718"/>
      <c r="WRK313" s="1718"/>
      <c r="WRL313" s="1718"/>
      <c r="WRM313" s="1718"/>
      <c r="WRN313" s="246"/>
      <c r="WRO313" s="246" t="str">
        <f>BS!$D$5</f>
        <v>31 March 2026</v>
      </c>
      <c r="WRP313" s="247" t="str">
        <f>BS!$E$5</f>
        <v>31 March 2025</v>
      </c>
      <c r="WRQ313" s="1717"/>
      <c r="WRR313" s="1718"/>
      <c r="WRS313" s="1718"/>
      <c r="WRT313" s="1718"/>
      <c r="WRU313" s="1718"/>
      <c r="WRV313" s="246"/>
      <c r="WRW313" s="246" t="str">
        <f>BS!$D$5</f>
        <v>31 March 2026</v>
      </c>
      <c r="WRX313" s="247" t="str">
        <f>BS!$E$5</f>
        <v>31 March 2025</v>
      </c>
      <c r="WRY313" s="1717"/>
      <c r="WRZ313" s="1718"/>
      <c r="WSA313" s="1718"/>
      <c r="WSB313" s="1718"/>
      <c r="WSC313" s="1718"/>
      <c r="WSD313" s="246"/>
      <c r="WSE313" s="246" t="str">
        <f>BS!$D$5</f>
        <v>31 March 2026</v>
      </c>
      <c r="WSF313" s="247" t="str">
        <f>BS!$E$5</f>
        <v>31 March 2025</v>
      </c>
      <c r="WSG313" s="1717"/>
      <c r="WSH313" s="1718"/>
      <c r="WSI313" s="1718"/>
      <c r="WSJ313" s="1718"/>
      <c r="WSK313" s="1718"/>
      <c r="WSL313" s="246"/>
      <c r="WSM313" s="246" t="str">
        <f>BS!$D$5</f>
        <v>31 March 2026</v>
      </c>
      <c r="WSN313" s="247" t="str">
        <f>BS!$E$5</f>
        <v>31 March 2025</v>
      </c>
      <c r="WSO313" s="1717"/>
      <c r="WSP313" s="1718"/>
      <c r="WSQ313" s="1718"/>
      <c r="WSR313" s="1718"/>
      <c r="WSS313" s="1718"/>
      <c r="WST313" s="246"/>
      <c r="WSU313" s="246" t="str">
        <f>BS!$D$5</f>
        <v>31 March 2026</v>
      </c>
      <c r="WSV313" s="247" t="str">
        <f>BS!$E$5</f>
        <v>31 March 2025</v>
      </c>
      <c r="WSW313" s="1717"/>
      <c r="WSX313" s="1718"/>
      <c r="WSY313" s="1718"/>
      <c r="WSZ313" s="1718"/>
      <c r="WTA313" s="1718"/>
      <c r="WTB313" s="246"/>
      <c r="WTC313" s="246" t="str">
        <f>BS!$D$5</f>
        <v>31 March 2026</v>
      </c>
      <c r="WTD313" s="247" t="str">
        <f>BS!$E$5</f>
        <v>31 March 2025</v>
      </c>
      <c r="WTE313" s="1717"/>
      <c r="WTF313" s="1718"/>
      <c r="WTG313" s="1718"/>
      <c r="WTH313" s="1718"/>
      <c r="WTI313" s="1718"/>
      <c r="WTJ313" s="246"/>
      <c r="WTK313" s="246" t="str">
        <f>BS!$D$5</f>
        <v>31 March 2026</v>
      </c>
      <c r="WTL313" s="247" t="str">
        <f>BS!$E$5</f>
        <v>31 March 2025</v>
      </c>
      <c r="WTM313" s="1717"/>
      <c r="WTN313" s="1718"/>
      <c r="WTO313" s="1718"/>
      <c r="WTP313" s="1718"/>
      <c r="WTQ313" s="1718"/>
      <c r="WTR313" s="246"/>
      <c r="WTS313" s="246" t="str">
        <f>BS!$D$5</f>
        <v>31 March 2026</v>
      </c>
      <c r="WTT313" s="247" t="str">
        <f>BS!$E$5</f>
        <v>31 March 2025</v>
      </c>
      <c r="WTU313" s="1717"/>
      <c r="WTV313" s="1718"/>
      <c r="WTW313" s="1718"/>
      <c r="WTX313" s="1718"/>
      <c r="WTY313" s="1718"/>
      <c r="WTZ313" s="246"/>
      <c r="WUA313" s="246" t="str">
        <f>BS!$D$5</f>
        <v>31 March 2026</v>
      </c>
      <c r="WUB313" s="247" t="str">
        <f>BS!$E$5</f>
        <v>31 March 2025</v>
      </c>
      <c r="WUC313" s="1717"/>
      <c r="WUD313" s="1718"/>
      <c r="WUE313" s="1718"/>
      <c r="WUF313" s="1718"/>
      <c r="WUG313" s="1718"/>
      <c r="WUH313" s="246"/>
      <c r="WUI313" s="246" t="str">
        <f>BS!$D$5</f>
        <v>31 March 2026</v>
      </c>
      <c r="WUJ313" s="247" t="str">
        <f>BS!$E$5</f>
        <v>31 March 2025</v>
      </c>
      <c r="WUK313" s="1717"/>
      <c r="WUL313" s="1718"/>
      <c r="WUM313" s="1718"/>
      <c r="WUN313" s="1718"/>
      <c r="WUO313" s="1718"/>
      <c r="WUP313" s="246"/>
      <c r="WUQ313" s="246" t="str">
        <f>BS!$D$5</f>
        <v>31 March 2026</v>
      </c>
      <c r="WUR313" s="247" t="str">
        <f>BS!$E$5</f>
        <v>31 March 2025</v>
      </c>
      <c r="WUS313" s="1717"/>
      <c r="WUT313" s="1718"/>
      <c r="WUU313" s="1718"/>
      <c r="WUV313" s="1718"/>
      <c r="WUW313" s="1718"/>
      <c r="WUX313" s="246"/>
      <c r="WUY313" s="246" t="str">
        <f>BS!$D$5</f>
        <v>31 March 2026</v>
      </c>
      <c r="WUZ313" s="247" t="str">
        <f>BS!$E$5</f>
        <v>31 March 2025</v>
      </c>
      <c r="WVA313" s="1717"/>
      <c r="WVB313" s="1718"/>
      <c r="WVC313" s="1718"/>
      <c r="WVD313" s="1718"/>
      <c r="WVE313" s="1718"/>
      <c r="WVF313" s="246"/>
      <c r="WVG313" s="246" t="str">
        <f>BS!$D$5</f>
        <v>31 March 2026</v>
      </c>
      <c r="WVH313" s="247" t="str">
        <f>BS!$E$5</f>
        <v>31 March 2025</v>
      </c>
      <c r="WVI313" s="1717"/>
      <c r="WVJ313" s="1718"/>
      <c r="WVK313" s="1718"/>
      <c r="WVL313" s="1718"/>
      <c r="WVM313" s="1718"/>
      <c r="WVN313" s="246"/>
      <c r="WVO313" s="246" t="str">
        <f>BS!$D$5</f>
        <v>31 March 2026</v>
      </c>
      <c r="WVP313" s="247" t="str">
        <f>BS!$E$5</f>
        <v>31 March 2025</v>
      </c>
      <c r="WVQ313" s="1717"/>
      <c r="WVR313" s="1718"/>
      <c r="WVS313" s="1718"/>
      <c r="WVT313" s="1718"/>
      <c r="WVU313" s="1718"/>
      <c r="WVV313" s="246"/>
      <c r="WVW313" s="246" t="str">
        <f>BS!$D$5</f>
        <v>31 March 2026</v>
      </c>
      <c r="WVX313" s="247" t="str">
        <f>BS!$E$5</f>
        <v>31 March 2025</v>
      </c>
      <c r="WVY313" s="1717"/>
      <c r="WVZ313" s="1718"/>
      <c r="WWA313" s="1718"/>
      <c r="WWB313" s="1718"/>
      <c r="WWC313" s="1718"/>
      <c r="WWD313" s="246"/>
      <c r="WWE313" s="246" t="str">
        <f>BS!$D$5</f>
        <v>31 March 2026</v>
      </c>
      <c r="WWF313" s="247" t="str">
        <f>BS!$E$5</f>
        <v>31 March 2025</v>
      </c>
      <c r="WWG313" s="1717"/>
      <c r="WWH313" s="1718"/>
      <c r="WWI313" s="1718"/>
      <c r="WWJ313" s="1718"/>
      <c r="WWK313" s="1718"/>
      <c r="WWL313" s="246"/>
      <c r="WWM313" s="246" t="str">
        <f>BS!$D$5</f>
        <v>31 March 2026</v>
      </c>
      <c r="WWN313" s="247" t="str">
        <f>BS!$E$5</f>
        <v>31 March 2025</v>
      </c>
      <c r="WWO313" s="1717"/>
      <c r="WWP313" s="1718"/>
      <c r="WWQ313" s="1718"/>
      <c r="WWR313" s="1718"/>
      <c r="WWS313" s="1718"/>
      <c r="WWT313" s="246"/>
      <c r="WWU313" s="246" t="str">
        <f>BS!$D$5</f>
        <v>31 March 2026</v>
      </c>
      <c r="WWV313" s="247" t="str">
        <f>BS!$E$5</f>
        <v>31 March 2025</v>
      </c>
      <c r="WWW313" s="1717"/>
      <c r="WWX313" s="1718"/>
      <c r="WWY313" s="1718"/>
      <c r="WWZ313" s="1718"/>
      <c r="WXA313" s="1718"/>
      <c r="WXB313" s="246"/>
      <c r="WXC313" s="246" t="str">
        <f>BS!$D$5</f>
        <v>31 March 2026</v>
      </c>
      <c r="WXD313" s="247" t="str">
        <f>BS!$E$5</f>
        <v>31 March 2025</v>
      </c>
      <c r="WXE313" s="1717"/>
      <c r="WXF313" s="1718"/>
      <c r="WXG313" s="1718"/>
      <c r="WXH313" s="1718"/>
      <c r="WXI313" s="1718"/>
      <c r="WXJ313" s="246"/>
      <c r="WXK313" s="246" t="str">
        <f>BS!$D$5</f>
        <v>31 March 2026</v>
      </c>
      <c r="WXL313" s="247" t="str">
        <f>BS!$E$5</f>
        <v>31 March 2025</v>
      </c>
      <c r="WXM313" s="1717"/>
      <c r="WXN313" s="1718"/>
      <c r="WXO313" s="1718"/>
      <c r="WXP313" s="1718"/>
      <c r="WXQ313" s="1718"/>
      <c r="WXR313" s="246"/>
      <c r="WXS313" s="246" t="str">
        <f>BS!$D$5</f>
        <v>31 March 2026</v>
      </c>
      <c r="WXT313" s="247" t="str">
        <f>BS!$E$5</f>
        <v>31 March 2025</v>
      </c>
      <c r="WXU313" s="1717"/>
      <c r="WXV313" s="1718"/>
      <c r="WXW313" s="1718"/>
      <c r="WXX313" s="1718"/>
      <c r="WXY313" s="1718"/>
      <c r="WXZ313" s="246"/>
      <c r="WYA313" s="246" t="str">
        <f>BS!$D$5</f>
        <v>31 March 2026</v>
      </c>
      <c r="WYB313" s="247" t="str">
        <f>BS!$E$5</f>
        <v>31 March 2025</v>
      </c>
      <c r="WYC313" s="1717"/>
      <c r="WYD313" s="1718"/>
      <c r="WYE313" s="1718"/>
      <c r="WYF313" s="1718"/>
      <c r="WYG313" s="1718"/>
      <c r="WYH313" s="246"/>
      <c r="WYI313" s="246" t="str">
        <f>BS!$D$5</f>
        <v>31 March 2026</v>
      </c>
      <c r="WYJ313" s="247" t="str">
        <f>BS!$E$5</f>
        <v>31 March 2025</v>
      </c>
      <c r="WYK313" s="1717"/>
      <c r="WYL313" s="1718"/>
      <c r="WYM313" s="1718"/>
      <c r="WYN313" s="1718"/>
      <c r="WYO313" s="1718"/>
      <c r="WYP313" s="246"/>
      <c r="WYQ313" s="246" t="str">
        <f>BS!$D$5</f>
        <v>31 March 2026</v>
      </c>
      <c r="WYR313" s="247" t="str">
        <f>BS!$E$5</f>
        <v>31 March 2025</v>
      </c>
      <c r="WYS313" s="1717"/>
      <c r="WYT313" s="1718"/>
      <c r="WYU313" s="1718"/>
      <c r="WYV313" s="1718"/>
      <c r="WYW313" s="1718"/>
      <c r="WYX313" s="246"/>
      <c r="WYY313" s="246" t="str">
        <f>BS!$D$5</f>
        <v>31 March 2026</v>
      </c>
      <c r="WYZ313" s="247" t="str">
        <f>BS!$E$5</f>
        <v>31 March 2025</v>
      </c>
      <c r="WZA313" s="1717"/>
      <c r="WZB313" s="1718"/>
      <c r="WZC313" s="1718"/>
      <c r="WZD313" s="1718"/>
      <c r="WZE313" s="1718"/>
      <c r="WZF313" s="246"/>
      <c r="WZG313" s="246" t="str">
        <f>BS!$D$5</f>
        <v>31 March 2026</v>
      </c>
      <c r="WZH313" s="247" t="str">
        <f>BS!$E$5</f>
        <v>31 March 2025</v>
      </c>
      <c r="WZI313" s="1717"/>
      <c r="WZJ313" s="1718"/>
      <c r="WZK313" s="1718"/>
      <c r="WZL313" s="1718"/>
      <c r="WZM313" s="1718"/>
      <c r="WZN313" s="246"/>
      <c r="WZO313" s="246" t="str">
        <f>BS!$D$5</f>
        <v>31 March 2026</v>
      </c>
      <c r="WZP313" s="247" t="str">
        <f>BS!$E$5</f>
        <v>31 March 2025</v>
      </c>
      <c r="WZQ313" s="1717"/>
      <c r="WZR313" s="1718"/>
      <c r="WZS313" s="1718"/>
      <c r="WZT313" s="1718"/>
      <c r="WZU313" s="1718"/>
      <c r="WZV313" s="246"/>
      <c r="WZW313" s="246" t="str">
        <f>BS!$D$5</f>
        <v>31 March 2026</v>
      </c>
      <c r="WZX313" s="247" t="str">
        <f>BS!$E$5</f>
        <v>31 March 2025</v>
      </c>
      <c r="WZY313" s="1717"/>
      <c r="WZZ313" s="1718"/>
      <c r="XAA313" s="1718"/>
      <c r="XAB313" s="1718"/>
      <c r="XAC313" s="1718"/>
      <c r="XAD313" s="246"/>
      <c r="XAE313" s="246" t="str">
        <f>BS!$D$5</f>
        <v>31 March 2026</v>
      </c>
      <c r="XAF313" s="247" t="str">
        <f>BS!$E$5</f>
        <v>31 March 2025</v>
      </c>
      <c r="XAG313" s="1717"/>
      <c r="XAH313" s="1718"/>
      <c r="XAI313" s="1718"/>
      <c r="XAJ313" s="1718"/>
      <c r="XAK313" s="1718"/>
      <c r="XAL313" s="246"/>
      <c r="XAM313" s="246" t="str">
        <f>BS!$D$5</f>
        <v>31 March 2026</v>
      </c>
      <c r="XAN313" s="247" t="str">
        <f>BS!$E$5</f>
        <v>31 March 2025</v>
      </c>
      <c r="XAO313" s="1717"/>
      <c r="XAP313" s="1718"/>
      <c r="XAQ313" s="1718"/>
      <c r="XAR313" s="1718"/>
      <c r="XAS313" s="1718"/>
      <c r="XAT313" s="246"/>
      <c r="XAU313" s="246" t="str">
        <f>BS!$D$5</f>
        <v>31 March 2026</v>
      </c>
      <c r="XAV313" s="247" t="str">
        <f>BS!$E$5</f>
        <v>31 March 2025</v>
      </c>
      <c r="XAW313" s="1717"/>
      <c r="XAX313" s="1718"/>
      <c r="XAY313" s="1718"/>
      <c r="XAZ313" s="1718"/>
      <c r="XBA313" s="1718"/>
      <c r="XBB313" s="246"/>
      <c r="XBC313" s="246" t="str">
        <f>BS!$D$5</f>
        <v>31 March 2026</v>
      </c>
      <c r="XBD313" s="247" t="str">
        <f>BS!$E$5</f>
        <v>31 March 2025</v>
      </c>
      <c r="XBE313" s="1717"/>
      <c r="XBF313" s="1718"/>
      <c r="XBG313" s="1718"/>
      <c r="XBH313" s="1718"/>
      <c r="XBI313" s="1718"/>
      <c r="XBJ313" s="246"/>
      <c r="XBK313" s="246" t="str">
        <f>BS!$D$5</f>
        <v>31 March 2026</v>
      </c>
      <c r="XBL313" s="247" t="str">
        <f>BS!$E$5</f>
        <v>31 March 2025</v>
      </c>
      <c r="XBM313" s="1717"/>
      <c r="XBN313" s="1718"/>
      <c r="XBO313" s="1718"/>
      <c r="XBP313" s="1718"/>
      <c r="XBQ313" s="1718"/>
      <c r="XBR313" s="246"/>
      <c r="XBS313" s="246" t="str">
        <f>BS!$D$5</f>
        <v>31 March 2026</v>
      </c>
      <c r="XBT313" s="247" t="str">
        <f>BS!$E$5</f>
        <v>31 March 2025</v>
      </c>
      <c r="XBU313" s="1717"/>
      <c r="XBV313" s="1718"/>
      <c r="XBW313" s="1718"/>
      <c r="XBX313" s="1718"/>
      <c r="XBY313" s="1718"/>
      <c r="XBZ313" s="246"/>
      <c r="XCA313" s="246" t="str">
        <f>BS!$D$5</f>
        <v>31 March 2026</v>
      </c>
      <c r="XCB313" s="247" t="str">
        <f>BS!$E$5</f>
        <v>31 March 2025</v>
      </c>
      <c r="XCC313" s="1717"/>
      <c r="XCD313" s="1718"/>
      <c r="XCE313" s="1718"/>
      <c r="XCF313" s="1718"/>
      <c r="XCG313" s="1718"/>
      <c r="XCH313" s="246"/>
      <c r="XCI313" s="246" t="str">
        <f>BS!$D$5</f>
        <v>31 March 2026</v>
      </c>
      <c r="XCJ313" s="247" t="str">
        <f>BS!$E$5</f>
        <v>31 March 2025</v>
      </c>
      <c r="XCK313" s="1717"/>
      <c r="XCL313" s="1718"/>
      <c r="XCM313" s="1718"/>
      <c r="XCN313" s="1718"/>
      <c r="XCO313" s="1718"/>
      <c r="XCP313" s="246"/>
      <c r="XCQ313" s="246" t="str">
        <f>BS!$D$5</f>
        <v>31 March 2026</v>
      </c>
      <c r="XCR313" s="247" t="str">
        <f>BS!$E$5</f>
        <v>31 March 2025</v>
      </c>
      <c r="XCS313" s="1717"/>
      <c r="XCT313" s="1718"/>
      <c r="XCU313" s="1718"/>
      <c r="XCV313" s="1718"/>
      <c r="XCW313" s="1718"/>
      <c r="XCX313" s="246"/>
      <c r="XCY313" s="246" t="str">
        <f>BS!$D$5</f>
        <v>31 March 2026</v>
      </c>
      <c r="XCZ313" s="247" t="str">
        <f>BS!$E$5</f>
        <v>31 March 2025</v>
      </c>
      <c r="XDA313" s="1717"/>
      <c r="XDB313" s="1718"/>
      <c r="XDC313" s="1718"/>
      <c r="XDD313" s="1718"/>
      <c r="XDE313" s="1718"/>
      <c r="XDF313" s="246"/>
      <c r="XDG313" s="246" t="str">
        <f>BS!$D$5</f>
        <v>31 March 2026</v>
      </c>
      <c r="XDH313" s="247" t="str">
        <f>BS!$E$5</f>
        <v>31 March 2025</v>
      </c>
      <c r="XDI313" s="1717"/>
      <c r="XDJ313" s="1718"/>
      <c r="XDK313" s="1718"/>
      <c r="XDL313" s="1718"/>
      <c r="XDM313" s="1718"/>
      <c r="XDN313" s="246"/>
      <c r="XDO313" s="246" t="str">
        <f>BS!$D$5</f>
        <v>31 March 2026</v>
      </c>
      <c r="XDP313" s="247" t="str">
        <f>BS!$E$5</f>
        <v>31 March 2025</v>
      </c>
      <c r="XDQ313" s="1717"/>
      <c r="XDR313" s="1718"/>
      <c r="XDS313" s="1718"/>
      <c r="XDT313" s="1718"/>
      <c r="XDU313" s="1718"/>
      <c r="XDV313" s="246"/>
      <c r="XDW313" s="246" t="str">
        <f>BS!$D$5</f>
        <v>31 March 2026</v>
      </c>
      <c r="XDX313" s="247" t="str">
        <f>BS!$E$5</f>
        <v>31 March 2025</v>
      </c>
      <c r="XDY313" s="1717"/>
      <c r="XDZ313" s="1718"/>
      <c r="XEA313" s="1718"/>
      <c r="XEB313" s="1718"/>
      <c r="XEC313" s="1718"/>
      <c r="XED313" s="246"/>
      <c r="XEE313" s="246" t="str">
        <f>BS!$D$5</f>
        <v>31 March 2026</v>
      </c>
      <c r="XEF313" s="247" t="str">
        <f>BS!$E$5</f>
        <v>31 March 2025</v>
      </c>
      <c r="XEG313" s="1717"/>
      <c r="XEH313" s="1718"/>
      <c r="XEI313" s="1718"/>
      <c r="XEJ313" s="1718"/>
      <c r="XEK313" s="1718"/>
      <c r="XEL313" s="246"/>
      <c r="XEM313" s="246" t="str">
        <f>BS!$D$5</f>
        <v>31 March 2026</v>
      </c>
      <c r="XEN313" s="247" t="str">
        <f>BS!$E$5</f>
        <v>31 March 2025</v>
      </c>
      <c r="XEO313" s="1717"/>
      <c r="XEP313" s="1718"/>
      <c r="XEQ313" s="1718"/>
      <c r="XER313" s="1718"/>
      <c r="XES313" s="1718"/>
      <c r="XET313" s="246"/>
      <c r="XEU313" s="246" t="str">
        <f>BS!$D$5</f>
        <v>31 March 2026</v>
      </c>
      <c r="XEV313" s="247" t="str">
        <f>BS!$E$5</f>
        <v>31 March 2025</v>
      </c>
      <c r="XEW313" s="1717"/>
      <c r="XEX313" s="1718"/>
      <c r="XEY313" s="1718"/>
      <c r="XEZ313" s="1718"/>
      <c r="XFA313" s="1718"/>
      <c r="XFB313" s="246"/>
      <c r="XFC313" s="246" t="str">
        <f>BS!$D$5</f>
        <v>31 March 2026</v>
      </c>
      <c r="XFD313" s="247" t="str">
        <f>BS!$E$5</f>
        <v>31 March 2025</v>
      </c>
    </row>
    <row r="314" spans="1:16384" s="95" customFormat="1" x14ac:dyDescent="0.25">
      <c r="A314" s="40"/>
      <c r="B314" s="640"/>
      <c r="C314" s="640"/>
      <c r="D314" s="640"/>
      <c r="E314" s="640"/>
      <c r="F314" s="817"/>
      <c r="G314" s="1671"/>
      <c r="H314" s="1672"/>
      <c r="I314" s="556"/>
    </row>
    <row r="315" spans="1:16384" s="95" customFormat="1" x14ac:dyDescent="0.25">
      <c r="A315" s="314" t="s">
        <v>1613</v>
      </c>
      <c r="B315" s="788"/>
      <c r="C315" s="788"/>
      <c r="D315" s="788"/>
      <c r="E315" s="788"/>
      <c r="H315" s="644"/>
      <c r="I315" s="644"/>
    </row>
    <row r="316" spans="1:16384" s="95" customFormat="1" x14ac:dyDescent="0.25">
      <c r="A316" s="314" t="str">
        <f>UPPER("Deferred Tax Assets / Liabilities (Net)")</f>
        <v>DEFERRED TAX ASSETS / LIABILITIES (NET)</v>
      </c>
      <c r="B316" s="788"/>
      <c r="C316" s="788"/>
      <c r="D316" s="788"/>
      <c r="E316" s="788"/>
      <c r="H316" s="834"/>
      <c r="I316" s="834"/>
    </row>
    <row r="317" spans="1:16384" s="95" customFormat="1" x14ac:dyDescent="0.25">
      <c r="A317" s="314" t="s">
        <v>71</v>
      </c>
      <c r="B317" s="788"/>
      <c r="C317" s="788"/>
      <c r="D317" s="788"/>
      <c r="E317" s="788"/>
      <c r="H317" s="787"/>
      <c r="I317" s="824"/>
    </row>
    <row r="318" spans="1:16384" s="95" customFormat="1" x14ac:dyDescent="0.25">
      <c r="A318" s="822" t="s">
        <v>545</v>
      </c>
      <c r="G318" s="823">
        <f>H334</f>
        <v>844.75469738967058</v>
      </c>
      <c r="H318" s="787">
        <f>H350</f>
        <v>99.731688263242503</v>
      </c>
      <c r="I318" s="787">
        <v>0</v>
      </c>
    </row>
    <row r="319" spans="1:16384" s="95" customFormat="1" x14ac:dyDescent="0.25">
      <c r="A319" s="822" t="s">
        <v>1487</v>
      </c>
      <c r="G319" s="823">
        <f>H336</f>
        <v>1748.0983600080001</v>
      </c>
      <c r="H319" s="787">
        <f>H352</f>
        <v>664.4301349328</v>
      </c>
      <c r="I319" s="787"/>
    </row>
    <row r="320" spans="1:16384" s="95" customFormat="1" x14ac:dyDescent="0.25">
      <c r="A320" s="822" t="s">
        <v>1727</v>
      </c>
      <c r="G320" s="823">
        <f>H338</f>
        <v>2.5654680480000001</v>
      </c>
      <c r="H320" s="787"/>
      <c r="I320" s="787"/>
    </row>
    <row r="321" spans="1:15" x14ac:dyDescent="0.25">
      <c r="A321" s="822" t="s">
        <v>1156</v>
      </c>
      <c r="G321" s="823">
        <f>H337</f>
        <v>25.666755971999997</v>
      </c>
      <c r="H321" s="787">
        <v>0</v>
      </c>
      <c r="I321" s="787"/>
    </row>
    <row r="322" spans="1:15" x14ac:dyDescent="0.25">
      <c r="A322" s="646" t="s">
        <v>117</v>
      </c>
      <c r="B322" s="837"/>
      <c r="C322" s="837"/>
      <c r="D322" s="837"/>
      <c r="E322" s="837"/>
      <c r="F322" s="873"/>
      <c r="G322" s="828">
        <f>SUM(G318:G321)</f>
        <v>2621.0852814176706</v>
      </c>
      <c r="H322" s="829">
        <f>SUM(H318:H321)</f>
        <v>764.16182319604252</v>
      </c>
      <c r="I322" s="829">
        <f>SUM(I317:I318)</f>
        <v>0</v>
      </c>
    </row>
    <row r="323" spans="1:15" x14ac:dyDescent="0.25">
      <c r="A323" s="822"/>
      <c r="H323" s="787"/>
      <c r="I323" s="824"/>
    </row>
    <row r="324" spans="1:15" x14ac:dyDescent="0.25">
      <c r="A324" s="314" t="s">
        <v>150</v>
      </c>
      <c r="B324" s="788"/>
      <c r="C324" s="788"/>
      <c r="D324" s="788"/>
      <c r="E324" s="788"/>
      <c r="H324" s="787"/>
      <c r="I324" s="824"/>
    </row>
    <row r="325" spans="1:15" x14ac:dyDescent="0.25">
      <c r="A325" s="822" t="s">
        <v>1156</v>
      </c>
      <c r="E325" s="1659"/>
      <c r="F325" s="1659"/>
      <c r="G325" s="874">
        <f>H341</f>
        <v>0</v>
      </c>
      <c r="H325" s="824">
        <f>H355</f>
        <v>6.7736979215999993</v>
      </c>
      <c r="I325" s="824">
        <f>-ROUND(SUMIF('TB BVS 31.3.22'!$E:$E,A325,'TB BVS 31.3.22'!$N:$N)/Input!$C$2,Input!$E$2)</f>
        <v>0</v>
      </c>
    </row>
    <row r="326" spans="1:15" x14ac:dyDescent="0.25">
      <c r="A326" s="822" t="s">
        <v>173</v>
      </c>
      <c r="E326" s="1659"/>
      <c r="F326" s="1659"/>
      <c r="G326" s="874">
        <f>H342</f>
        <v>1034.7006203408882</v>
      </c>
      <c r="H326" s="824">
        <f>H356</f>
        <v>477.73969374990372</v>
      </c>
      <c r="I326" s="824"/>
    </row>
    <row r="327" spans="1:15" x14ac:dyDescent="0.25">
      <c r="A327" s="646" t="s">
        <v>118</v>
      </c>
      <c r="B327" s="837"/>
      <c r="C327" s="837"/>
      <c r="D327" s="837"/>
      <c r="E327" s="837"/>
      <c r="F327" s="873"/>
      <c r="G327" s="875">
        <f>G325+G326</f>
        <v>1034.7006203408882</v>
      </c>
      <c r="H327" s="876">
        <f>H325+H326</f>
        <v>484.51339167150371</v>
      </c>
      <c r="I327" s="829">
        <f>SUM(I325:I325)</f>
        <v>0</v>
      </c>
    </row>
    <row r="328" spans="1:15" x14ac:dyDescent="0.25">
      <c r="A328" s="877" t="s">
        <v>156</v>
      </c>
      <c r="B328" s="878"/>
      <c r="C328" s="878"/>
      <c r="D328" s="878"/>
      <c r="E328" s="878"/>
      <c r="F328" s="879"/>
      <c r="G328" s="880">
        <f>(G322-G327)</f>
        <v>1586.3846610767823</v>
      </c>
      <c r="H328" s="843">
        <f>H322-H327</f>
        <v>279.64843152453881</v>
      </c>
      <c r="I328" s="843">
        <f>I322-I327</f>
        <v>0</v>
      </c>
      <c r="J328" s="509"/>
      <c r="K328" s="509"/>
      <c r="L328" s="509"/>
      <c r="M328" s="788"/>
    </row>
    <row r="329" spans="1:15" ht="15.75" thickBot="1" x14ac:dyDescent="0.3">
      <c r="A329" s="1660" t="s">
        <v>1733</v>
      </c>
      <c r="B329" s="1661"/>
      <c r="C329" s="1661"/>
      <c r="D329" s="1661"/>
      <c r="E329" s="1662"/>
      <c r="F329" s="1662"/>
      <c r="G329" s="1662">
        <f>G328</f>
        <v>1586.3846610767823</v>
      </c>
      <c r="H329" s="1663">
        <v>0</v>
      </c>
      <c r="I329" s="882"/>
      <c r="J329" s="509"/>
      <c r="K329" s="509"/>
      <c r="L329" s="509"/>
      <c r="M329" s="788"/>
    </row>
    <row r="330" spans="1:15" ht="10.5" customHeight="1" x14ac:dyDescent="0.25">
      <c r="A330" s="689"/>
      <c r="B330" s="1094"/>
      <c r="C330" s="1094"/>
      <c r="D330" s="1094"/>
      <c r="E330" s="1094"/>
      <c r="F330" s="1094"/>
      <c r="G330" s="1094"/>
      <c r="H330" s="690"/>
      <c r="I330" s="942"/>
      <c r="J330" s="509"/>
      <c r="K330" s="509"/>
      <c r="L330" s="509"/>
      <c r="M330" s="788"/>
    </row>
    <row r="331" spans="1:15" x14ac:dyDescent="0.25">
      <c r="A331" s="314" t="s">
        <v>1732</v>
      </c>
      <c r="B331" s="788"/>
      <c r="C331" s="788"/>
      <c r="D331" s="788"/>
      <c r="E331" s="788"/>
      <c r="F331" s="845"/>
      <c r="G331" s="845"/>
      <c r="H331" s="882"/>
      <c r="I331" s="882"/>
      <c r="J331" s="509"/>
      <c r="K331" s="509"/>
      <c r="L331" s="509"/>
      <c r="M331" s="788"/>
    </row>
    <row r="332" spans="1:15" ht="45" x14ac:dyDescent="0.25">
      <c r="A332" s="266" t="s">
        <v>0</v>
      </c>
      <c r="B332" s="667"/>
      <c r="C332" s="667"/>
      <c r="D332" s="667"/>
      <c r="E332" s="883" t="s">
        <v>1489</v>
      </c>
      <c r="F332" s="883" t="s">
        <v>394</v>
      </c>
      <c r="G332" s="667" t="s">
        <v>546</v>
      </c>
      <c r="H332" s="500" t="s">
        <v>1730</v>
      </c>
      <c r="I332" s="882"/>
      <c r="J332" s="509"/>
      <c r="K332" s="509"/>
      <c r="L332" s="509"/>
      <c r="M332" s="788"/>
    </row>
    <row r="333" spans="1:15" x14ac:dyDescent="0.25">
      <c r="A333" s="884" t="s">
        <v>71</v>
      </c>
      <c r="B333" s="885"/>
      <c r="C333" s="885"/>
      <c r="D333" s="885"/>
      <c r="E333" s="886"/>
      <c r="F333" s="846"/>
      <c r="G333" s="887"/>
      <c r="H333" s="831"/>
      <c r="I333" s="882"/>
      <c r="J333" s="509"/>
      <c r="K333" s="509"/>
      <c r="L333" s="509"/>
      <c r="M333" s="788"/>
    </row>
    <row r="334" spans="1:15" x14ac:dyDescent="0.25">
      <c r="A334" s="888" t="s">
        <v>545</v>
      </c>
      <c r="B334" s="889"/>
      <c r="C334" s="889"/>
      <c r="D334" s="889"/>
      <c r="E334" s="857">
        <f>H350</f>
        <v>99.731688263242503</v>
      </c>
      <c r="F334" s="840">
        <f>H334-E334</f>
        <v>745.02300912642806</v>
      </c>
      <c r="G334" s="857">
        <v>0</v>
      </c>
      <c r="H334" s="787">
        <f>-'DT-FY26'!C7</f>
        <v>844.75469738967058</v>
      </c>
      <c r="I334" s="882"/>
      <c r="J334" s="509"/>
      <c r="K334" s="509"/>
      <c r="L334" s="509"/>
      <c r="M334" s="788"/>
      <c r="O334" s="840"/>
    </row>
    <row r="335" spans="1:15" hidden="1" x14ac:dyDescent="0.25">
      <c r="A335" s="14" t="s">
        <v>1156</v>
      </c>
      <c r="B335" s="889"/>
      <c r="C335" s="889"/>
      <c r="D335" s="889"/>
      <c r="E335" s="857">
        <v>0</v>
      </c>
      <c r="F335" s="840">
        <v>0</v>
      </c>
      <c r="G335" s="857">
        <v>0</v>
      </c>
      <c r="H335" s="787"/>
      <c r="I335" s="882"/>
      <c r="J335" s="509"/>
      <c r="K335" s="509"/>
      <c r="L335" s="509"/>
      <c r="M335" s="788"/>
    </row>
    <row r="336" spans="1:15" x14ac:dyDescent="0.25">
      <c r="A336" s="14" t="s">
        <v>1487</v>
      </c>
      <c r="B336" s="889"/>
      <c r="C336" s="889"/>
      <c r="D336" s="889"/>
      <c r="E336" s="857">
        <f>H352</f>
        <v>664.4301349328</v>
      </c>
      <c r="F336" s="840">
        <f>H336-E336</f>
        <v>1083.6682250752001</v>
      </c>
      <c r="G336" s="857">
        <v>0</v>
      </c>
      <c r="H336" s="787">
        <f>-'DT-FY26'!C12</f>
        <v>1748.0983600080001</v>
      </c>
      <c r="I336" s="882"/>
      <c r="J336" s="509"/>
      <c r="K336" s="509"/>
      <c r="L336" s="509"/>
      <c r="M336" s="788"/>
      <c r="O336" s="840"/>
    </row>
    <row r="337" spans="1:15" x14ac:dyDescent="0.25">
      <c r="A337" s="14" t="s">
        <v>1156</v>
      </c>
      <c r="B337" s="889"/>
      <c r="C337" s="889"/>
      <c r="D337" s="889"/>
      <c r="E337" s="857">
        <f>-H355</f>
        <v>-6.7736979215999993</v>
      </c>
      <c r="F337" s="840">
        <f>H337-E337-G337</f>
        <v>34.440453893599994</v>
      </c>
      <c r="G337" s="857">
        <f>PL!D31</f>
        <v>-2</v>
      </c>
      <c r="H337" s="787">
        <f>-SUM('DT-FY26'!E24:E26)/100000</f>
        <v>25.666755971999997</v>
      </c>
      <c r="I337" s="882"/>
      <c r="J337" s="509"/>
      <c r="K337" s="509"/>
      <c r="L337" s="509"/>
      <c r="M337" s="788"/>
      <c r="O337" s="840"/>
    </row>
    <row r="338" spans="1:15" x14ac:dyDescent="0.25">
      <c r="A338" s="14" t="s">
        <v>1727</v>
      </c>
      <c r="B338" s="889"/>
      <c r="C338" s="889"/>
      <c r="D338" s="889"/>
      <c r="E338" s="857">
        <v>0</v>
      </c>
      <c r="F338" s="840">
        <f>H338-E338</f>
        <v>2.5654680480000001</v>
      </c>
      <c r="G338" s="857">
        <v>0</v>
      </c>
      <c r="H338" s="787">
        <f>-'DT-FY26'!E27/100000</f>
        <v>2.5654680480000001</v>
      </c>
      <c r="I338" s="882"/>
      <c r="J338" s="509"/>
      <c r="K338" s="509"/>
      <c r="L338" s="509"/>
      <c r="M338" s="788"/>
      <c r="O338" s="840"/>
    </row>
    <row r="339" spans="1:15" x14ac:dyDescent="0.25">
      <c r="A339" s="890" t="s">
        <v>117</v>
      </c>
      <c r="B339" s="891"/>
      <c r="C339" s="891"/>
      <c r="D339" s="891"/>
      <c r="E339" s="892">
        <f>SUM(E334:E338)</f>
        <v>757.38812527444247</v>
      </c>
      <c r="F339" s="892">
        <f t="shared" ref="F339:H339" si="5">SUM(F334:F338)</f>
        <v>1865.6971561432281</v>
      </c>
      <c r="G339" s="892">
        <f t="shared" si="5"/>
        <v>-2</v>
      </c>
      <c r="H339" s="893">
        <f t="shared" si="5"/>
        <v>2621.0852814176706</v>
      </c>
      <c r="I339" s="882"/>
      <c r="J339" s="509"/>
      <c r="K339" s="509"/>
      <c r="L339" s="509"/>
      <c r="M339" s="788"/>
    </row>
    <row r="340" spans="1:15" x14ac:dyDescent="0.25">
      <c r="A340" s="884" t="s">
        <v>150</v>
      </c>
      <c r="B340" s="885"/>
      <c r="C340" s="885"/>
      <c r="D340" s="885"/>
      <c r="E340" s="886"/>
      <c r="F340" s="846"/>
      <c r="G340" s="887"/>
      <c r="H340" s="831"/>
      <c r="I340" s="882"/>
      <c r="J340" s="509"/>
      <c r="K340" s="509"/>
      <c r="L340" s="509"/>
      <c r="M340" s="788"/>
    </row>
    <row r="341" spans="1:15" hidden="1" x14ac:dyDescent="0.25">
      <c r="A341" s="14" t="s">
        <v>1156</v>
      </c>
      <c r="B341" s="349"/>
      <c r="C341" s="349"/>
      <c r="D341" s="349" t="s">
        <v>1728</v>
      </c>
      <c r="E341" s="894"/>
      <c r="F341" s="840"/>
      <c r="G341" s="857"/>
      <c r="H341" s="787"/>
      <c r="I341" s="882"/>
      <c r="J341" s="509"/>
      <c r="K341" s="509"/>
      <c r="L341" s="509"/>
      <c r="M341" s="788"/>
    </row>
    <row r="342" spans="1:15" ht="17.45" customHeight="1" x14ac:dyDescent="0.25">
      <c r="A342" s="1792" t="s">
        <v>1729</v>
      </c>
      <c r="B342" s="1793"/>
      <c r="C342" s="1793"/>
      <c r="D342" s="1793"/>
      <c r="E342" s="894">
        <f>H356</f>
        <v>477.73969374990372</v>
      </c>
      <c r="F342" s="1673">
        <f>H342-E342</f>
        <v>556.96092659098451</v>
      </c>
      <c r="G342" s="1640">
        <v>0</v>
      </c>
      <c r="H342" s="928">
        <f>-'DT-FY26'!F22</f>
        <v>1034.7006203408882</v>
      </c>
      <c r="I342" s="882"/>
      <c r="J342" s="509"/>
      <c r="K342" s="509"/>
      <c r="L342" s="509"/>
      <c r="M342" s="788"/>
    </row>
    <row r="343" spans="1:15" x14ac:dyDescent="0.25">
      <c r="A343" s="895" t="s">
        <v>118</v>
      </c>
      <c r="B343" s="896"/>
      <c r="C343" s="896"/>
      <c r="D343" s="896"/>
      <c r="E343" s="897">
        <f>E341+E342</f>
        <v>477.73969374990372</v>
      </c>
      <c r="F343" s="897">
        <f>F341+F342</f>
        <v>556.96092659098451</v>
      </c>
      <c r="G343" s="897">
        <f>G341+G342</f>
        <v>0</v>
      </c>
      <c r="H343" s="899">
        <f>H341+H342</f>
        <v>1034.7006203408882</v>
      </c>
      <c r="I343" s="882"/>
      <c r="J343" s="509"/>
      <c r="K343" s="509"/>
      <c r="L343" s="509"/>
      <c r="M343" s="788"/>
    </row>
    <row r="344" spans="1:15" x14ac:dyDescent="0.25">
      <c r="A344" s="900" t="s">
        <v>395</v>
      </c>
      <c r="B344" s="901"/>
      <c r="C344" s="901"/>
      <c r="D344" s="901"/>
      <c r="E344" s="902">
        <f>E339-E343</f>
        <v>279.64843152453875</v>
      </c>
      <c r="F344" s="902">
        <f>(F339-F343)</f>
        <v>1308.7362295522435</v>
      </c>
      <c r="G344" s="902">
        <f>G339-G343</f>
        <v>-2</v>
      </c>
      <c r="H344" s="903">
        <f>H339-H343</f>
        <v>1586.3846610767823</v>
      </c>
      <c r="I344" s="882"/>
      <c r="J344" s="509"/>
      <c r="K344" s="509"/>
      <c r="L344" s="509"/>
      <c r="M344" s="788"/>
    </row>
    <row r="345" spans="1:15" x14ac:dyDescent="0.25">
      <c r="A345" s="1371" t="s">
        <v>1488</v>
      </c>
      <c r="B345" s="1372"/>
      <c r="C345" s="1372"/>
      <c r="D345" s="1372"/>
      <c r="E345" s="875">
        <v>0</v>
      </c>
      <c r="F345" s="875">
        <f>E344+F344</f>
        <v>1588.3846610767823</v>
      </c>
      <c r="G345" s="875">
        <f>G344</f>
        <v>-2</v>
      </c>
      <c r="H345" s="876">
        <f>H344</f>
        <v>1586.3846610767823</v>
      </c>
      <c r="I345" s="882"/>
      <c r="J345" s="509"/>
      <c r="K345" s="509"/>
      <c r="L345" s="509"/>
      <c r="M345" s="788"/>
    </row>
    <row r="346" spans="1:15" x14ac:dyDescent="0.25">
      <c r="A346" s="314"/>
      <c r="B346" s="788"/>
      <c r="C346" s="788"/>
      <c r="D346" s="788"/>
      <c r="E346" s="788"/>
      <c r="F346" s="845"/>
      <c r="G346" s="845"/>
      <c r="H346" s="882"/>
      <c r="I346" s="882"/>
      <c r="J346" s="509"/>
      <c r="K346" s="509"/>
      <c r="L346" s="509"/>
      <c r="M346" s="788"/>
    </row>
    <row r="347" spans="1:15" x14ac:dyDescent="0.25">
      <c r="A347" s="314" t="s">
        <v>1734</v>
      </c>
      <c r="B347" s="788"/>
      <c r="C347" s="788"/>
      <c r="D347" s="788"/>
      <c r="E347" s="788"/>
      <c r="F347" s="845"/>
      <c r="G347" s="845"/>
      <c r="H347" s="882"/>
      <c r="I347" s="882"/>
      <c r="J347" s="509"/>
      <c r="K347" s="509"/>
      <c r="L347" s="509"/>
      <c r="M347" s="788"/>
    </row>
    <row r="348" spans="1:15" ht="45" x14ac:dyDescent="0.25">
      <c r="A348" s="266" t="s">
        <v>0</v>
      </c>
      <c r="B348" s="667"/>
      <c r="C348" s="667"/>
      <c r="D348" s="667"/>
      <c r="E348" s="883" t="s">
        <v>1179</v>
      </c>
      <c r="F348" s="883" t="s">
        <v>394</v>
      </c>
      <c r="G348" s="667" t="s">
        <v>546</v>
      </c>
      <c r="H348" s="500" t="s">
        <v>1731</v>
      </c>
      <c r="I348" s="882"/>
      <c r="J348" s="509"/>
      <c r="K348" s="509"/>
      <c r="L348" s="509"/>
      <c r="M348" s="788"/>
    </row>
    <row r="349" spans="1:15" x14ac:dyDescent="0.25">
      <c r="A349" s="884" t="s">
        <v>71</v>
      </c>
      <c r="B349" s="885"/>
      <c r="C349" s="885"/>
      <c r="D349" s="885"/>
      <c r="E349" s="886"/>
      <c r="F349" s="846"/>
      <c r="G349" s="887"/>
      <c r="H349" s="831"/>
      <c r="I349" s="882"/>
      <c r="J349" s="509"/>
      <c r="K349" s="509"/>
      <c r="L349" s="509"/>
      <c r="M349" s="788"/>
    </row>
    <row r="350" spans="1:15" x14ac:dyDescent="0.25">
      <c r="A350" s="888" t="s">
        <v>545</v>
      </c>
      <c r="B350" s="889"/>
      <c r="C350" s="889"/>
      <c r="D350" s="889"/>
      <c r="E350" s="857">
        <f>H364/100</f>
        <v>53.741058131299596</v>
      </c>
      <c r="F350" s="840">
        <f>H350-E350</f>
        <v>45.990630131942908</v>
      </c>
      <c r="G350" s="857">
        <v>0</v>
      </c>
      <c r="H350" s="824">
        <f>-'DT_V1-Final'!B7/100000</f>
        <v>99.731688263242503</v>
      </c>
      <c r="I350" s="882"/>
      <c r="J350" s="509"/>
      <c r="K350" s="509"/>
      <c r="L350" s="509"/>
      <c r="M350" s="788"/>
    </row>
    <row r="351" spans="1:15" hidden="1" x14ac:dyDescent="0.25">
      <c r="A351" s="14" t="s">
        <v>1156</v>
      </c>
      <c r="B351" s="889"/>
      <c r="C351" s="889"/>
      <c r="D351" s="889"/>
      <c r="E351" s="857">
        <v>0</v>
      </c>
      <c r="F351" s="840">
        <v>0</v>
      </c>
      <c r="G351" s="857">
        <v>0</v>
      </c>
      <c r="H351" s="824">
        <v>0</v>
      </c>
      <c r="I351" s="882"/>
      <c r="J351" s="509"/>
      <c r="K351" s="509"/>
      <c r="L351" s="509"/>
      <c r="M351" s="788"/>
    </row>
    <row r="352" spans="1:15" x14ac:dyDescent="0.25">
      <c r="A352" s="14" t="s">
        <v>1487</v>
      </c>
      <c r="B352" s="889"/>
      <c r="C352" s="889"/>
      <c r="D352" s="889"/>
      <c r="E352" s="857">
        <v>0</v>
      </c>
      <c r="F352" s="840">
        <f>H352-E352</f>
        <v>664.4301349328</v>
      </c>
      <c r="G352" s="857">
        <v>0</v>
      </c>
      <c r="H352" s="824">
        <f>-'DT_V1-Final'!B12/100000</f>
        <v>664.4301349328</v>
      </c>
      <c r="I352" s="882"/>
      <c r="J352" s="509"/>
      <c r="K352" s="509"/>
      <c r="L352" s="509"/>
      <c r="M352" s="788"/>
    </row>
    <row r="353" spans="1:14" x14ac:dyDescent="0.25">
      <c r="A353" s="890" t="s">
        <v>117</v>
      </c>
      <c r="B353" s="891"/>
      <c r="C353" s="891"/>
      <c r="D353" s="891"/>
      <c r="E353" s="892">
        <f>SUM(E350:E352)</f>
        <v>53.741058131299596</v>
      </c>
      <c r="F353" s="892">
        <f>SUM(F350:F352)</f>
        <v>710.42076506474291</v>
      </c>
      <c r="G353" s="892">
        <f>SUM(G350:G352)</f>
        <v>0</v>
      </c>
      <c r="H353" s="893">
        <f>SUM(H350:H352)</f>
        <v>764.16182319604252</v>
      </c>
      <c r="I353" s="882"/>
      <c r="J353" s="509"/>
      <c r="K353" s="509"/>
      <c r="L353" s="509"/>
      <c r="M353" s="788"/>
    </row>
    <row r="354" spans="1:14" x14ac:dyDescent="0.25">
      <c r="A354" s="884" t="s">
        <v>150</v>
      </c>
      <c r="B354" s="885"/>
      <c r="C354" s="885"/>
      <c r="D354" s="885"/>
      <c r="E354" s="886"/>
      <c r="F354" s="846"/>
      <c r="G354" s="887"/>
      <c r="H354" s="831"/>
      <c r="I354" s="882"/>
      <c r="J354" s="509"/>
      <c r="K354" s="509"/>
      <c r="L354" s="509"/>
      <c r="M354" s="788"/>
    </row>
    <row r="355" spans="1:14" x14ac:dyDescent="0.25">
      <c r="A355" s="14" t="s">
        <v>1156</v>
      </c>
      <c r="B355" s="349"/>
      <c r="C355" s="349"/>
      <c r="D355" s="349"/>
      <c r="E355" s="894">
        <f>H368</f>
        <v>0</v>
      </c>
      <c r="F355" s="840">
        <f>('DT_V1-Final'!K25+'DT_V1-Final'!K26)/10^5</f>
        <v>6.7736979215999993</v>
      </c>
      <c r="G355" s="857">
        <v>0</v>
      </c>
      <c r="H355" s="824">
        <f>E355+F355+G355</f>
        <v>6.7736979215999993</v>
      </c>
      <c r="I355" s="882"/>
      <c r="J355" s="509"/>
      <c r="K355" s="509"/>
      <c r="L355" s="509"/>
      <c r="M355" s="788"/>
    </row>
    <row r="356" spans="1:14" x14ac:dyDescent="0.25">
      <c r="A356" s="888" t="s">
        <v>173</v>
      </c>
      <c r="B356" s="349"/>
      <c r="C356" s="349"/>
      <c r="D356" s="349"/>
      <c r="E356" s="894">
        <f>H369/100</f>
        <v>55.167122073212568</v>
      </c>
      <c r="F356" s="840">
        <f>H356-E356</f>
        <v>422.57257167669115</v>
      </c>
      <c r="G356" s="857">
        <v>0</v>
      </c>
      <c r="H356" s="824">
        <f>-'DT_V1-Final'!K23/100000</f>
        <v>477.73969374990372</v>
      </c>
      <c r="I356" s="882"/>
      <c r="J356" s="509"/>
      <c r="K356" s="509"/>
      <c r="L356" s="509"/>
      <c r="M356" s="788"/>
    </row>
    <row r="357" spans="1:14" x14ac:dyDescent="0.25">
      <c r="A357" s="895" t="s">
        <v>118</v>
      </c>
      <c r="B357" s="896"/>
      <c r="C357" s="896"/>
      <c r="D357" s="896"/>
      <c r="E357" s="897">
        <f>E355+E356</f>
        <v>55.167122073212568</v>
      </c>
      <c r="F357" s="897">
        <f>F355+F356</f>
        <v>429.34626959829114</v>
      </c>
      <c r="G357" s="897">
        <f>G355+G356</f>
        <v>0</v>
      </c>
      <c r="H357" s="899">
        <f>H355+H356</f>
        <v>484.51339167150371</v>
      </c>
      <c r="I357" s="882"/>
      <c r="J357" s="509"/>
      <c r="K357" s="509"/>
      <c r="L357" s="509"/>
      <c r="M357" s="788"/>
    </row>
    <row r="358" spans="1:14" x14ac:dyDescent="0.25">
      <c r="A358" s="900" t="s">
        <v>395</v>
      </c>
      <c r="B358" s="901"/>
      <c r="C358" s="901"/>
      <c r="D358" s="901"/>
      <c r="E358" s="902">
        <f>E353-E357</f>
        <v>-1.4260639419129717</v>
      </c>
      <c r="F358" s="902">
        <f>(F353-F357)</f>
        <v>281.07449546645176</v>
      </c>
      <c r="G358" s="902">
        <f>G353-G357</f>
        <v>0</v>
      </c>
      <c r="H358" s="903">
        <f>H353-H357</f>
        <v>279.64843152453881</v>
      </c>
      <c r="I358" s="882"/>
      <c r="J358" s="509"/>
      <c r="K358" s="509"/>
      <c r="L358" s="509"/>
      <c r="M358" s="788"/>
    </row>
    <row r="359" spans="1:14" x14ac:dyDescent="0.25">
      <c r="A359" s="1371" t="s">
        <v>1488</v>
      </c>
      <c r="B359" s="1372"/>
      <c r="C359" s="1372"/>
      <c r="D359" s="1372"/>
      <c r="E359" s="875">
        <f>E358</f>
        <v>-1.4260639419129717</v>
      </c>
      <c r="F359" s="875">
        <f>E359</f>
        <v>-1.4260639419129717</v>
      </c>
      <c r="G359" s="875">
        <v>0</v>
      </c>
      <c r="H359" s="876">
        <v>0</v>
      </c>
      <c r="I359" s="882"/>
      <c r="J359" s="509"/>
      <c r="K359" s="509"/>
      <c r="L359" s="509"/>
      <c r="M359" s="788"/>
    </row>
    <row r="360" spans="1:14" ht="46.5" customHeight="1" x14ac:dyDescent="0.25">
      <c r="A360" s="1731" t="s">
        <v>1735</v>
      </c>
      <c r="B360" s="1732"/>
      <c r="C360" s="1732"/>
      <c r="D360" s="1732"/>
      <c r="E360" s="1732"/>
      <c r="F360" s="1732"/>
      <c r="G360" s="1732"/>
      <c r="H360" s="1733"/>
      <c r="I360" s="882"/>
      <c r="J360" s="509"/>
      <c r="K360" s="509"/>
      <c r="L360" s="509"/>
      <c r="M360" s="788"/>
    </row>
    <row r="361" spans="1:14" hidden="1" x14ac:dyDescent="0.25">
      <c r="A361" s="314" t="s">
        <v>1177</v>
      </c>
      <c r="B361" s="788"/>
      <c r="C361" s="788"/>
      <c r="D361" s="788"/>
      <c r="E361" s="788"/>
      <c r="F361" s="845"/>
      <c r="G361" s="845"/>
      <c r="H361" s="882"/>
      <c r="I361" s="882"/>
      <c r="J361" s="509"/>
      <c r="K361" s="509"/>
      <c r="L361" s="509"/>
      <c r="M361" s="788"/>
    </row>
    <row r="362" spans="1:14" ht="45" hidden="1" x14ac:dyDescent="0.25">
      <c r="A362" s="266" t="s">
        <v>0</v>
      </c>
      <c r="B362" s="667"/>
      <c r="C362" s="667"/>
      <c r="D362" s="667"/>
      <c r="E362" s="883" t="str">
        <f>CONCATENATE("Balance as on ",Input!$C$5)</f>
        <v>Balance as on 31 March 2023</v>
      </c>
      <c r="F362" s="883" t="s">
        <v>394</v>
      </c>
      <c r="G362" s="667" t="s">
        <v>546</v>
      </c>
      <c r="H362" s="500" t="str">
        <f>CONCATENATE("Balance as on ",Input!$C$4)</f>
        <v>Balance as on 31 March 2024</v>
      </c>
      <c r="I362" s="644"/>
      <c r="J362" s="509"/>
      <c r="K362" s="509"/>
      <c r="L362" s="509"/>
      <c r="M362" s="788"/>
    </row>
    <row r="363" spans="1:14" hidden="1" x14ac:dyDescent="0.25">
      <c r="A363" s="884" t="s">
        <v>71</v>
      </c>
      <c r="B363" s="885"/>
      <c r="C363" s="885"/>
      <c r="D363" s="885"/>
      <c r="E363" s="886"/>
      <c r="F363" s="846"/>
      <c r="G363" s="887"/>
      <c r="H363" s="831"/>
      <c r="I363" s="644"/>
      <c r="J363" s="509"/>
      <c r="K363" s="509"/>
      <c r="L363" s="509"/>
      <c r="M363" s="788"/>
    </row>
    <row r="364" spans="1:14" hidden="1" x14ac:dyDescent="0.25">
      <c r="A364" s="888" t="s">
        <v>545</v>
      </c>
      <c r="B364" s="889"/>
      <c r="C364" s="889"/>
      <c r="D364" s="889"/>
      <c r="E364" s="857">
        <f>H376</f>
        <v>96</v>
      </c>
      <c r="F364" s="840">
        <v>5278.1058131299596</v>
      </c>
      <c r="G364" s="857">
        <v>0</v>
      </c>
      <c r="H364" s="824">
        <f>E364+F364</f>
        <v>5374.1058131299596</v>
      </c>
      <c r="I364" s="644"/>
      <c r="J364" s="509"/>
      <c r="K364" s="509"/>
      <c r="L364" s="509"/>
      <c r="M364" s="788"/>
    </row>
    <row r="365" spans="1:14" hidden="1" x14ac:dyDescent="0.25">
      <c r="A365" s="14" t="s">
        <v>1156</v>
      </c>
      <c r="B365" s="889"/>
      <c r="C365" s="889"/>
      <c r="D365" s="889"/>
      <c r="E365" s="857">
        <v>0</v>
      </c>
      <c r="F365" s="840">
        <f>H365</f>
        <v>25.666755971999997</v>
      </c>
      <c r="G365" s="857">
        <v>0</v>
      </c>
      <c r="H365" s="824">
        <f>G321</f>
        <v>25.666755971999997</v>
      </c>
      <c r="I365" s="644"/>
      <c r="J365" s="509"/>
      <c r="K365" s="509"/>
      <c r="L365" s="509"/>
      <c r="M365" s="788"/>
    </row>
    <row r="366" spans="1:14" hidden="1" x14ac:dyDescent="0.25">
      <c r="A366" s="890" t="s">
        <v>117</v>
      </c>
      <c r="B366" s="891"/>
      <c r="C366" s="891"/>
      <c r="D366" s="891"/>
      <c r="E366" s="892">
        <f>SUM(E364:E365)</f>
        <v>96</v>
      </c>
      <c r="F366" s="892">
        <f>SUM(F364:F365)</f>
        <v>5303.7725691019596</v>
      </c>
      <c r="G366" s="892">
        <f>SUM(G364:G365)</f>
        <v>0</v>
      </c>
      <c r="H366" s="893">
        <f>SUM(H364:H365)</f>
        <v>5399.7725691019596</v>
      </c>
      <c r="I366" s="644"/>
      <c r="J366" s="509"/>
      <c r="K366" s="509"/>
      <c r="L366" s="509"/>
      <c r="M366" s="788"/>
    </row>
    <row r="367" spans="1:14" hidden="1" x14ac:dyDescent="0.25">
      <c r="A367" s="884" t="s">
        <v>150</v>
      </c>
      <c r="B367" s="885"/>
      <c r="C367" s="885"/>
      <c r="D367" s="885"/>
      <c r="E367" s="886"/>
      <c r="F367" s="846"/>
      <c r="G367" s="887"/>
      <c r="H367" s="831"/>
      <c r="I367" s="644"/>
      <c r="J367" s="509"/>
      <c r="K367" s="509"/>
      <c r="L367" s="509"/>
      <c r="M367" s="788"/>
    </row>
    <row r="368" spans="1:14" hidden="1" x14ac:dyDescent="0.25">
      <c r="A368" s="14" t="s">
        <v>487</v>
      </c>
      <c r="B368" s="349"/>
      <c r="C368" s="349"/>
      <c r="D368" s="349"/>
      <c r="E368" s="894">
        <v>25203</v>
      </c>
      <c r="F368" s="840">
        <v>0</v>
      </c>
      <c r="G368" s="857">
        <v>-25203</v>
      </c>
      <c r="H368" s="824">
        <f>E368+F368+G368</f>
        <v>0</v>
      </c>
      <c r="I368" s="644"/>
      <c r="J368" s="509"/>
      <c r="K368" s="509"/>
      <c r="L368" s="487">
        <v>13200000</v>
      </c>
      <c r="M368" s="844">
        <f>L368*15%/2</f>
        <v>990000</v>
      </c>
      <c r="N368" s="487">
        <f>L368-M368</f>
        <v>12210000</v>
      </c>
    </row>
    <row r="369" spans="1:14" hidden="1" x14ac:dyDescent="0.25">
      <c r="A369" s="888" t="s">
        <v>173</v>
      </c>
      <c r="B369" s="349"/>
      <c r="C369" s="349"/>
      <c r="D369" s="349"/>
      <c r="E369" s="894">
        <v>0</v>
      </c>
      <c r="F369" s="840">
        <v>5516.7122073212568</v>
      </c>
      <c r="G369" s="857">
        <v>0</v>
      </c>
      <c r="H369" s="824">
        <f>E369+F369+G369</f>
        <v>5516.7122073212568</v>
      </c>
      <c r="I369" s="644"/>
      <c r="J369" s="509"/>
      <c r="K369" s="509"/>
      <c r="L369" s="487">
        <f>F369*1000</f>
        <v>5516712.2073212564</v>
      </c>
      <c r="M369" s="844"/>
      <c r="N369" s="487"/>
    </row>
    <row r="370" spans="1:14" hidden="1" x14ac:dyDescent="0.25">
      <c r="A370" s="895" t="s">
        <v>118</v>
      </c>
      <c r="B370" s="896"/>
      <c r="C370" s="896"/>
      <c r="D370" s="896"/>
      <c r="E370" s="897">
        <f>E368+E369</f>
        <v>25203</v>
      </c>
      <c r="F370" s="897">
        <f>F368+F369</f>
        <v>5516.7122073212568</v>
      </c>
      <c r="G370" s="897">
        <f>G368+G369</f>
        <v>-25203</v>
      </c>
      <c r="H370" s="899">
        <f>H368+H369</f>
        <v>5516.7122073212568</v>
      </c>
      <c r="I370" s="644"/>
      <c r="J370" s="509"/>
      <c r="K370" s="509"/>
      <c r="L370" s="509"/>
      <c r="M370" s="788"/>
    </row>
    <row r="371" spans="1:14" hidden="1" x14ac:dyDescent="0.25">
      <c r="A371" s="900" t="s">
        <v>395</v>
      </c>
      <c r="B371" s="901"/>
      <c r="C371" s="901"/>
      <c r="D371" s="901"/>
      <c r="E371" s="902">
        <f>E366-E370</f>
        <v>-25107</v>
      </c>
      <c r="F371" s="902">
        <f>F366-F370</f>
        <v>-212.93963821929719</v>
      </c>
      <c r="G371" s="902">
        <f>G366-G370</f>
        <v>25203</v>
      </c>
      <c r="H371" s="903">
        <f>H366-H370</f>
        <v>-116.93963821929719</v>
      </c>
      <c r="I371" s="644"/>
      <c r="J371" s="509"/>
      <c r="K371" s="509"/>
      <c r="L371" s="826"/>
      <c r="M371" s="788"/>
    </row>
    <row r="372" spans="1:14" hidden="1" x14ac:dyDescent="0.25">
      <c r="A372" s="314"/>
      <c r="B372" s="788"/>
      <c r="C372" s="788"/>
      <c r="D372" s="788"/>
      <c r="E372" s="788"/>
      <c r="F372" s="845"/>
      <c r="G372" s="845"/>
      <c r="H372" s="882"/>
      <c r="I372" s="882"/>
      <c r="J372" s="509"/>
      <c r="K372" s="509"/>
      <c r="L372" s="509"/>
      <c r="M372" s="788"/>
    </row>
    <row r="373" spans="1:14" hidden="1" x14ac:dyDescent="0.25">
      <c r="A373" s="314" t="s">
        <v>1178</v>
      </c>
      <c r="B373" s="788"/>
      <c r="C373" s="788"/>
      <c r="D373" s="788"/>
      <c r="E373" s="788"/>
      <c r="F373" s="845"/>
      <c r="G373" s="845"/>
      <c r="H373" s="882"/>
      <c r="I373" s="882"/>
      <c r="J373" s="509"/>
      <c r="K373" s="509"/>
      <c r="L373" s="509"/>
      <c r="M373" s="788"/>
    </row>
    <row r="374" spans="1:14" ht="45" hidden="1" x14ac:dyDescent="0.25">
      <c r="A374" s="266" t="s">
        <v>0</v>
      </c>
      <c r="B374" s="667"/>
      <c r="C374" s="667"/>
      <c r="D374" s="667"/>
      <c r="E374" s="883" t="str">
        <f>CONCATENATE("Balance as on ",Input!$C$6)</f>
        <v>Balance as on 31 March 2022</v>
      </c>
      <c r="F374" s="883" t="s">
        <v>394</v>
      </c>
      <c r="G374" s="667" t="s">
        <v>546</v>
      </c>
      <c r="H374" s="500" t="str">
        <f>CONCATENATE("Balance as on ",Input!$C$5)</f>
        <v>Balance as on 31 March 2023</v>
      </c>
      <c r="I374" s="644"/>
      <c r="J374" s="509"/>
      <c r="K374" s="509"/>
      <c r="L374" s="509"/>
      <c r="M374" s="788"/>
    </row>
    <row r="375" spans="1:14" hidden="1" x14ac:dyDescent="0.25">
      <c r="A375" s="884" t="s">
        <v>71</v>
      </c>
      <c r="B375" s="885"/>
      <c r="C375" s="885"/>
      <c r="D375" s="885"/>
      <c r="E375" s="886"/>
      <c r="F375" s="846"/>
      <c r="G375" s="887"/>
      <c r="H375" s="831"/>
      <c r="I375" s="644"/>
      <c r="J375" s="509"/>
      <c r="K375" s="509"/>
      <c r="L375" s="509"/>
      <c r="M375" s="788"/>
    </row>
    <row r="376" spans="1:14" hidden="1" x14ac:dyDescent="0.25">
      <c r="A376" s="888" t="str">
        <f>A318</f>
        <v>Carried forward losses</v>
      </c>
      <c r="B376" s="889"/>
      <c r="C376" s="889"/>
      <c r="D376" s="889"/>
      <c r="E376" s="857">
        <v>0</v>
      </c>
      <c r="F376" s="840">
        <f>H376-E376</f>
        <v>96</v>
      </c>
      <c r="G376" s="857">
        <v>0</v>
      </c>
      <c r="H376" s="824">
        <v>96</v>
      </c>
      <c r="I376" s="644"/>
      <c r="J376" s="509"/>
      <c r="K376" s="509"/>
      <c r="L376" s="509"/>
      <c r="M376" s="788"/>
    </row>
    <row r="377" spans="1:14" hidden="1" x14ac:dyDescent="0.25">
      <c r="A377" s="890" t="s">
        <v>117</v>
      </c>
      <c r="B377" s="891"/>
      <c r="C377" s="891"/>
      <c r="D377" s="891"/>
      <c r="E377" s="892">
        <f>SUM(E376)</f>
        <v>0</v>
      </c>
      <c r="F377" s="892">
        <f>SUM(F376)</f>
        <v>96</v>
      </c>
      <c r="G377" s="875">
        <f>SUM(G376)</f>
        <v>0</v>
      </c>
      <c r="H377" s="893">
        <f>SUM(H376)</f>
        <v>96</v>
      </c>
      <c r="I377" s="644"/>
      <c r="J377" s="509"/>
      <c r="K377" s="509"/>
      <c r="L377" s="509"/>
      <c r="M377" s="788"/>
    </row>
    <row r="378" spans="1:14" hidden="1" x14ac:dyDescent="0.25">
      <c r="A378" s="884" t="s">
        <v>150</v>
      </c>
      <c r="B378" s="885"/>
      <c r="C378" s="885"/>
      <c r="D378" s="885"/>
      <c r="E378" s="886"/>
      <c r="F378" s="846"/>
      <c r="G378" s="887"/>
      <c r="H378" s="831"/>
      <c r="I378" s="644"/>
      <c r="J378" s="509"/>
      <c r="K378" s="509"/>
      <c r="L378" s="509"/>
      <c r="M378" s="788"/>
    </row>
    <row r="379" spans="1:14" hidden="1" x14ac:dyDescent="0.25">
      <c r="A379" s="14" t="str">
        <f>A325</f>
        <v>Employee Benefits - Provisions for Gratuity and Compensated absences</v>
      </c>
      <c r="B379" s="349"/>
      <c r="C379" s="349"/>
      <c r="D379" s="349"/>
      <c r="E379" s="894">
        <f>H389</f>
        <v>0</v>
      </c>
      <c r="F379" s="840">
        <f>H379-E379</f>
        <v>484.51339167150371</v>
      </c>
      <c r="G379" s="857"/>
      <c r="H379" s="831">
        <f>H327</f>
        <v>484.51339167150371</v>
      </c>
      <c r="I379" s="644"/>
      <c r="J379" s="509"/>
      <c r="K379" s="509"/>
      <c r="L379" s="509"/>
      <c r="M379" s="788"/>
    </row>
    <row r="380" spans="1:14" hidden="1" x14ac:dyDescent="0.25">
      <c r="A380" s="895" t="s">
        <v>118</v>
      </c>
      <c r="B380" s="896"/>
      <c r="C380" s="896"/>
      <c r="D380" s="896"/>
      <c r="E380" s="897">
        <f>SUM(E379)</f>
        <v>0</v>
      </c>
      <c r="F380" s="897">
        <f>SUM(F379)</f>
        <v>484.51339167150371</v>
      </c>
      <c r="G380" s="898">
        <f>SUM(G379)</f>
        <v>0</v>
      </c>
      <c r="H380" s="899">
        <f>SUM(H379)</f>
        <v>484.51339167150371</v>
      </c>
      <c r="I380" s="644"/>
      <c r="J380" s="509"/>
      <c r="K380" s="509"/>
      <c r="L380" s="509"/>
      <c r="M380" s="788"/>
    </row>
    <row r="381" spans="1:14" hidden="1" x14ac:dyDescent="0.25">
      <c r="A381" s="900" t="s">
        <v>395</v>
      </c>
      <c r="B381" s="901"/>
      <c r="C381" s="901"/>
      <c r="D381" s="901"/>
      <c r="E381" s="902">
        <f>E377-E380</f>
        <v>0</v>
      </c>
      <c r="F381" s="902">
        <f>F377-F380</f>
        <v>-388.51339167150371</v>
      </c>
      <c r="G381" s="902">
        <f>G377-G380</f>
        <v>0</v>
      </c>
      <c r="H381" s="903">
        <f>H377-H380</f>
        <v>-388.51339167150371</v>
      </c>
      <c r="I381" s="644"/>
      <c r="J381" s="509"/>
      <c r="K381" s="509"/>
      <c r="L381" s="509"/>
      <c r="M381" s="788"/>
    </row>
    <row r="382" spans="1:14" hidden="1" x14ac:dyDescent="0.25">
      <c r="A382" s="314"/>
      <c r="B382" s="788"/>
      <c r="C382" s="788"/>
      <c r="D382" s="788"/>
      <c r="E382" s="788"/>
      <c r="F382" s="845"/>
      <c r="G382" s="845"/>
      <c r="H382" s="882"/>
      <c r="I382" s="882"/>
      <c r="J382" s="509"/>
      <c r="K382" s="509"/>
      <c r="L382" s="509"/>
      <c r="M382" s="788"/>
    </row>
    <row r="383" spans="1:14" hidden="1" x14ac:dyDescent="0.25">
      <c r="A383" s="314" t="str">
        <f>CONCATENATE("(c) Deferred tax balances and movement for the year ended ",Input!$C$6)</f>
        <v>(c) Deferred tax balances and movement for the year ended 31 March 2022</v>
      </c>
      <c r="B383" s="788"/>
      <c r="C383" s="788"/>
      <c r="D383" s="788"/>
      <c r="E383" s="788"/>
      <c r="F383" s="845"/>
      <c r="G383" s="845"/>
      <c r="H383" s="882"/>
      <c r="I383" s="882"/>
      <c r="J383" s="509"/>
      <c r="K383" s="509"/>
      <c r="L383" s="509"/>
      <c r="M383" s="788"/>
    </row>
    <row r="384" spans="1:14" ht="45" hidden="1" x14ac:dyDescent="0.25">
      <c r="A384" s="266" t="s">
        <v>0</v>
      </c>
      <c r="B384" s="667"/>
      <c r="C384" s="667"/>
      <c r="D384" s="667"/>
      <c r="E384" s="883" t="str">
        <f>CONCATENATE("Balance as on ",Input!$C$8)</f>
        <v>Balance as on 1 April 2021</v>
      </c>
      <c r="F384" s="883" t="s">
        <v>394</v>
      </c>
      <c r="G384" s="667" t="s">
        <v>546</v>
      </c>
      <c r="H384" s="500" t="str">
        <f>CONCATENATE("Balance as on ",Input!$C$6)</f>
        <v>Balance as on 31 March 2022</v>
      </c>
      <c r="I384" s="644"/>
      <c r="J384" s="509"/>
      <c r="K384" s="509"/>
      <c r="L384" s="509"/>
      <c r="M384" s="788"/>
    </row>
    <row r="385" spans="1:13" hidden="1" x14ac:dyDescent="0.25">
      <c r="A385" s="884" t="s">
        <v>71</v>
      </c>
      <c r="B385" s="885"/>
      <c r="C385" s="885"/>
      <c r="D385" s="885"/>
      <c r="E385" s="885"/>
      <c r="F385" s="845"/>
      <c r="G385" s="904"/>
      <c r="H385" s="882"/>
      <c r="I385" s="644"/>
      <c r="J385" s="509"/>
      <c r="K385" s="509"/>
      <c r="L385" s="509"/>
      <c r="M385" s="788"/>
    </row>
    <row r="386" spans="1:13" hidden="1" x14ac:dyDescent="0.25">
      <c r="A386" s="888" t="str">
        <f>A376</f>
        <v>Carried forward losses</v>
      </c>
      <c r="B386" s="889"/>
      <c r="C386" s="889"/>
      <c r="D386" s="889"/>
      <c r="E386" s="905">
        <v>0</v>
      </c>
      <c r="F386" s="905">
        <f>H386</f>
        <v>0</v>
      </c>
      <c r="G386" s="905">
        <v>0</v>
      </c>
      <c r="H386" s="824">
        <f>I322</f>
        <v>0</v>
      </c>
      <c r="I386" s="644"/>
      <c r="J386" s="509"/>
      <c r="K386" s="509"/>
      <c r="L386" s="509"/>
      <c r="M386" s="788"/>
    </row>
    <row r="387" spans="1:13" hidden="1" x14ac:dyDescent="0.25">
      <c r="A387" s="890" t="s">
        <v>117</v>
      </c>
      <c r="B387" s="891"/>
      <c r="C387" s="891"/>
      <c r="D387" s="891"/>
      <c r="E387" s="892">
        <f>SUM(E386)</f>
        <v>0</v>
      </c>
      <c r="F387" s="892">
        <f>SUM(F386)</f>
        <v>0</v>
      </c>
      <c r="G387" s="875">
        <f>SUM(G386)</f>
        <v>0</v>
      </c>
      <c r="H387" s="893">
        <f>SUM(H386)</f>
        <v>0</v>
      </c>
      <c r="I387" s="644"/>
      <c r="J387" s="509"/>
      <c r="K387" s="509"/>
      <c r="L387" s="509"/>
      <c r="M387" s="788"/>
    </row>
    <row r="388" spans="1:13" hidden="1" x14ac:dyDescent="0.25">
      <c r="A388" s="884" t="s">
        <v>150</v>
      </c>
      <c r="B388" s="885"/>
      <c r="C388" s="885"/>
      <c r="D388" s="885"/>
      <c r="E388" s="886"/>
      <c r="F388" s="846"/>
      <c r="G388" s="887"/>
      <c r="H388" s="831"/>
      <c r="I388" s="644"/>
      <c r="J388" s="509"/>
      <c r="K388" s="509"/>
      <c r="L388" s="509"/>
      <c r="M388" s="788"/>
    </row>
    <row r="389" spans="1:13" ht="30" hidden="1" x14ac:dyDescent="0.25">
      <c r="A389" s="888" t="str">
        <f>A379</f>
        <v>Employee Benefits - Provisions for Gratuity and Compensated absences</v>
      </c>
      <c r="B389" s="889"/>
      <c r="C389" s="889"/>
      <c r="D389" s="889"/>
      <c r="E389" s="894">
        <v>0</v>
      </c>
      <c r="F389" s="840">
        <f>H389-G389</f>
        <v>-259</v>
      </c>
      <c r="G389" s="857">
        <f>-ROUND('TB BVS 31.3.22'!L31/Input!$C$2,Input!$E$2)</f>
        <v>259</v>
      </c>
      <c r="H389" s="831">
        <f>I327</f>
        <v>0</v>
      </c>
      <c r="I389" s="644"/>
      <c r="J389" s="509"/>
      <c r="K389" s="509"/>
      <c r="L389" s="509"/>
      <c r="M389" s="788"/>
    </row>
    <row r="390" spans="1:13" hidden="1" x14ac:dyDescent="0.25">
      <c r="A390" s="895" t="s">
        <v>118</v>
      </c>
      <c r="B390" s="896"/>
      <c r="C390" s="896"/>
      <c r="D390" s="896"/>
      <c r="E390" s="897">
        <f>SUM(E389)</f>
        <v>0</v>
      </c>
      <c r="F390" s="897">
        <f>SUM(F389)</f>
        <v>-259</v>
      </c>
      <c r="G390" s="898">
        <f>SUM(G389)</f>
        <v>259</v>
      </c>
      <c r="H390" s="899">
        <f>SUM(H389)</f>
        <v>0</v>
      </c>
      <c r="I390" s="644"/>
      <c r="J390" s="509"/>
      <c r="K390" s="509"/>
      <c r="L390" s="509"/>
      <c r="M390" s="788"/>
    </row>
    <row r="391" spans="1:13" hidden="1" x14ac:dyDescent="0.25">
      <c r="A391" s="900" t="s">
        <v>395</v>
      </c>
      <c r="B391" s="901"/>
      <c r="C391" s="901"/>
      <c r="D391" s="901"/>
      <c r="E391" s="902">
        <f>E387-E390</f>
        <v>0</v>
      </c>
      <c r="F391" s="902">
        <f>F387-F390</f>
        <v>259</v>
      </c>
      <c r="G391" s="902">
        <f>G387-G390</f>
        <v>-259</v>
      </c>
      <c r="H391" s="903">
        <f>H387-H390</f>
        <v>0</v>
      </c>
      <c r="I391" s="644"/>
      <c r="J391" s="509"/>
      <c r="K391" s="509"/>
      <c r="L391" s="509"/>
      <c r="M391" s="788"/>
    </row>
    <row r="392" spans="1:13" ht="9.9499999999999993" customHeight="1" x14ac:dyDescent="0.25">
      <c r="A392" s="314"/>
      <c r="B392" s="788"/>
      <c r="C392" s="788"/>
      <c r="D392" s="788"/>
      <c r="E392" s="788"/>
      <c r="F392" s="845"/>
      <c r="G392" s="845"/>
      <c r="H392" s="882"/>
      <c r="I392" s="882"/>
      <c r="J392" s="509"/>
      <c r="K392" s="509"/>
      <c r="L392" s="509"/>
      <c r="M392" s="788"/>
    </row>
    <row r="393" spans="1:13" x14ac:dyDescent="0.25">
      <c r="A393" s="314" t="s">
        <v>1066</v>
      </c>
      <c r="B393" s="788"/>
      <c r="C393" s="788"/>
      <c r="D393" s="788"/>
      <c r="E393" s="788"/>
      <c r="H393" s="644"/>
      <c r="I393" s="644"/>
      <c r="J393" s="509"/>
      <c r="K393" s="509"/>
      <c r="L393" s="509"/>
      <c r="M393" s="788"/>
    </row>
    <row r="394" spans="1:13" ht="45" x14ac:dyDescent="0.25">
      <c r="A394" s="906" t="s">
        <v>0</v>
      </c>
      <c r="B394" s="907"/>
      <c r="C394" s="907"/>
      <c r="D394" s="907"/>
      <c r="E394" s="907"/>
      <c r="F394" s="869"/>
      <c r="G394" s="248" t="s">
        <v>1601</v>
      </c>
      <c r="H394" s="641" t="s">
        <v>1180</v>
      </c>
      <c r="I394" s="641" t="str">
        <f>CONCATENATE("For the year ended ",Input!$C$6)</f>
        <v>For the year ended 31 March 2022</v>
      </c>
      <c r="J394" s="509"/>
      <c r="K394" s="509"/>
      <c r="L394" s="509"/>
      <c r="M394" s="788"/>
    </row>
    <row r="395" spans="1:13" x14ac:dyDescent="0.25">
      <c r="A395" s="314" t="s">
        <v>396</v>
      </c>
      <c r="B395" s="788"/>
      <c r="C395" s="788"/>
      <c r="D395" s="788"/>
      <c r="E395" s="788"/>
      <c r="F395" s="840"/>
      <c r="G395" s="840"/>
      <c r="H395" s="834"/>
      <c r="I395" s="834"/>
      <c r="J395" s="509"/>
      <c r="K395" s="509"/>
      <c r="L395" s="509"/>
      <c r="M395" s="788"/>
    </row>
    <row r="396" spans="1:13" x14ac:dyDescent="0.25">
      <c r="A396" s="642" t="s">
        <v>397</v>
      </c>
      <c r="B396" s="1674"/>
      <c r="C396" s="1674"/>
      <c r="D396" s="1674"/>
      <c r="E396" s="1674"/>
      <c r="F396" s="840"/>
      <c r="G396" s="840">
        <f>PL!D23</f>
        <v>0</v>
      </c>
      <c r="H396" s="834">
        <f>PL!E23</f>
        <v>0</v>
      </c>
      <c r="I396" s="834">
        <v>0</v>
      </c>
      <c r="J396" s="509"/>
      <c r="K396" s="509"/>
      <c r="L396" s="509"/>
      <c r="M396" s="788"/>
    </row>
    <row r="397" spans="1:13" x14ac:dyDescent="0.25">
      <c r="A397" s="646" t="s">
        <v>398</v>
      </c>
      <c r="B397" s="837"/>
      <c r="C397" s="837"/>
      <c r="D397" s="837"/>
      <c r="E397" s="837"/>
      <c r="F397" s="892"/>
      <c r="G397" s="892">
        <f>SUM(G396)</f>
        <v>0</v>
      </c>
      <c r="H397" s="893">
        <f>SUM(H396)</f>
        <v>0</v>
      </c>
      <c r="I397" s="893">
        <f>SUM(I396:I396)</f>
        <v>0</v>
      </c>
      <c r="J397" s="509"/>
      <c r="K397" s="509"/>
      <c r="L397" s="509"/>
      <c r="M397" s="788"/>
    </row>
    <row r="398" spans="1:13" x14ac:dyDescent="0.25">
      <c r="A398" s="314" t="s">
        <v>76</v>
      </c>
      <c r="B398" s="788"/>
      <c r="C398" s="788"/>
      <c r="D398" s="788"/>
      <c r="E398" s="788"/>
      <c r="F398" s="840"/>
      <c r="G398" s="840"/>
      <c r="H398" s="834"/>
      <c r="I398" s="834"/>
      <c r="J398" s="509"/>
      <c r="K398" s="509"/>
      <c r="L398" s="509"/>
      <c r="M398" s="788"/>
    </row>
    <row r="399" spans="1:13" x14ac:dyDescent="0.25">
      <c r="A399" s="822" t="s">
        <v>399</v>
      </c>
      <c r="F399" s="840"/>
      <c r="G399" s="840"/>
      <c r="H399" s="834"/>
      <c r="I399" s="834"/>
      <c r="J399" s="509"/>
      <c r="K399" s="509"/>
      <c r="L399" s="509"/>
      <c r="M399" s="788"/>
    </row>
    <row r="400" spans="1:13" x14ac:dyDescent="0.25">
      <c r="A400" s="642" t="s">
        <v>400</v>
      </c>
      <c r="B400" s="1674"/>
      <c r="C400" s="1674"/>
      <c r="D400" s="1674"/>
      <c r="E400" s="1674"/>
      <c r="F400" s="840"/>
      <c r="G400" s="908">
        <f>PL!D24</f>
        <v>-1588</v>
      </c>
      <c r="H400" s="909">
        <v>-1.43</v>
      </c>
      <c r="I400" s="909">
        <f>F389</f>
        <v>-259</v>
      </c>
      <c r="J400" s="509"/>
      <c r="K400" s="509"/>
      <c r="L400" s="509"/>
      <c r="M400" s="788"/>
    </row>
    <row r="401" spans="1:16384" s="95" customFormat="1" x14ac:dyDescent="0.25">
      <c r="A401" s="646" t="s">
        <v>401</v>
      </c>
      <c r="B401" s="837"/>
      <c r="C401" s="837"/>
      <c r="D401" s="837"/>
      <c r="E401" s="837"/>
      <c r="F401" s="892"/>
      <c r="G401" s="910">
        <f>SUM(G400)</f>
        <v>-1588</v>
      </c>
      <c r="H401" s="911">
        <f>SUM(H400)</f>
        <v>-1.43</v>
      </c>
      <c r="I401" s="912">
        <f>SUM(I400:I400)</f>
        <v>-259</v>
      </c>
      <c r="J401" s="509"/>
      <c r="K401" s="509"/>
      <c r="L401" s="509"/>
      <c r="M401" s="788"/>
    </row>
    <row r="402" spans="1:16384" s="95" customFormat="1" x14ac:dyDescent="0.25">
      <c r="A402" s="877" t="s">
        <v>402</v>
      </c>
      <c r="B402" s="878"/>
      <c r="C402" s="878"/>
      <c r="D402" s="878"/>
      <c r="E402" s="878"/>
      <c r="F402" s="897"/>
      <c r="G402" s="897">
        <f>G397+G401</f>
        <v>-1588</v>
      </c>
      <c r="H402" s="899">
        <f>H397+H401</f>
        <v>-1.43</v>
      </c>
      <c r="I402" s="899">
        <f>I397+I401</f>
        <v>-259</v>
      </c>
      <c r="J402" s="509"/>
      <c r="K402" s="509"/>
      <c r="L402" s="509"/>
      <c r="M402" s="788"/>
    </row>
    <row r="403" spans="1:16384" s="95" customFormat="1" x14ac:dyDescent="0.25">
      <c r="A403" s="822"/>
      <c r="H403" s="644"/>
      <c r="I403" s="644"/>
      <c r="J403" s="509"/>
      <c r="K403" s="509"/>
      <c r="L403" s="509"/>
      <c r="M403" s="788"/>
    </row>
    <row r="404" spans="1:16384" s="95" customFormat="1" x14ac:dyDescent="0.25">
      <c r="A404" s="314" t="s">
        <v>1067</v>
      </c>
      <c r="B404" s="788"/>
      <c r="C404" s="788"/>
      <c r="D404" s="788"/>
      <c r="E404" s="788"/>
      <c r="H404" s="644"/>
      <c r="I404" s="644"/>
      <c r="J404" s="509"/>
      <c r="K404" s="509"/>
      <c r="L404" s="509"/>
      <c r="M404" s="788"/>
    </row>
    <row r="405" spans="1:16384" s="95" customFormat="1" x14ac:dyDescent="0.25">
      <c r="A405" s="646" t="s">
        <v>0</v>
      </c>
      <c r="B405" s="837"/>
      <c r="C405" s="837"/>
      <c r="D405" s="837"/>
      <c r="E405" s="837"/>
      <c r="F405" s="837"/>
      <c r="G405" s="913" t="s">
        <v>1593</v>
      </c>
      <c r="H405" s="914" t="s">
        <v>1181</v>
      </c>
      <c r="I405" s="914" t="str">
        <f>Input!$H$6</f>
        <v>2021-22</v>
      </c>
      <c r="J405" s="509"/>
      <c r="K405" s="509"/>
      <c r="L405" s="509"/>
      <c r="M405" s="788"/>
    </row>
    <row r="406" spans="1:16384" s="95" customFormat="1" x14ac:dyDescent="0.25">
      <c r="A406" s="822" t="s">
        <v>403</v>
      </c>
      <c r="G406" s="840">
        <f>PL!D21</f>
        <v>-7540.2399608000014</v>
      </c>
      <c r="H406" s="834">
        <f>PL!E21</f>
        <v>-2030.4612199999947</v>
      </c>
      <c r="I406" s="787" t="e">
        <f>PL!F21</f>
        <v>#REF!</v>
      </c>
      <c r="J406" s="509"/>
      <c r="K406" s="509"/>
      <c r="L406" s="509"/>
      <c r="M406" s="788"/>
    </row>
    <row r="407" spans="1:16384" s="95" customFormat="1" x14ac:dyDescent="0.25">
      <c r="A407" s="646" t="s">
        <v>547</v>
      </c>
      <c r="B407" s="837"/>
      <c r="C407" s="837"/>
      <c r="D407" s="837"/>
      <c r="E407" s="837"/>
      <c r="F407" s="869"/>
      <c r="G407" s="892">
        <f>ROUND(G406*0.1716,0)</f>
        <v>-1294</v>
      </c>
      <c r="H407" s="893">
        <f>ROUND(H406*0.1716,0)</f>
        <v>-348</v>
      </c>
      <c r="I407" s="876" t="e">
        <f>ROUND(I406*0.1716,0)</f>
        <v>#REF!</v>
      </c>
      <c r="J407" s="509"/>
      <c r="K407" s="509">
        <f>+G407*1000</f>
        <v>-1294000</v>
      </c>
      <c r="L407" s="509"/>
      <c r="M407" s="788"/>
    </row>
    <row r="408" spans="1:16384" s="95" customFormat="1" x14ac:dyDescent="0.25">
      <c r="A408" s="314"/>
      <c r="B408" s="788"/>
      <c r="C408" s="788"/>
      <c r="D408" s="788"/>
      <c r="E408" s="788"/>
      <c r="H408" s="644"/>
      <c r="I408" s="915"/>
      <c r="J408" s="509"/>
      <c r="K408" s="509"/>
      <c r="L408" s="509"/>
      <c r="M408" s="788"/>
    </row>
    <row r="409" spans="1:16384" s="95" customFormat="1" x14ac:dyDescent="0.25">
      <c r="A409" s="822" t="s">
        <v>404</v>
      </c>
      <c r="H409" s="644"/>
      <c r="I409" s="644"/>
      <c r="J409" s="509"/>
      <c r="K409" s="509"/>
      <c r="L409" s="509"/>
      <c r="M409" s="788"/>
    </row>
    <row r="410" spans="1:16384" s="95" customFormat="1" x14ac:dyDescent="0.25">
      <c r="A410" s="642" t="s">
        <v>1736</v>
      </c>
      <c r="G410" s="825">
        <v>0</v>
      </c>
      <c r="H410" s="834">
        <v>338.4</v>
      </c>
      <c r="I410" s="856">
        <v>0</v>
      </c>
      <c r="J410" s="509"/>
      <c r="K410" s="509"/>
      <c r="L410" s="509"/>
      <c r="M410" s="788"/>
    </row>
    <row r="411" spans="1:16384" s="95" customFormat="1" x14ac:dyDescent="0.25">
      <c r="A411" s="642" t="s">
        <v>1737</v>
      </c>
      <c r="G411" s="840">
        <f>-E344</f>
        <v>-279.64843152453875</v>
      </c>
      <c r="H411" s="834">
        <v>0</v>
      </c>
      <c r="I411" s="856"/>
      <c r="J411" s="509"/>
      <c r="K411" s="509"/>
      <c r="L411" s="509"/>
      <c r="M411" s="788"/>
    </row>
    <row r="412" spans="1:16384" s="95" customFormat="1" x14ac:dyDescent="0.25">
      <c r="A412" s="642" t="s">
        <v>1131</v>
      </c>
      <c r="G412" s="840">
        <v>0</v>
      </c>
      <c r="H412" s="834">
        <v>8.6</v>
      </c>
      <c r="I412" s="856"/>
      <c r="J412" s="509"/>
      <c r="K412" s="509"/>
      <c r="L412" s="509"/>
      <c r="M412" s="788"/>
    </row>
    <row r="413" spans="1:16384" s="95" customFormat="1" hidden="1" x14ac:dyDescent="0.25">
      <c r="A413" s="642" t="s">
        <v>1130</v>
      </c>
      <c r="G413" s="840">
        <v>0</v>
      </c>
      <c r="H413" s="834">
        <v>0</v>
      </c>
      <c r="I413" s="856"/>
      <c r="J413" s="509"/>
      <c r="K413" s="509"/>
      <c r="L413" s="509"/>
      <c r="M413" s="788"/>
    </row>
    <row r="414" spans="1:16384" s="95" customFormat="1" x14ac:dyDescent="0.25">
      <c r="A414" s="642" t="s">
        <v>406</v>
      </c>
      <c r="B414" s="1674"/>
      <c r="C414" s="1674"/>
      <c r="D414" s="1674"/>
      <c r="E414" s="1674"/>
      <c r="G414" s="840">
        <f>-(G407-G402)-G411-G413-G412</f>
        <v>-14.351568475461249</v>
      </c>
      <c r="H414" s="834">
        <v>0</v>
      </c>
      <c r="I414" s="824" t="e">
        <f>-(I407-I402)</f>
        <v>#REF!</v>
      </c>
      <c r="J414" s="509"/>
      <c r="K414" s="509"/>
      <c r="L414" s="509"/>
      <c r="M414" s="788"/>
    </row>
    <row r="415" spans="1:16384" s="95" customFormat="1" ht="15.75" thickBot="1" x14ac:dyDescent="0.3">
      <c r="A415" s="916" t="s">
        <v>405</v>
      </c>
      <c r="B415" s="917"/>
      <c r="C415" s="917"/>
      <c r="D415" s="917"/>
      <c r="E415" s="917"/>
      <c r="F415" s="917"/>
      <c r="G415" s="1670">
        <f>SUM(G407:G414)</f>
        <v>-1588</v>
      </c>
      <c r="H415" s="918">
        <f>SUM(H407:H414)</f>
        <v>-1.0000000000000231</v>
      </c>
      <c r="I415" s="1444" t="e">
        <f>SUM(I407:I414)</f>
        <v>#REF!</v>
      </c>
      <c r="J415" s="509">
        <f>PL!E25-'BS  Notes  3-18'!H415</f>
        <v>-0.42606394191294683</v>
      </c>
      <c r="K415" s="509" t="e">
        <f>PL!F25-'BS  Notes  3-18'!I415</f>
        <v>#REF!</v>
      </c>
      <c r="L415" s="788" t="s">
        <v>92</v>
      </c>
      <c r="M415" s="788"/>
    </row>
    <row r="416" spans="1:16384" s="95" customFormat="1" x14ac:dyDescent="0.25">
      <c r="A416" s="1715" t="s">
        <v>0</v>
      </c>
      <c r="B416" s="1716"/>
      <c r="C416" s="1716"/>
      <c r="D416" s="1716"/>
      <c r="E416" s="1716"/>
      <c r="F416" s="244"/>
      <c r="G416" s="244" t="s">
        <v>68</v>
      </c>
      <c r="H416" s="245" t="s">
        <v>68</v>
      </c>
      <c r="I416" s="1715" t="s">
        <v>0</v>
      </c>
      <c r="J416" s="1716"/>
      <c r="K416" s="1716"/>
      <c r="L416" s="1716"/>
      <c r="M416" s="1716"/>
      <c r="N416" s="244"/>
      <c r="O416" s="244" t="s">
        <v>68</v>
      </c>
      <c r="P416" s="245" t="s">
        <v>68</v>
      </c>
      <c r="Q416" s="1715" t="s">
        <v>0</v>
      </c>
      <c r="R416" s="1716"/>
      <c r="S416" s="1716"/>
      <c r="T416" s="1716"/>
      <c r="U416" s="1716"/>
      <c r="V416" s="244"/>
      <c r="W416" s="244" t="s">
        <v>68</v>
      </c>
      <c r="X416" s="245" t="s">
        <v>68</v>
      </c>
      <c r="Y416" s="1715" t="s">
        <v>0</v>
      </c>
      <c r="Z416" s="1716"/>
      <c r="AA416" s="1716"/>
      <c r="AB416" s="1716"/>
      <c r="AC416" s="1716"/>
      <c r="AD416" s="244"/>
      <c r="AE416" s="244" t="s">
        <v>68</v>
      </c>
      <c r="AF416" s="245" t="s">
        <v>68</v>
      </c>
      <c r="AG416" s="1715" t="s">
        <v>0</v>
      </c>
      <c r="AH416" s="1716"/>
      <c r="AI416" s="1716"/>
      <c r="AJ416" s="1716"/>
      <c r="AK416" s="1716"/>
      <c r="AL416" s="244"/>
      <c r="AM416" s="244" t="s">
        <v>68</v>
      </c>
      <c r="AN416" s="245" t="s">
        <v>68</v>
      </c>
      <c r="AO416" s="1715" t="s">
        <v>0</v>
      </c>
      <c r="AP416" s="1716"/>
      <c r="AQ416" s="1716"/>
      <c r="AR416" s="1716"/>
      <c r="AS416" s="1716"/>
      <c r="AT416" s="244"/>
      <c r="AU416" s="244" t="s">
        <v>68</v>
      </c>
      <c r="AV416" s="245" t="s">
        <v>68</v>
      </c>
      <c r="AW416" s="1715" t="s">
        <v>0</v>
      </c>
      <c r="AX416" s="1716"/>
      <c r="AY416" s="1716"/>
      <c r="AZ416" s="1716"/>
      <c r="BA416" s="1716"/>
      <c r="BB416" s="244"/>
      <c r="BC416" s="244" t="s">
        <v>68</v>
      </c>
      <c r="BD416" s="245" t="s">
        <v>68</v>
      </c>
      <c r="BE416" s="1715" t="s">
        <v>0</v>
      </c>
      <c r="BF416" s="1716"/>
      <c r="BG416" s="1716"/>
      <c r="BH416" s="1716"/>
      <c r="BI416" s="1716"/>
      <c r="BJ416" s="244"/>
      <c r="BK416" s="244" t="s">
        <v>68</v>
      </c>
      <c r="BL416" s="245" t="s">
        <v>68</v>
      </c>
      <c r="BM416" s="1715" t="s">
        <v>0</v>
      </c>
      <c r="BN416" s="1716"/>
      <c r="BO416" s="1716"/>
      <c r="BP416" s="1716"/>
      <c r="BQ416" s="1716"/>
      <c r="BR416" s="244"/>
      <c r="BS416" s="244" t="s">
        <v>68</v>
      </c>
      <c r="BT416" s="245" t="s">
        <v>68</v>
      </c>
      <c r="BU416" s="1715" t="s">
        <v>0</v>
      </c>
      <c r="BV416" s="1716"/>
      <c r="BW416" s="1716"/>
      <c r="BX416" s="1716"/>
      <c r="BY416" s="1716"/>
      <c r="BZ416" s="244"/>
      <c r="CA416" s="244" t="s">
        <v>68</v>
      </c>
      <c r="CB416" s="245" t="s">
        <v>68</v>
      </c>
      <c r="CC416" s="1715" t="s">
        <v>0</v>
      </c>
      <c r="CD416" s="1716"/>
      <c r="CE416" s="1716"/>
      <c r="CF416" s="1716"/>
      <c r="CG416" s="1716"/>
      <c r="CH416" s="244"/>
      <c r="CI416" s="244" t="s">
        <v>68</v>
      </c>
      <c r="CJ416" s="245" t="s">
        <v>68</v>
      </c>
      <c r="CK416" s="1715" t="s">
        <v>0</v>
      </c>
      <c r="CL416" s="1716"/>
      <c r="CM416" s="1716"/>
      <c r="CN416" s="1716"/>
      <c r="CO416" s="1716"/>
      <c r="CP416" s="244"/>
      <c r="CQ416" s="244" t="s">
        <v>68</v>
      </c>
      <c r="CR416" s="245" t="s">
        <v>68</v>
      </c>
      <c r="CS416" s="1715" t="s">
        <v>0</v>
      </c>
      <c r="CT416" s="1716"/>
      <c r="CU416" s="1716"/>
      <c r="CV416" s="1716"/>
      <c r="CW416" s="1716"/>
      <c r="CX416" s="244"/>
      <c r="CY416" s="244" t="s">
        <v>68</v>
      </c>
      <c r="CZ416" s="245" t="s">
        <v>68</v>
      </c>
      <c r="DA416" s="1715" t="s">
        <v>0</v>
      </c>
      <c r="DB416" s="1716"/>
      <c r="DC416" s="1716"/>
      <c r="DD416" s="1716"/>
      <c r="DE416" s="1716"/>
      <c r="DF416" s="244"/>
      <c r="DG416" s="244" t="s">
        <v>68</v>
      </c>
      <c r="DH416" s="245" t="s">
        <v>68</v>
      </c>
      <c r="DI416" s="1715" t="s">
        <v>0</v>
      </c>
      <c r="DJ416" s="1716"/>
      <c r="DK416" s="1716"/>
      <c r="DL416" s="1716"/>
      <c r="DM416" s="1716"/>
      <c r="DN416" s="244"/>
      <c r="DO416" s="244" t="s">
        <v>68</v>
      </c>
      <c r="DP416" s="245" t="s">
        <v>68</v>
      </c>
      <c r="DQ416" s="1715" t="s">
        <v>0</v>
      </c>
      <c r="DR416" s="1716"/>
      <c r="DS416" s="1716"/>
      <c r="DT416" s="1716"/>
      <c r="DU416" s="1716"/>
      <c r="DV416" s="244"/>
      <c r="DW416" s="244" t="s">
        <v>68</v>
      </c>
      <c r="DX416" s="245" t="s">
        <v>68</v>
      </c>
      <c r="DY416" s="1715" t="s">
        <v>0</v>
      </c>
      <c r="DZ416" s="1716"/>
      <c r="EA416" s="1716"/>
      <c r="EB416" s="1716"/>
      <c r="EC416" s="1716"/>
      <c r="ED416" s="244"/>
      <c r="EE416" s="244" t="s">
        <v>68</v>
      </c>
      <c r="EF416" s="245" t="s">
        <v>68</v>
      </c>
      <c r="EG416" s="1715" t="s">
        <v>0</v>
      </c>
      <c r="EH416" s="1716"/>
      <c r="EI416" s="1716"/>
      <c r="EJ416" s="1716"/>
      <c r="EK416" s="1716"/>
      <c r="EL416" s="244"/>
      <c r="EM416" s="244" t="s">
        <v>68</v>
      </c>
      <c r="EN416" s="245" t="s">
        <v>68</v>
      </c>
      <c r="EO416" s="1715" t="s">
        <v>0</v>
      </c>
      <c r="EP416" s="1716"/>
      <c r="EQ416" s="1716"/>
      <c r="ER416" s="1716"/>
      <c r="ES416" s="1716"/>
      <c r="ET416" s="244"/>
      <c r="EU416" s="244" t="s">
        <v>68</v>
      </c>
      <c r="EV416" s="245" t="s">
        <v>68</v>
      </c>
      <c r="EW416" s="1715" t="s">
        <v>0</v>
      </c>
      <c r="EX416" s="1716"/>
      <c r="EY416" s="1716"/>
      <c r="EZ416" s="1716"/>
      <c r="FA416" s="1716"/>
      <c r="FB416" s="244"/>
      <c r="FC416" s="244" t="s">
        <v>68</v>
      </c>
      <c r="FD416" s="245" t="s">
        <v>68</v>
      </c>
      <c r="FE416" s="1715" t="s">
        <v>0</v>
      </c>
      <c r="FF416" s="1716"/>
      <c r="FG416" s="1716"/>
      <c r="FH416" s="1716"/>
      <c r="FI416" s="1716"/>
      <c r="FJ416" s="244"/>
      <c r="FK416" s="244" t="s">
        <v>68</v>
      </c>
      <c r="FL416" s="245" t="s">
        <v>68</v>
      </c>
      <c r="FM416" s="1715" t="s">
        <v>0</v>
      </c>
      <c r="FN416" s="1716"/>
      <c r="FO416" s="1716"/>
      <c r="FP416" s="1716"/>
      <c r="FQ416" s="1716"/>
      <c r="FR416" s="244"/>
      <c r="FS416" s="244" t="s">
        <v>68</v>
      </c>
      <c r="FT416" s="245" t="s">
        <v>68</v>
      </c>
      <c r="FU416" s="1715" t="s">
        <v>0</v>
      </c>
      <c r="FV416" s="1716"/>
      <c r="FW416" s="1716"/>
      <c r="FX416" s="1716"/>
      <c r="FY416" s="1716"/>
      <c r="FZ416" s="244"/>
      <c r="GA416" s="244" t="s">
        <v>68</v>
      </c>
      <c r="GB416" s="245" t="s">
        <v>68</v>
      </c>
      <c r="GC416" s="1715" t="s">
        <v>0</v>
      </c>
      <c r="GD416" s="1716"/>
      <c r="GE416" s="1716"/>
      <c r="GF416" s="1716"/>
      <c r="GG416" s="1716"/>
      <c r="GH416" s="244"/>
      <c r="GI416" s="244" t="s">
        <v>68</v>
      </c>
      <c r="GJ416" s="245" t="s">
        <v>68</v>
      </c>
      <c r="GK416" s="1715" t="s">
        <v>0</v>
      </c>
      <c r="GL416" s="1716"/>
      <c r="GM416" s="1716"/>
      <c r="GN416" s="1716"/>
      <c r="GO416" s="1716"/>
      <c r="GP416" s="244"/>
      <c r="GQ416" s="244" t="s">
        <v>68</v>
      </c>
      <c r="GR416" s="245" t="s">
        <v>68</v>
      </c>
      <c r="GS416" s="1715" t="s">
        <v>0</v>
      </c>
      <c r="GT416" s="1716"/>
      <c r="GU416" s="1716"/>
      <c r="GV416" s="1716"/>
      <c r="GW416" s="1716"/>
      <c r="GX416" s="244"/>
      <c r="GY416" s="244" t="s">
        <v>68</v>
      </c>
      <c r="GZ416" s="245" t="s">
        <v>68</v>
      </c>
      <c r="HA416" s="1715" t="s">
        <v>0</v>
      </c>
      <c r="HB416" s="1716"/>
      <c r="HC416" s="1716"/>
      <c r="HD416" s="1716"/>
      <c r="HE416" s="1716"/>
      <c r="HF416" s="244"/>
      <c r="HG416" s="244" t="s">
        <v>68</v>
      </c>
      <c r="HH416" s="245" t="s">
        <v>68</v>
      </c>
      <c r="HI416" s="1715" t="s">
        <v>0</v>
      </c>
      <c r="HJ416" s="1716"/>
      <c r="HK416" s="1716"/>
      <c r="HL416" s="1716"/>
      <c r="HM416" s="1716"/>
      <c r="HN416" s="244"/>
      <c r="HO416" s="244" t="s">
        <v>68</v>
      </c>
      <c r="HP416" s="245" t="s">
        <v>68</v>
      </c>
      <c r="HQ416" s="1715" t="s">
        <v>0</v>
      </c>
      <c r="HR416" s="1716"/>
      <c r="HS416" s="1716"/>
      <c r="HT416" s="1716"/>
      <c r="HU416" s="1716"/>
      <c r="HV416" s="244"/>
      <c r="HW416" s="244" t="s">
        <v>68</v>
      </c>
      <c r="HX416" s="245" t="s">
        <v>68</v>
      </c>
      <c r="HY416" s="1715" t="s">
        <v>0</v>
      </c>
      <c r="HZ416" s="1716"/>
      <c r="IA416" s="1716"/>
      <c r="IB416" s="1716"/>
      <c r="IC416" s="1716"/>
      <c r="ID416" s="244"/>
      <c r="IE416" s="244" t="s">
        <v>68</v>
      </c>
      <c r="IF416" s="245" t="s">
        <v>68</v>
      </c>
      <c r="IG416" s="1715" t="s">
        <v>0</v>
      </c>
      <c r="IH416" s="1716"/>
      <c r="II416" s="1716"/>
      <c r="IJ416" s="1716"/>
      <c r="IK416" s="1716"/>
      <c r="IL416" s="244"/>
      <c r="IM416" s="244" t="s">
        <v>68</v>
      </c>
      <c r="IN416" s="245" t="s">
        <v>68</v>
      </c>
      <c r="IO416" s="1715" t="s">
        <v>0</v>
      </c>
      <c r="IP416" s="1716"/>
      <c r="IQ416" s="1716"/>
      <c r="IR416" s="1716"/>
      <c r="IS416" s="1716"/>
      <c r="IT416" s="244"/>
      <c r="IU416" s="244" t="s">
        <v>68</v>
      </c>
      <c r="IV416" s="245" t="s">
        <v>68</v>
      </c>
      <c r="IW416" s="1715" t="s">
        <v>0</v>
      </c>
      <c r="IX416" s="1716"/>
      <c r="IY416" s="1716"/>
      <c r="IZ416" s="1716"/>
      <c r="JA416" s="1716"/>
      <c r="JB416" s="244"/>
      <c r="JC416" s="244" t="s">
        <v>68</v>
      </c>
      <c r="JD416" s="245" t="s">
        <v>68</v>
      </c>
      <c r="JE416" s="1715" t="s">
        <v>0</v>
      </c>
      <c r="JF416" s="1716"/>
      <c r="JG416" s="1716"/>
      <c r="JH416" s="1716"/>
      <c r="JI416" s="1716"/>
      <c r="JJ416" s="244"/>
      <c r="JK416" s="244" t="s">
        <v>68</v>
      </c>
      <c r="JL416" s="245" t="s">
        <v>68</v>
      </c>
      <c r="JM416" s="1715" t="s">
        <v>0</v>
      </c>
      <c r="JN416" s="1716"/>
      <c r="JO416" s="1716"/>
      <c r="JP416" s="1716"/>
      <c r="JQ416" s="1716"/>
      <c r="JR416" s="244"/>
      <c r="JS416" s="244" t="s">
        <v>68</v>
      </c>
      <c r="JT416" s="245" t="s">
        <v>68</v>
      </c>
      <c r="JU416" s="1715" t="s">
        <v>0</v>
      </c>
      <c r="JV416" s="1716"/>
      <c r="JW416" s="1716"/>
      <c r="JX416" s="1716"/>
      <c r="JY416" s="1716"/>
      <c r="JZ416" s="244"/>
      <c r="KA416" s="244" t="s">
        <v>68</v>
      </c>
      <c r="KB416" s="245" t="s">
        <v>68</v>
      </c>
      <c r="KC416" s="1715" t="s">
        <v>0</v>
      </c>
      <c r="KD416" s="1716"/>
      <c r="KE416" s="1716"/>
      <c r="KF416" s="1716"/>
      <c r="KG416" s="1716"/>
      <c r="KH416" s="244"/>
      <c r="KI416" s="244" t="s">
        <v>68</v>
      </c>
      <c r="KJ416" s="245" t="s">
        <v>68</v>
      </c>
      <c r="KK416" s="1715" t="s">
        <v>0</v>
      </c>
      <c r="KL416" s="1716"/>
      <c r="KM416" s="1716"/>
      <c r="KN416" s="1716"/>
      <c r="KO416" s="1716"/>
      <c r="KP416" s="244"/>
      <c r="KQ416" s="244" t="s">
        <v>68</v>
      </c>
      <c r="KR416" s="245" t="s">
        <v>68</v>
      </c>
      <c r="KS416" s="1715" t="s">
        <v>0</v>
      </c>
      <c r="KT416" s="1716"/>
      <c r="KU416" s="1716"/>
      <c r="KV416" s="1716"/>
      <c r="KW416" s="1716"/>
      <c r="KX416" s="244"/>
      <c r="KY416" s="244" t="s">
        <v>68</v>
      </c>
      <c r="KZ416" s="245" t="s">
        <v>68</v>
      </c>
      <c r="LA416" s="1715" t="s">
        <v>0</v>
      </c>
      <c r="LB416" s="1716"/>
      <c r="LC416" s="1716"/>
      <c r="LD416" s="1716"/>
      <c r="LE416" s="1716"/>
      <c r="LF416" s="244"/>
      <c r="LG416" s="244" t="s">
        <v>68</v>
      </c>
      <c r="LH416" s="245" t="s">
        <v>68</v>
      </c>
      <c r="LI416" s="1715" t="s">
        <v>0</v>
      </c>
      <c r="LJ416" s="1716"/>
      <c r="LK416" s="1716"/>
      <c r="LL416" s="1716"/>
      <c r="LM416" s="1716"/>
      <c r="LN416" s="244"/>
      <c r="LO416" s="244" t="s">
        <v>68</v>
      </c>
      <c r="LP416" s="245" t="s">
        <v>68</v>
      </c>
      <c r="LQ416" s="1715" t="s">
        <v>0</v>
      </c>
      <c r="LR416" s="1716"/>
      <c r="LS416" s="1716"/>
      <c r="LT416" s="1716"/>
      <c r="LU416" s="1716"/>
      <c r="LV416" s="244"/>
      <c r="LW416" s="244" t="s">
        <v>68</v>
      </c>
      <c r="LX416" s="245" t="s">
        <v>68</v>
      </c>
      <c r="LY416" s="1715" t="s">
        <v>0</v>
      </c>
      <c r="LZ416" s="1716"/>
      <c r="MA416" s="1716"/>
      <c r="MB416" s="1716"/>
      <c r="MC416" s="1716"/>
      <c r="MD416" s="244"/>
      <c r="ME416" s="244" t="s">
        <v>68</v>
      </c>
      <c r="MF416" s="245" t="s">
        <v>68</v>
      </c>
      <c r="MG416" s="1715" t="s">
        <v>0</v>
      </c>
      <c r="MH416" s="1716"/>
      <c r="MI416" s="1716"/>
      <c r="MJ416" s="1716"/>
      <c r="MK416" s="1716"/>
      <c r="ML416" s="244"/>
      <c r="MM416" s="244" t="s">
        <v>68</v>
      </c>
      <c r="MN416" s="245" t="s">
        <v>68</v>
      </c>
      <c r="MO416" s="1715" t="s">
        <v>0</v>
      </c>
      <c r="MP416" s="1716"/>
      <c r="MQ416" s="1716"/>
      <c r="MR416" s="1716"/>
      <c r="MS416" s="1716"/>
      <c r="MT416" s="244"/>
      <c r="MU416" s="244" t="s">
        <v>68</v>
      </c>
      <c r="MV416" s="245" t="s">
        <v>68</v>
      </c>
      <c r="MW416" s="1715" t="s">
        <v>0</v>
      </c>
      <c r="MX416" s="1716"/>
      <c r="MY416" s="1716"/>
      <c r="MZ416" s="1716"/>
      <c r="NA416" s="1716"/>
      <c r="NB416" s="244"/>
      <c r="NC416" s="244" t="s">
        <v>68</v>
      </c>
      <c r="ND416" s="245" t="s">
        <v>68</v>
      </c>
      <c r="NE416" s="1715" t="s">
        <v>0</v>
      </c>
      <c r="NF416" s="1716"/>
      <c r="NG416" s="1716"/>
      <c r="NH416" s="1716"/>
      <c r="NI416" s="1716"/>
      <c r="NJ416" s="244"/>
      <c r="NK416" s="244" t="s">
        <v>68</v>
      </c>
      <c r="NL416" s="245" t="s">
        <v>68</v>
      </c>
      <c r="NM416" s="1715" t="s">
        <v>0</v>
      </c>
      <c r="NN416" s="1716"/>
      <c r="NO416" s="1716"/>
      <c r="NP416" s="1716"/>
      <c r="NQ416" s="1716"/>
      <c r="NR416" s="244"/>
      <c r="NS416" s="244" t="s">
        <v>68</v>
      </c>
      <c r="NT416" s="245" t="s">
        <v>68</v>
      </c>
      <c r="NU416" s="1715" t="s">
        <v>0</v>
      </c>
      <c r="NV416" s="1716"/>
      <c r="NW416" s="1716"/>
      <c r="NX416" s="1716"/>
      <c r="NY416" s="1716"/>
      <c r="NZ416" s="244"/>
      <c r="OA416" s="244" t="s">
        <v>68</v>
      </c>
      <c r="OB416" s="245" t="s">
        <v>68</v>
      </c>
      <c r="OC416" s="1715" t="s">
        <v>0</v>
      </c>
      <c r="OD416" s="1716"/>
      <c r="OE416" s="1716"/>
      <c r="OF416" s="1716"/>
      <c r="OG416" s="1716"/>
      <c r="OH416" s="244"/>
      <c r="OI416" s="244" t="s">
        <v>68</v>
      </c>
      <c r="OJ416" s="245" t="s">
        <v>68</v>
      </c>
      <c r="OK416" s="1715" t="s">
        <v>0</v>
      </c>
      <c r="OL416" s="1716"/>
      <c r="OM416" s="1716"/>
      <c r="ON416" s="1716"/>
      <c r="OO416" s="1716"/>
      <c r="OP416" s="244"/>
      <c r="OQ416" s="244" t="s">
        <v>68</v>
      </c>
      <c r="OR416" s="245" t="s">
        <v>68</v>
      </c>
      <c r="OS416" s="1715" t="s">
        <v>0</v>
      </c>
      <c r="OT416" s="1716"/>
      <c r="OU416" s="1716"/>
      <c r="OV416" s="1716"/>
      <c r="OW416" s="1716"/>
      <c r="OX416" s="244"/>
      <c r="OY416" s="244" t="s">
        <v>68</v>
      </c>
      <c r="OZ416" s="245" t="s">
        <v>68</v>
      </c>
      <c r="PA416" s="1715" t="s">
        <v>0</v>
      </c>
      <c r="PB416" s="1716"/>
      <c r="PC416" s="1716"/>
      <c r="PD416" s="1716"/>
      <c r="PE416" s="1716"/>
      <c r="PF416" s="244"/>
      <c r="PG416" s="244" t="s">
        <v>68</v>
      </c>
      <c r="PH416" s="245" t="s">
        <v>68</v>
      </c>
      <c r="PI416" s="1715" t="s">
        <v>0</v>
      </c>
      <c r="PJ416" s="1716"/>
      <c r="PK416" s="1716"/>
      <c r="PL416" s="1716"/>
      <c r="PM416" s="1716"/>
      <c r="PN416" s="244"/>
      <c r="PO416" s="244" t="s">
        <v>68</v>
      </c>
      <c r="PP416" s="245" t="s">
        <v>68</v>
      </c>
      <c r="PQ416" s="1715" t="s">
        <v>0</v>
      </c>
      <c r="PR416" s="1716"/>
      <c r="PS416" s="1716"/>
      <c r="PT416" s="1716"/>
      <c r="PU416" s="1716"/>
      <c r="PV416" s="244"/>
      <c r="PW416" s="244" t="s">
        <v>68</v>
      </c>
      <c r="PX416" s="245" t="s">
        <v>68</v>
      </c>
      <c r="PY416" s="1715" t="s">
        <v>0</v>
      </c>
      <c r="PZ416" s="1716"/>
      <c r="QA416" s="1716"/>
      <c r="QB416" s="1716"/>
      <c r="QC416" s="1716"/>
      <c r="QD416" s="244"/>
      <c r="QE416" s="244" t="s">
        <v>68</v>
      </c>
      <c r="QF416" s="245" t="s">
        <v>68</v>
      </c>
      <c r="QG416" s="1715" t="s">
        <v>0</v>
      </c>
      <c r="QH416" s="1716"/>
      <c r="QI416" s="1716"/>
      <c r="QJ416" s="1716"/>
      <c r="QK416" s="1716"/>
      <c r="QL416" s="244"/>
      <c r="QM416" s="244" t="s">
        <v>68</v>
      </c>
      <c r="QN416" s="245" t="s">
        <v>68</v>
      </c>
      <c r="QO416" s="1715" t="s">
        <v>0</v>
      </c>
      <c r="QP416" s="1716"/>
      <c r="QQ416" s="1716"/>
      <c r="QR416" s="1716"/>
      <c r="QS416" s="1716"/>
      <c r="QT416" s="244"/>
      <c r="QU416" s="244" t="s">
        <v>68</v>
      </c>
      <c r="QV416" s="245" t="s">
        <v>68</v>
      </c>
      <c r="QW416" s="1715" t="s">
        <v>0</v>
      </c>
      <c r="QX416" s="1716"/>
      <c r="QY416" s="1716"/>
      <c r="QZ416" s="1716"/>
      <c r="RA416" s="1716"/>
      <c r="RB416" s="244"/>
      <c r="RC416" s="244" t="s">
        <v>68</v>
      </c>
      <c r="RD416" s="245" t="s">
        <v>68</v>
      </c>
      <c r="RE416" s="1715" t="s">
        <v>0</v>
      </c>
      <c r="RF416" s="1716"/>
      <c r="RG416" s="1716"/>
      <c r="RH416" s="1716"/>
      <c r="RI416" s="1716"/>
      <c r="RJ416" s="244"/>
      <c r="RK416" s="244" t="s">
        <v>68</v>
      </c>
      <c r="RL416" s="245" t="s">
        <v>68</v>
      </c>
      <c r="RM416" s="1715" t="s">
        <v>0</v>
      </c>
      <c r="RN416" s="1716"/>
      <c r="RO416" s="1716"/>
      <c r="RP416" s="1716"/>
      <c r="RQ416" s="1716"/>
      <c r="RR416" s="244"/>
      <c r="RS416" s="244" t="s">
        <v>68</v>
      </c>
      <c r="RT416" s="245" t="s">
        <v>68</v>
      </c>
      <c r="RU416" s="1715" t="s">
        <v>0</v>
      </c>
      <c r="RV416" s="1716"/>
      <c r="RW416" s="1716"/>
      <c r="RX416" s="1716"/>
      <c r="RY416" s="1716"/>
      <c r="RZ416" s="244"/>
      <c r="SA416" s="244" t="s">
        <v>68</v>
      </c>
      <c r="SB416" s="245" t="s">
        <v>68</v>
      </c>
      <c r="SC416" s="1715" t="s">
        <v>0</v>
      </c>
      <c r="SD416" s="1716"/>
      <c r="SE416" s="1716"/>
      <c r="SF416" s="1716"/>
      <c r="SG416" s="1716"/>
      <c r="SH416" s="244"/>
      <c r="SI416" s="244" t="s">
        <v>68</v>
      </c>
      <c r="SJ416" s="245" t="s">
        <v>68</v>
      </c>
      <c r="SK416" s="1715" t="s">
        <v>0</v>
      </c>
      <c r="SL416" s="1716"/>
      <c r="SM416" s="1716"/>
      <c r="SN416" s="1716"/>
      <c r="SO416" s="1716"/>
      <c r="SP416" s="244"/>
      <c r="SQ416" s="244" t="s">
        <v>68</v>
      </c>
      <c r="SR416" s="245" t="s">
        <v>68</v>
      </c>
      <c r="SS416" s="1715" t="s">
        <v>0</v>
      </c>
      <c r="ST416" s="1716"/>
      <c r="SU416" s="1716"/>
      <c r="SV416" s="1716"/>
      <c r="SW416" s="1716"/>
      <c r="SX416" s="244"/>
      <c r="SY416" s="244" t="s">
        <v>68</v>
      </c>
      <c r="SZ416" s="245" t="s">
        <v>68</v>
      </c>
      <c r="TA416" s="1715" t="s">
        <v>0</v>
      </c>
      <c r="TB416" s="1716"/>
      <c r="TC416" s="1716"/>
      <c r="TD416" s="1716"/>
      <c r="TE416" s="1716"/>
      <c r="TF416" s="244"/>
      <c r="TG416" s="244" t="s">
        <v>68</v>
      </c>
      <c r="TH416" s="245" t="s">
        <v>68</v>
      </c>
      <c r="TI416" s="1715" t="s">
        <v>0</v>
      </c>
      <c r="TJ416" s="1716"/>
      <c r="TK416" s="1716"/>
      <c r="TL416" s="1716"/>
      <c r="TM416" s="1716"/>
      <c r="TN416" s="244"/>
      <c r="TO416" s="244" t="s">
        <v>68</v>
      </c>
      <c r="TP416" s="245" t="s">
        <v>68</v>
      </c>
      <c r="TQ416" s="1715" t="s">
        <v>0</v>
      </c>
      <c r="TR416" s="1716"/>
      <c r="TS416" s="1716"/>
      <c r="TT416" s="1716"/>
      <c r="TU416" s="1716"/>
      <c r="TV416" s="244"/>
      <c r="TW416" s="244" t="s">
        <v>68</v>
      </c>
      <c r="TX416" s="245" t="s">
        <v>68</v>
      </c>
      <c r="TY416" s="1715" t="s">
        <v>0</v>
      </c>
      <c r="TZ416" s="1716"/>
      <c r="UA416" s="1716"/>
      <c r="UB416" s="1716"/>
      <c r="UC416" s="1716"/>
      <c r="UD416" s="244"/>
      <c r="UE416" s="244" t="s">
        <v>68</v>
      </c>
      <c r="UF416" s="245" t="s">
        <v>68</v>
      </c>
      <c r="UG416" s="1715" t="s">
        <v>0</v>
      </c>
      <c r="UH416" s="1716"/>
      <c r="UI416" s="1716"/>
      <c r="UJ416" s="1716"/>
      <c r="UK416" s="1716"/>
      <c r="UL416" s="244"/>
      <c r="UM416" s="244" t="s">
        <v>68</v>
      </c>
      <c r="UN416" s="245" t="s">
        <v>68</v>
      </c>
      <c r="UO416" s="1715" t="s">
        <v>0</v>
      </c>
      <c r="UP416" s="1716"/>
      <c r="UQ416" s="1716"/>
      <c r="UR416" s="1716"/>
      <c r="US416" s="1716"/>
      <c r="UT416" s="244"/>
      <c r="UU416" s="244" t="s">
        <v>68</v>
      </c>
      <c r="UV416" s="245" t="s">
        <v>68</v>
      </c>
      <c r="UW416" s="1715" t="s">
        <v>0</v>
      </c>
      <c r="UX416" s="1716"/>
      <c r="UY416" s="1716"/>
      <c r="UZ416" s="1716"/>
      <c r="VA416" s="1716"/>
      <c r="VB416" s="244"/>
      <c r="VC416" s="244" t="s">
        <v>68</v>
      </c>
      <c r="VD416" s="245" t="s">
        <v>68</v>
      </c>
      <c r="VE416" s="1715" t="s">
        <v>0</v>
      </c>
      <c r="VF416" s="1716"/>
      <c r="VG416" s="1716"/>
      <c r="VH416" s="1716"/>
      <c r="VI416" s="1716"/>
      <c r="VJ416" s="244"/>
      <c r="VK416" s="244" t="s">
        <v>68</v>
      </c>
      <c r="VL416" s="245" t="s">
        <v>68</v>
      </c>
      <c r="VM416" s="1715" t="s">
        <v>0</v>
      </c>
      <c r="VN416" s="1716"/>
      <c r="VO416" s="1716"/>
      <c r="VP416" s="1716"/>
      <c r="VQ416" s="1716"/>
      <c r="VR416" s="244"/>
      <c r="VS416" s="244" t="s">
        <v>68</v>
      </c>
      <c r="VT416" s="245" t="s">
        <v>68</v>
      </c>
      <c r="VU416" s="1715" t="s">
        <v>0</v>
      </c>
      <c r="VV416" s="1716"/>
      <c r="VW416" s="1716"/>
      <c r="VX416" s="1716"/>
      <c r="VY416" s="1716"/>
      <c r="VZ416" s="244"/>
      <c r="WA416" s="244" t="s">
        <v>68</v>
      </c>
      <c r="WB416" s="245" t="s">
        <v>68</v>
      </c>
      <c r="WC416" s="1715" t="s">
        <v>0</v>
      </c>
      <c r="WD416" s="1716"/>
      <c r="WE416" s="1716"/>
      <c r="WF416" s="1716"/>
      <c r="WG416" s="1716"/>
      <c r="WH416" s="244"/>
      <c r="WI416" s="244" t="s">
        <v>68</v>
      </c>
      <c r="WJ416" s="245" t="s">
        <v>68</v>
      </c>
      <c r="WK416" s="1715" t="s">
        <v>0</v>
      </c>
      <c r="WL416" s="1716"/>
      <c r="WM416" s="1716"/>
      <c r="WN416" s="1716"/>
      <c r="WO416" s="1716"/>
      <c r="WP416" s="244"/>
      <c r="WQ416" s="244" t="s">
        <v>68</v>
      </c>
      <c r="WR416" s="245" t="s">
        <v>68</v>
      </c>
      <c r="WS416" s="1715" t="s">
        <v>0</v>
      </c>
      <c r="WT416" s="1716"/>
      <c r="WU416" s="1716"/>
      <c r="WV416" s="1716"/>
      <c r="WW416" s="1716"/>
      <c r="WX416" s="244"/>
      <c r="WY416" s="244" t="s">
        <v>68</v>
      </c>
      <c r="WZ416" s="245" t="s">
        <v>68</v>
      </c>
      <c r="XA416" s="1715" t="s">
        <v>0</v>
      </c>
      <c r="XB416" s="1716"/>
      <c r="XC416" s="1716"/>
      <c r="XD416" s="1716"/>
      <c r="XE416" s="1716"/>
      <c r="XF416" s="244"/>
      <c r="XG416" s="244" t="s">
        <v>68</v>
      </c>
      <c r="XH416" s="245" t="s">
        <v>68</v>
      </c>
      <c r="XI416" s="1715" t="s">
        <v>0</v>
      </c>
      <c r="XJ416" s="1716"/>
      <c r="XK416" s="1716"/>
      <c r="XL416" s="1716"/>
      <c r="XM416" s="1716"/>
      <c r="XN416" s="244"/>
      <c r="XO416" s="244" t="s">
        <v>68</v>
      </c>
      <c r="XP416" s="245" t="s">
        <v>68</v>
      </c>
      <c r="XQ416" s="1715" t="s">
        <v>0</v>
      </c>
      <c r="XR416" s="1716"/>
      <c r="XS416" s="1716"/>
      <c r="XT416" s="1716"/>
      <c r="XU416" s="1716"/>
      <c r="XV416" s="244"/>
      <c r="XW416" s="244" t="s">
        <v>68</v>
      </c>
      <c r="XX416" s="245" t="s">
        <v>68</v>
      </c>
      <c r="XY416" s="1715" t="s">
        <v>0</v>
      </c>
      <c r="XZ416" s="1716"/>
      <c r="YA416" s="1716"/>
      <c r="YB416" s="1716"/>
      <c r="YC416" s="1716"/>
      <c r="YD416" s="244"/>
      <c r="YE416" s="244" t="s">
        <v>68</v>
      </c>
      <c r="YF416" s="245" t="s">
        <v>68</v>
      </c>
      <c r="YG416" s="1715" t="s">
        <v>0</v>
      </c>
      <c r="YH416" s="1716"/>
      <c r="YI416" s="1716"/>
      <c r="YJ416" s="1716"/>
      <c r="YK416" s="1716"/>
      <c r="YL416" s="244"/>
      <c r="YM416" s="244" t="s">
        <v>68</v>
      </c>
      <c r="YN416" s="245" t="s">
        <v>68</v>
      </c>
      <c r="YO416" s="1715" t="s">
        <v>0</v>
      </c>
      <c r="YP416" s="1716"/>
      <c r="YQ416" s="1716"/>
      <c r="YR416" s="1716"/>
      <c r="YS416" s="1716"/>
      <c r="YT416" s="244"/>
      <c r="YU416" s="244" t="s">
        <v>68</v>
      </c>
      <c r="YV416" s="245" t="s">
        <v>68</v>
      </c>
      <c r="YW416" s="1715" t="s">
        <v>0</v>
      </c>
      <c r="YX416" s="1716"/>
      <c r="YY416" s="1716"/>
      <c r="YZ416" s="1716"/>
      <c r="ZA416" s="1716"/>
      <c r="ZB416" s="244"/>
      <c r="ZC416" s="244" t="s">
        <v>68</v>
      </c>
      <c r="ZD416" s="245" t="s">
        <v>68</v>
      </c>
      <c r="ZE416" s="1715" t="s">
        <v>0</v>
      </c>
      <c r="ZF416" s="1716"/>
      <c r="ZG416" s="1716"/>
      <c r="ZH416" s="1716"/>
      <c r="ZI416" s="1716"/>
      <c r="ZJ416" s="244"/>
      <c r="ZK416" s="244" t="s">
        <v>68</v>
      </c>
      <c r="ZL416" s="245" t="s">
        <v>68</v>
      </c>
      <c r="ZM416" s="1715" t="s">
        <v>0</v>
      </c>
      <c r="ZN416" s="1716"/>
      <c r="ZO416" s="1716"/>
      <c r="ZP416" s="1716"/>
      <c r="ZQ416" s="1716"/>
      <c r="ZR416" s="244"/>
      <c r="ZS416" s="244" t="s">
        <v>68</v>
      </c>
      <c r="ZT416" s="245" t="s">
        <v>68</v>
      </c>
      <c r="ZU416" s="1715" t="s">
        <v>0</v>
      </c>
      <c r="ZV416" s="1716"/>
      <c r="ZW416" s="1716"/>
      <c r="ZX416" s="1716"/>
      <c r="ZY416" s="1716"/>
      <c r="ZZ416" s="244"/>
      <c r="AAA416" s="244" t="s">
        <v>68</v>
      </c>
      <c r="AAB416" s="245" t="s">
        <v>68</v>
      </c>
      <c r="AAC416" s="1715" t="s">
        <v>0</v>
      </c>
      <c r="AAD416" s="1716"/>
      <c r="AAE416" s="1716"/>
      <c r="AAF416" s="1716"/>
      <c r="AAG416" s="1716"/>
      <c r="AAH416" s="244"/>
      <c r="AAI416" s="244" t="s">
        <v>68</v>
      </c>
      <c r="AAJ416" s="245" t="s">
        <v>68</v>
      </c>
      <c r="AAK416" s="1715" t="s">
        <v>0</v>
      </c>
      <c r="AAL416" s="1716"/>
      <c r="AAM416" s="1716"/>
      <c r="AAN416" s="1716"/>
      <c r="AAO416" s="1716"/>
      <c r="AAP416" s="244"/>
      <c r="AAQ416" s="244" t="s">
        <v>68</v>
      </c>
      <c r="AAR416" s="245" t="s">
        <v>68</v>
      </c>
      <c r="AAS416" s="1715" t="s">
        <v>0</v>
      </c>
      <c r="AAT416" s="1716"/>
      <c r="AAU416" s="1716"/>
      <c r="AAV416" s="1716"/>
      <c r="AAW416" s="1716"/>
      <c r="AAX416" s="244"/>
      <c r="AAY416" s="244" t="s">
        <v>68</v>
      </c>
      <c r="AAZ416" s="245" t="s">
        <v>68</v>
      </c>
      <c r="ABA416" s="1715" t="s">
        <v>0</v>
      </c>
      <c r="ABB416" s="1716"/>
      <c r="ABC416" s="1716"/>
      <c r="ABD416" s="1716"/>
      <c r="ABE416" s="1716"/>
      <c r="ABF416" s="244"/>
      <c r="ABG416" s="244" t="s">
        <v>68</v>
      </c>
      <c r="ABH416" s="245" t="s">
        <v>68</v>
      </c>
      <c r="ABI416" s="1715" t="s">
        <v>0</v>
      </c>
      <c r="ABJ416" s="1716"/>
      <c r="ABK416" s="1716"/>
      <c r="ABL416" s="1716"/>
      <c r="ABM416" s="1716"/>
      <c r="ABN416" s="244"/>
      <c r="ABO416" s="244" t="s">
        <v>68</v>
      </c>
      <c r="ABP416" s="245" t="s">
        <v>68</v>
      </c>
      <c r="ABQ416" s="1715" t="s">
        <v>0</v>
      </c>
      <c r="ABR416" s="1716"/>
      <c r="ABS416" s="1716"/>
      <c r="ABT416" s="1716"/>
      <c r="ABU416" s="1716"/>
      <c r="ABV416" s="244"/>
      <c r="ABW416" s="244" t="s">
        <v>68</v>
      </c>
      <c r="ABX416" s="245" t="s">
        <v>68</v>
      </c>
      <c r="ABY416" s="1715" t="s">
        <v>0</v>
      </c>
      <c r="ABZ416" s="1716"/>
      <c r="ACA416" s="1716"/>
      <c r="ACB416" s="1716"/>
      <c r="ACC416" s="1716"/>
      <c r="ACD416" s="244"/>
      <c r="ACE416" s="244" t="s">
        <v>68</v>
      </c>
      <c r="ACF416" s="245" t="s">
        <v>68</v>
      </c>
      <c r="ACG416" s="1715" t="s">
        <v>0</v>
      </c>
      <c r="ACH416" s="1716"/>
      <c r="ACI416" s="1716"/>
      <c r="ACJ416" s="1716"/>
      <c r="ACK416" s="1716"/>
      <c r="ACL416" s="244"/>
      <c r="ACM416" s="244" t="s">
        <v>68</v>
      </c>
      <c r="ACN416" s="245" t="s">
        <v>68</v>
      </c>
      <c r="ACO416" s="1715" t="s">
        <v>0</v>
      </c>
      <c r="ACP416" s="1716"/>
      <c r="ACQ416" s="1716"/>
      <c r="ACR416" s="1716"/>
      <c r="ACS416" s="1716"/>
      <c r="ACT416" s="244"/>
      <c r="ACU416" s="244" t="s">
        <v>68</v>
      </c>
      <c r="ACV416" s="245" t="s">
        <v>68</v>
      </c>
      <c r="ACW416" s="1715" t="s">
        <v>0</v>
      </c>
      <c r="ACX416" s="1716"/>
      <c r="ACY416" s="1716"/>
      <c r="ACZ416" s="1716"/>
      <c r="ADA416" s="1716"/>
      <c r="ADB416" s="244"/>
      <c r="ADC416" s="244" t="s">
        <v>68</v>
      </c>
      <c r="ADD416" s="245" t="s">
        <v>68</v>
      </c>
      <c r="ADE416" s="1715" t="s">
        <v>0</v>
      </c>
      <c r="ADF416" s="1716"/>
      <c r="ADG416" s="1716"/>
      <c r="ADH416" s="1716"/>
      <c r="ADI416" s="1716"/>
      <c r="ADJ416" s="244"/>
      <c r="ADK416" s="244" t="s">
        <v>68</v>
      </c>
      <c r="ADL416" s="245" t="s">
        <v>68</v>
      </c>
      <c r="ADM416" s="1715" t="s">
        <v>0</v>
      </c>
      <c r="ADN416" s="1716"/>
      <c r="ADO416" s="1716"/>
      <c r="ADP416" s="1716"/>
      <c r="ADQ416" s="1716"/>
      <c r="ADR416" s="244"/>
      <c r="ADS416" s="244" t="s">
        <v>68</v>
      </c>
      <c r="ADT416" s="245" t="s">
        <v>68</v>
      </c>
      <c r="ADU416" s="1715" t="s">
        <v>0</v>
      </c>
      <c r="ADV416" s="1716"/>
      <c r="ADW416" s="1716"/>
      <c r="ADX416" s="1716"/>
      <c r="ADY416" s="1716"/>
      <c r="ADZ416" s="244"/>
      <c r="AEA416" s="244" t="s">
        <v>68</v>
      </c>
      <c r="AEB416" s="245" t="s">
        <v>68</v>
      </c>
      <c r="AEC416" s="1715" t="s">
        <v>0</v>
      </c>
      <c r="AED416" s="1716"/>
      <c r="AEE416" s="1716"/>
      <c r="AEF416" s="1716"/>
      <c r="AEG416" s="1716"/>
      <c r="AEH416" s="244"/>
      <c r="AEI416" s="244" t="s">
        <v>68</v>
      </c>
      <c r="AEJ416" s="245" t="s">
        <v>68</v>
      </c>
      <c r="AEK416" s="1715" t="s">
        <v>0</v>
      </c>
      <c r="AEL416" s="1716"/>
      <c r="AEM416" s="1716"/>
      <c r="AEN416" s="1716"/>
      <c r="AEO416" s="1716"/>
      <c r="AEP416" s="244"/>
      <c r="AEQ416" s="244" t="s">
        <v>68</v>
      </c>
      <c r="AER416" s="245" t="s">
        <v>68</v>
      </c>
      <c r="AES416" s="1715" t="s">
        <v>0</v>
      </c>
      <c r="AET416" s="1716"/>
      <c r="AEU416" s="1716"/>
      <c r="AEV416" s="1716"/>
      <c r="AEW416" s="1716"/>
      <c r="AEX416" s="244"/>
      <c r="AEY416" s="244" t="s">
        <v>68</v>
      </c>
      <c r="AEZ416" s="245" t="s">
        <v>68</v>
      </c>
      <c r="AFA416" s="1715" t="s">
        <v>0</v>
      </c>
      <c r="AFB416" s="1716"/>
      <c r="AFC416" s="1716"/>
      <c r="AFD416" s="1716"/>
      <c r="AFE416" s="1716"/>
      <c r="AFF416" s="244"/>
      <c r="AFG416" s="244" t="s">
        <v>68</v>
      </c>
      <c r="AFH416" s="245" t="s">
        <v>68</v>
      </c>
      <c r="AFI416" s="1715" t="s">
        <v>0</v>
      </c>
      <c r="AFJ416" s="1716"/>
      <c r="AFK416" s="1716"/>
      <c r="AFL416" s="1716"/>
      <c r="AFM416" s="1716"/>
      <c r="AFN416" s="244"/>
      <c r="AFO416" s="244" t="s">
        <v>68</v>
      </c>
      <c r="AFP416" s="245" t="s">
        <v>68</v>
      </c>
      <c r="AFQ416" s="1715" t="s">
        <v>0</v>
      </c>
      <c r="AFR416" s="1716"/>
      <c r="AFS416" s="1716"/>
      <c r="AFT416" s="1716"/>
      <c r="AFU416" s="1716"/>
      <c r="AFV416" s="244"/>
      <c r="AFW416" s="244" t="s">
        <v>68</v>
      </c>
      <c r="AFX416" s="245" t="s">
        <v>68</v>
      </c>
      <c r="AFY416" s="1715" t="s">
        <v>0</v>
      </c>
      <c r="AFZ416" s="1716"/>
      <c r="AGA416" s="1716"/>
      <c r="AGB416" s="1716"/>
      <c r="AGC416" s="1716"/>
      <c r="AGD416" s="244"/>
      <c r="AGE416" s="244" t="s">
        <v>68</v>
      </c>
      <c r="AGF416" s="245" t="s">
        <v>68</v>
      </c>
      <c r="AGG416" s="1715" t="s">
        <v>0</v>
      </c>
      <c r="AGH416" s="1716"/>
      <c r="AGI416" s="1716"/>
      <c r="AGJ416" s="1716"/>
      <c r="AGK416" s="1716"/>
      <c r="AGL416" s="244"/>
      <c r="AGM416" s="244" t="s">
        <v>68</v>
      </c>
      <c r="AGN416" s="245" t="s">
        <v>68</v>
      </c>
      <c r="AGO416" s="1715" t="s">
        <v>0</v>
      </c>
      <c r="AGP416" s="1716"/>
      <c r="AGQ416" s="1716"/>
      <c r="AGR416" s="1716"/>
      <c r="AGS416" s="1716"/>
      <c r="AGT416" s="244"/>
      <c r="AGU416" s="244" t="s">
        <v>68</v>
      </c>
      <c r="AGV416" s="245" t="s">
        <v>68</v>
      </c>
      <c r="AGW416" s="1715" t="s">
        <v>0</v>
      </c>
      <c r="AGX416" s="1716"/>
      <c r="AGY416" s="1716"/>
      <c r="AGZ416" s="1716"/>
      <c r="AHA416" s="1716"/>
      <c r="AHB416" s="244"/>
      <c r="AHC416" s="244" t="s">
        <v>68</v>
      </c>
      <c r="AHD416" s="245" t="s">
        <v>68</v>
      </c>
      <c r="AHE416" s="1715" t="s">
        <v>0</v>
      </c>
      <c r="AHF416" s="1716"/>
      <c r="AHG416" s="1716"/>
      <c r="AHH416" s="1716"/>
      <c r="AHI416" s="1716"/>
      <c r="AHJ416" s="244"/>
      <c r="AHK416" s="244" t="s">
        <v>68</v>
      </c>
      <c r="AHL416" s="245" t="s">
        <v>68</v>
      </c>
      <c r="AHM416" s="1715" t="s">
        <v>0</v>
      </c>
      <c r="AHN416" s="1716"/>
      <c r="AHO416" s="1716"/>
      <c r="AHP416" s="1716"/>
      <c r="AHQ416" s="1716"/>
      <c r="AHR416" s="244"/>
      <c r="AHS416" s="244" t="s">
        <v>68</v>
      </c>
      <c r="AHT416" s="245" t="s">
        <v>68</v>
      </c>
      <c r="AHU416" s="1715" t="s">
        <v>0</v>
      </c>
      <c r="AHV416" s="1716"/>
      <c r="AHW416" s="1716"/>
      <c r="AHX416" s="1716"/>
      <c r="AHY416" s="1716"/>
      <c r="AHZ416" s="244"/>
      <c r="AIA416" s="244" t="s">
        <v>68</v>
      </c>
      <c r="AIB416" s="245" t="s">
        <v>68</v>
      </c>
      <c r="AIC416" s="1715" t="s">
        <v>0</v>
      </c>
      <c r="AID416" s="1716"/>
      <c r="AIE416" s="1716"/>
      <c r="AIF416" s="1716"/>
      <c r="AIG416" s="1716"/>
      <c r="AIH416" s="244"/>
      <c r="AII416" s="244" t="s">
        <v>68</v>
      </c>
      <c r="AIJ416" s="245" t="s">
        <v>68</v>
      </c>
      <c r="AIK416" s="1715" t="s">
        <v>0</v>
      </c>
      <c r="AIL416" s="1716"/>
      <c r="AIM416" s="1716"/>
      <c r="AIN416" s="1716"/>
      <c r="AIO416" s="1716"/>
      <c r="AIP416" s="244"/>
      <c r="AIQ416" s="244" t="s">
        <v>68</v>
      </c>
      <c r="AIR416" s="245" t="s">
        <v>68</v>
      </c>
      <c r="AIS416" s="1715" t="s">
        <v>0</v>
      </c>
      <c r="AIT416" s="1716"/>
      <c r="AIU416" s="1716"/>
      <c r="AIV416" s="1716"/>
      <c r="AIW416" s="1716"/>
      <c r="AIX416" s="244"/>
      <c r="AIY416" s="244" t="s">
        <v>68</v>
      </c>
      <c r="AIZ416" s="245" t="s">
        <v>68</v>
      </c>
      <c r="AJA416" s="1715" t="s">
        <v>0</v>
      </c>
      <c r="AJB416" s="1716"/>
      <c r="AJC416" s="1716"/>
      <c r="AJD416" s="1716"/>
      <c r="AJE416" s="1716"/>
      <c r="AJF416" s="244"/>
      <c r="AJG416" s="244" t="s">
        <v>68</v>
      </c>
      <c r="AJH416" s="245" t="s">
        <v>68</v>
      </c>
      <c r="AJI416" s="1715" t="s">
        <v>0</v>
      </c>
      <c r="AJJ416" s="1716"/>
      <c r="AJK416" s="1716"/>
      <c r="AJL416" s="1716"/>
      <c r="AJM416" s="1716"/>
      <c r="AJN416" s="244"/>
      <c r="AJO416" s="244" t="s">
        <v>68</v>
      </c>
      <c r="AJP416" s="245" t="s">
        <v>68</v>
      </c>
      <c r="AJQ416" s="1715" t="s">
        <v>0</v>
      </c>
      <c r="AJR416" s="1716"/>
      <c r="AJS416" s="1716"/>
      <c r="AJT416" s="1716"/>
      <c r="AJU416" s="1716"/>
      <c r="AJV416" s="244"/>
      <c r="AJW416" s="244" t="s">
        <v>68</v>
      </c>
      <c r="AJX416" s="245" t="s">
        <v>68</v>
      </c>
      <c r="AJY416" s="1715" t="s">
        <v>0</v>
      </c>
      <c r="AJZ416" s="1716"/>
      <c r="AKA416" s="1716"/>
      <c r="AKB416" s="1716"/>
      <c r="AKC416" s="1716"/>
      <c r="AKD416" s="244"/>
      <c r="AKE416" s="244" t="s">
        <v>68</v>
      </c>
      <c r="AKF416" s="245" t="s">
        <v>68</v>
      </c>
      <c r="AKG416" s="1715" t="s">
        <v>0</v>
      </c>
      <c r="AKH416" s="1716"/>
      <c r="AKI416" s="1716"/>
      <c r="AKJ416" s="1716"/>
      <c r="AKK416" s="1716"/>
      <c r="AKL416" s="244"/>
      <c r="AKM416" s="244" t="s">
        <v>68</v>
      </c>
      <c r="AKN416" s="245" t="s">
        <v>68</v>
      </c>
      <c r="AKO416" s="1715" t="s">
        <v>0</v>
      </c>
      <c r="AKP416" s="1716"/>
      <c r="AKQ416" s="1716"/>
      <c r="AKR416" s="1716"/>
      <c r="AKS416" s="1716"/>
      <c r="AKT416" s="244"/>
      <c r="AKU416" s="244" t="s">
        <v>68</v>
      </c>
      <c r="AKV416" s="245" t="s">
        <v>68</v>
      </c>
      <c r="AKW416" s="1715" t="s">
        <v>0</v>
      </c>
      <c r="AKX416" s="1716"/>
      <c r="AKY416" s="1716"/>
      <c r="AKZ416" s="1716"/>
      <c r="ALA416" s="1716"/>
      <c r="ALB416" s="244"/>
      <c r="ALC416" s="244" t="s">
        <v>68</v>
      </c>
      <c r="ALD416" s="245" t="s">
        <v>68</v>
      </c>
      <c r="ALE416" s="1715" t="s">
        <v>0</v>
      </c>
      <c r="ALF416" s="1716"/>
      <c r="ALG416" s="1716"/>
      <c r="ALH416" s="1716"/>
      <c r="ALI416" s="1716"/>
      <c r="ALJ416" s="244"/>
      <c r="ALK416" s="244" t="s">
        <v>68</v>
      </c>
      <c r="ALL416" s="245" t="s">
        <v>68</v>
      </c>
      <c r="ALM416" s="1715" t="s">
        <v>0</v>
      </c>
      <c r="ALN416" s="1716"/>
      <c r="ALO416" s="1716"/>
      <c r="ALP416" s="1716"/>
      <c r="ALQ416" s="1716"/>
      <c r="ALR416" s="244"/>
      <c r="ALS416" s="244" t="s">
        <v>68</v>
      </c>
      <c r="ALT416" s="245" t="s">
        <v>68</v>
      </c>
      <c r="ALU416" s="1715" t="s">
        <v>0</v>
      </c>
      <c r="ALV416" s="1716"/>
      <c r="ALW416" s="1716"/>
      <c r="ALX416" s="1716"/>
      <c r="ALY416" s="1716"/>
      <c r="ALZ416" s="244"/>
      <c r="AMA416" s="244" t="s">
        <v>68</v>
      </c>
      <c r="AMB416" s="245" t="s">
        <v>68</v>
      </c>
      <c r="AMC416" s="1715" t="s">
        <v>0</v>
      </c>
      <c r="AMD416" s="1716"/>
      <c r="AME416" s="1716"/>
      <c r="AMF416" s="1716"/>
      <c r="AMG416" s="1716"/>
      <c r="AMH416" s="244"/>
      <c r="AMI416" s="244" t="s">
        <v>68</v>
      </c>
      <c r="AMJ416" s="245" t="s">
        <v>68</v>
      </c>
      <c r="AMK416" s="1715" t="s">
        <v>0</v>
      </c>
      <c r="AML416" s="1716"/>
      <c r="AMM416" s="1716"/>
      <c r="AMN416" s="1716"/>
      <c r="AMO416" s="1716"/>
      <c r="AMP416" s="244"/>
      <c r="AMQ416" s="244" t="s">
        <v>68</v>
      </c>
      <c r="AMR416" s="245" t="s">
        <v>68</v>
      </c>
      <c r="AMS416" s="1715" t="s">
        <v>0</v>
      </c>
      <c r="AMT416" s="1716"/>
      <c r="AMU416" s="1716"/>
      <c r="AMV416" s="1716"/>
      <c r="AMW416" s="1716"/>
      <c r="AMX416" s="244"/>
      <c r="AMY416" s="244" t="s">
        <v>68</v>
      </c>
      <c r="AMZ416" s="245" t="s">
        <v>68</v>
      </c>
      <c r="ANA416" s="1715" t="s">
        <v>0</v>
      </c>
      <c r="ANB416" s="1716"/>
      <c r="ANC416" s="1716"/>
      <c r="AND416" s="1716"/>
      <c r="ANE416" s="1716"/>
      <c r="ANF416" s="244"/>
      <c r="ANG416" s="244" t="s">
        <v>68</v>
      </c>
      <c r="ANH416" s="245" t="s">
        <v>68</v>
      </c>
      <c r="ANI416" s="1715" t="s">
        <v>0</v>
      </c>
      <c r="ANJ416" s="1716"/>
      <c r="ANK416" s="1716"/>
      <c r="ANL416" s="1716"/>
      <c r="ANM416" s="1716"/>
      <c r="ANN416" s="244"/>
      <c r="ANO416" s="244" t="s">
        <v>68</v>
      </c>
      <c r="ANP416" s="245" t="s">
        <v>68</v>
      </c>
      <c r="ANQ416" s="1715" t="s">
        <v>0</v>
      </c>
      <c r="ANR416" s="1716"/>
      <c r="ANS416" s="1716"/>
      <c r="ANT416" s="1716"/>
      <c r="ANU416" s="1716"/>
      <c r="ANV416" s="244"/>
      <c r="ANW416" s="244" t="s">
        <v>68</v>
      </c>
      <c r="ANX416" s="245" t="s">
        <v>68</v>
      </c>
      <c r="ANY416" s="1715" t="s">
        <v>0</v>
      </c>
      <c r="ANZ416" s="1716"/>
      <c r="AOA416" s="1716"/>
      <c r="AOB416" s="1716"/>
      <c r="AOC416" s="1716"/>
      <c r="AOD416" s="244"/>
      <c r="AOE416" s="244" t="s">
        <v>68</v>
      </c>
      <c r="AOF416" s="245" t="s">
        <v>68</v>
      </c>
      <c r="AOG416" s="1715" t="s">
        <v>0</v>
      </c>
      <c r="AOH416" s="1716"/>
      <c r="AOI416" s="1716"/>
      <c r="AOJ416" s="1716"/>
      <c r="AOK416" s="1716"/>
      <c r="AOL416" s="244"/>
      <c r="AOM416" s="244" t="s">
        <v>68</v>
      </c>
      <c r="AON416" s="245" t="s">
        <v>68</v>
      </c>
      <c r="AOO416" s="1715" t="s">
        <v>0</v>
      </c>
      <c r="AOP416" s="1716"/>
      <c r="AOQ416" s="1716"/>
      <c r="AOR416" s="1716"/>
      <c r="AOS416" s="1716"/>
      <c r="AOT416" s="244"/>
      <c r="AOU416" s="244" t="s">
        <v>68</v>
      </c>
      <c r="AOV416" s="245" t="s">
        <v>68</v>
      </c>
      <c r="AOW416" s="1715" t="s">
        <v>0</v>
      </c>
      <c r="AOX416" s="1716"/>
      <c r="AOY416" s="1716"/>
      <c r="AOZ416" s="1716"/>
      <c r="APA416" s="1716"/>
      <c r="APB416" s="244"/>
      <c r="APC416" s="244" t="s">
        <v>68</v>
      </c>
      <c r="APD416" s="245" t="s">
        <v>68</v>
      </c>
      <c r="APE416" s="1715" t="s">
        <v>0</v>
      </c>
      <c r="APF416" s="1716"/>
      <c r="APG416" s="1716"/>
      <c r="APH416" s="1716"/>
      <c r="API416" s="1716"/>
      <c r="APJ416" s="244"/>
      <c r="APK416" s="244" t="s">
        <v>68</v>
      </c>
      <c r="APL416" s="245" t="s">
        <v>68</v>
      </c>
      <c r="APM416" s="1715" t="s">
        <v>0</v>
      </c>
      <c r="APN416" s="1716"/>
      <c r="APO416" s="1716"/>
      <c r="APP416" s="1716"/>
      <c r="APQ416" s="1716"/>
      <c r="APR416" s="244"/>
      <c r="APS416" s="244" t="s">
        <v>68</v>
      </c>
      <c r="APT416" s="245" t="s">
        <v>68</v>
      </c>
      <c r="APU416" s="1715" t="s">
        <v>0</v>
      </c>
      <c r="APV416" s="1716"/>
      <c r="APW416" s="1716"/>
      <c r="APX416" s="1716"/>
      <c r="APY416" s="1716"/>
      <c r="APZ416" s="244"/>
      <c r="AQA416" s="244" t="s">
        <v>68</v>
      </c>
      <c r="AQB416" s="245" t="s">
        <v>68</v>
      </c>
      <c r="AQC416" s="1715" t="s">
        <v>0</v>
      </c>
      <c r="AQD416" s="1716"/>
      <c r="AQE416" s="1716"/>
      <c r="AQF416" s="1716"/>
      <c r="AQG416" s="1716"/>
      <c r="AQH416" s="244"/>
      <c r="AQI416" s="244" t="s">
        <v>68</v>
      </c>
      <c r="AQJ416" s="245" t="s">
        <v>68</v>
      </c>
      <c r="AQK416" s="1715" t="s">
        <v>0</v>
      </c>
      <c r="AQL416" s="1716"/>
      <c r="AQM416" s="1716"/>
      <c r="AQN416" s="1716"/>
      <c r="AQO416" s="1716"/>
      <c r="AQP416" s="244"/>
      <c r="AQQ416" s="244" t="s">
        <v>68</v>
      </c>
      <c r="AQR416" s="245" t="s">
        <v>68</v>
      </c>
      <c r="AQS416" s="1715" t="s">
        <v>0</v>
      </c>
      <c r="AQT416" s="1716"/>
      <c r="AQU416" s="1716"/>
      <c r="AQV416" s="1716"/>
      <c r="AQW416" s="1716"/>
      <c r="AQX416" s="244"/>
      <c r="AQY416" s="244" t="s">
        <v>68</v>
      </c>
      <c r="AQZ416" s="245" t="s">
        <v>68</v>
      </c>
      <c r="ARA416" s="1715" t="s">
        <v>0</v>
      </c>
      <c r="ARB416" s="1716"/>
      <c r="ARC416" s="1716"/>
      <c r="ARD416" s="1716"/>
      <c r="ARE416" s="1716"/>
      <c r="ARF416" s="244"/>
      <c r="ARG416" s="244" t="s">
        <v>68</v>
      </c>
      <c r="ARH416" s="245" t="s">
        <v>68</v>
      </c>
      <c r="ARI416" s="1715" t="s">
        <v>0</v>
      </c>
      <c r="ARJ416" s="1716"/>
      <c r="ARK416" s="1716"/>
      <c r="ARL416" s="1716"/>
      <c r="ARM416" s="1716"/>
      <c r="ARN416" s="244"/>
      <c r="ARO416" s="244" t="s">
        <v>68</v>
      </c>
      <c r="ARP416" s="245" t="s">
        <v>68</v>
      </c>
      <c r="ARQ416" s="1715" t="s">
        <v>0</v>
      </c>
      <c r="ARR416" s="1716"/>
      <c r="ARS416" s="1716"/>
      <c r="ART416" s="1716"/>
      <c r="ARU416" s="1716"/>
      <c r="ARV416" s="244"/>
      <c r="ARW416" s="244" t="s">
        <v>68</v>
      </c>
      <c r="ARX416" s="245" t="s">
        <v>68</v>
      </c>
      <c r="ARY416" s="1715" t="s">
        <v>0</v>
      </c>
      <c r="ARZ416" s="1716"/>
      <c r="ASA416" s="1716"/>
      <c r="ASB416" s="1716"/>
      <c r="ASC416" s="1716"/>
      <c r="ASD416" s="244"/>
      <c r="ASE416" s="244" t="s">
        <v>68</v>
      </c>
      <c r="ASF416" s="245" t="s">
        <v>68</v>
      </c>
      <c r="ASG416" s="1715" t="s">
        <v>0</v>
      </c>
      <c r="ASH416" s="1716"/>
      <c r="ASI416" s="1716"/>
      <c r="ASJ416" s="1716"/>
      <c r="ASK416" s="1716"/>
      <c r="ASL416" s="244"/>
      <c r="ASM416" s="244" t="s">
        <v>68</v>
      </c>
      <c r="ASN416" s="245" t="s">
        <v>68</v>
      </c>
      <c r="ASO416" s="1715" t="s">
        <v>0</v>
      </c>
      <c r="ASP416" s="1716"/>
      <c r="ASQ416" s="1716"/>
      <c r="ASR416" s="1716"/>
      <c r="ASS416" s="1716"/>
      <c r="AST416" s="244"/>
      <c r="ASU416" s="244" t="s">
        <v>68</v>
      </c>
      <c r="ASV416" s="245" t="s">
        <v>68</v>
      </c>
      <c r="ASW416" s="1715" t="s">
        <v>0</v>
      </c>
      <c r="ASX416" s="1716"/>
      <c r="ASY416" s="1716"/>
      <c r="ASZ416" s="1716"/>
      <c r="ATA416" s="1716"/>
      <c r="ATB416" s="244"/>
      <c r="ATC416" s="244" t="s">
        <v>68</v>
      </c>
      <c r="ATD416" s="245" t="s">
        <v>68</v>
      </c>
      <c r="ATE416" s="1715" t="s">
        <v>0</v>
      </c>
      <c r="ATF416" s="1716"/>
      <c r="ATG416" s="1716"/>
      <c r="ATH416" s="1716"/>
      <c r="ATI416" s="1716"/>
      <c r="ATJ416" s="244"/>
      <c r="ATK416" s="244" t="s">
        <v>68</v>
      </c>
      <c r="ATL416" s="245" t="s">
        <v>68</v>
      </c>
      <c r="ATM416" s="1715" t="s">
        <v>0</v>
      </c>
      <c r="ATN416" s="1716"/>
      <c r="ATO416" s="1716"/>
      <c r="ATP416" s="1716"/>
      <c r="ATQ416" s="1716"/>
      <c r="ATR416" s="244"/>
      <c r="ATS416" s="244" t="s">
        <v>68</v>
      </c>
      <c r="ATT416" s="245" t="s">
        <v>68</v>
      </c>
      <c r="ATU416" s="1715" t="s">
        <v>0</v>
      </c>
      <c r="ATV416" s="1716"/>
      <c r="ATW416" s="1716"/>
      <c r="ATX416" s="1716"/>
      <c r="ATY416" s="1716"/>
      <c r="ATZ416" s="244"/>
      <c r="AUA416" s="244" t="s">
        <v>68</v>
      </c>
      <c r="AUB416" s="245" t="s">
        <v>68</v>
      </c>
      <c r="AUC416" s="1715" t="s">
        <v>0</v>
      </c>
      <c r="AUD416" s="1716"/>
      <c r="AUE416" s="1716"/>
      <c r="AUF416" s="1716"/>
      <c r="AUG416" s="1716"/>
      <c r="AUH416" s="244"/>
      <c r="AUI416" s="244" t="s">
        <v>68</v>
      </c>
      <c r="AUJ416" s="245" t="s">
        <v>68</v>
      </c>
      <c r="AUK416" s="1715" t="s">
        <v>0</v>
      </c>
      <c r="AUL416" s="1716"/>
      <c r="AUM416" s="1716"/>
      <c r="AUN416" s="1716"/>
      <c r="AUO416" s="1716"/>
      <c r="AUP416" s="244"/>
      <c r="AUQ416" s="244" t="s">
        <v>68</v>
      </c>
      <c r="AUR416" s="245" t="s">
        <v>68</v>
      </c>
      <c r="AUS416" s="1715" t="s">
        <v>0</v>
      </c>
      <c r="AUT416" s="1716"/>
      <c r="AUU416" s="1716"/>
      <c r="AUV416" s="1716"/>
      <c r="AUW416" s="1716"/>
      <c r="AUX416" s="244"/>
      <c r="AUY416" s="244" t="s">
        <v>68</v>
      </c>
      <c r="AUZ416" s="245" t="s">
        <v>68</v>
      </c>
      <c r="AVA416" s="1715" t="s">
        <v>0</v>
      </c>
      <c r="AVB416" s="1716"/>
      <c r="AVC416" s="1716"/>
      <c r="AVD416" s="1716"/>
      <c r="AVE416" s="1716"/>
      <c r="AVF416" s="244"/>
      <c r="AVG416" s="244" t="s">
        <v>68</v>
      </c>
      <c r="AVH416" s="245" t="s">
        <v>68</v>
      </c>
      <c r="AVI416" s="1715" t="s">
        <v>0</v>
      </c>
      <c r="AVJ416" s="1716"/>
      <c r="AVK416" s="1716"/>
      <c r="AVL416" s="1716"/>
      <c r="AVM416" s="1716"/>
      <c r="AVN416" s="244"/>
      <c r="AVO416" s="244" t="s">
        <v>68</v>
      </c>
      <c r="AVP416" s="245" t="s">
        <v>68</v>
      </c>
      <c r="AVQ416" s="1715" t="s">
        <v>0</v>
      </c>
      <c r="AVR416" s="1716"/>
      <c r="AVS416" s="1716"/>
      <c r="AVT416" s="1716"/>
      <c r="AVU416" s="1716"/>
      <c r="AVV416" s="244"/>
      <c r="AVW416" s="244" t="s">
        <v>68</v>
      </c>
      <c r="AVX416" s="245" t="s">
        <v>68</v>
      </c>
      <c r="AVY416" s="1715" t="s">
        <v>0</v>
      </c>
      <c r="AVZ416" s="1716"/>
      <c r="AWA416" s="1716"/>
      <c r="AWB416" s="1716"/>
      <c r="AWC416" s="1716"/>
      <c r="AWD416" s="244"/>
      <c r="AWE416" s="244" t="s">
        <v>68</v>
      </c>
      <c r="AWF416" s="245" t="s">
        <v>68</v>
      </c>
      <c r="AWG416" s="1715" t="s">
        <v>0</v>
      </c>
      <c r="AWH416" s="1716"/>
      <c r="AWI416" s="1716"/>
      <c r="AWJ416" s="1716"/>
      <c r="AWK416" s="1716"/>
      <c r="AWL416" s="244"/>
      <c r="AWM416" s="244" t="s">
        <v>68</v>
      </c>
      <c r="AWN416" s="245" t="s">
        <v>68</v>
      </c>
      <c r="AWO416" s="1715" t="s">
        <v>0</v>
      </c>
      <c r="AWP416" s="1716"/>
      <c r="AWQ416" s="1716"/>
      <c r="AWR416" s="1716"/>
      <c r="AWS416" s="1716"/>
      <c r="AWT416" s="244"/>
      <c r="AWU416" s="244" t="s">
        <v>68</v>
      </c>
      <c r="AWV416" s="245" t="s">
        <v>68</v>
      </c>
      <c r="AWW416" s="1715" t="s">
        <v>0</v>
      </c>
      <c r="AWX416" s="1716"/>
      <c r="AWY416" s="1716"/>
      <c r="AWZ416" s="1716"/>
      <c r="AXA416" s="1716"/>
      <c r="AXB416" s="244"/>
      <c r="AXC416" s="244" t="s">
        <v>68</v>
      </c>
      <c r="AXD416" s="245" t="s">
        <v>68</v>
      </c>
      <c r="AXE416" s="1715" t="s">
        <v>0</v>
      </c>
      <c r="AXF416" s="1716"/>
      <c r="AXG416" s="1716"/>
      <c r="AXH416" s="1716"/>
      <c r="AXI416" s="1716"/>
      <c r="AXJ416" s="244"/>
      <c r="AXK416" s="244" t="s">
        <v>68</v>
      </c>
      <c r="AXL416" s="245" t="s">
        <v>68</v>
      </c>
      <c r="AXM416" s="1715" t="s">
        <v>0</v>
      </c>
      <c r="AXN416" s="1716"/>
      <c r="AXO416" s="1716"/>
      <c r="AXP416" s="1716"/>
      <c r="AXQ416" s="1716"/>
      <c r="AXR416" s="244"/>
      <c r="AXS416" s="244" t="s">
        <v>68</v>
      </c>
      <c r="AXT416" s="245" t="s">
        <v>68</v>
      </c>
      <c r="AXU416" s="1715" t="s">
        <v>0</v>
      </c>
      <c r="AXV416" s="1716"/>
      <c r="AXW416" s="1716"/>
      <c r="AXX416" s="1716"/>
      <c r="AXY416" s="1716"/>
      <c r="AXZ416" s="244"/>
      <c r="AYA416" s="244" t="s">
        <v>68</v>
      </c>
      <c r="AYB416" s="245" t="s">
        <v>68</v>
      </c>
      <c r="AYC416" s="1715" t="s">
        <v>0</v>
      </c>
      <c r="AYD416" s="1716"/>
      <c r="AYE416" s="1716"/>
      <c r="AYF416" s="1716"/>
      <c r="AYG416" s="1716"/>
      <c r="AYH416" s="244"/>
      <c r="AYI416" s="244" t="s">
        <v>68</v>
      </c>
      <c r="AYJ416" s="245" t="s">
        <v>68</v>
      </c>
      <c r="AYK416" s="1715" t="s">
        <v>0</v>
      </c>
      <c r="AYL416" s="1716"/>
      <c r="AYM416" s="1716"/>
      <c r="AYN416" s="1716"/>
      <c r="AYO416" s="1716"/>
      <c r="AYP416" s="244"/>
      <c r="AYQ416" s="244" t="s">
        <v>68</v>
      </c>
      <c r="AYR416" s="245" t="s">
        <v>68</v>
      </c>
      <c r="AYS416" s="1715" t="s">
        <v>0</v>
      </c>
      <c r="AYT416" s="1716"/>
      <c r="AYU416" s="1716"/>
      <c r="AYV416" s="1716"/>
      <c r="AYW416" s="1716"/>
      <c r="AYX416" s="244"/>
      <c r="AYY416" s="244" t="s">
        <v>68</v>
      </c>
      <c r="AYZ416" s="245" t="s">
        <v>68</v>
      </c>
      <c r="AZA416" s="1715" t="s">
        <v>0</v>
      </c>
      <c r="AZB416" s="1716"/>
      <c r="AZC416" s="1716"/>
      <c r="AZD416" s="1716"/>
      <c r="AZE416" s="1716"/>
      <c r="AZF416" s="244"/>
      <c r="AZG416" s="244" t="s">
        <v>68</v>
      </c>
      <c r="AZH416" s="245" t="s">
        <v>68</v>
      </c>
      <c r="AZI416" s="1715" t="s">
        <v>0</v>
      </c>
      <c r="AZJ416" s="1716"/>
      <c r="AZK416" s="1716"/>
      <c r="AZL416" s="1716"/>
      <c r="AZM416" s="1716"/>
      <c r="AZN416" s="244"/>
      <c r="AZO416" s="244" t="s">
        <v>68</v>
      </c>
      <c r="AZP416" s="245" t="s">
        <v>68</v>
      </c>
      <c r="AZQ416" s="1715" t="s">
        <v>0</v>
      </c>
      <c r="AZR416" s="1716"/>
      <c r="AZS416" s="1716"/>
      <c r="AZT416" s="1716"/>
      <c r="AZU416" s="1716"/>
      <c r="AZV416" s="244"/>
      <c r="AZW416" s="244" t="s">
        <v>68</v>
      </c>
      <c r="AZX416" s="245" t="s">
        <v>68</v>
      </c>
      <c r="AZY416" s="1715" t="s">
        <v>0</v>
      </c>
      <c r="AZZ416" s="1716"/>
      <c r="BAA416" s="1716"/>
      <c r="BAB416" s="1716"/>
      <c r="BAC416" s="1716"/>
      <c r="BAD416" s="244"/>
      <c r="BAE416" s="244" t="s">
        <v>68</v>
      </c>
      <c r="BAF416" s="245" t="s">
        <v>68</v>
      </c>
      <c r="BAG416" s="1715" t="s">
        <v>0</v>
      </c>
      <c r="BAH416" s="1716"/>
      <c r="BAI416" s="1716"/>
      <c r="BAJ416" s="1716"/>
      <c r="BAK416" s="1716"/>
      <c r="BAL416" s="244"/>
      <c r="BAM416" s="244" t="s">
        <v>68</v>
      </c>
      <c r="BAN416" s="245" t="s">
        <v>68</v>
      </c>
      <c r="BAO416" s="1715" t="s">
        <v>0</v>
      </c>
      <c r="BAP416" s="1716"/>
      <c r="BAQ416" s="1716"/>
      <c r="BAR416" s="1716"/>
      <c r="BAS416" s="1716"/>
      <c r="BAT416" s="244"/>
      <c r="BAU416" s="244" t="s">
        <v>68</v>
      </c>
      <c r="BAV416" s="245" t="s">
        <v>68</v>
      </c>
      <c r="BAW416" s="1715" t="s">
        <v>0</v>
      </c>
      <c r="BAX416" s="1716"/>
      <c r="BAY416" s="1716"/>
      <c r="BAZ416" s="1716"/>
      <c r="BBA416" s="1716"/>
      <c r="BBB416" s="244"/>
      <c r="BBC416" s="244" t="s">
        <v>68</v>
      </c>
      <c r="BBD416" s="245" t="s">
        <v>68</v>
      </c>
      <c r="BBE416" s="1715" t="s">
        <v>0</v>
      </c>
      <c r="BBF416" s="1716"/>
      <c r="BBG416" s="1716"/>
      <c r="BBH416" s="1716"/>
      <c r="BBI416" s="1716"/>
      <c r="BBJ416" s="244"/>
      <c r="BBK416" s="244" t="s">
        <v>68</v>
      </c>
      <c r="BBL416" s="245" t="s">
        <v>68</v>
      </c>
      <c r="BBM416" s="1715" t="s">
        <v>0</v>
      </c>
      <c r="BBN416" s="1716"/>
      <c r="BBO416" s="1716"/>
      <c r="BBP416" s="1716"/>
      <c r="BBQ416" s="1716"/>
      <c r="BBR416" s="244"/>
      <c r="BBS416" s="244" t="s">
        <v>68</v>
      </c>
      <c r="BBT416" s="245" t="s">
        <v>68</v>
      </c>
      <c r="BBU416" s="1715" t="s">
        <v>0</v>
      </c>
      <c r="BBV416" s="1716"/>
      <c r="BBW416" s="1716"/>
      <c r="BBX416" s="1716"/>
      <c r="BBY416" s="1716"/>
      <c r="BBZ416" s="244"/>
      <c r="BCA416" s="244" t="s">
        <v>68</v>
      </c>
      <c r="BCB416" s="245" t="s">
        <v>68</v>
      </c>
      <c r="BCC416" s="1715" t="s">
        <v>0</v>
      </c>
      <c r="BCD416" s="1716"/>
      <c r="BCE416" s="1716"/>
      <c r="BCF416" s="1716"/>
      <c r="BCG416" s="1716"/>
      <c r="BCH416" s="244"/>
      <c r="BCI416" s="244" t="s">
        <v>68</v>
      </c>
      <c r="BCJ416" s="245" t="s">
        <v>68</v>
      </c>
      <c r="BCK416" s="1715" t="s">
        <v>0</v>
      </c>
      <c r="BCL416" s="1716"/>
      <c r="BCM416" s="1716"/>
      <c r="BCN416" s="1716"/>
      <c r="BCO416" s="1716"/>
      <c r="BCP416" s="244"/>
      <c r="BCQ416" s="244" t="s">
        <v>68</v>
      </c>
      <c r="BCR416" s="245" t="s">
        <v>68</v>
      </c>
      <c r="BCS416" s="1715" t="s">
        <v>0</v>
      </c>
      <c r="BCT416" s="1716"/>
      <c r="BCU416" s="1716"/>
      <c r="BCV416" s="1716"/>
      <c r="BCW416" s="1716"/>
      <c r="BCX416" s="244"/>
      <c r="BCY416" s="244" t="s">
        <v>68</v>
      </c>
      <c r="BCZ416" s="245" t="s">
        <v>68</v>
      </c>
      <c r="BDA416" s="1715" t="s">
        <v>0</v>
      </c>
      <c r="BDB416" s="1716"/>
      <c r="BDC416" s="1716"/>
      <c r="BDD416" s="1716"/>
      <c r="BDE416" s="1716"/>
      <c r="BDF416" s="244"/>
      <c r="BDG416" s="244" t="s">
        <v>68</v>
      </c>
      <c r="BDH416" s="245" t="s">
        <v>68</v>
      </c>
      <c r="BDI416" s="1715" t="s">
        <v>0</v>
      </c>
      <c r="BDJ416" s="1716"/>
      <c r="BDK416" s="1716"/>
      <c r="BDL416" s="1716"/>
      <c r="BDM416" s="1716"/>
      <c r="BDN416" s="244"/>
      <c r="BDO416" s="244" t="s">
        <v>68</v>
      </c>
      <c r="BDP416" s="245" t="s">
        <v>68</v>
      </c>
      <c r="BDQ416" s="1715" t="s">
        <v>0</v>
      </c>
      <c r="BDR416" s="1716"/>
      <c r="BDS416" s="1716"/>
      <c r="BDT416" s="1716"/>
      <c r="BDU416" s="1716"/>
      <c r="BDV416" s="244"/>
      <c r="BDW416" s="244" t="s">
        <v>68</v>
      </c>
      <c r="BDX416" s="245" t="s">
        <v>68</v>
      </c>
      <c r="BDY416" s="1715" t="s">
        <v>0</v>
      </c>
      <c r="BDZ416" s="1716"/>
      <c r="BEA416" s="1716"/>
      <c r="BEB416" s="1716"/>
      <c r="BEC416" s="1716"/>
      <c r="BED416" s="244"/>
      <c r="BEE416" s="244" t="s">
        <v>68</v>
      </c>
      <c r="BEF416" s="245" t="s">
        <v>68</v>
      </c>
      <c r="BEG416" s="1715" t="s">
        <v>0</v>
      </c>
      <c r="BEH416" s="1716"/>
      <c r="BEI416" s="1716"/>
      <c r="BEJ416" s="1716"/>
      <c r="BEK416" s="1716"/>
      <c r="BEL416" s="244"/>
      <c r="BEM416" s="244" t="s">
        <v>68</v>
      </c>
      <c r="BEN416" s="245" t="s">
        <v>68</v>
      </c>
      <c r="BEO416" s="1715" t="s">
        <v>0</v>
      </c>
      <c r="BEP416" s="1716"/>
      <c r="BEQ416" s="1716"/>
      <c r="BER416" s="1716"/>
      <c r="BES416" s="1716"/>
      <c r="BET416" s="244"/>
      <c r="BEU416" s="244" t="s">
        <v>68</v>
      </c>
      <c r="BEV416" s="245" t="s">
        <v>68</v>
      </c>
      <c r="BEW416" s="1715" t="s">
        <v>0</v>
      </c>
      <c r="BEX416" s="1716"/>
      <c r="BEY416" s="1716"/>
      <c r="BEZ416" s="1716"/>
      <c r="BFA416" s="1716"/>
      <c r="BFB416" s="244"/>
      <c r="BFC416" s="244" t="s">
        <v>68</v>
      </c>
      <c r="BFD416" s="245" t="s">
        <v>68</v>
      </c>
      <c r="BFE416" s="1715" t="s">
        <v>0</v>
      </c>
      <c r="BFF416" s="1716"/>
      <c r="BFG416" s="1716"/>
      <c r="BFH416" s="1716"/>
      <c r="BFI416" s="1716"/>
      <c r="BFJ416" s="244"/>
      <c r="BFK416" s="244" t="s">
        <v>68</v>
      </c>
      <c r="BFL416" s="245" t="s">
        <v>68</v>
      </c>
      <c r="BFM416" s="1715" t="s">
        <v>0</v>
      </c>
      <c r="BFN416" s="1716"/>
      <c r="BFO416" s="1716"/>
      <c r="BFP416" s="1716"/>
      <c r="BFQ416" s="1716"/>
      <c r="BFR416" s="244"/>
      <c r="BFS416" s="244" t="s">
        <v>68</v>
      </c>
      <c r="BFT416" s="245" t="s">
        <v>68</v>
      </c>
      <c r="BFU416" s="1715" t="s">
        <v>0</v>
      </c>
      <c r="BFV416" s="1716"/>
      <c r="BFW416" s="1716"/>
      <c r="BFX416" s="1716"/>
      <c r="BFY416" s="1716"/>
      <c r="BFZ416" s="244"/>
      <c r="BGA416" s="244" t="s">
        <v>68</v>
      </c>
      <c r="BGB416" s="245" t="s">
        <v>68</v>
      </c>
      <c r="BGC416" s="1715" t="s">
        <v>0</v>
      </c>
      <c r="BGD416" s="1716"/>
      <c r="BGE416" s="1716"/>
      <c r="BGF416" s="1716"/>
      <c r="BGG416" s="1716"/>
      <c r="BGH416" s="244"/>
      <c r="BGI416" s="244" t="s">
        <v>68</v>
      </c>
      <c r="BGJ416" s="245" t="s">
        <v>68</v>
      </c>
      <c r="BGK416" s="1715" t="s">
        <v>0</v>
      </c>
      <c r="BGL416" s="1716"/>
      <c r="BGM416" s="1716"/>
      <c r="BGN416" s="1716"/>
      <c r="BGO416" s="1716"/>
      <c r="BGP416" s="244"/>
      <c r="BGQ416" s="244" t="s">
        <v>68</v>
      </c>
      <c r="BGR416" s="245" t="s">
        <v>68</v>
      </c>
      <c r="BGS416" s="1715" t="s">
        <v>0</v>
      </c>
      <c r="BGT416" s="1716"/>
      <c r="BGU416" s="1716"/>
      <c r="BGV416" s="1716"/>
      <c r="BGW416" s="1716"/>
      <c r="BGX416" s="244"/>
      <c r="BGY416" s="244" t="s">
        <v>68</v>
      </c>
      <c r="BGZ416" s="245" t="s">
        <v>68</v>
      </c>
      <c r="BHA416" s="1715" t="s">
        <v>0</v>
      </c>
      <c r="BHB416" s="1716"/>
      <c r="BHC416" s="1716"/>
      <c r="BHD416" s="1716"/>
      <c r="BHE416" s="1716"/>
      <c r="BHF416" s="244"/>
      <c r="BHG416" s="244" t="s">
        <v>68</v>
      </c>
      <c r="BHH416" s="245" t="s">
        <v>68</v>
      </c>
      <c r="BHI416" s="1715" t="s">
        <v>0</v>
      </c>
      <c r="BHJ416" s="1716"/>
      <c r="BHK416" s="1716"/>
      <c r="BHL416" s="1716"/>
      <c r="BHM416" s="1716"/>
      <c r="BHN416" s="244"/>
      <c r="BHO416" s="244" t="s">
        <v>68</v>
      </c>
      <c r="BHP416" s="245" t="s">
        <v>68</v>
      </c>
      <c r="BHQ416" s="1715" t="s">
        <v>0</v>
      </c>
      <c r="BHR416" s="1716"/>
      <c r="BHS416" s="1716"/>
      <c r="BHT416" s="1716"/>
      <c r="BHU416" s="1716"/>
      <c r="BHV416" s="244"/>
      <c r="BHW416" s="244" t="s">
        <v>68</v>
      </c>
      <c r="BHX416" s="245" t="s">
        <v>68</v>
      </c>
      <c r="BHY416" s="1715" t="s">
        <v>0</v>
      </c>
      <c r="BHZ416" s="1716"/>
      <c r="BIA416" s="1716"/>
      <c r="BIB416" s="1716"/>
      <c r="BIC416" s="1716"/>
      <c r="BID416" s="244"/>
      <c r="BIE416" s="244" t="s">
        <v>68</v>
      </c>
      <c r="BIF416" s="245" t="s">
        <v>68</v>
      </c>
      <c r="BIG416" s="1715" t="s">
        <v>0</v>
      </c>
      <c r="BIH416" s="1716"/>
      <c r="BII416" s="1716"/>
      <c r="BIJ416" s="1716"/>
      <c r="BIK416" s="1716"/>
      <c r="BIL416" s="244"/>
      <c r="BIM416" s="244" t="s">
        <v>68</v>
      </c>
      <c r="BIN416" s="245" t="s">
        <v>68</v>
      </c>
      <c r="BIO416" s="1715" t="s">
        <v>0</v>
      </c>
      <c r="BIP416" s="1716"/>
      <c r="BIQ416" s="1716"/>
      <c r="BIR416" s="1716"/>
      <c r="BIS416" s="1716"/>
      <c r="BIT416" s="244"/>
      <c r="BIU416" s="244" t="s">
        <v>68</v>
      </c>
      <c r="BIV416" s="245" t="s">
        <v>68</v>
      </c>
      <c r="BIW416" s="1715" t="s">
        <v>0</v>
      </c>
      <c r="BIX416" s="1716"/>
      <c r="BIY416" s="1716"/>
      <c r="BIZ416" s="1716"/>
      <c r="BJA416" s="1716"/>
      <c r="BJB416" s="244"/>
      <c r="BJC416" s="244" t="s">
        <v>68</v>
      </c>
      <c r="BJD416" s="245" t="s">
        <v>68</v>
      </c>
      <c r="BJE416" s="1715" t="s">
        <v>0</v>
      </c>
      <c r="BJF416" s="1716"/>
      <c r="BJG416" s="1716"/>
      <c r="BJH416" s="1716"/>
      <c r="BJI416" s="1716"/>
      <c r="BJJ416" s="244"/>
      <c r="BJK416" s="244" t="s">
        <v>68</v>
      </c>
      <c r="BJL416" s="245" t="s">
        <v>68</v>
      </c>
      <c r="BJM416" s="1715" t="s">
        <v>0</v>
      </c>
      <c r="BJN416" s="1716"/>
      <c r="BJO416" s="1716"/>
      <c r="BJP416" s="1716"/>
      <c r="BJQ416" s="1716"/>
      <c r="BJR416" s="244"/>
      <c r="BJS416" s="244" t="s">
        <v>68</v>
      </c>
      <c r="BJT416" s="245" t="s">
        <v>68</v>
      </c>
      <c r="BJU416" s="1715" t="s">
        <v>0</v>
      </c>
      <c r="BJV416" s="1716"/>
      <c r="BJW416" s="1716"/>
      <c r="BJX416" s="1716"/>
      <c r="BJY416" s="1716"/>
      <c r="BJZ416" s="244"/>
      <c r="BKA416" s="244" t="s">
        <v>68</v>
      </c>
      <c r="BKB416" s="245" t="s">
        <v>68</v>
      </c>
      <c r="BKC416" s="1715" t="s">
        <v>0</v>
      </c>
      <c r="BKD416" s="1716"/>
      <c r="BKE416" s="1716"/>
      <c r="BKF416" s="1716"/>
      <c r="BKG416" s="1716"/>
      <c r="BKH416" s="244"/>
      <c r="BKI416" s="244" t="s">
        <v>68</v>
      </c>
      <c r="BKJ416" s="245" t="s">
        <v>68</v>
      </c>
      <c r="BKK416" s="1715" t="s">
        <v>0</v>
      </c>
      <c r="BKL416" s="1716"/>
      <c r="BKM416" s="1716"/>
      <c r="BKN416" s="1716"/>
      <c r="BKO416" s="1716"/>
      <c r="BKP416" s="244"/>
      <c r="BKQ416" s="244" t="s">
        <v>68</v>
      </c>
      <c r="BKR416" s="245" t="s">
        <v>68</v>
      </c>
      <c r="BKS416" s="1715" t="s">
        <v>0</v>
      </c>
      <c r="BKT416" s="1716"/>
      <c r="BKU416" s="1716"/>
      <c r="BKV416" s="1716"/>
      <c r="BKW416" s="1716"/>
      <c r="BKX416" s="244"/>
      <c r="BKY416" s="244" t="s">
        <v>68</v>
      </c>
      <c r="BKZ416" s="245" t="s">
        <v>68</v>
      </c>
      <c r="BLA416" s="1715" t="s">
        <v>0</v>
      </c>
      <c r="BLB416" s="1716"/>
      <c r="BLC416" s="1716"/>
      <c r="BLD416" s="1716"/>
      <c r="BLE416" s="1716"/>
      <c r="BLF416" s="244"/>
      <c r="BLG416" s="244" t="s">
        <v>68</v>
      </c>
      <c r="BLH416" s="245" t="s">
        <v>68</v>
      </c>
      <c r="BLI416" s="1715" t="s">
        <v>0</v>
      </c>
      <c r="BLJ416" s="1716"/>
      <c r="BLK416" s="1716"/>
      <c r="BLL416" s="1716"/>
      <c r="BLM416" s="1716"/>
      <c r="BLN416" s="244"/>
      <c r="BLO416" s="244" t="s">
        <v>68</v>
      </c>
      <c r="BLP416" s="245" t="s">
        <v>68</v>
      </c>
      <c r="BLQ416" s="1715" t="s">
        <v>0</v>
      </c>
      <c r="BLR416" s="1716"/>
      <c r="BLS416" s="1716"/>
      <c r="BLT416" s="1716"/>
      <c r="BLU416" s="1716"/>
      <c r="BLV416" s="244"/>
      <c r="BLW416" s="244" t="s">
        <v>68</v>
      </c>
      <c r="BLX416" s="245" t="s">
        <v>68</v>
      </c>
      <c r="BLY416" s="1715" t="s">
        <v>0</v>
      </c>
      <c r="BLZ416" s="1716"/>
      <c r="BMA416" s="1716"/>
      <c r="BMB416" s="1716"/>
      <c r="BMC416" s="1716"/>
      <c r="BMD416" s="244"/>
      <c r="BME416" s="244" t="s">
        <v>68</v>
      </c>
      <c r="BMF416" s="245" t="s">
        <v>68</v>
      </c>
      <c r="BMG416" s="1715" t="s">
        <v>0</v>
      </c>
      <c r="BMH416" s="1716"/>
      <c r="BMI416" s="1716"/>
      <c r="BMJ416" s="1716"/>
      <c r="BMK416" s="1716"/>
      <c r="BML416" s="244"/>
      <c r="BMM416" s="244" t="s">
        <v>68</v>
      </c>
      <c r="BMN416" s="245" t="s">
        <v>68</v>
      </c>
      <c r="BMO416" s="1715" t="s">
        <v>0</v>
      </c>
      <c r="BMP416" s="1716"/>
      <c r="BMQ416" s="1716"/>
      <c r="BMR416" s="1716"/>
      <c r="BMS416" s="1716"/>
      <c r="BMT416" s="244"/>
      <c r="BMU416" s="244" t="s">
        <v>68</v>
      </c>
      <c r="BMV416" s="245" t="s">
        <v>68</v>
      </c>
      <c r="BMW416" s="1715" t="s">
        <v>0</v>
      </c>
      <c r="BMX416" s="1716"/>
      <c r="BMY416" s="1716"/>
      <c r="BMZ416" s="1716"/>
      <c r="BNA416" s="1716"/>
      <c r="BNB416" s="244"/>
      <c r="BNC416" s="244" t="s">
        <v>68</v>
      </c>
      <c r="BND416" s="245" t="s">
        <v>68</v>
      </c>
      <c r="BNE416" s="1715" t="s">
        <v>0</v>
      </c>
      <c r="BNF416" s="1716"/>
      <c r="BNG416" s="1716"/>
      <c r="BNH416" s="1716"/>
      <c r="BNI416" s="1716"/>
      <c r="BNJ416" s="244"/>
      <c r="BNK416" s="244" t="s">
        <v>68</v>
      </c>
      <c r="BNL416" s="245" t="s">
        <v>68</v>
      </c>
      <c r="BNM416" s="1715" t="s">
        <v>0</v>
      </c>
      <c r="BNN416" s="1716"/>
      <c r="BNO416" s="1716"/>
      <c r="BNP416" s="1716"/>
      <c r="BNQ416" s="1716"/>
      <c r="BNR416" s="244"/>
      <c r="BNS416" s="244" t="s">
        <v>68</v>
      </c>
      <c r="BNT416" s="245" t="s">
        <v>68</v>
      </c>
      <c r="BNU416" s="1715" t="s">
        <v>0</v>
      </c>
      <c r="BNV416" s="1716"/>
      <c r="BNW416" s="1716"/>
      <c r="BNX416" s="1716"/>
      <c r="BNY416" s="1716"/>
      <c r="BNZ416" s="244"/>
      <c r="BOA416" s="244" t="s">
        <v>68</v>
      </c>
      <c r="BOB416" s="245" t="s">
        <v>68</v>
      </c>
      <c r="BOC416" s="1715" t="s">
        <v>0</v>
      </c>
      <c r="BOD416" s="1716"/>
      <c r="BOE416" s="1716"/>
      <c r="BOF416" s="1716"/>
      <c r="BOG416" s="1716"/>
      <c r="BOH416" s="244"/>
      <c r="BOI416" s="244" t="s">
        <v>68</v>
      </c>
      <c r="BOJ416" s="245" t="s">
        <v>68</v>
      </c>
      <c r="BOK416" s="1715" t="s">
        <v>0</v>
      </c>
      <c r="BOL416" s="1716"/>
      <c r="BOM416" s="1716"/>
      <c r="BON416" s="1716"/>
      <c r="BOO416" s="1716"/>
      <c r="BOP416" s="244"/>
      <c r="BOQ416" s="244" t="s">
        <v>68</v>
      </c>
      <c r="BOR416" s="245" t="s">
        <v>68</v>
      </c>
      <c r="BOS416" s="1715" t="s">
        <v>0</v>
      </c>
      <c r="BOT416" s="1716"/>
      <c r="BOU416" s="1716"/>
      <c r="BOV416" s="1716"/>
      <c r="BOW416" s="1716"/>
      <c r="BOX416" s="244"/>
      <c r="BOY416" s="244" t="s">
        <v>68</v>
      </c>
      <c r="BOZ416" s="245" t="s">
        <v>68</v>
      </c>
      <c r="BPA416" s="1715" t="s">
        <v>0</v>
      </c>
      <c r="BPB416" s="1716"/>
      <c r="BPC416" s="1716"/>
      <c r="BPD416" s="1716"/>
      <c r="BPE416" s="1716"/>
      <c r="BPF416" s="244"/>
      <c r="BPG416" s="244" t="s">
        <v>68</v>
      </c>
      <c r="BPH416" s="245" t="s">
        <v>68</v>
      </c>
      <c r="BPI416" s="1715" t="s">
        <v>0</v>
      </c>
      <c r="BPJ416" s="1716"/>
      <c r="BPK416" s="1716"/>
      <c r="BPL416" s="1716"/>
      <c r="BPM416" s="1716"/>
      <c r="BPN416" s="244"/>
      <c r="BPO416" s="244" t="s">
        <v>68</v>
      </c>
      <c r="BPP416" s="245" t="s">
        <v>68</v>
      </c>
      <c r="BPQ416" s="1715" t="s">
        <v>0</v>
      </c>
      <c r="BPR416" s="1716"/>
      <c r="BPS416" s="1716"/>
      <c r="BPT416" s="1716"/>
      <c r="BPU416" s="1716"/>
      <c r="BPV416" s="244"/>
      <c r="BPW416" s="244" t="s">
        <v>68</v>
      </c>
      <c r="BPX416" s="245" t="s">
        <v>68</v>
      </c>
      <c r="BPY416" s="1715" t="s">
        <v>0</v>
      </c>
      <c r="BPZ416" s="1716"/>
      <c r="BQA416" s="1716"/>
      <c r="BQB416" s="1716"/>
      <c r="BQC416" s="1716"/>
      <c r="BQD416" s="244"/>
      <c r="BQE416" s="244" t="s">
        <v>68</v>
      </c>
      <c r="BQF416" s="245" t="s">
        <v>68</v>
      </c>
      <c r="BQG416" s="1715" t="s">
        <v>0</v>
      </c>
      <c r="BQH416" s="1716"/>
      <c r="BQI416" s="1716"/>
      <c r="BQJ416" s="1716"/>
      <c r="BQK416" s="1716"/>
      <c r="BQL416" s="244"/>
      <c r="BQM416" s="244" t="s">
        <v>68</v>
      </c>
      <c r="BQN416" s="245" t="s">
        <v>68</v>
      </c>
      <c r="BQO416" s="1715" t="s">
        <v>0</v>
      </c>
      <c r="BQP416" s="1716"/>
      <c r="BQQ416" s="1716"/>
      <c r="BQR416" s="1716"/>
      <c r="BQS416" s="1716"/>
      <c r="BQT416" s="244"/>
      <c r="BQU416" s="244" t="s">
        <v>68</v>
      </c>
      <c r="BQV416" s="245" t="s">
        <v>68</v>
      </c>
      <c r="BQW416" s="1715" t="s">
        <v>0</v>
      </c>
      <c r="BQX416" s="1716"/>
      <c r="BQY416" s="1716"/>
      <c r="BQZ416" s="1716"/>
      <c r="BRA416" s="1716"/>
      <c r="BRB416" s="244"/>
      <c r="BRC416" s="244" t="s">
        <v>68</v>
      </c>
      <c r="BRD416" s="245" t="s">
        <v>68</v>
      </c>
      <c r="BRE416" s="1715" t="s">
        <v>0</v>
      </c>
      <c r="BRF416" s="1716"/>
      <c r="BRG416" s="1716"/>
      <c r="BRH416" s="1716"/>
      <c r="BRI416" s="1716"/>
      <c r="BRJ416" s="244"/>
      <c r="BRK416" s="244" t="s">
        <v>68</v>
      </c>
      <c r="BRL416" s="245" t="s">
        <v>68</v>
      </c>
      <c r="BRM416" s="1715" t="s">
        <v>0</v>
      </c>
      <c r="BRN416" s="1716"/>
      <c r="BRO416" s="1716"/>
      <c r="BRP416" s="1716"/>
      <c r="BRQ416" s="1716"/>
      <c r="BRR416" s="244"/>
      <c r="BRS416" s="244" t="s">
        <v>68</v>
      </c>
      <c r="BRT416" s="245" t="s">
        <v>68</v>
      </c>
      <c r="BRU416" s="1715" t="s">
        <v>0</v>
      </c>
      <c r="BRV416" s="1716"/>
      <c r="BRW416" s="1716"/>
      <c r="BRX416" s="1716"/>
      <c r="BRY416" s="1716"/>
      <c r="BRZ416" s="244"/>
      <c r="BSA416" s="244" t="s">
        <v>68</v>
      </c>
      <c r="BSB416" s="245" t="s">
        <v>68</v>
      </c>
      <c r="BSC416" s="1715" t="s">
        <v>0</v>
      </c>
      <c r="BSD416" s="1716"/>
      <c r="BSE416" s="1716"/>
      <c r="BSF416" s="1716"/>
      <c r="BSG416" s="1716"/>
      <c r="BSH416" s="244"/>
      <c r="BSI416" s="244" t="s">
        <v>68</v>
      </c>
      <c r="BSJ416" s="245" t="s">
        <v>68</v>
      </c>
      <c r="BSK416" s="1715" t="s">
        <v>0</v>
      </c>
      <c r="BSL416" s="1716"/>
      <c r="BSM416" s="1716"/>
      <c r="BSN416" s="1716"/>
      <c r="BSO416" s="1716"/>
      <c r="BSP416" s="244"/>
      <c r="BSQ416" s="244" t="s">
        <v>68</v>
      </c>
      <c r="BSR416" s="245" t="s">
        <v>68</v>
      </c>
      <c r="BSS416" s="1715" t="s">
        <v>0</v>
      </c>
      <c r="BST416" s="1716"/>
      <c r="BSU416" s="1716"/>
      <c r="BSV416" s="1716"/>
      <c r="BSW416" s="1716"/>
      <c r="BSX416" s="244"/>
      <c r="BSY416" s="244" t="s">
        <v>68</v>
      </c>
      <c r="BSZ416" s="245" t="s">
        <v>68</v>
      </c>
      <c r="BTA416" s="1715" t="s">
        <v>0</v>
      </c>
      <c r="BTB416" s="1716"/>
      <c r="BTC416" s="1716"/>
      <c r="BTD416" s="1716"/>
      <c r="BTE416" s="1716"/>
      <c r="BTF416" s="244"/>
      <c r="BTG416" s="244" t="s">
        <v>68</v>
      </c>
      <c r="BTH416" s="245" t="s">
        <v>68</v>
      </c>
      <c r="BTI416" s="1715" t="s">
        <v>0</v>
      </c>
      <c r="BTJ416" s="1716"/>
      <c r="BTK416" s="1716"/>
      <c r="BTL416" s="1716"/>
      <c r="BTM416" s="1716"/>
      <c r="BTN416" s="244"/>
      <c r="BTO416" s="244" t="s">
        <v>68</v>
      </c>
      <c r="BTP416" s="245" t="s">
        <v>68</v>
      </c>
      <c r="BTQ416" s="1715" t="s">
        <v>0</v>
      </c>
      <c r="BTR416" s="1716"/>
      <c r="BTS416" s="1716"/>
      <c r="BTT416" s="1716"/>
      <c r="BTU416" s="1716"/>
      <c r="BTV416" s="244"/>
      <c r="BTW416" s="244" t="s">
        <v>68</v>
      </c>
      <c r="BTX416" s="245" t="s">
        <v>68</v>
      </c>
      <c r="BTY416" s="1715" t="s">
        <v>0</v>
      </c>
      <c r="BTZ416" s="1716"/>
      <c r="BUA416" s="1716"/>
      <c r="BUB416" s="1716"/>
      <c r="BUC416" s="1716"/>
      <c r="BUD416" s="244"/>
      <c r="BUE416" s="244" t="s">
        <v>68</v>
      </c>
      <c r="BUF416" s="245" t="s">
        <v>68</v>
      </c>
      <c r="BUG416" s="1715" t="s">
        <v>0</v>
      </c>
      <c r="BUH416" s="1716"/>
      <c r="BUI416" s="1716"/>
      <c r="BUJ416" s="1716"/>
      <c r="BUK416" s="1716"/>
      <c r="BUL416" s="244"/>
      <c r="BUM416" s="244" t="s">
        <v>68</v>
      </c>
      <c r="BUN416" s="245" t="s">
        <v>68</v>
      </c>
      <c r="BUO416" s="1715" t="s">
        <v>0</v>
      </c>
      <c r="BUP416" s="1716"/>
      <c r="BUQ416" s="1716"/>
      <c r="BUR416" s="1716"/>
      <c r="BUS416" s="1716"/>
      <c r="BUT416" s="244"/>
      <c r="BUU416" s="244" t="s">
        <v>68</v>
      </c>
      <c r="BUV416" s="245" t="s">
        <v>68</v>
      </c>
      <c r="BUW416" s="1715" t="s">
        <v>0</v>
      </c>
      <c r="BUX416" s="1716"/>
      <c r="BUY416" s="1716"/>
      <c r="BUZ416" s="1716"/>
      <c r="BVA416" s="1716"/>
      <c r="BVB416" s="244"/>
      <c r="BVC416" s="244" t="s">
        <v>68</v>
      </c>
      <c r="BVD416" s="245" t="s">
        <v>68</v>
      </c>
      <c r="BVE416" s="1715" t="s">
        <v>0</v>
      </c>
      <c r="BVF416" s="1716"/>
      <c r="BVG416" s="1716"/>
      <c r="BVH416" s="1716"/>
      <c r="BVI416" s="1716"/>
      <c r="BVJ416" s="244"/>
      <c r="BVK416" s="244" t="s">
        <v>68</v>
      </c>
      <c r="BVL416" s="245" t="s">
        <v>68</v>
      </c>
      <c r="BVM416" s="1715" t="s">
        <v>0</v>
      </c>
      <c r="BVN416" s="1716"/>
      <c r="BVO416" s="1716"/>
      <c r="BVP416" s="1716"/>
      <c r="BVQ416" s="1716"/>
      <c r="BVR416" s="244"/>
      <c r="BVS416" s="244" t="s">
        <v>68</v>
      </c>
      <c r="BVT416" s="245" t="s">
        <v>68</v>
      </c>
      <c r="BVU416" s="1715" t="s">
        <v>0</v>
      </c>
      <c r="BVV416" s="1716"/>
      <c r="BVW416" s="1716"/>
      <c r="BVX416" s="1716"/>
      <c r="BVY416" s="1716"/>
      <c r="BVZ416" s="244"/>
      <c r="BWA416" s="244" t="s">
        <v>68</v>
      </c>
      <c r="BWB416" s="245" t="s">
        <v>68</v>
      </c>
      <c r="BWC416" s="1715" t="s">
        <v>0</v>
      </c>
      <c r="BWD416" s="1716"/>
      <c r="BWE416" s="1716"/>
      <c r="BWF416" s="1716"/>
      <c r="BWG416" s="1716"/>
      <c r="BWH416" s="244"/>
      <c r="BWI416" s="244" t="s">
        <v>68</v>
      </c>
      <c r="BWJ416" s="245" t="s">
        <v>68</v>
      </c>
      <c r="BWK416" s="1715" t="s">
        <v>0</v>
      </c>
      <c r="BWL416" s="1716"/>
      <c r="BWM416" s="1716"/>
      <c r="BWN416" s="1716"/>
      <c r="BWO416" s="1716"/>
      <c r="BWP416" s="244"/>
      <c r="BWQ416" s="244" t="s">
        <v>68</v>
      </c>
      <c r="BWR416" s="245" t="s">
        <v>68</v>
      </c>
      <c r="BWS416" s="1715" t="s">
        <v>0</v>
      </c>
      <c r="BWT416" s="1716"/>
      <c r="BWU416" s="1716"/>
      <c r="BWV416" s="1716"/>
      <c r="BWW416" s="1716"/>
      <c r="BWX416" s="244"/>
      <c r="BWY416" s="244" t="s">
        <v>68</v>
      </c>
      <c r="BWZ416" s="245" t="s">
        <v>68</v>
      </c>
      <c r="BXA416" s="1715" t="s">
        <v>0</v>
      </c>
      <c r="BXB416" s="1716"/>
      <c r="BXC416" s="1716"/>
      <c r="BXD416" s="1716"/>
      <c r="BXE416" s="1716"/>
      <c r="BXF416" s="244"/>
      <c r="BXG416" s="244" t="s">
        <v>68</v>
      </c>
      <c r="BXH416" s="245" t="s">
        <v>68</v>
      </c>
      <c r="BXI416" s="1715" t="s">
        <v>0</v>
      </c>
      <c r="BXJ416" s="1716"/>
      <c r="BXK416" s="1716"/>
      <c r="BXL416" s="1716"/>
      <c r="BXM416" s="1716"/>
      <c r="BXN416" s="244"/>
      <c r="BXO416" s="244" t="s">
        <v>68</v>
      </c>
      <c r="BXP416" s="245" t="s">
        <v>68</v>
      </c>
      <c r="BXQ416" s="1715" t="s">
        <v>0</v>
      </c>
      <c r="BXR416" s="1716"/>
      <c r="BXS416" s="1716"/>
      <c r="BXT416" s="1716"/>
      <c r="BXU416" s="1716"/>
      <c r="BXV416" s="244"/>
      <c r="BXW416" s="244" t="s">
        <v>68</v>
      </c>
      <c r="BXX416" s="245" t="s">
        <v>68</v>
      </c>
      <c r="BXY416" s="1715" t="s">
        <v>0</v>
      </c>
      <c r="BXZ416" s="1716"/>
      <c r="BYA416" s="1716"/>
      <c r="BYB416" s="1716"/>
      <c r="BYC416" s="1716"/>
      <c r="BYD416" s="244"/>
      <c r="BYE416" s="244" t="s">
        <v>68</v>
      </c>
      <c r="BYF416" s="245" t="s">
        <v>68</v>
      </c>
      <c r="BYG416" s="1715" t="s">
        <v>0</v>
      </c>
      <c r="BYH416" s="1716"/>
      <c r="BYI416" s="1716"/>
      <c r="BYJ416" s="1716"/>
      <c r="BYK416" s="1716"/>
      <c r="BYL416" s="244"/>
      <c r="BYM416" s="244" t="s">
        <v>68</v>
      </c>
      <c r="BYN416" s="245" t="s">
        <v>68</v>
      </c>
      <c r="BYO416" s="1715" t="s">
        <v>0</v>
      </c>
      <c r="BYP416" s="1716"/>
      <c r="BYQ416" s="1716"/>
      <c r="BYR416" s="1716"/>
      <c r="BYS416" s="1716"/>
      <c r="BYT416" s="244"/>
      <c r="BYU416" s="244" t="s">
        <v>68</v>
      </c>
      <c r="BYV416" s="245" t="s">
        <v>68</v>
      </c>
      <c r="BYW416" s="1715" t="s">
        <v>0</v>
      </c>
      <c r="BYX416" s="1716"/>
      <c r="BYY416" s="1716"/>
      <c r="BYZ416" s="1716"/>
      <c r="BZA416" s="1716"/>
      <c r="BZB416" s="244"/>
      <c r="BZC416" s="244" t="s">
        <v>68</v>
      </c>
      <c r="BZD416" s="245" t="s">
        <v>68</v>
      </c>
      <c r="BZE416" s="1715" t="s">
        <v>0</v>
      </c>
      <c r="BZF416" s="1716"/>
      <c r="BZG416" s="1716"/>
      <c r="BZH416" s="1716"/>
      <c r="BZI416" s="1716"/>
      <c r="BZJ416" s="244"/>
      <c r="BZK416" s="244" t="s">
        <v>68</v>
      </c>
      <c r="BZL416" s="245" t="s">
        <v>68</v>
      </c>
      <c r="BZM416" s="1715" t="s">
        <v>0</v>
      </c>
      <c r="BZN416" s="1716"/>
      <c r="BZO416" s="1716"/>
      <c r="BZP416" s="1716"/>
      <c r="BZQ416" s="1716"/>
      <c r="BZR416" s="244"/>
      <c r="BZS416" s="244" t="s">
        <v>68</v>
      </c>
      <c r="BZT416" s="245" t="s">
        <v>68</v>
      </c>
      <c r="BZU416" s="1715" t="s">
        <v>0</v>
      </c>
      <c r="BZV416" s="1716"/>
      <c r="BZW416" s="1716"/>
      <c r="BZX416" s="1716"/>
      <c r="BZY416" s="1716"/>
      <c r="BZZ416" s="244"/>
      <c r="CAA416" s="244" t="s">
        <v>68</v>
      </c>
      <c r="CAB416" s="245" t="s">
        <v>68</v>
      </c>
      <c r="CAC416" s="1715" t="s">
        <v>0</v>
      </c>
      <c r="CAD416" s="1716"/>
      <c r="CAE416" s="1716"/>
      <c r="CAF416" s="1716"/>
      <c r="CAG416" s="1716"/>
      <c r="CAH416" s="244"/>
      <c r="CAI416" s="244" t="s">
        <v>68</v>
      </c>
      <c r="CAJ416" s="245" t="s">
        <v>68</v>
      </c>
      <c r="CAK416" s="1715" t="s">
        <v>0</v>
      </c>
      <c r="CAL416" s="1716"/>
      <c r="CAM416" s="1716"/>
      <c r="CAN416" s="1716"/>
      <c r="CAO416" s="1716"/>
      <c r="CAP416" s="244"/>
      <c r="CAQ416" s="244" t="s">
        <v>68</v>
      </c>
      <c r="CAR416" s="245" t="s">
        <v>68</v>
      </c>
      <c r="CAS416" s="1715" t="s">
        <v>0</v>
      </c>
      <c r="CAT416" s="1716"/>
      <c r="CAU416" s="1716"/>
      <c r="CAV416" s="1716"/>
      <c r="CAW416" s="1716"/>
      <c r="CAX416" s="244"/>
      <c r="CAY416" s="244" t="s">
        <v>68</v>
      </c>
      <c r="CAZ416" s="245" t="s">
        <v>68</v>
      </c>
      <c r="CBA416" s="1715" t="s">
        <v>0</v>
      </c>
      <c r="CBB416" s="1716"/>
      <c r="CBC416" s="1716"/>
      <c r="CBD416" s="1716"/>
      <c r="CBE416" s="1716"/>
      <c r="CBF416" s="244"/>
      <c r="CBG416" s="244" t="s">
        <v>68</v>
      </c>
      <c r="CBH416" s="245" t="s">
        <v>68</v>
      </c>
      <c r="CBI416" s="1715" t="s">
        <v>0</v>
      </c>
      <c r="CBJ416" s="1716"/>
      <c r="CBK416" s="1716"/>
      <c r="CBL416" s="1716"/>
      <c r="CBM416" s="1716"/>
      <c r="CBN416" s="244"/>
      <c r="CBO416" s="244" t="s">
        <v>68</v>
      </c>
      <c r="CBP416" s="245" t="s">
        <v>68</v>
      </c>
      <c r="CBQ416" s="1715" t="s">
        <v>0</v>
      </c>
      <c r="CBR416" s="1716"/>
      <c r="CBS416" s="1716"/>
      <c r="CBT416" s="1716"/>
      <c r="CBU416" s="1716"/>
      <c r="CBV416" s="244"/>
      <c r="CBW416" s="244" t="s">
        <v>68</v>
      </c>
      <c r="CBX416" s="245" t="s">
        <v>68</v>
      </c>
      <c r="CBY416" s="1715" t="s">
        <v>0</v>
      </c>
      <c r="CBZ416" s="1716"/>
      <c r="CCA416" s="1716"/>
      <c r="CCB416" s="1716"/>
      <c r="CCC416" s="1716"/>
      <c r="CCD416" s="244"/>
      <c r="CCE416" s="244" t="s">
        <v>68</v>
      </c>
      <c r="CCF416" s="245" t="s">
        <v>68</v>
      </c>
      <c r="CCG416" s="1715" t="s">
        <v>0</v>
      </c>
      <c r="CCH416" s="1716"/>
      <c r="CCI416" s="1716"/>
      <c r="CCJ416" s="1716"/>
      <c r="CCK416" s="1716"/>
      <c r="CCL416" s="244"/>
      <c r="CCM416" s="244" t="s">
        <v>68</v>
      </c>
      <c r="CCN416" s="245" t="s">
        <v>68</v>
      </c>
      <c r="CCO416" s="1715" t="s">
        <v>0</v>
      </c>
      <c r="CCP416" s="1716"/>
      <c r="CCQ416" s="1716"/>
      <c r="CCR416" s="1716"/>
      <c r="CCS416" s="1716"/>
      <c r="CCT416" s="244"/>
      <c r="CCU416" s="244" t="s">
        <v>68</v>
      </c>
      <c r="CCV416" s="245" t="s">
        <v>68</v>
      </c>
      <c r="CCW416" s="1715" t="s">
        <v>0</v>
      </c>
      <c r="CCX416" s="1716"/>
      <c r="CCY416" s="1716"/>
      <c r="CCZ416" s="1716"/>
      <c r="CDA416" s="1716"/>
      <c r="CDB416" s="244"/>
      <c r="CDC416" s="244" t="s">
        <v>68</v>
      </c>
      <c r="CDD416" s="245" t="s">
        <v>68</v>
      </c>
      <c r="CDE416" s="1715" t="s">
        <v>0</v>
      </c>
      <c r="CDF416" s="1716"/>
      <c r="CDG416" s="1716"/>
      <c r="CDH416" s="1716"/>
      <c r="CDI416" s="1716"/>
      <c r="CDJ416" s="244"/>
      <c r="CDK416" s="244" t="s">
        <v>68</v>
      </c>
      <c r="CDL416" s="245" t="s">
        <v>68</v>
      </c>
      <c r="CDM416" s="1715" t="s">
        <v>0</v>
      </c>
      <c r="CDN416" s="1716"/>
      <c r="CDO416" s="1716"/>
      <c r="CDP416" s="1716"/>
      <c r="CDQ416" s="1716"/>
      <c r="CDR416" s="244"/>
      <c r="CDS416" s="244" t="s">
        <v>68</v>
      </c>
      <c r="CDT416" s="245" t="s">
        <v>68</v>
      </c>
      <c r="CDU416" s="1715" t="s">
        <v>0</v>
      </c>
      <c r="CDV416" s="1716"/>
      <c r="CDW416" s="1716"/>
      <c r="CDX416" s="1716"/>
      <c r="CDY416" s="1716"/>
      <c r="CDZ416" s="244"/>
      <c r="CEA416" s="244" t="s">
        <v>68</v>
      </c>
      <c r="CEB416" s="245" t="s">
        <v>68</v>
      </c>
      <c r="CEC416" s="1715" t="s">
        <v>0</v>
      </c>
      <c r="CED416" s="1716"/>
      <c r="CEE416" s="1716"/>
      <c r="CEF416" s="1716"/>
      <c r="CEG416" s="1716"/>
      <c r="CEH416" s="244"/>
      <c r="CEI416" s="244" t="s">
        <v>68</v>
      </c>
      <c r="CEJ416" s="245" t="s">
        <v>68</v>
      </c>
      <c r="CEK416" s="1715" t="s">
        <v>0</v>
      </c>
      <c r="CEL416" s="1716"/>
      <c r="CEM416" s="1716"/>
      <c r="CEN416" s="1716"/>
      <c r="CEO416" s="1716"/>
      <c r="CEP416" s="244"/>
      <c r="CEQ416" s="244" t="s">
        <v>68</v>
      </c>
      <c r="CER416" s="245" t="s">
        <v>68</v>
      </c>
      <c r="CES416" s="1715" t="s">
        <v>0</v>
      </c>
      <c r="CET416" s="1716"/>
      <c r="CEU416" s="1716"/>
      <c r="CEV416" s="1716"/>
      <c r="CEW416" s="1716"/>
      <c r="CEX416" s="244"/>
      <c r="CEY416" s="244" t="s">
        <v>68</v>
      </c>
      <c r="CEZ416" s="245" t="s">
        <v>68</v>
      </c>
      <c r="CFA416" s="1715" t="s">
        <v>0</v>
      </c>
      <c r="CFB416" s="1716"/>
      <c r="CFC416" s="1716"/>
      <c r="CFD416" s="1716"/>
      <c r="CFE416" s="1716"/>
      <c r="CFF416" s="244"/>
      <c r="CFG416" s="244" t="s">
        <v>68</v>
      </c>
      <c r="CFH416" s="245" t="s">
        <v>68</v>
      </c>
      <c r="CFI416" s="1715" t="s">
        <v>0</v>
      </c>
      <c r="CFJ416" s="1716"/>
      <c r="CFK416" s="1716"/>
      <c r="CFL416" s="1716"/>
      <c r="CFM416" s="1716"/>
      <c r="CFN416" s="244"/>
      <c r="CFO416" s="244" t="s">
        <v>68</v>
      </c>
      <c r="CFP416" s="245" t="s">
        <v>68</v>
      </c>
      <c r="CFQ416" s="1715" t="s">
        <v>0</v>
      </c>
      <c r="CFR416" s="1716"/>
      <c r="CFS416" s="1716"/>
      <c r="CFT416" s="1716"/>
      <c r="CFU416" s="1716"/>
      <c r="CFV416" s="244"/>
      <c r="CFW416" s="244" t="s">
        <v>68</v>
      </c>
      <c r="CFX416" s="245" t="s">
        <v>68</v>
      </c>
      <c r="CFY416" s="1715" t="s">
        <v>0</v>
      </c>
      <c r="CFZ416" s="1716"/>
      <c r="CGA416" s="1716"/>
      <c r="CGB416" s="1716"/>
      <c r="CGC416" s="1716"/>
      <c r="CGD416" s="244"/>
      <c r="CGE416" s="244" t="s">
        <v>68</v>
      </c>
      <c r="CGF416" s="245" t="s">
        <v>68</v>
      </c>
      <c r="CGG416" s="1715" t="s">
        <v>0</v>
      </c>
      <c r="CGH416" s="1716"/>
      <c r="CGI416" s="1716"/>
      <c r="CGJ416" s="1716"/>
      <c r="CGK416" s="1716"/>
      <c r="CGL416" s="244"/>
      <c r="CGM416" s="244" t="s">
        <v>68</v>
      </c>
      <c r="CGN416" s="245" t="s">
        <v>68</v>
      </c>
      <c r="CGO416" s="1715" t="s">
        <v>0</v>
      </c>
      <c r="CGP416" s="1716"/>
      <c r="CGQ416" s="1716"/>
      <c r="CGR416" s="1716"/>
      <c r="CGS416" s="1716"/>
      <c r="CGT416" s="244"/>
      <c r="CGU416" s="244" t="s">
        <v>68</v>
      </c>
      <c r="CGV416" s="245" t="s">
        <v>68</v>
      </c>
      <c r="CGW416" s="1715" t="s">
        <v>0</v>
      </c>
      <c r="CGX416" s="1716"/>
      <c r="CGY416" s="1716"/>
      <c r="CGZ416" s="1716"/>
      <c r="CHA416" s="1716"/>
      <c r="CHB416" s="244"/>
      <c r="CHC416" s="244" t="s">
        <v>68</v>
      </c>
      <c r="CHD416" s="245" t="s">
        <v>68</v>
      </c>
      <c r="CHE416" s="1715" t="s">
        <v>0</v>
      </c>
      <c r="CHF416" s="1716"/>
      <c r="CHG416" s="1716"/>
      <c r="CHH416" s="1716"/>
      <c r="CHI416" s="1716"/>
      <c r="CHJ416" s="244"/>
      <c r="CHK416" s="244" t="s">
        <v>68</v>
      </c>
      <c r="CHL416" s="245" t="s">
        <v>68</v>
      </c>
      <c r="CHM416" s="1715" t="s">
        <v>0</v>
      </c>
      <c r="CHN416" s="1716"/>
      <c r="CHO416" s="1716"/>
      <c r="CHP416" s="1716"/>
      <c r="CHQ416" s="1716"/>
      <c r="CHR416" s="244"/>
      <c r="CHS416" s="244" t="s">
        <v>68</v>
      </c>
      <c r="CHT416" s="245" t="s">
        <v>68</v>
      </c>
      <c r="CHU416" s="1715" t="s">
        <v>0</v>
      </c>
      <c r="CHV416" s="1716"/>
      <c r="CHW416" s="1716"/>
      <c r="CHX416" s="1716"/>
      <c r="CHY416" s="1716"/>
      <c r="CHZ416" s="244"/>
      <c r="CIA416" s="244" t="s">
        <v>68</v>
      </c>
      <c r="CIB416" s="245" t="s">
        <v>68</v>
      </c>
      <c r="CIC416" s="1715" t="s">
        <v>0</v>
      </c>
      <c r="CID416" s="1716"/>
      <c r="CIE416" s="1716"/>
      <c r="CIF416" s="1716"/>
      <c r="CIG416" s="1716"/>
      <c r="CIH416" s="244"/>
      <c r="CII416" s="244" t="s">
        <v>68</v>
      </c>
      <c r="CIJ416" s="245" t="s">
        <v>68</v>
      </c>
      <c r="CIK416" s="1715" t="s">
        <v>0</v>
      </c>
      <c r="CIL416" s="1716"/>
      <c r="CIM416" s="1716"/>
      <c r="CIN416" s="1716"/>
      <c r="CIO416" s="1716"/>
      <c r="CIP416" s="244"/>
      <c r="CIQ416" s="244" t="s">
        <v>68</v>
      </c>
      <c r="CIR416" s="245" t="s">
        <v>68</v>
      </c>
      <c r="CIS416" s="1715" t="s">
        <v>0</v>
      </c>
      <c r="CIT416" s="1716"/>
      <c r="CIU416" s="1716"/>
      <c r="CIV416" s="1716"/>
      <c r="CIW416" s="1716"/>
      <c r="CIX416" s="244"/>
      <c r="CIY416" s="244" t="s">
        <v>68</v>
      </c>
      <c r="CIZ416" s="245" t="s">
        <v>68</v>
      </c>
      <c r="CJA416" s="1715" t="s">
        <v>0</v>
      </c>
      <c r="CJB416" s="1716"/>
      <c r="CJC416" s="1716"/>
      <c r="CJD416" s="1716"/>
      <c r="CJE416" s="1716"/>
      <c r="CJF416" s="244"/>
      <c r="CJG416" s="244" t="s">
        <v>68</v>
      </c>
      <c r="CJH416" s="245" t="s">
        <v>68</v>
      </c>
      <c r="CJI416" s="1715" t="s">
        <v>0</v>
      </c>
      <c r="CJJ416" s="1716"/>
      <c r="CJK416" s="1716"/>
      <c r="CJL416" s="1716"/>
      <c r="CJM416" s="1716"/>
      <c r="CJN416" s="244"/>
      <c r="CJO416" s="244" t="s">
        <v>68</v>
      </c>
      <c r="CJP416" s="245" t="s">
        <v>68</v>
      </c>
      <c r="CJQ416" s="1715" t="s">
        <v>0</v>
      </c>
      <c r="CJR416" s="1716"/>
      <c r="CJS416" s="1716"/>
      <c r="CJT416" s="1716"/>
      <c r="CJU416" s="1716"/>
      <c r="CJV416" s="244"/>
      <c r="CJW416" s="244" t="s">
        <v>68</v>
      </c>
      <c r="CJX416" s="245" t="s">
        <v>68</v>
      </c>
      <c r="CJY416" s="1715" t="s">
        <v>0</v>
      </c>
      <c r="CJZ416" s="1716"/>
      <c r="CKA416" s="1716"/>
      <c r="CKB416" s="1716"/>
      <c r="CKC416" s="1716"/>
      <c r="CKD416" s="244"/>
      <c r="CKE416" s="244" t="s">
        <v>68</v>
      </c>
      <c r="CKF416" s="245" t="s">
        <v>68</v>
      </c>
      <c r="CKG416" s="1715" t="s">
        <v>0</v>
      </c>
      <c r="CKH416" s="1716"/>
      <c r="CKI416" s="1716"/>
      <c r="CKJ416" s="1716"/>
      <c r="CKK416" s="1716"/>
      <c r="CKL416" s="244"/>
      <c r="CKM416" s="244" t="s">
        <v>68</v>
      </c>
      <c r="CKN416" s="245" t="s">
        <v>68</v>
      </c>
      <c r="CKO416" s="1715" t="s">
        <v>0</v>
      </c>
      <c r="CKP416" s="1716"/>
      <c r="CKQ416" s="1716"/>
      <c r="CKR416" s="1716"/>
      <c r="CKS416" s="1716"/>
      <c r="CKT416" s="244"/>
      <c r="CKU416" s="244" t="s">
        <v>68</v>
      </c>
      <c r="CKV416" s="245" t="s">
        <v>68</v>
      </c>
      <c r="CKW416" s="1715" t="s">
        <v>0</v>
      </c>
      <c r="CKX416" s="1716"/>
      <c r="CKY416" s="1716"/>
      <c r="CKZ416" s="1716"/>
      <c r="CLA416" s="1716"/>
      <c r="CLB416" s="244"/>
      <c r="CLC416" s="244" t="s">
        <v>68</v>
      </c>
      <c r="CLD416" s="245" t="s">
        <v>68</v>
      </c>
      <c r="CLE416" s="1715" t="s">
        <v>0</v>
      </c>
      <c r="CLF416" s="1716"/>
      <c r="CLG416" s="1716"/>
      <c r="CLH416" s="1716"/>
      <c r="CLI416" s="1716"/>
      <c r="CLJ416" s="244"/>
      <c r="CLK416" s="244" t="s">
        <v>68</v>
      </c>
      <c r="CLL416" s="245" t="s">
        <v>68</v>
      </c>
      <c r="CLM416" s="1715" t="s">
        <v>0</v>
      </c>
      <c r="CLN416" s="1716"/>
      <c r="CLO416" s="1716"/>
      <c r="CLP416" s="1716"/>
      <c r="CLQ416" s="1716"/>
      <c r="CLR416" s="244"/>
      <c r="CLS416" s="244" t="s">
        <v>68</v>
      </c>
      <c r="CLT416" s="245" t="s">
        <v>68</v>
      </c>
      <c r="CLU416" s="1715" t="s">
        <v>0</v>
      </c>
      <c r="CLV416" s="1716"/>
      <c r="CLW416" s="1716"/>
      <c r="CLX416" s="1716"/>
      <c r="CLY416" s="1716"/>
      <c r="CLZ416" s="244"/>
      <c r="CMA416" s="244" t="s">
        <v>68</v>
      </c>
      <c r="CMB416" s="245" t="s">
        <v>68</v>
      </c>
      <c r="CMC416" s="1715" t="s">
        <v>0</v>
      </c>
      <c r="CMD416" s="1716"/>
      <c r="CME416" s="1716"/>
      <c r="CMF416" s="1716"/>
      <c r="CMG416" s="1716"/>
      <c r="CMH416" s="244"/>
      <c r="CMI416" s="244" t="s">
        <v>68</v>
      </c>
      <c r="CMJ416" s="245" t="s">
        <v>68</v>
      </c>
      <c r="CMK416" s="1715" t="s">
        <v>0</v>
      </c>
      <c r="CML416" s="1716"/>
      <c r="CMM416" s="1716"/>
      <c r="CMN416" s="1716"/>
      <c r="CMO416" s="1716"/>
      <c r="CMP416" s="244"/>
      <c r="CMQ416" s="244" t="s">
        <v>68</v>
      </c>
      <c r="CMR416" s="245" t="s">
        <v>68</v>
      </c>
      <c r="CMS416" s="1715" t="s">
        <v>0</v>
      </c>
      <c r="CMT416" s="1716"/>
      <c r="CMU416" s="1716"/>
      <c r="CMV416" s="1716"/>
      <c r="CMW416" s="1716"/>
      <c r="CMX416" s="244"/>
      <c r="CMY416" s="244" t="s">
        <v>68</v>
      </c>
      <c r="CMZ416" s="245" t="s">
        <v>68</v>
      </c>
      <c r="CNA416" s="1715" t="s">
        <v>0</v>
      </c>
      <c r="CNB416" s="1716"/>
      <c r="CNC416" s="1716"/>
      <c r="CND416" s="1716"/>
      <c r="CNE416" s="1716"/>
      <c r="CNF416" s="244"/>
      <c r="CNG416" s="244" t="s">
        <v>68</v>
      </c>
      <c r="CNH416" s="245" t="s">
        <v>68</v>
      </c>
      <c r="CNI416" s="1715" t="s">
        <v>0</v>
      </c>
      <c r="CNJ416" s="1716"/>
      <c r="CNK416" s="1716"/>
      <c r="CNL416" s="1716"/>
      <c r="CNM416" s="1716"/>
      <c r="CNN416" s="244"/>
      <c r="CNO416" s="244" t="s">
        <v>68</v>
      </c>
      <c r="CNP416" s="245" t="s">
        <v>68</v>
      </c>
      <c r="CNQ416" s="1715" t="s">
        <v>0</v>
      </c>
      <c r="CNR416" s="1716"/>
      <c r="CNS416" s="1716"/>
      <c r="CNT416" s="1716"/>
      <c r="CNU416" s="1716"/>
      <c r="CNV416" s="244"/>
      <c r="CNW416" s="244" t="s">
        <v>68</v>
      </c>
      <c r="CNX416" s="245" t="s">
        <v>68</v>
      </c>
      <c r="CNY416" s="1715" t="s">
        <v>0</v>
      </c>
      <c r="CNZ416" s="1716"/>
      <c r="COA416" s="1716"/>
      <c r="COB416" s="1716"/>
      <c r="COC416" s="1716"/>
      <c r="COD416" s="244"/>
      <c r="COE416" s="244" t="s">
        <v>68</v>
      </c>
      <c r="COF416" s="245" t="s">
        <v>68</v>
      </c>
      <c r="COG416" s="1715" t="s">
        <v>0</v>
      </c>
      <c r="COH416" s="1716"/>
      <c r="COI416" s="1716"/>
      <c r="COJ416" s="1716"/>
      <c r="COK416" s="1716"/>
      <c r="COL416" s="244"/>
      <c r="COM416" s="244" t="s">
        <v>68</v>
      </c>
      <c r="CON416" s="245" t="s">
        <v>68</v>
      </c>
      <c r="COO416" s="1715" t="s">
        <v>0</v>
      </c>
      <c r="COP416" s="1716"/>
      <c r="COQ416" s="1716"/>
      <c r="COR416" s="1716"/>
      <c r="COS416" s="1716"/>
      <c r="COT416" s="244"/>
      <c r="COU416" s="244" t="s">
        <v>68</v>
      </c>
      <c r="COV416" s="245" t="s">
        <v>68</v>
      </c>
      <c r="COW416" s="1715" t="s">
        <v>0</v>
      </c>
      <c r="COX416" s="1716"/>
      <c r="COY416" s="1716"/>
      <c r="COZ416" s="1716"/>
      <c r="CPA416" s="1716"/>
      <c r="CPB416" s="244"/>
      <c r="CPC416" s="244" t="s">
        <v>68</v>
      </c>
      <c r="CPD416" s="245" t="s">
        <v>68</v>
      </c>
      <c r="CPE416" s="1715" t="s">
        <v>0</v>
      </c>
      <c r="CPF416" s="1716"/>
      <c r="CPG416" s="1716"/>
      <c r="CPH416" s="1716"/>
      <c r="CPI416" s="1716"/>
      <c r="CPJ416" s="244"/>
      <c r="CPK416" s="244" t="s">
        <v>68</v>
      </c>
      <c r="CPL416" s="245" t="s">
        <v>68</v>
      </c>
      <c r="CPM416" s="1715" t="s">
        <v>0</v>
      </c>
      <c r="CPN416" s="1716"/>
      <c r="CPO416" s="1716"/>
      <c r="CPP416" s="1716"/>
      <c r="CPQ416" s="1716"/>
      <c r="CPR416" s="244"/>
      <c r="CPS416" s="244" t="s">
        <v>68</v>
      </c>
      <c r="CPT416" s="245" t="s">
        <v>68</v>
      </c>
      <c r="CPU416" s="1715" t="s">
        <v>0</v>
      </c>
      <c r="CPV416" s="1716"/>
      <c r="CPW416" s="1716"/>
      <c r="CPX416" s="1716"/>
      <c r="CPY416" s="1716"/>
      <c r="CPZ416" s="244"/>
      <c r="CQA416" s="244" t="s">
        <v>68</v>
      </c>
      <c r="CQB416" s="245" t="s">
        <v>68</v>
      </c>
      <c r="CQC416" s="1715" t="s">
        <v>0</v>
      </c>
      <c r="CQD416" s="1716"/>
      <c r="CQE416" s="1716"/>
      <c r="CQF416" s="1716"/>
      <c r="CQG416" s="1716"/>
      <c r="CQH416" s="244"/>
      <c r="CQI416" s="244" t="s">
        <v>68</v>
      </c>
      <c r="CQJ416" s="245" t="s">
        <v>68</v>
      </c>
      <c r="CQK416" s="1715" t="s">
        <v>0</v>
      </c>
      <c r="CQL416" s="1716"/>
      <c r="CQM416" s="1716"/>
      <c r="CQN416" s="1716"/>
      <c r="CQO416" s="1716"/>
      <c r="CQP416" s="244"/>
      <c r="CQQ416" s="244" t="s">
        <v>68</v>
      </c>
      <c r="CQR416" s="245" t="s">
        <v>68</v>
      </c>
      <c r="CQS416" s="1715" t="s">
        <v>0</v>
      </c>
      <c r="CQT416" s="1716"/>
      <c r="CQU416" s="1716"/>
      <c r="CQV416" s="1716"/>
      <c r="CQW416" s="1716"/>
      <c r="CQX416" s="244"/>
      <c r="CQY416" s="244" t="s">
        <v>68</v>
      </c>
      <c r="CQZ416" s="245" t="s">
        <v>68</v>
      </c>
      <c r="CRA416" s="1715" t="s">
        <v>0</v>
      </c>
      <c r="CRB416" s="1716"/>
      <c r="CRC416" s="1716"/>
      <c r="CRD416" s="1716"/>
      <c r="CRE416" s="1716"/>
      <c r="CRF416" s="244"/>
      <c r="CRG416" s="244" t="s">
        <v>68</v>
      </c>
      <c r="CRH416" s="245" t="s">
        <v>68</v>
      </c>
      <c r="CRI416" s="1715" t="s">
        <v>0</v>
      </c>
      <c r="CRJ416" s="1716"/>
      <c r="CRK416" s="1716"/>
      <c r="CRL416" s="1716"/>
      <c r="CRM416" s="1716"/>
      <c r="CRN416" s="244"/>
      <c r="CRO416" s="244" t="s">
        <v>68</v>
      </c>
      <c r="CRP416" s="245" t="s">
        <v>68</v>
      </c>
      <c r="CRQ416" s="1715" t="s">
        <v>0</v>
      </c>
      <c r="CRR416" s="1716"/>
      <c r="CRS416" s="1716"/>
      <c r="CRT416" s="1716"/>
      <c r="CRU416" s="1716"/>
      <c r="CRV416" s="244"/>
      <c r="CRW416" s="244" t="s">
        <v>68</v>
      </c>
      <c r="CRX416" s="245" t="s">
        <v>68</v>
      </c>
      <c r="CRY416" s="1715" t="s">
        <v>0</v>
      </c>
      <c r="CRZ416" s="1716"/>
      <c r="CSA416" s="1716"/>
      <c r="CSB416" s="1716"/>
      <c r="CSC416" s="1716"/>
      <c r="CSD416" s="244"/>
      <c r="CSE416" s="244" t="s">
        <v>68</v>
      </c>
      <c r="CSF416" s="245" t="s">
        <v>68</v>
      </c>
      <c r="CSG416" s="1715" t="s">
        <v>0</v>
      </c>
      <c r="CSH416" s="1716"/>
      <c r="CSI416" s="1716"/>
      <c r="CSJ416" s="1716"/>
      <c r="CSK416" s="1716"/>
      <c r="CSL416" s="244"/>
      <c r="CSM416" s="244" t="s">
        <v>68</v>
      </c>
      <c r="CSN416" s="245" t="s">
        <v>68</v>
      </c>
      <c r="CSO416" s="1715" t="s">
        <v>0</v>
      </c>
      <c r="CSP416" s="1716"/>
      <c r="CSQ416" s="1716"/>
      <c r="CSR416" s="1716"/>
      <c r="CSS416" s="1716"/>
      <c r="CST416" s="244"/>
      <c r="CSU416" s="244" t="s">
        <v>68</v>
      </c>
      <c r="CSV416" s="245" t="s">
        <v>68</v>
      </c>
      <c r="CSW416" s="1715" t="s">
        <v>0</v>
      </c>
      <c r="CSX416" s="1716"/>
      <c r="CSY416" s="1716"/>
      <c r="CSZ416" s="1716"/>
      <c r="CTA416" s="1716"/>
      <c r="CTB416" s="244"/>
      <c r="CTC416" s="244" t="s">
        <v>68</v>
      </c>
      <c r="CTD416" s="245" t="s">
        <v>68</v>
      </c>
      <c r="CTE416" s="1715" t="s">
        <v>0</v>
      </c>
      <c r="CTF416" s="1716"/>
      <c r="CTG416" s="1716"/>
      <c r="CTH416" s="1716"/>
      <c r="CTI416" s="1716"/>
      <c r="CTJ416" s="244"/>
      <c r="CTK416" s="244" t="s">
        <v>68</v>
      </c>
      <c r="CTL416" s="245" t="s">
        <v>68</v>
      </c>
      <c r="CTM416" s="1715" t="s">
        <v>0</v>
      </c>
      <c r="CTN416" s="1716"/>
      <c r="CTO416" s="1716"/>
      <c r="CTP416" s="1716"/>
      <c r="CTQ416" s="1716"/>
      <c r="CTR416" s="244"/>
      <c r="CTS416" s="244" t="s">
        <v>68</v>
      </c>
      <c r="CTT416" s="245" t="s">
        <v>68</v>
      </c>
      <c r="CTU416" s="1715" t="s">
        <v>0</v>
      </c>
      <c r="CTV416" s="1716"/>
      <c r="CTW416" s="1716"/>
      <c r="CTX416" s="1716"/>
      <c r="CTY416" s="1716"/>
      <c r="CTZ416" s="244"/>
      <c r="CUA416" s="244" t="s">
        <v>68</v>
      </c>
      <c r="CUB416" s="245" t="s">
        <v>68</v>
      </c>
      <c r="CUC416" s="1715" t="s">
        <v>0</v>
      </c>
      <c r="CUD416" s="1716"/>
      <c r="CUE416" s="1716"/>
      <c r="CUF416" s="1716"/>
      <c r="CUG416" s="1716"/>
      <c r="CUH416" s="244"/>
      <c r="CUI416" s="244" t="s">
        <v>68</v>
      </c>
      <c r="CUJ416" s="245" t="s">
        <v>68</v>
      </c>
      <c r="CUK416" s="1715" t="s">
        <v>0</v>
      </c>
      <c r="CUL416" s="1716"/>
      <c r="CUM416" s="1716"/>
      <c r="CUN416" s="1716"/>
      <c r="CUO416" s="1716"/>
      <c r="CUP416" s="244"/>
      <c r="CUQ416" s="244" t="s">
        <v>68</v>
      </c>
      <c r="CUR416" s="245" t="s">
        <v>68</v>
      </c>
      <c r="CUS416" s="1715" t="s">
        <v>0</v>
      </c>
      <c r="CUT416" s="1716"/>
      <c r="CUU416" s="1716"/>
      <c r="CUV416" s="1716"/>
      <c r="CUW416" s="1716"/>
      <c r="CUX416" s="244"/>
      <c r="CUY416" s="244" t="s">
        <v>68</v>
      </c>
      <c r="CUZ416" s="245" t="s">
        <v>68</v>
      </c>
      <c r="CVA416" s="1715" t="s">
        <v>0</v>
      </c>
      <c r="CVB416" s="1716"/>
      <c r="CVC416" s="1716"/>
      <c r="CVD416" s="1716"/>
      <c r="CVE416" s="1716"/>
      <c r="CVF416" s="244"/>
      <c r="CVG416" s="244" t="s">
        <v>68</v>
      </c>
      <c r="CVH416" s="245" t="s">
        <v>68</v>
      </c>
      <c r="CVI416" s="1715" t="s">
        <v>0</v>
      </c>
      <c r="CVJ416" s="1716"/>
      <c r="CVK416" s="1716"/>
      <c r="CVL416" s="1716"/>
      <c r="CVM416" s="1716"/>
      <c r="CVN416" s="244"/>
      <c r="CVO416" s="244" t="s">
        <v>68</v>
      </c>
      <c r="CVP416" s="245" t="s">
        <v>68</v>
      </c>
      <c r="CVQ416" s="1715" t="s">
        <v>0</v>
      </c>
      <c r="CVR416" s="1716"/>
      <c r="CVS416" s="1716"/>
      <c r="CVT416" s="1716"/>
      <c r="CVU416" s="1716"/>
      <c r="CVV416" s="244"/>
      <c r="CVW416" s="244" t="s">
        <v>68</v>
      </c>
      <c r="CVX416" s="245" t="s">
        <v>68</v>
      </c>
      <c r="CVY416" s="1715" t="s">
        <v>0</v>
      </c>
      <c r="CVZ416" s="1716"/>
      <c r="CWA416" s="1716"/>
      <c r="CWB416" s="1716"/>
      <c r="CWC416" s="1716"/>
      <c r="CWD416" s="244"/>
      <c r="CWE416" s="244" t="s">
        <v>68</v>
      </c>
      <c r="CWF416" s="245" t="s">
        <v>68</v>
      </c>
      <c r="CWG416" s="1715" t="s">
        <v>0</v>
      </c>
      <c r="CWH416" s="1716"/>
      <c r="CWI416" s="1716"/>
      <c r="CWJ416" s="1716"/>
      <c r="CWK416" s="1716"/>
      <c r="CWL416" s="244"/>
      <c r="CWM416" s="244" t="s">
        <v>68</v>
      </c>
      <c r="CWN416" s="245" t="s">
        <v>68</v>
      </c>
      <c r="CWO416" s="1715" t="s">
        <v>0</v>
      </c>
      <c r="CWP416" s="1716"/>
      <c r="CWQ416" s="1716"/>
      <c r="CWR416" s="1716"/>
      <c r="CWS416" s="1716"/>
      <c r="CWT416" s="244"/>
      <c r="CWU416" s="244" t="s">
        <v>68</v>
      </c>
      <c r="CWV416" s="245" t="s">
        <v>68</v>
      </c>
      <c r="CWW416" s="1715" t="s">
        <v>0</v>
      </c>
      <c r="CWX416" s="1716"/>
      <c r="CWY416" s="1716"/>
      <c r="CWZ416" s="1716"/>
      <c r="CXA416" s="1716"/>
      <c r="CXB416" s="244"/>
      <c r="CXC416" s="244" t="s">
        <v>68</v>
      </c>
      <c r="CXD416" s="245" t="s">
        <v>68</v>
      </c>
      <c r="CXE416" s="1715" t="s">
        <v>0</v>
      </c>
      <c r="CXF416" s="1716"/>
      <c r="CXG416" s="1716"/>
      <c r="CXH416" s="1716"/>
      <c r="CXI416" s="1716"/>
      <c r="CXJ416" s="244"/>
      <c r="CXK416" s="244" t="s">
        <v>68</v>
      </c>
      <c r="CXL416" s="245" t="s">
        <v>68</v>
      </c>
      <c r="CXM416" s="1715" t="s">
        <v>0</v>
      </c>
      <c r="CXN416" s="1716"/>
      <c r="CXO416" s="1716"/>
      <c r="CXP416" s="1716"/>
      <c r="CXQ416" s="1716"/>
      <c r="CXR416" s="244"/>
      <c r="CXS416" s="244" t="s">
        <v>68</v>
      </c>
      <c r="CXT416" s="245" t="s">
        <v>68</v>
      </c>
      <c r="CXU416" s="1715" t="s">
        <v>0</v>
      </c>
      <c r="CXV416" s="1716"/>
      <c r="CXW416" s="1716"/>
      <c r="CXX416" s="1716"/>
      <c r="CXY416" s="1716"/>
      <c r="CXZ416" s="244"/>
      <c r="CYA416" s="244" t="s">
        <v>68</v>
      </c>
      <c r="CYB416" s="245" t="s">
        <v>68</v>
      </c>
      <c r="CYC416" s="1715" t="s">
        <v>0</v>
      </c>
      <c r="CYD416" s="1716"/>
      <c r="CYE416" s="1716"/>
      <c r="CYF416" s="1716"/>
      <c r="CYG416" s="1716"/>
      <c r="CYH416" s="244"/>
      <c r="CYI416" s="244" t="s">
        <v>68</v>
      </c>
      <c r="CYJ416" s="245" t="s">
        <v>68</v>
      </c>
      <c r="CYK416" s="1715" t="s">
        <v>0</v>
      </c>
      <c r="CYL416" s="1716"/>
      <c r="CYM416" s="1716"/>
      <c r="CYN416" s="1716"/>
      <c r="CYO416" s="1716"/>
      <c r="CYP416" s="244"/>
      <c r="CYQ416" s="244" t="s">
        <v>68</v>
      </c>
      <c r="CYR416" s="245" t="s">
        <v>68</v>
      </c>
      <c r="CYS416" s="1715" t="s">
        <v>0</v>
      </c>
      <c r="CYT416" s="1716"/>
      <c r="CYU416" s="1716"/>
      <c r="CYV416" s="1716"/>
      <c r="CYW416" s="1716"/>
      <c r="CYX416" s="244"/>
      <c r="CYY416" s="244" t="s">
        <v>68</v>
      </c>
      <c r="CYZ416" s="245" t="s">
        <v>68</v>
      </c>
      <c r="CZA416" s="1715" t="s">
        <v>0</v>
      </c>
      <c r="CZB416" s="1716"/>
      <c r="CZC416" s="1716"/>
      <c r="CZD416" s="1716"/>
      <c r="CZE416" s="1716"/>
      <c r="CZF416" s="244"/>
      <c r="CZG416" s="244" t="s">
        <v>68</v>
      </c>
      <c r="CZH416" s="245" t="s">
        <v>68</v>
      </c>
      <c r="CZI416" s="1715" t="s">
        <v>0</v>
      </c>
      <c r="CZJ416" s="1716"/>
      <c r="CZK416" s="1716"/>
      <c r="CZL416" s="1716"/>
      <c r="CZM416" s="1716"/>
      <c r="CZN416" s="244"/>
      <c r="CZO416" s="244" t="s">
        <v>68</v>
      </c>
      <c r="CZP416" s="245" t="s">
        <v>68</v>
      </c>
      <c r="CZQ416" s="1715" t="s">
        <v>0</v>
      </c>
      <c r="CZR416" s="1716"/>
      <c r="CZS416" s="1716"/>
      <c r="CZT416" s="1716"/>
      <c r="CZU416" s="1716"/>
      <c r="CZV416" s="244"/>
      <c r="CZW416" s="244" t="s">
        <v>68</v>
      </c>
      <c r="CZX416" s="245" t="s">
        <v>68</v>
      </c>
      <c r="CZY416" s="1715" t="s">
        <v>0</v>
      </c>
      <c r="CZZ416" s="1716"/>
      <c r="DAA416" s="1716"/>
      <c r="DAB416" s="1716"/>
      <c r="DAC416" s="1716"/>
      <c r="DAD416" s="244"/>
      <c r="DAE416" s="244" t="s">
        <v>68</v>
      </c>
      <c r="DAF416" s="245" t="s">
        <v>68</v>
      </c>
      <c r="DAG416" s="1715" t="s">
        <v>0</v>
      </c>
      <c r="DAH416" s="1716"/>
      <c r="DAI416" s="1716"/>
      <c r="DAJ416" s="1716"/>
      <c r="DAK416" s="1716"/>
      <c r="DAL416" s="244"/>
      <c r="DAM416" s="244" t="s">
        <v>68</v>
      </c>
      <c r="DAN416" s="245" t="s">
        <v>68</v>
      </c>
      <c r="DAO416" s="1715" t="s">
        <v>0</v>
      </c>
      <c r="DAP416" s="1716"/>
      <c r="DAQ416" s="1716"/>
      <c r="DAR416" s="1716"/>
      <c r="DAS416" s="1716"/>
      <c r="DAT416" s="244"/>
      <c r="DAU416" s="244" t="s">
        <v>68</v>
      </c>
      <c r="DAV416" s="245" t="s">
        <v>68</v>
      </c>
      <c r="DAW416" s="1715" t="s">
        <v>0</v>
      </c>
      <c r="DAX416" s="1716"/>
      <c r="DAY416" s="1716"/>
      <c r="DAZ416" s="1716"/>
      <c r="DBA416" s="1716"/>
      <c r="DBB416" s="244"/>
      <c r="DBC416" s="244" t="s">
        <v>68</v>
      </c>
      <c r="DBD416" s="245" t="s">
        <v>68</v>
      </c>
      <c r="DBE416" s="1715" t="s">
        <v>0</v>
      </c>
      <c r="DBF416" s="1716"/>
      <c r="DBG416" s="1716"/>
      <c r="DBH416" s="1716"/>
      <c r="DBI416" s="1716"/>
      <c r="DBJ416" s="244"/>
      <c r="DBK416" s="244" t="s">
        <v>68</v>
      </c>
      <c r="DBL416" s="245" t="s">
        <v>68</v>
      </c>
      <c r="DBM416" s="1715" t="s">
        <v>0</v>
      </c>
      <c r="DBN416" s="1716"/>
      <c r="DBO416" s="1716"/>
      <c r="DBP416" s="1716"/>
      <c r="DBQ416" s="1716"/>
      <c r="DBR416" s="244"/>
      <c r="DBS416" s="244" t="s">
        <v>68</v>
      </c>
      <c r="DBT416" s="245" t="s">
        <v>68</v>
      </c>
      <c r="DBU416" s="1715" t="s">
        <v>0</v>
      </c>
      <c r="DBV416" s="1716"/>
      <c r="DBW416" s="1716"/>
      <c r="DBX416" s="1716"/>
      <c r="DBY416" s="1716"/>
      <c r="DBZ416" s="244"/>
      <c r="DCA416" s="244" t="s">
        <v>68</v>
      </c>
      <c r="DCB416" s="245" t="s">
        <v>68</v>
      </c>
      <c r="DCC416" s="1715" t="s">
        <v>0</v>
      </c>
      <c r="DCD416" s="1716"/>
      <c r="DCE416" s="1716"/>
      <c r="DCF416" s="1716"/>
      <c r="DCG416" s="1716"/>
      <c r="DCH416" s="244"/>
      <c r="DCI416" s="244" t="s">
        <v>68</v>
      </c>
      <c r="DCJ416" s="245" t="s">
        <v>68</v>
      </c>
      <c r="DCK416" s="1715" t="s">
        <v>0</v>
      </c>
      <c r="DCL416" s="1716"/>
      <c r="DCM416" s="1716"/>
      <c r="DCN416" s="1716"/>
      <c r="DCO416" s="1716"/>
      <c r="DCP416" s="244"/>
      <c r="DCQ416" s="244" t="s">
        <v>68</v>
      </c>
      <c r="DCR416" s="245" t="s">
        <v>68</v>
      </c>
      <c r="DCS416" s="1715" t="s">
        <v>0</v>
      </c>
      <c r="DCT416" s="1716"/>
      <c r="DCU416" s="1716"/>
      <c r="DCV416" s="1716"/>
      <c r="DCW416" s="1716"/>
      <c r="DCX416" s="244"/>
      <c r="DCY416" s="244" t="s">
        <v>68</v>
      </c>
      <c r="DCZ416" s="245" t="s">
        <v>68</v>
      </c>
      <c r="DDA416" s="1715" t="s">
        <v>0</v>
      </c>
      <c r="DDB416" s="1716"/>
      <c r="DDC416" s="1716"/>
      <c r="DDD416" s="1716"/>
      <c r="DDE416" s="1716"/>
      <c r="DDF416" s="244"/>
      <c r="DDG416" s="244" t="s">
        <v>68</v>
      </c>
      <c r="DDH416" s="245" t="s">
        <v>68</v>
      </c>
      <c r="DDI416" s="1715" t="s">
        <v>0</v>
      </c>
      <c r="DDJ416" s="1716"/>
      <c r="DDK416" s="1716"/>
      <c r="DDL416" s="1716"/>
      <c r="DDM416" s="1716"/>
      <c r="DDN416" s="244"/>
      <c r="DDO416" s="244" t="s">
        <v>68</v>
      </c>
      <c r="DDP416" s="245" t="s">
        <v>68</v>
      </c>
      <c r="DDQ416" s="1715" t="s">
        <v>0</v>
      </c>
      <c r="DDR416" s="1716"/>
      <c r="DDS416" s="1716"/>
      <c r="DDT416" s="1716"/>
      <c r="DDU416" s="1716"/>
      <c r="DDV416" s="244"/>
      <c r="DDW416" s="244" t="s">
        <v>68</v>
      </c>
      <c r="DDX416" s="245" t="s">
        <v>68</v>
      </c>
      <c r="DDY416" s="1715" t="s">
        <v>0</v>
      </c>
      <c r="DDZ416" s="1716"/>
      <c r="DEA416" s="1716"/>
      <c r="DEB416" s="1716"/>
      <c r="DEC416" s="1716"/>
      <c r="DED416" s="244"/>
      <c r="DEE416" s="244" t="s">
        <v>68</v>
      </c>
      <c r="DEF416" s="245" t="s">
        <v>68</v>
      </c>
      <c r="DEG416" s="1715" t="s">
        <v>0</v>
      </c>
      <c r="DEH416" s="1716"/>
      <c r="DEI416" s="1716"/>
      <c r="DEJ416" s="1716"/>
      <c r="DEK416" s="1716"/>
      <c r="DEL416" s="244"/>
      <c r="DEM416" s="244" t="s">
        <v>68</v>
      </c>
      <c r="DEN416" s="245" t="s">
        <v>68</v>
      </c>
      <c r="DEO416" s="1715" t="s">
        <v>0</v>
      </c>
      <c r="DEP416" s="1716"/>
      <c r="DEQ416" s="1716"/>
      <c r="DER416" s="1716"/>
      <c r="DES416" s="1716"/>
      <c r="DET416" s="244"/>
      <c r="DEU416" s="244" t="s">
        <v>68</v>
      </c>
      <c r="DEV416" s="245" t="s">
        <v>68</v>
      </c>
      <c r="DEW416" s="1715" t="s">
        <v>0</v>
      </c>
      <c r="DEX416" s="1716"/>
      <c r="DEY416" s="1716"/>
      <c r="DEZ416" s="1716"/>
      <c r="DFA416" s="1716"/>
      <c r="DFB416" s="244"/>
      <c r="DFC416" s="244" t="s">
        <v>68</v>
      </c>
      <c r="DFD416" s="245" t="s">
        <v>68</v>
      </c>
      <c r="DFE416" s="1715" t="s">
        <v>0</v>
      </c>
      <c r="DFF416" s="1716"/>
      <c r="DFG416" s="1716"/>
      <c r="DFH416" s="1716"/>
      <c r="DFI416" s="1716"/>
      <c r="DFJ416" s="244"/>
      <c r="DFK416" s="244" t="s">
        <v>68</v>
      </c>
      <c r="DFL416" s="245" t="s">
        <v>68</v>
      </c>
      <c r="DFM416" s="1715" t="s">
        <v>0</v>
      </c>
      <c r="DFN416" s="1716"/>
      <c r="DFO416" s="1716"/>
      <c r="DFP416" s="1716"/>
      <c r="DFQ416" s="1716"/>
      <c r="DFR416" s="244"/>
      <c r="DFS416" s="244" t="s">
        <v>68</v>
      </c>
      <c r="DFT416" s="245" t="s">
        <v>68</v>
      </c>
      <c r="DFU416" s="1715" t="s">
        <v>0</v>
      </c>
      <c r="DFV416" s="1716"/>
      <c r="DFW416" s="1716"/>
      <c r="DFX416" s="1716"/>
      <c r="DFY416" s="1716"/>
      <c r="DFZ416" s="244"/>
      <c r="DGA416" s="244" t="s">
        <v>68</v>
      </c>
      <c r="DGB416" s="245" t="s">
        <v>68</v>
      </c>
      <c r="DGC416" s="1715" t="s">
        <v>0</v>
      </c>
      <c r="DGD416" s="1716"/>
      <c r="DGE416" s="1716"/>
      <c r="DGF416" s="1716"/>
      <c r="DGG416" s="1716"/>
      <c r="DGH416" s="244"/>
      <c r="DGI416" s="244" t="s">
        <v>68</v>
      </c>
      <c r="DGJ416" s="245" t="s">
        <v>68</v>
      </c>
      <c r="DGK416" s="1715" t="s">
        <v>0</v>
      </c>
      <c r="DGL416" s="1716"/>
      <c r="DGM416" s="1716"/>
      <c r="DGN416" s="1716"/>
      <c r="DGO416" s="1716"/>
      <c r="DGP416" s="244"/>
      <c r="DGQ416" s="244" t="s">
        <v>68</v>
      </c>
      <c r="DGR416" s="245" t="s">
        <v>68</v>
      </c>
      <c r="DGS416" s="1715" t="s">
        <v>0</v>
      </c>
      <c r="DGT416" s="1716"/>
      <c r="DGU416" s="1716"/>
      <c r="DGV416" s="1716"/>
      <c r="DGW416" s="1716"/>
      <c r="DGX416" s="244"/>
      <c r="DGY416" s="244" t="s">
        <v>68</v>
      </c>
      <c r="DGZ416" s="245" t="s">
        <v>68</v>
      </c>
      <c r="DHA416" s="1715" t="s">
        <v>0</v>
      </c>
      <c r="DHB416" s="1716"/>
      <c r="DHC416" s="1716"/>
      <c r="DHD416" s="1716"/>
      <c r="DHE416" s="1716"/>
      <c r="DHF416" s="244"/>
      <c r="DHG416" s="244" t="s">
        <v>68</v>
      </c>
      <c r="DHH416" s="245" t="s">
        <v>68</v>
      </c>
      <c r="DHI416" s="1715" t="s">
        <v>0</v>
      </c>
      <c r="DHJ416" s="1716"/>
      <c r="DHK416" s="1716"/>
      <c r="DHL416" s="1716"/>
      <c r="DHM416" s="1716"/>
      <c r="DHN416" s="244"/>
      <c r="DHO416" s="244" t="s">
        <v>68</v>
      </c>
      <c r="DHP416" s="245" t="s">
        <v>68</v>
      </c>
      <c r="DHQ416" s="1715" t="s">
        <v>0</v>
      </c>
      <c r="DHR416" s="1716"/>
      <c r="DHS416" s="1716"/>
      <c r="DHT416" s="1716"/>
      <c r="DHU416" s="1716"/>
      <c r="DHV416" s="244"/>
      <c r="DHW416" s="244" t="s">
        <v>68</v>
      </c>
      <c r="DHX416" s="245" t="s">
        <v>68</v>
      </c>
      <c r="DHY416" s="1715" t="s">
        <v>0</v>
      </c>
      <c r="DHZ416" s="1716"/>
      <c r="DIA416" s="1716"/>
      <c r="DIB416" s="1716"/>
      <c r="DIC416" s="1716"/>
      <c r="DID416" s="244"/>
      <c r="DIE416" s="244" t="s">
        <v>68</v>
      </c>
      <c r="DIF416" s="245" t="s">
        <v>68</v>
      </c>
      <c r="DIG416" s="1715" t="s">
        <v>0</v>
      </c>
      <c r="DIH416" s="1716"/>
      <c r="DII416" s="1716"/>
      <c r="DIJ416" s="1716"/>
      <c r="DIK416" s="1716"/>
      <c r="DIL416" s="244"/>
      <c r="DIM416" s="244" t="s">
        <v>68</v>
      </c>
      <c r="DIN416" s="245" t="s">
        <v>68</v>
      </c>
      <c r="DIO416" s="1715" t="s">
        <v>0</v>
      </c>
      <c r="DIP416" s="1716"/>
      <c r="DIQ416" s="1716"/>
      <c r="DIR416" s="1716"/>
      <c r="DIS416" s="1716"/>
      <c r="DIT416" s="244"/>
      <c r="DIU416" s="244" t="s">
        <v>68</v>
      </c>
      <c r="DIV416" s="245" t="s">
        <v>68</v>
      </c>
      <c r="DIW416" s="1715" t="s">
        <v>0</v>
      </c>
      <c r="DIX416" s="1716"/>
      <c r="DIY416" s="1716"/>
      <c r="DIZ416" s="1716"/>
      <c r="DJA416" s="1716"/>
      <c r="DJB416" s="244"/>
      <c r="DJC416" s="244" t="s">
        <v>68</v>
      </c>
      <c r="DJD416" s="245" t="s">
        <v>68</v>
      </c>
      <c r="DJE416" s="1715" t="s">
        <v>0</v>
      </c>
      <c r="DJF416" s="1716"/>
      <c r="DJG416" s="1716"/>
      <c r="DJH416" s="1716"/>
      <c r="DJI416" s="1716"/>
      <c r="DJJ416" s="244"/>
      <c r="DJK416" s="244" t="s">
        <v>68</v>
      </c>
      <c r="DJL416" s="245" t="s">
        <v>68</v>
      </c>
      <c r="DJM416" s="1715" t="s">
        <v>0</v>
      </c>
      <c r="DJN416" s="1716"/>
      <c r="DJO416" s="1716"/>
      <c r="DJP416" s="1716"/>
      <c r="DJQ416" s="1716"/>
      <c r="DJR416" s="244"/>
      <c r="DJS416" s="244" t="s">
        <v>68</v>
      </c>
      <c r="DJT416" s="245" t="s">
        <v>68</v>
      </c>
      <c r="DJU416" s="1715" t="s">
        <v>0</v>
      </c>
      <c r="DJV416" s="1716"/>
      <c r="DJW416" s="1716"/>
      <c r="DJX416" s="1716"/>
      <c r="DJY416" s="1716"/>
      <c r="DJZ416" s="244"/>
      <c r="DKA416" s="244" t="s">
        <v>68</v>
      </c>
      <c r="DKB416" s="245" t="s">
        <v>68</v>
      </c>
      <c r="DKC416" s="1715" t="s">
        <v>0</v>
      </c>
      <c r="DKD416" s="1716"/>
      <c r="DKE416" s="1716"/>
      <c r="DKF416" s="1716"/>
      <c r="DKG416" s="1716"/>
      <c r="DKH416" s="244"/>
      <c r="DKI416" s="244" t="s">
        <v>68</v>
      </c>
      <c r="DKJ416" s="245" t="s">
        <v>68</v>
      </c>
      <c r="DKK416" s="1715" t="s">
        <v>0</v>
      </c>
      <c r="DKL416" s="1716"/>
      <c r="DKM416" s="1716"/>
      <c r="DKN416" s="1716"/>
      <c r="DKO416" s="1716"/>
      <c r="DKP416" s="244"/>
      <c r="DKQ416" s="244" t="s">
        <v>68</v>
      </c>
      <c r="DKR416" s="245" t="s">
        <v>68</v>
      </c>
      <c r="DKS416" s="1715" t="s">
        <v>0</v>
      </c>
      <c r="DKT416" s="1716"/>
      <c r="DKU416" s="1716"/>
      <c r="DKV416" s="1716"/>
      <c r="DKW416" s="1716"/>
      <c r="DKX416" s="244"/>
      <c r="DKY416" s="244" t="s">
        <v>68</v>
      </c>
      <c r="DKZ416" s="245" t="s">
        <v>68</v>
      </c>
      <c r="DLA416" s="1715" t="s">
        <v>0</v>
      </c>
      <c r="DLB416" s="1716"/>
      <c r="DLC416" s="1716"/>
      <c r="DLD416" s="1716"/>
      <c r="DLE416" s="1716"/>
      <c r="DLF416" s="244"/>
      <c r="DLG416" s="244" t="s">
        <v>68</v>
      </c>
      <c r="DLH416" s="245" t="s">
        <v>68</v>
      </c>
      <c r="DLI416" s="1715" t="s">
        <v>0</v>
      </c>
      <c r="DLJ416" s="1716"/>
      <c r="DLK416" s="1716"/>
      <c r="DLL416" s="1716"/>
      <c r="DLM416" s="1716"/>
      <c r="DLN416" s="244"/>
      <c r="DLO416" s="244" t="s">
        <v>68</v>
      </c>
      <c r="DLP416" s="245" t="s">
        <v>68</v>
      </c>
      <c r="DLQ416" s="1715" t="s">
        <v>0</v>
      </c>
      <c r="DLR416" s="1716"/>
      <c r="DLS416" s="1716"/>
      <c r="DLT416" s="1716"/>
      <c r="DLU416" s="1716"/>
      <c r="DLV416" s="244"/>
      <c r="DLW416" s="244" t="s">
        <v>68</v>
      </c>
      <c r="DLX416" s="245" t="s">
        <v>68</v>
      </c>
      <c r="DLY416" s="1715" t="s">
        <v>0</v>
      </c>
      <c r="DLZ416" s="1716"/>
      <c r="DMA416" s="1716"/>
      <c r="DMB416" s="1716"/>
      <c r="DMC416" s="1716"/>
      <c r="DMD416" s="244"/>
      <c r="DME416" s="244" t="s">
        <v>68</v>
      </c>
      <c r="DMF416" s="245" t="s">
        <v>68</v>
      </c>
      <c r="DMG416" s="1715" t="s">
        <v>0</v>
      </c>
      <c r="DMH416" s="1716"/>
      <c r="DMI416" s="1716"/>
      <c r="DMJ416" s="1716"/>
      <c r="DMK416" s="1716"/>
      <c r="DML416" s="244"/>
      <c r="DMM416" s="244" t="s">
        <v>68</v>
      </c>
      <c r="DMN416" s="245" t="s">
        <v>68</v>
      </c>
      <c r="DMO416" s="1715" t="s">
        <v>0</v>
      </c>
      <c r="DMP416" s="1716"/>
      <c r="DMQ416" s="1716"/>
      <c r="DMR416" s="1716"/>
      <c r="DMS416" s="1716"/>
      <c r="DMT416" s="244"/>
      <c r="DMU416" s="244" t="s">
        <v>68</v>
      </c>
      <c r="DMV416" s="245" t="s">
        <v>68</v>
      </c>
      <c r="DMW416" s="1715" t="s">
        <v>0</v>
      </c>
      <c r="DMX416" s="1716"/>
      <c r="DMY416" s="1716"/>
      <c r="DMZ416" s="1716"/>
      <c r="DNA416" s="1716"/>
      <c r="DNB416" s="244"/>
      <c r="DNC416" s="244" t="s">
        <v>68</v>
      </c>
      <c r="DND416" s="245" t="s">
        <v>68</v>
      </c>
      <c r="DNE416" s="1715" t="s">
        <v>0</v>
      </c>
      <c r="DNF416" s="1716"/>
      <c r="DNG416" s="1716"/>
      <c r="DNH416" s="1716"/>
      <c r="DNI416" s="1716"/>
      <c r="DNJ416" s="244"/>
      <c r="DNK416" s="244" t="s">
        <v>68</v>
      </c>
      <c r="DNL416" s="245" t="s">
        <v>68</v>
      </c>
      <c r="DNM416" s="1715" t="s">
        <v>0</v>
      </c>
      <c r="DNN416" s="1716"/>
      <c r="DNO416" s="1716"/>
      <c r="DNP416" s="1716"/>
      <c r="DNQ416" s="1716"/>
      <c r="DNR416" s="244"/>
      <c r="DNS416" s="244" t="s">
        <v>68</v>
      </c>
      <c r="DNT416" s="245" t="s">
        <v>68</v>
      </c>
      <c r="DNU416" s="1715" t="s">
        <v>0</v>
      </c>
      <c r="DNV416" s="1716"/>
      <c r="DNW416" s="1716"/>
      <c r="DNX416" s="1716"/>
      <c r="DNY416" s="1716"/>
      <c r="DNZ416" s="244"/>
      <c r="DOA416" s="244" t="s">
        <v>68</v>
      </c>
      <c r="DOB416" s="245" t="s">
        <v>68</v>
      </c>
      <c r="DOC416" s="1715" t="s">
        <v>0</v>
      </c>
      <c r="DOD416" s="1716"/>
      <c r="DOE416" s="1716"/>
      <c r="DOF416" s="1716"/>
      <c r="DOG416" s="1716"/>
      <c r="DOH416" s="244"/>
      <c r="DOI416" s="244" t="s">
        <v>68</v>
      </c>
      <c r="DOJ416" s="245" t="s">
        <v>68</v>
      </c>
      <c r="DOK416" s="1715" t="s">
        <v>0</v>
      </c>
      <c r="DOL416" s="1716"/>
      <c r="DOM416" s="1716"/>
      <c r="DON416" s="1716"/>
      <c r="DOO416" s="1716"/>
      <c r="DOP416" s="244"/>
      <c r="DOQ416" s="244" t="s">
        <v>68</v>
      </c>
      <c r="DOR416" s="245" t="s">
        <v>68</v>
      </c>
      <c r="DOS416" s="1715" t="s">
        <v>0</v>
      </c>
      <c r="DOT416" s="1716"/>
      <c r="DOU416" s="1716"/>
      <c r="DOV416" s="1716"/>
      <c r="DOW416" s="1716"/>
      <c r="DOX416" s="244"/>
      <c r="DOY416" s="244" t="s">
        <v>68</v>
      </c>
      <c r="DOZ416" s="245" t="s">
        <v>68</v>
      </c>
      <c r="DPA416" s="1715" t="s">
        <v>0</v>
      </c>
      <c r="DPB416" s="1716"/>
      <c r="DPC416" s="1716"/>
      <c r="DPD416" s="1716"/>
      <c r="DPE416" s="1716"/>
      <c r="DPF416" s="244"/>
      <c r="DPG416" s="244" t="s">
        <v>68</v>
      </c>
      <c r="DPH416" s="245" t="s">
        <v>68</v>
      </c>
      <c r="DPI416" s="1715" t="s">
        <v>0</v>
      </c>
      <c r="DPJ416" s="1716"/>
      <c r="DPK416" s="1716"/>
      <c r="DPL416" s="1716"/>
      <c r="DPM416" s="1716"/>
      <c r="DPN416" s="244"/>
      <c r="DPO416" s="244" t="s">
        <v>68</v>
      </c>
      <c r="DPP416" s="245" t="s">
        <v>68</v>
      </c>
      <c r="DPQ416" s="1715" t="s">
        <v>0</v>
      </c>
      <c r="DPR416" s="1716"/>
      <c r="DPS416" s="1716"/>
      <c r="DPT416" s="1716"/>
      <c r="DPU416" s="1716"/>
      <c r="DPV416" s="244"/>
      <c r="DPW416" s="244" t="s">
        <v>68</v>
      </c>
      <c r="DPX416" s="245" t="s">
        <v>68</v>
      </c>
      <c r="DPY416" s="1715" t="s">
        <v>0</v>
      </c>
      <c r="DPZ416" s="1716"/>
      <c r="DQA416" s="1716"/>
      <c r="DQB416" s="1716"/>
      <c r="DQC416" s="1716"/>
      <c r="DQD416" s="244"/>
      <c r="DQE416" s="244" t="s">
        <v>68</v>
      </c>
      <c r="DQF416" s="245" t="s">
        <v>68</v>
      </c>
      <c r="DQG416" s="1715" t="s">
        <v>0</v>
      </c>
      <c r="DQH416" s="1716"/>
      <c r="DQI416" s="1716"/>
      <c r="DQJ416" s="1716"/>
      <c r="DQK416" s="1716"/>
      <c r="DQL416" s="244"/>
      <c r="DQM416" s="244" t="s">
        <v>68</v>
      </c>
      <c r="DQN416" s="245" t="s">
        <v>68</v>
      </c>
      <c r="DQO416" s="1715" t="s">
        <v>0</v>
      </c>
      <c r="DQP416" s="1716"/>
      <c r="DQQ416" s="1716"/>
      <c r="DQR416" s="1716"/>
      <c r="DQS416" s="1716"/>
      <c r="DQT416" s="244"/>
      <c r="DQU416" s="244" t="s">
        <v>68</v>
      </c>
      <c r="DQV416" s="245" t="s">
        <v>68</v>
      </c>
      <c r="DQW416" s="1715" t="s">
        <v>0</v>
      </c>
      <c r="DQX416" s="1716"/>
      <c r="DQY416" s="1716"/>
      <c r="DQZ416" s="1716"/>
      <c r="DRA416" s="1716"/>
      <c r="DRB416" s="244"/>
      <c r="DRC416" s="244" t="s">
        <v>68</v>
      </c>
      <c r="DRD416" s="245" t="s">
        <v>68</v>
      </c>
      <c r="DRE416" s="1715" t="s">
        <v>0</v>
      </c>
      <c r="DRF416" s="1716"/>
      <c r="DRG416" s="1716"/>
      <c r="DRH416" s="1716"/>
      <c r="DRI416" s="1716"/>
      <c r="DRJ416" s="244"/>
      <c r="DRK416" s="244" t="s">
        <v>68</v>
      </c>
      <c r="DRL416" s="245" t="s">
        <v>68</v>
      </c>
      <c r="DRM416" s="1715" t="s">
        <v>0</v>
      </c>
      <c r="DRN416" s="1716"/>
      <c r="DRO416" s="1716"/>
      <c r="DRP416" s="1716"/>
      <c r="DRQ416" s="1716"/>
      <c r="DRR416" s="244"/>
      <c r="DRS416" s="244" t="s">
        <v>68</v>
      </c>
      <c r="DRT416" s="245" t="s">
        <v>68</v>
      </c>
      <c r="DRU416" s="1715" t="s">
        <v>0</v>
      </c>
      <c r="DRV416" s="1716"/>
      <c r="DRW416" s="1716"/>
      <c r="DRX416" s="1716"/>
      <c r="DRY416" s="1716"/>
      <c r="DRZ416" s="244"/>
      <c r="DSA416" s="244" t="s">
        <v>68</v>
      </c>
      <c r="DSB416" s="245" t="s">
        <v>68</v>
      </c>
      <c r="DSC416" s="1715" t="s">
        <v>0</v>
      </c>
      <c r="DSD416" s="1716"/>
      <c r="DSE416" s="1716"/>
      <c r="DSF416" s="1716"/>
      <c r="DSG416" s="1716"/>
      <c r="DSH416" s="244"/>
      <c r="DSI416" s="244" t="s">
        <v>68</v>
      </c>
      <c r="DSJ416" s="245" t="s">
        <v>68</v>
      </c>
      <c r="DSK416" s="1715" t="s">
        <v>0</v>
      </c>
      <c r="DSL416" s="1716"/>
      <c r="DSM416" s="1716"/>
      <c r="DSN416" s="1716"/>
      <c r="DSO416" s="1716"/>
      <c r="DSP416" s="244"/>
      <c r="DSQ416" s="244" t="s">
        <v>68</v>
      </c>
      <c r="DSR416" s="245" t="s">
        <v>68</v>
      </c>
      <c r="DSS416" s="1715" t="s">
        <v>0</v>
      </c>
      <c r="DST416" s="1716"/>
      <c r="DSU416" s="1716"/>
      <c r="DSV416" s="1716"/>
      <c r="DSW416" s="1716"/>
      <c r="DSX416" s="244"/>
      <c r="DSY416" s="244" t="s">
        <v>68</v>
      </c>
      <c r="DSZ416" s="245" t="s">
        <v>68</v>
      </c>
      <c r="DTA416" s="1715" t="s">
        <v>0</v>
      </c>
      <c r="DTB416" s="1716"/>
      <c r="DTC416" s="1716"/>
      <c r="DTD416" s="1716"/>
      <c r="DTE416" s="1716"/>
      <c r="DTF416" s="244"/>
      <c r="DTG416" s="244" t="s">
        <v>68</v>
      </c>
      <c r="DTH416" s="245" t="s">
        <v>68</v>
      </c>
      <c r="DTI416" s="1715" t="s">
        <v>0</v>
      </c>
      <c r="DTJ416" s="1716"/>
      <c r="DTK416" s="1716"/>
      <c r="DTL416" s="1716"/>
      <c r="DTM416" s="1716"/>
      <c r="DTN416" s="244"/>
      <c r="DTO416" s="244" t="s">
        <v>68</v>
      </c>
      <c r="DTP416" s="245" t="s">
        <v>68</v>
      </c>
      <c r="DTQ416" s="1715" t="s">
        <v>0</v>
      </c>
      <c r="DTR416" s="1716"/>
      <c r="DTS416" s="1716"/>
      <c r="DTT416" s="1716"/>
      <c r="DTU416" s="1716"/>
      <c r="DTV416" s="244"/>
      <c r="DTW416" s="244" t="s">
        <v>68</v>
      </c>
      <c r="DTX416" s="245" t="s">
        <v>68</v>
      </c>
      <c r="DTY416" s="1715" t="s">
        <v>0</v>
      </c>
      <c r="DTZ416" s="1716"/>
      <c r="DUA416" s="1716"/>
      <c r="DUB416" s="1716"/>
      <c r="DUC416" s="1716"/>
      <c r="DUD416" s="244"/>
      <c r="DUE416" s="244" t="s">
        <v>68</v>
      </c>
      <c r="DUF416" s="245" t="s">
        <v>68</v>
      </c>
      <c r="DUG416" s="1715" t="s">
        <v>0</v>
      </c>
      <c r="DUH416" s="1716"/>
      <c r="DUI416" s="1716"/>
      <c r="DUJ416" s="1716"/>
      <c r="DUK416" s="1716"/>
      <c r="DUL416" s="244"/>
      <c r="DUM416" s="244" t="s">
        <v>68</v>
      </c>
      <c r="DUN416" s="245" t="s">
        <v>68</v>
      </c>
      <c r="DUO416" s="1715" t="s">
        <v>0</v>
      </c>
      <c r="DUP416" s="1716"/>
      <c r="DUQ416" s="1716"/>
      <c r="DUR416" s="1716"/>
      <c r="DUS416" s="1716"/>
      <c r="DUT416" s="244"/>
      <c r="DUU416" s="244" t="s">
        <v>68</v>
      </c>
      <c r="DUV416" s="245" t="s">
        <v>68</v>
      </c>
      <c r="DUW416" s="1715" t="s">
        <v>0</v>
      </c>
      <c r="DUX416" s="1716"/>
      <c r="DUY416" s="1716"/>
      <c r="DUZ416" s="1716"/>
      <c r="DVA416" s="1716"/>
      <c r="DVB416" s="244"/>
      <c r="DVC416" s="244" t="s">
        <v>68</v>
      </c>
      <c r="DVD416" s="245" t="s">
        <v>68</v>
      </c>
      <c r="DVE416" s="1715" t="s">
        <v>0</v>
      </c>
      <c r="DVF416" s="1716"/>
      <c r="DVG416" s="1716"/>
      <c r="DVH416" s="1716"/>
      <c r="DVI416" s="1716"/>
      <c r="DVJ416" s="244"/>
      <c r="DVK416" s="244" t="s">
        <v>68</v>
      </c>
      <c r="DVL416" s="245" t="s">
        <v>68</v>
      </c>
      <c r="DVM416" s="1715" t="s">
        <v>0</v>
      </c>
      <c r="DVN416" s="1716"/>
      <c r="DVO416" s="1716"/>
      <c r="DVP416" s="1716"/>
      <c r="DVQ416" s="1716"/>
      <c r="DVR416" s="244"/>
      <c r="DVS416" s="244" t="s">
        <v>68</v>
      </c>
      <c r="DVT416" s="245" t="s">
        <v>68</v>
      </c>
      <c r="DVU416" s="1715" t="s">
        <v>0</v>
      </c>
      <c r="DVV416" s="1716"/>
      <c r="DVW416" s="1716"/>
      <c r="DVX416" s="1716"/>
      <c r="DVY416" s="1716"/>
      <c r="DVZ416" s="244"/>
      <c r="DWA416" s="244" t="s">
        <v>68</v>
      </c>
      <c r="DWB416" s="245" t="s">
        <v>68</v>
      </c>
      <c r="DWC416" s="1715" t="s">
        <v>0</v>
      </c>
      <c r="DWD416" s="1716"/>
      <c r="DWE416" s="1716"/>
      <c r="DWF416" s="1716"/>
      <c r="DWG416" s="1716"/>
      <c r="DWH416" s="244"/>
      <c r="DWI416" s="244" t="s">
        <v>68</v>
      </c>
      <c r="DWJ416" s="245" t="s">
        <v>68</v>
      </c>
      <c r="DWK416" s="1715" t="s">
        <v>0</v>
      </c>
      <c r="DWL416" s="1716"/>
      <c r="DWM416" s="1716"/>
      <c r="DWN416" s="1716"/>
      <c r="DWO416" s="1716"/>
      <c r="DWP416" s="244"/>
      <c r="DWQ416" s="244" t="s">
        <v>68</v>
      </c>
      <c r="DWR416" s="245" t="s">
        <v>68</v>
      </c>
      <c r="DWS416" s="1715" t="s">
        <v>0</v>
      </c>
      <c r="DWT416" s="1716"/>
      <c r="DWU416" s="1716"/>
      <c r="DWV416" s="1716"/>
      <c r="DWW416" s="1716"/>
      <c r="DWX416" s="244"/>
      <c r="DWY416" s="244" t="s">
        <v>68</v>
      </c>
      <c r="DWZ416" s="245" t="s">
        <v>68</v>
      </c>
      <c r="DXA416" s="1715" t="s">
        <v>0</v>
      </c>
      <c r="DXB416" s="1716"/>
      <c r="DXC416" s="1716"/>
      <c r="DXD416" s="1716"/>
      <c r="DXE416" s="1716"/>
      <c r="DXF416" s="244"/>
      <c r="DXG416" s="244" t="s">
        <v>68</v>
      </c>
      <c r="DXH416" s="245" t="s">
        <v>68</v>
      </c>
      <c r="DXI416" s="1715" t="s">
        <v>0</v>
      </c>
      <c r="DXJ416" s="1716"/>
      <c r="DXK416" s="1716"/>
      <c r="DXL416" s="1716"/>
      <c r="DXM416" s="1716"/>
      <c r="DXN416" s="244"/>
      <c r="DXO416" s="244" t="s">
        <v>68</v>
      </c>
      <c r="DXP416" s="245" t="s">
        <v>68</v>
      </c>
      <c r="DXQ416" s="1715" t="s">
        <v>0</v>
      </c>
      <c r="DXR416" s="1716"/>
      <c r="DXS416" s="1716"/>
      <c r="DXT416" s="1716"/>
      <c r="DXU416" s="1716"/>
      <c r="DXV416" s="244"/>
      <c r="DXW416" s="244" t="s">
        <v>68</v>
      </c>
      <c r="DXX416" s="245" t="s">
        <v>68</v>
      </c>
      <c r="DXY416" s="1715" t="s">
        <v>0</v>
      </c>
      <c r="DXZ416" s="1716"/>
      <c r="DYA416" s="1716"/>
      <c r="DYB416" s="1716"/>
      <c r="DYC416" s="1716"/>
      <c r="DYD416" s="244"/>
      <c r="DYE416" s="244" t="s">
        <v>68</v>
      </c>
      <c r="DYF416" s="245" t="s">
        <v>68</v>
      </c>
      <c r="DYG416" s="1715" t="s">
        <v>0</v>
      </c>
      <c r="DYH416" s="1716"/>
      <c r="DYI416" s="1716"/>
      <c r="DYJ416" s="1716"/>
      <c r="DYK416" s="1716"/>
      <c r="DYL416" s="244"/>
      <c r="DYM416" s="244" t="s">
        <v>68</v>
      </c>
      <c r="DYN416" s="245" t="s">
        <v>68</v>
      </c>
      <c r="DYO416" s="1715" t="s">
        <v>0</v>
      </c>
      <c r="DYP416" s="1716"/>
      <c r="DYQ416" s="1716"/>
      <c r="DYR416" s="1716"/>
      <c r="DYS416" s="1716"/>
      <c r="DYT416" s="244"/>
      <c r="DYU416" s="244" t="s">
        <v>68</v>
      </c>
      <c r="DYV416" s="245" t="s">
        <v>68</v>
      </c>
      <c r="DYW416" s="1715" t="s">
        <v>0</v>
      </c>
      <c r="DYX416" s="1716"/>
      <c r="DYY416" s="1716"/>
      <c r="DYZ416" s="1716"/>
      <c r="DZA416" s="1716"/>
      <c r="DZB416" s="244"/>
      <c r="DZC416" s="244" t="s">
        <v>68</v>
      </c>
      <c r="DZD416" s="245" t="s">
        <v>68</v>
      </c>
      <c r="DZE416" s="1715" t="s">
        <v>0</v>
      </c>
      <c r="DZF416" s="1716"/>
      <c r="DZG416" s="1716"/>
      <c r="DZH416" s="1716"/>
      <c r="DZI416" s="1716"/>
      <c r="DZJ416" s="244"/>
      <c r="DZK416" s="244" t="s">
        <v>68</v>
      </c>
      <c r="DZL416" s="245" t="s">
        <v>68</v>
      </c>
      <c r="DZM416" s="1715" t="s">
        <v>0</v>
      </c>
      <c r="DZN416" s="1716"/>
      <c r="DZO416" s="1716"/>
      <c r="DZP416" s="1716"/>
      <c r="DZQ416" s="1716"/>
      <c r="DZR416" s="244"/>
      <c r="DZS416" s="244" t="s">
        <v>68</v>
      </c>
      <c r="DZT416" s="245" t="s">
        <v>68</v>
      </c>
      <c r="DZU416" s="1715" t="s">
        <v>0</v>
      </c>
      <c r="DZV416" s="1716"/>
      <c r="DZW416" s="1716"/>
      <c r="DZX416" s="1716"/>
      <c r="DZY416" s="1716"/>
      <c r="DZZ416" s="244"/>
      <c r="EAA416" s="244" t="s">
        <v>68</v>
      </c>
      <c r="EAB416" s="245" t="s">
        <v>68</v>
      </c>
      <c r="EAC416" s="1715" t="s">
        <v>0</v>
      </c>
      <c r="EAD416" s="1716"/>
      <c r="EAE416" s="1716"/>
      <c r="EAF416" s="1716"/>
      <c r="EAG416" s="1716"/>
      <c r="EAH416" s="244"/>
      <c r="EAI416" s="244" t="s">
        <v>68</v>
      </c>
      <c r="EAJ416" s="245" t="s">
        <v>68</v>
      </c>
      <c r="EAK416" s="1715" t="s">
        <v>0</v>
      </c>
      <c r="EAL416" s="1716"/>
      <c r="EAM416" s="1716"/>
      <c r="EAN416" s="1716"/>
      <c r="EAO416" s="1716"/>
      <c r="EAP416" s="244"/>
      <c r="EAQ416" s="244" t="s">
        <v>68</v>
      </c>
      <c r="EAR416" s="245" t="s">
        <v>68</v>
      </c>
      <c r="EAS416" s="1715" t="s">
        <v>0</v>
      </c>
      <c r="EAT416" s="1716"/>
      <c r="EAU416" s="1716"/>
      <c r="EAV416" s="1716"/>
      <c r="EAW416" s="1716"/>
      <c r="EAX416" s="244"/>
      <c r="EAY416" s="244" t="s">
        <v>68</v>
      </c>
      <c r="EAZ416" s="245" t="s">
        <v>68</v>
      </c>
      <c r="EBA416" s="1715" t="s">
        <v>0</v>
      </c>
      <c r="EBB416" s="1716"/>
      <c r="EBC416" s="1716"/>
      <c r="EBD416" s="1716"/>
      <c r="EBE416" s="1716"/>
      <c r="EBF416" s="244"/>
      <c r="EBG416" s="244" t="s">
        <v>68</v>
      </c>
      <c r="EBH416" s="245" t="s">
        <v>68</v>
      </c>
      <c r="EBI416" s="1715" t="s">
        <v>0</v>
      </c>
      <c r="EBJ416" s="1716"/>
      <c r="EBK416" s="1716"/>
      <c r="EBL416" s="1716"/>
      <c r="EBM416" s="1716"/>
      <c r="EBN416" s="244"/>
      <c r="EBO416" s="244" t="s">
        <v>68</v>
      </c>
      <c r="EBP416" s="245" t="s">
        <v>68</v>
      </c>
      <c r="EBQ416" s="1715" t="s">
        <v>0</v>
      </c>
      <c r="EBR416" s="1716"/>
      <c r="EBS416" s="1716"/>
      <c r="EBT416" s="1716"/>
      <c r="EBU416" s="1716"/>
      <c r="EBV416" s="244"/>
      <c r="EBW416" s="244" t="s">
        <v>68</v>
      </c>
      <c r="EBX416" s="245" t="s">
        <v>68</v>
      </c>
      <c r="EBY416" s="1715" t="s">
        <v>0</v>
      </c>
      <c r="EBZ416" s="1716"/>
      <c r="ECA416" s="1716"/>
      <c r="ECB416" s="1716"/>
      <c r="ECC416" s="1716"/>
      <c r="ECD416" s="244"/>
      <c r="ECE416" s="244" t="s">
        <v>68</v>
      </c>
      <c r="ECF416" s="245" t="s">
        <v>68</v>
      </c>
      <c r="ECG416" s="1715" t="s">
        <v>0</v>
      </c>
      <c r="ECH416" s="1716"/>
      <c r="ECI416" s="1716"/>
      <c r="ECJ416" s="1716"/>
      <c r="ECK416" s="1716"/>
      <c r="ECL416" s="244"/>
      <c r="ECM416" s="244" t="s">
        <v>68</v>
      </c>
      <c r="ECN416" s="245" t="s">
        <v>68</v>
      </c>
      <c r="ECO416" s="1715" t="s">
        <v>0</v>
      </c>
      <c r="ECP416" s="1716"/>
      <c r="ECQ416" s="1716"/>
      <c r="ECR416" s="1716"/>
      <c r="ECS416" s="1716"/>
      <c r="ECT416" s="244"/>
      <c r="ECU416" s="244" t="s">
        <v>68</v>
      </c>
      <c r="ECV416" s="245" t="s">
        <v>68</v>
      </c>
      <c r="ECW416" s="1715" t="s">
        <v>0</v>
      </c>
      <c r="ECX416" s="1716"/>
      <c r="ECY416" s="1716"/>
      <c r="ECZ416" s="1716"/>
      <c r="EDA416" s="1716"/>
      <c r="EDB416" s="244"/>
      <c r="EDC416" s="244" t="s">
        <v>68</v>
      </c>
      <c r="EDD416" s="245" t="s">
        <v>68</v>
      </c>
      <c r="EDE416" s="1715" t="s">
        <v>0</v>
      </c>
      <c r="EDF416" s="1716"/>
      <c r="EDG416" s="1716"/>
      <c r="EDH416" s="1716"/>
      <c r="EDI416" s="1716"/>
      <c r="EDJ416" s="244"/>
      <c r="EDK416" s="244" t="s">
        <v>68</v>
      </c>
      <c r="EDL416" s="245" t="s">
        <v>68</v>
      </c>
      <c r="EDM416" s="1715" t="s">
        <v>0</v>
      </c>
      <c r="EDN416" s="1716"/>
      <c r="EDO416" s="1716"/>
      <c r="EDP416" s="1716"/>
      <c r="EDQ416" s="1716"/>
      <c r="EDR416" s="244"/>
      <c r="EDS416" s="244" t="s">
        <v>68</v>
      </c>
      <c r="EDT416" s="245" t="s">
        <v>68</v>
      </c>
      <c r="EDU416" s="1715" t="s">
        <v>0</v>
      </c>
      <c r="EDV416" s="1716"/>
      <c r="EDW416" s="1716"/>
      <c r="EDX416" s="1716"/>
      <c r="EDY416" s="1716"/>
      <c r="EDZ416" s="244"/>
      <c r="EEA416" s="244" t="s">
        <v>68</v>
      </c>
      <c r="EEB416" s="245" t="s">
        <v>68</v>
      </c>
      <c r="EEC416" s="1715" t="s">
        <v>0</v>
      </c>
      <c r="EED416" s="1716"/>
      <c r="EEE416" s="1716"/>
      <c r="EEF416" s="1716"/>
      <c r="EEG416" s="1716"/>
      <c r="EEH416" s="244"/>
      <c r="EEI416" s="244" t="s">
        <v>68</v>
      </c>
      <c r="EEJ416" s="245" t="s">
        <v>68</v>
      </c>
      <c r="EEK416" s="1715" t="s">
        <v>0</v>
      </c>
      <c r="EEL416" s="1716"/>
      <c r="EEM416" s="1716"/>
      <c r="EEN416" s="1716"/>
      <c r="EEO416" s="1716"/>
      <c r="EEP416" s="244"/>
      <c r="EEQ416" s="244" t="s">
        <v>68</v>
      </c>
      <c r="EER416" s="245" t="s">
        <v>68</v>
      </c>
      <c r="EES416" s="1715" t="s">
        <v>0</v>
      </c>
      <c r="EET416" s="1716"/>
      <c r="EEU416" s="1716"/>
      <c r="EEV416" s="1716"/>
      <c r="EEW416" s="1716"/>
      <c r="EEX416" s="244"/>
      <c r="EEY416" s="244" t="s">
        <v>68</v>
      </c>
      <c r="EEZ416" s="245" t="s">
        <v>68</v>
      </c>
      <c r="EFA416" s="1715" t="s">
        <v>0</v>
      </c>
      <c r="EFB416" s="1716"/>
      <c r="EFC416" s="1716"/>
      <c r="EFD416" s="1716"/>
      <c r="EFE416" s="1716"/>
      <c r="EFF416" s="244"/>
      <c r="EFG416" s="244" t="s">
        <v>68</v>
      </c>
      <c r="EFH416" s="245" t="s">
        <v>68</v>
      </c>
      <c r="EFI416" s="1715" t="s">
        <v>0</v>
      </c>
      <c r="EFJ416" s="1716"/>
      <c r="EFK416" s="1716"/>
      <c r="EFL416" s="1716"/>
      <c r="EFM416" s="1716"/>
      <c r="EFN416" s="244"/>
      <c r="EFO416" s="244" t="s">
        <v>68</v>
      </c>
      <c r="EFP416" s="245" t="s">
        <v>68</v>
      </c>
      <c r="EFQ416" s="1715" t="s">
        <v>0</v>
      </c>
      <c r="EFR416" s="1716"/>
      <c r="EFS416" s="1716"/>
      <c r="EFT416" s="1716"/>
      <c r="EFU416" s="1716"/>
      <c r="EFV416" s="244"/>
      <c r="EFW416" s="244" t="s">
        <v>68</v>
      </c>
      <c r="EFX416" s="245" t="s">
        <v>68</v>
      </c>
      <c r="EFY416" s="1715" t="s">
        <v>0</v>
      </c>
      <c r="EFZ416" s="1716"/>
      <c r="EGA416" s="1716"/>
      <c r="EGB416" s="1716"/>
      <c r="EGC416" s="1716"/>
      <c r="EGD416" s="244"/>
      <c r="EGE416" s="244" t="s">
        <v>68</v>
      </c>
      <c r="EGF416" s="245" t="s">
        <v>68</v>
      </c>
      <c r="EGG416" s="1715" t="s">
        <v>0</v>
      </c>
      <c r="EGH416" s="1716"/>
      <c r="EGI416" s="1716"/>
      <c r="EGJ416" s="1716"/>
      <c r="EGK416" s="1716"/>
      <c r="EGL416" s="244"/>
      <c r="EGM416" s="244" t="s">
        <v>68</v>
      </c>
      <c r="EGN416" s="245" t="s">
        <v>68</v>
      </c>
      <c r="EGO416" s="1715" t="s">
        <v>0</v>
      </c>
      <c r="EGP416" s="1716"/>
      <c r="EGQ416" s="1716"/>
      <c r="EGR416" s="1716"/>
      <c r="EGS416" s="1716"/>
      <c r="EGT416" s="244"/>
      <c r="EGU416" s="244" t="s">
        <v>68</v>
      </c>
      <c r="EGV416" s="245" t="s">
        <v>68</v>
      </c>
      <c r="EGW416" s="1715" t="s">
        <v>0</v>
      </c>
      <c r="EGX416" s="1716"/>
      <c r="EGY416" s="1716"/>
      <c r="EGZ416" s="1716"/>
      <c r="EHA416" s="1716"/>
      <c r="EHB416" s="244"/>
      <c r="EHC416" s="244" t="s">
        <v>68</v>
      </c>
      <c r="EHD416" s="245" t="s">
        <v>68</v>
      </c>
      <c r="EHE416" s="1715" t="s">
        <v>0</v>
      </c>
      <c r="EHF416" s="1716"/>
      <c r="EHG416" s="1716"/>
      <c r="EHH416" s="1716"/>
      <c r="EHI416" s="1716"/>
      <c r="EHJ416" s="244"/>
      <c r="EHK416" s="244" t="s">
        <v>68</v>
      </c>
      <c r="EHL416" s="245" t="s">
        <v>68</v>
      </c>
      <c r="EHM416" s="1715" t="s">
        <v>0</v>
      </c>
      <c r="EHN416" s="1716"/>
      <c r="EHO416" s="1716"/>
      <c r="EHP416" s="1716"/>
      <c r="EHQ416" s="1716"/>
      <c r="EHR416" s="244"/>
      <c r="EHS416" s="244" t="s">
        <v>68</v>
      </c>
      <c r="EHT416" s="245" t="s">
        <v>68</v>
      </c>
      <c r="EHU416" s="1715" t="s">
        <v>0</v>
      </c>
      <c r="EHV416" s="1716"/>
      <c r="EHW416" s="1716"/>
      <c r="EHX416" s="1716"/>
      <c r="EHY416" s="1716"/>
      <c r="EHZ416" s="244"/>
      <c r="EIA416" s="244" t="s">
        <v>68</v>
      </c>
      <c r="EIB416" s="245" t="s">
        <v>68</v>
      </c>
      <c r="EIC416" s="1715" t="s">
        <v>0</v>
      </c>
      <c r="EID416" s="1716"/>
      <c r="EIE416" s="1716"/>
      <c r="EIF416" s="1716"/>
      <c r="EIG416" s="1716"/>
      <c r="EIH416" s="244"/>
      <c r="EII416" s="244" t="s">
        <v>68</v>
      </c>
      <c r="EIJ416" s="245" t="s">
        <v>68</v>
      </c>
      <c r="EIK416" s="1715" t="s">
        <v>0</v>
      </c>
      <c r="EIL416" s="1716"/>
      <c r="EIM416" s="1716"/>
      <c r="EIN416" s="1716"/>
      <c r="EIO416" s="1716"/>
      <c r="EIP416" s="244"/>
      <c r="EIQ416" s="244" t="s">
        <v>68</v>
      </c>
      <c r="EIR416" s="245" t="s">
        <v>68</v>
      </c>
      <c r="EIS416" s="1715" t="s">
        <v>0</v>
      </c>
      <c r="EIT416" s="1716"/>
      <c r="EIU416" s="1716"/>
      <c r="EIV416" s="1716"/>
      <c r="EIW416" s="1716"/>
      <c r="EIX416" s="244"/>
      <c r="EIY416" s="244" t="s">
        <v>68</v>
      </c>
      <c r="EIZ416" s="245" t="s">
        <v>68</v>
      </c>
      <c r="EJA416" s="1715" t="s">
        <v>0</v>
      </c>
      <c r="EJB416" s="1716"/>
      <c r="EJC416" s="1716"/>
      <c r="EJD416" s="1716"/>
      <c r="EJE416" s="1716"/>
      <c r="EJF416" s="244"/>
      <c r="EJG416" s="244" t="s">
        <v>68</v>
      </c>
      <c r="EJH416" s="245" t="s">
        <v>68</v>
      </c>
      <c r="EJI416" s="1715" t="s">
        <v>0</v>
      </c>
      <c r="EJJ416" s="1716"/>
      <c r="EJK416" s="1716"/>
      <c r="EJL416" s="1716"/>
      <c r="EJM416" s="1716"/>
      <c r="EJN416" s="244"/>
      <c r="EJO416" s="244" t="s">
        <v>68</v>
      </c>
      <c r="EJP416" s="245" t="s">
        <v>68</v>
      </c>
      <c r="EJQ416" s="1715" t="s">
        <v>0</v>
      </c>
      <c r="EJR416" s="1716"/>
      <c r="EJS416" s="1716"/>
      <c r="EJT416" s="1716"/>
      <c r="EJU416" s="1716"/>
      <c r="EJV416" s="244"/>
      <c r="EJW416" s="244" t="s">
        <v>68</v>
      </c>
      <c r="EJX416" s="245" t="s">
        <v>68</v>
      </c>
      <c r="EJY416" s="1715" t="s">
        <v>0</v>
      </c>
      <c r="EJZ416" s="1716"/>
      <c r="EKA416" s="1716"/>
      <c r="EKB416" s="1716"/>
      <c r="EKC416" s="1716"/>
      <c r="EKD416" s="244"/>
      <c r="EKE416" s="244" t="s">
        <v>68</v>
      </c>
      <c r="EKF416" s="245" t="s">
        <v>68</v>
      </c>
      <c r="EKG416" s="1715" t="s">
        <v>0</v>
      </c>
      <c r="EKH416" s="1716"/>
      <c r="EKI416" s="1716"/>
      <c r="EKJ416" s="1716"/>
      <c r="EKK416" s="1716"/>
      <c r="EKL416" s="244"/>
      <c r="EKM416" s="244" t="s">
        <v>68</v>
      </c>
      <c r="EKN416" s="245" t="s">
        <v>68</v>
      </c>
      <c r="EKO416" s="1715" t="s">
        <v>0</v>
      </c>
      <c r="EKP416" s="1716"/>
      <c r="EKQ416" s="1716"/>
      <c r="EKR416" s="1716"/>
      <c r="EKS416" s="1716"/>
      <c r="EKT416" s="244"/>
      <c r="EKU416" s="244" t="s">
        <v>68</v>
      </c>
      <c r="EKV416" s="245" t="s">
        <v>68</v>
      </c>
      <c r="EKW416" s="1715" t="s">
        <v>0</v>
      </c>
      <c r="EKX416" s="1716"/>
      <c r="EKY416" s="1716"/>
      <c r="EKZ416" s="1716"/>
      <c r="ELA416" s="1716"/>
      <c r="ELB416" s="244"/>
      <c r="ELC416" s="244" t="s">
        <v>68</v>
      </c>
      <c r="ELD416" s="245" t="s">
        <v>68</v>
      </c>
      <c r="ELE416" s="1715" t="s">
        <v>0</v>
      </c>
      <c r="ELF416" s="1716"/>
      <c r="ELG416" s="1716"/>
      <c r="ELH416" s="1716"/>
      <c r="ELI416" s="1716"/>
      <c r="ELJ416" s="244"/>
      <c r="ELK416" s="244" t="s">
        <v>68</v>
      </c>
      <c r="ELL416" s="245" t="s">
        <v>68</v>
      </c>
      <c r="ELM416" s="1715" t="s">
        <v>0</v>
      </c>
      <c r="ELN416" s="1716"/>
      <c r="ELO416" s="1716"/>
      <c r="ELP416" s="1716"/>
      <c r="ELQ416" s="1716"/>
      <c r="ELR416" s="244"/>
      <c r="ELS416" s="244" t="s">
        <v>68</v>
      </c>
      <c r="ELT416" s="245" t="s">
        <v>68</v>
      </c>
      <c r="ELU416" s="1715" t="s">
        <v>0</v>
      </c>
      <c r="ELV416" s="1716"/>
      <c r="ELW416" s="1716"/>
      <c r="ELX416" s="1716"/>
      <c r="ELY416" s="1716"/>
      <c r="ELZ416" s="244"/>
      <c r="EMA416" s="244" t="s">
        <v>68</v>
      </c>
      <c r="EMB416" s="245" t="s">
        <v>68</v>
      </c>
      <c r="EMC416" s="1715" t="s">
        <v>0</v>
      </c>
      <c r="EMD416" s="1716"/>
      <c r="EME416" s="1716"/>
      <c r="EMF416" s="1716"/>
      <c r="EMG416" s="1716"/>
      <c r="EMH416" s="244"/>
      <c r="EMI416" s="244" t="s">
        <v>68</v>
      </c>
      <c r="EMJ416" s="245" t="s">
        <v>68</v>
      </c>
      <c r="EMK416" s="1715" t="s">
        <v>0</v>
      </c>
      <c r="EML416" s="1716"/>
      <c r="EMM416" s="1716"/>
      <c r="EMN416" s="1716"/>
      <c r="EMO416" s="1716"/>
      <c r="EMP416" s="244"/>
      <c r="EMQ416" s="244" t="s">
        <v>68</v>
      </c>
      <c r="EMR416" s="245" t="s">
        <v>68</v>
      </c>
      <c r="EMS416" s="1715" t="s">
        <v>0</v>
      </c>
      <c r="EMT416" s="1716"/>
      <c r="EMU416" s="1716"/>
      <c r="EMV416" s="1716"/>
      <c r="EMW416" s="1716"/>
      <c r="EMX416" s="244"/>
      <c r="EMY416" s="244" t="s">
        <v>68</v>
      </c>
      <c r="EMZ416" s="245" t="s">
        <v>68</v>
      </c>
      <c r="ENA416" s="1715" t="s">
        <v>0</v>
      </c>
      <c r="ENB416" s="1716"/>
      <c r="ENC416" s="1716"/>
      <c r="END416" s="1716"/>
      <c r="ENE416" s="1716"/>
      <c r="ENF416" s="244"/>
      <c r="ENG416" s="244" t="s">
        <v>68</v>
      </c>
      <c r="ENH416" s="245" t="s">
        <v>68</v>
      </c>
      <c r="ENI416" s="1715" t="s">
        <v>0</v>
      </c>
      <c r="ENJ416" s="1716"/>
      <c r="ENK416" s="1716"/>
      <c r="ENL416" s="1716"/>
      <c r="ENM416" s="1716"/>
      <c r="ENN416" s="244"/>
      <c r="ENO416" s="244" t="s">
        <v>68</v>
      </c>
      <c r="ENP416" s="245" t="s">
        <v>68</v>
      </c>
      <c r="ENQ416" s="1715" t="s">
        <v>0</v>
      </c>
      <c r="ENR416" s="1716"/>
      <c r="ENS416" s="1716"/>
      <c r="ENT416" s="1716"/>
      <c r="ENU416" s="1716"/>
      <c r="ENV416" s="244"/>
      <c r="ENW416" s="244" t="s">
        <v>68</v>
      </c>
      <c r="ENX416" s="245" t="s">
        <v>68</v>
      </c>
      <c r="ENY416" s="1715" t="s">
        <v>0</v>
      </c>
      <c r="ENZ416" s="1716"/>
      <c r="EOA416" s="1716"/>
      <c r="EOB416" s="1716"/>
      <c r="EOC416" s="1716"/>
      <c r="EOD416" s="244"/>
      <c r="EOE416" s="244" t="s">
        <v>68</v>
      </c>
      <c r="EOF416" s="245" t="s">
        <v>68</v>
      </c>
      <c r="EOG416" s="1715" t="s">
        <v>0</v>
      </c>
      <c r="EOH416" s="1716"/>
      <c r="EOI416" s="1716"/>
      <c r="EOJ416" s="1716"/>
      <c r="EOK416" s="1716"/>
      <c r="EOL416" s="244"/>
      <c r="EOM416" s="244" t="s">
        <v>68</v>
      </c>
      <c r="EON416" s="245" t="s">
        <v>68</v>
      </c>
      <c r="EOO416" s="1715" t="s">
        <v>0</v>
      </c>
      <c r="EOP416" s="1716"/>
      <c r="EOQ416" s="1716"/>
      <c r="EOR416" s="1716"/>
      <c r="EOS416" s="1716"/>
      <c r="EOT416" s="244"/>
      <c r="EOU416" s="244" t="s">
        <v>68</v>
      </c>
      <c r="EOV416" s="245" t="s">
        <v>68</v>
      </c>
      <c r="EOW416" s="1715" t="s">
        <v>0</v>
      </c>
      <c r="EOX416" s="1716"/>
      <c r="EOY416" s="1716"/>
      <c r="EOZ416" s="1716"/>
      <c r="EPA416" s="1716"/>
      <c r="EPB416" s="244"/>
      <c r="EPC416" s="244" t="s">
        <v>68</v>
      </c>
      <c r="EPD416" s="245" t="s">
        <v>68</v>
      </c>
      <c r="EPE416" s="1715" t="s">
        <v>0</v>
      </c>
      <c r="EPF416" s="1716"/>
      <c r="EPG416" s="1716"/>
      <c r="EPH416" s="1716"/>
      <c r="EPI416" s="1716"/>
      <c r="EPJ416" s="244"/>
      <c r="EPK416" s="244" t="s">
        <v>68</v>
      </c>
      <c r="EPL416" s="245" t="s">
        <v>68</v>
      </c>
      <c r="EPM416" s="1715" t="s">
        <v>0</v>
      </c>
      <c r="EPN416" s="1716"/>
      <c r="EPO416" s="1716"/>
      <c r="EPP416" s="1716"/>
      <c r="EPQ416" s="1716"/>
      <c r="EPR416" s="244"/>
      <c r="EPS416" s="244" t="s">
        <v>68</v>
      </c>
      <c r="EPT416" s="245" t="s">
        <v>68</v>
      </c>
      <c r="EPU416" s="1715" t="s">
        <v>0</v>
      </c>
      <c r="EPV416" s="1716"/>
      <c r="EPW416" s="1716"/>
      <c r="EPX416" s="1716"/>
      <c r="EPY416" s="1716"/>
      <c r="EPZ416" s="244"/>
      <c r="EQA416" s="244" t="s">
        <v>68</v>
      </c>
      <c r="EQB416" s="245" t="s">
        <v>68</v>
      </c>
      <c r="EQC416" s="1715" t="s">
        <v>0</v>
      </c>
      <c r="EQD416" s="1716"/>
      <c r="EQE416" s="1716"/>
      <c r="EQF416" s="1716"/>
      <c r="EQG416" s="1716"/>
      <c r="EQH416" s="244"/>
      <c r="EQI416" s="244" t="s">
        <v>68</v>
      </c>
      <c r="EQJ416" s="245" t="s">
        <v>68</v>
      </c>
      <c r="EQK416" s="1715" t="s">
        <v>0</v>
      </c>
      <c r="EQL416" s="1716"/>
      <c r="EQM416" s="1716"/>
      <c r="EQN416" s="1716"/>
      <c r="EQO416" s="1716"/>
      <c r="EQP416" s="244"/>
      <c r="EQQ416" s="244" t="s">
        <v>68</v>
      </c>
      <c r="EQR416" s="245" t="s">
        <v>68</v>
      </c>
      <c r="EQS416" s="1715" t="s">
        <v>0</v>
      </c>
      <c r="EQT416" s="1716"/>
      <c r="EQU416" s="1716"/>
      <c r="EQV416" s="1716"/>
      <c r="EQW416" s="1716"/>
      <c r="EQX416" s="244"/>
      <c r="EQY416" s="244" t="s">
        <v>68</v>
      </c>
      <c r="EQZ416" s="245" t="s">
        <v>68</v>
      </c>
      <c r="ERA416" s="1715" t="s">
        <v>0</v>
      </c>
      <c r="ERB416" s="1716"/>
      <c r="ERC416" s="1716"/>
      <c r="ERD416" s="1716"/>
      <c r="ERE416" s="1716"/>
      <c r="ERF416" s="244"/>
      <c r="ERG416" s="244" t="s">
        <v>68</v>
      </c>
      <c r="ERH416" s="245" t="s">
        <v>68</v>
      </c>
      <c r="ERI416" s="1715" t="s">
        <v>0</v>
      </c>
      <c r="ERJ416" s="1716"/>
      <c r="ERK416" s="1716"/>
      <c r="ERL416" s="1716"/>
      <c r="ERM416" s="1716"/>
      <c r="ERN416" s="244"/>
      <c r="ERO416" s="244" t="s">
        <v>68</v>
      </c>
      <c r="ERP416" s="245" t="s">
        <v>68</v>
      </c>
      <c r="ERQ416" s="1715" t="s">
        <v>0</v>
      </c>
      <c r="ERR416" s="1716"/>
      <c r="ERS416" s="1716"/>
      <c r="ERT416" s="1716"/>
      <c r="ERU416" s="1716"/>
      <c r="ERV416" s="244"/>
      <c r="ERW416" s="244" t="s">
        <v>68</v>
      </c>
      <c r="ERX416" s="245" t="s">
        <v>68</v>
      </c>
      <c r="ERY416" s="1715" t="s">
        <v>0</v>
      </c>
      <c r="ERZ416" s="1716"/>
      <c r="ESA416" s="1716"/>
      <c r="ESB416" s="1716"/>
      <c r="ESC416" s="1716"/>
      <c r="ESD416" s="244"/>
      <c r="ESE416" s="244" t="s">
        <v>68</v>
      </c>
      <c r="ESF416" s="245" t="s">
        <v>68</v>
      </c>
      <c r="ESG416" s="1715" t="s">
        <v>0</v>
      </c>
      <c r="ESH416" s="1716"/>
      <c r="ESI416" s="1716"/>
      <c r="ESJ416" s="1716"/>
      <c r="ESK416" s="1716"/>
      <c r="ESL416" s="244"/>
      <c r="ESM416" s="244" t="s">
        <v>68</v>
      </c>
      <c r="ESN416" s="245" t="s">
        <v>68</v>
      </c>
      <c r="ESO416" s="1715" t="s">
        <v>0</v>
      </c>
      <c r="ESP416" s="1716"/>
      <c r="ESQ416" s="1716"/>
      <c r="ESR416" s="1716"/>
      <c r="ESS416" s="1716"/>
      <c r="EST416" s="244"/>
      <c r="ESU416" s="244" t="s">
        <v>68</v>
      </c>
      <c r="ESV416" s="245" t="s">
        <v>68</v>
      </c>
      <c r="ESW416" s="1715" t="s">
        <v>0</v>
      </c>
      <c r="ESX416" s="1716"/>
      <c r="ESY416" s="1716"/>
      <c r="ESZ416" s="1716"/>
      <c r="ETA416" s="1716"/>
      <c r="ETB416" s="244"/>
      <c r="ETC416" s="244" t="s">
        <v>68</v>
      </c>
      <c r="ETD416" s="245" t="s">
        <v>68</v>
      </c>
      <c r="ETE416" s="1715" t="s">
        <v>0</v>
      </c>
      <c r="ETF416" s="1716"/>
      <c r="ETG416" s="1716"/>
      <c r="ETH416" s="1716"/>
      <c r="ETI416" s="1716"/>
      <c r="ETJ416" s="244"/>
      <c r="ETK416" s="244" t="s">
        <v>68</v>
      </c>
      <c r="ETL416" s="245" t="s">
        <v>68</v>
      </c>
      <c r="ETM416" s="1715" t="s">
        <v>0</v>
      </c>
      <c r="ETN416" s="1716"/>
      <c r="ETO416" s="1716"/>
      <c r="ETP416" s="1716"/>
      <c r="ETQ416" s="1716"/>
      <c r="ETR416" s="244"/>
      <c r="ETS416" s="244" t="s">
        <v>68</v>
      </c>
      <c r="ETT416" s="245" t="s">
        <v>68</v>
      </c>
      <c r="ETU416" s="1715" t="s">
        <v>0</v>
      </c>
      <c r="ETV416" s="1716"/>
      <c r="ETW416" s="1716"/>
      <c r="ETX416" s="1716"/>
      <c r="ETY416" s="1716"/>
      <c r="ETZ416" s="244"/>
      <c r="EUA416" s="244" t="s">
        <v>68</v>
      </c>
      <c r="EUB416" s="245" t="s">
        <v>68</v>
      </c>
      <c r="EUC416" s="1715" t="s">
        <v>0</v>
      </c>
      <c r="EUD416" s="1716"/>
      <c r="EUE416" s="1716"/>
      <c r="EUF416" s="1716"/>
      <c r="EUG416" s="1716"/>
      <c r="EUH416" s="244"/>
      <c r="EUI416" s="244" t="s">
        <v>68</v>
      </c>
      <c r="EUJ416" s="245" t="s">
        <v>68</v>
      </c>
      <c r="EUK416" s="1715" t="s">
        <v>0</v>
      </c>
      <c r="EUL416" s="1716"/>
      <c r="EUM416" s="1716"/>
      <c r="EUN416" s="1716"/>
      <c r="EUO416" s="1716"/>
      <c r="EUP416" s="244"/>
      <c r="EUQ416" s="244" t="s">
        <v>68</v>
      </c>
      <c r="EUR416" s="245" t="s">
        <v>68</v>
      </c>
      <c r="EUS416" s="1715" t="s">
        <v>0</v>
      </c>
      <c r="EUT416" s="1716"/>
      <c r="EUU416" s="1716"/>
      <c r="EUV416" s="1716"/>
      <c r="EUW416" s="1716"/>
      <c r="EUX416" s="244"/>
      <c r="EUY416" s="244" t="s">
        <v>68</v>
      </c>
      <c r="EUZ416" s="245" t="s">
        <v>68</v>
      </c>
      <c r="EVA416" s="1715" t="s">
        <v>0</v>
      </c>
      <c r="EVB416" s="1716"/>
      <c r="EVC416" s="1716"/>
      <c r="EVD416" s="1716"/>
      <c r="EVE416" s="1716"/>
      <c r="EVF416" s="244"/>
      <c r="EVG416" s="244" t="s">
        <v>68</v>
      </c>
      <c r="EVH416" s="245" t="s">
        <v>68</v>
      </c>
      <c r="EVI416" s="1715" t="s">
        <v>0</v>
      </c>
      <c r="EVJ416" s="1716"/>
      <c r="EVK416" s="1716"/>
      <c r="EVL416" s="1716"/>
      <c r="EVM416" s="1716"/>
      <c r="EVN416" s="244"/>
      <c r="EVO416" s="244" t="s">
        <v>68</v>
      </c>
      <c r="EVP416" s="245" t="s">
        <v>68</v>
      </c>
      <c r="EVQ416" s="1715" t="s">
        <v>0</v>
      </c>
      <c r="EVR416" s="1716"/>
      <c r="EVS416" s="1716"/>
      <c r="EVT416" s="1716"/>
      <c r="EVU416" s="1716"/>
      <c r="EVV416" s="244"/>
      <c r="EVW416" s="244" t="s">
        <v>68</v>
      </c>
      <c r="EVX416" s="245" t="s">
        <v>68</v>
      </c>
      <c r="EVY416" s="1715" t="s">
        <v>0</v>
      </c>
      <c r="EVZ416" s="1716"/>
      <c r="EWA416" s="1716"/>
      <c r="EWB416" s="1716"/>
      <c r="EWC416" s="1716"/>
      <c r="EWD416" s="244"/>
      <c r="EWE416" s="244" t="s">
        <v>68</v>
      </c>
      <c r="EWF416" s="245" t="s">
        <v>68</v>
      </c>
      <c r="EWG416" s="1715" t="s">
        <v>0</v>
      </c>
      <c r="EWH416" s="1716"/>
      <c r="EWI416" s="1716"/>
      <c r="EWJ416" s="1716"/>
      <c r="EWK416" s="1716"/>
      <c r="EWL416" s="244"/>
      <c r="EWM416" s="244" t="s">
        <v>68</v>
      </c>
      <c r="EWN416" s="245" t="s">
        <v>68</v>
      </c>
      <c r="EWO416" s="1715" t="s">
        <v>0</v>
      </c>
      <c r="EWP416" s="1716"/>
      <c r="EWQ416" s="1716"/>
      <c r="EWR416" s="1716"/>
      <c r="EWS416" s="1716"/>
      <c r="EWT416" s="244"/>
      <c r="EWU416" s="244" t="s">
        <v>68</v>
      </c>
      <c r="EWV416" s="245" t="s">
        <v>68</v>
      </c>
      <c r="EWW416" s="1715" t="s">
        <v>0</v>
      </c>
      <c r="EWX416" s="1716"/>
      <c r="EWY416" s="1716"/>
      <c r="EWZ416" s="1716"/>
      <c r="EXA416" s="1716"/>
      <c r="EXB416" s="244"/>
      <c r="EXC416" s="244" t="s">
        <v>68</v>
      </c>
      <c r="EXD416" s="245" t="s">
        <v>68</v>
      </c>
      <c r="EXE416" s="1715" t="s">
        <v>0</v>
      </c>
      <c r="EXF416" s="1716"/>
      <c r="EXG416" s="1716"/>
      <c r="EXH416" s="1716"/>
      <c r="EXI416" s="1716"/>
      <c r="EXJ416" s="244"/>
      <c r="EXK416" s="244" t="s">
        <v>68</v>
      </c>
      <c r="EXL416" s="245" t="s">
        <v>68</v>
      </c>
      <c r="EXM416" s="1715" t="s">
        <v>0</v>
      </c>
      <c r="EXN416" s="1716"/>
      <c r="EXO416" s="1716"/>
      <c r="EXP416" s="1716"/>
      <c r="EXQ416" s="1716"/>
      <c r="EXR416" s="244"/>
      <c r="EXS416" s="244" t="s">
        <v>68</v>
      </c>
      <c r="EXT416" s="245" t="s">
        <v>68</v>
      </c>
      <c r="EXU416" s="1715" t="s">
        <v>0</v>
      </c>
      <c r="EXV416" s="1716"/>
      <c r="EXW416" s="1716"/>
      <c r="EXX416" s="1716"/>
      <c r="EXY416" s="1716"/>
      <c r="EXZ416" s="244"/>
      <c r="EYA416" s="244" t="s">
        <v>68</v>
      </c>
      <c r="EYB416" s="245" t="s">
        <v>68</v>
      </c>
      <c r="EYC416" s="1715" t="s">
        <v>0</v>
      </c>
      <c r="EYD416" s="1716"/>
      <c r="EYE416" s="1716"/>
      <c r="EYF416" s="1716"/>
      <c r="EYG416" s="1716"/>
      <c r="EYH416" s="244"/>
      <c r="EYI416" s="244" t="s">
        <v>68</v>
      </c>
      <c r="EYJ416" s="245" t="s">
        <v>68</v>
      </c>
      <c r="EYK416" s="1715" t="s">
        <v>0</v>
      </c>
      <c r="EYL416" s="1716"/>
      <c r="EYM416" s="1716"/>
      <c r="EYN416" s="1716"/>
      <c r="EYO416" s="1716"/>
      <c r="EYP416" s="244"/>
      <c r="EYQ416" s="244" t="s">
        <v>68</v>
      </c>
      <c r="EYR416" s="245" t="s">
        <v>68</v>
      </c>
      <c r="EYS416" s="1715" t="s">
        <v>0</v>
      </c>
      <c r="EYT416" s="1716"/>
      <c r="EYU416" s="1716"/>
      <c r="EYV416" s="1716"/>
      <c r="EYW416" s="1716"/>
      <c r="EYX416" s="244"/>
      <c r="EYY416" s="244" t="s">
        <v>68</v>
      </c>
      <c r="EYZ416" s="245" t="s">
        <v>68</v>
      </c>
      <c r="EZA416" s="1715" t="s">
        <v>0</v>
      </c>
      <c r="EZB416" s="1716"/>
      <c r="EZC416" s="1716"/>
      <c r="EZD416" s="1716"/>
      <c r="EZE416" s="1716"/>
      <c r="EZF416" s="244"/>
      <c r="EZG416" s="244" t="s">
        <v>68</v>
      </c>
      <c r="EZH416" s="245" t="s">
        <v>68</v>
      </c>
      <c r="EZI416" s="1715" t="s">
        <v>0</v>
      </c>
      <c r="EZJ416" s="1716"/>
      <c r="EZK416" s="1716"/>
      <c r="EZL416" s="1716"/>
      <c r="EZM416" s="1716"/>
      <c r="EZN416" s="244"/>
      <c r="EZO416" s="244" t="s">
        <v>68</v>
      </c>
      <c r="EZP416" s="245" t="s">
        <v>68</v>
      </c>
      <c r="EZQ416" s="1715" t="s">
        <v>0</v>
      </c>
      <c r="EZR416" s="1716"/>
      <c r="EZS416" s="1716"/>
      <c r="EZT416" s="1716"/>
      <c r="EZU416" s="1716"/>
      <c r="EZV416" s="244"/>
      <c r="EZW416" s="244" t="s">
        <v>68</v>
      </c>
      <c r="EZX416" s="245" t="s">
        <v>68</v>
      </c>
      <c r="EZY416" s="1715" t="s">
        <v>0</v>
      </c>
      <c r="EZZ416" s="1716"/>
      <c r="FAA416" s="1716"/>
      <c r="FAB416" s="1716"/>
      <c r="FAC416" s="1716"/>
      <c r="FAD416" s="244"/>
      <c r="FAE416" s="244" t="s">
        <v>68</v>
      </c>
      <c r="FAF416" s="245" t="s">
        <v>68</v>
      </c>
      <c r="FAG416" s="1715" t="s">
        <v>0</v>
      </c>
      <c r="FAH416" s="1716"/>
      <c r="FAI416" s="1716"/>
      <c r="FAJ416" s="1716"/>
      <c r="FAK416" s="1716"/>
      <c r="FAL416" s="244"/>
      <c r="FAM416" s="244" t="s">
        <v>68</v>
      </c>
      <c r="FAN416" s="245" t="s">
        <v>68</v>
      </c>
      <c r="FAO416" s="1715" t="s">
        <v>0</v>
      </c>
      <c r="FAP416" s="1716"/>
      <c r="FAQ416" s="1716"/>
      <c r="FAR416" s="1716"/>
      <c r="FAS416" s="1716"/>
      <c r="FAT416" s="244"/>
      <c r="FAU416" s="244" t="s">
        <v>68</v>
      </c>
      <c r="FAV416" s="245" t="s">
        <v>68</v>
      </c>
      <c r="FAW416" s="1715" t="s">
        <v>0</v>
      </c>
      <c r="FAX416" s="1716"/>
      <c r="FAY416" s="1716"/>
      <c r="FAZ416" s="1716"/>
      <c r="FBA416" s="1716"/>
      <c r="FBB416" s="244"/>
      <c r="FBC416" s="244" t="s">
        <v>68</v>
      </c>
      <c r="FBD416" s="245" t="s">
        <v>68</v>
      </c>
      <c r="FBE416" s="1715" t="s">
        <v>0</v>
      </c>
      <c r="FBF416" s="1716"/>
      <c r="FBG416" s="1716"/>
      <c r="FBH416" s="1716"/>
      <c r="FBI416" s="1716"/>
      <c r="FBJ416" s="244"/>
      <c r="FBK416" s="244" t="s">
        <v>68</v>
      </c>
      <c r="FBL416" s="245" t="s">
        <v>68</v>
      </c>
      <c r="FBM416" s="1715" t="s">
        <v>0</v>
      </c>
      <c r="FBN416" s="1716"/>
      <c r="FBO416" s="1716"/>
      <c r="FBP416" s="1716"/>
      <c r="FBQ416" s="1716"/>
      <c r="FBR416" s="244"/>
      <c r="FBS416" s="244" t="s">
        <v>68</v>
      </c>
      <c r="FBT416" s="245" t="s">
        <v>68</v>
      </c>
      <c r="FBU416" s="1715" t="s">
        <v>0</v>
      </c>
      <c r="FBV416" s="1716"/>
      <c r="FBW416" s="1716"/>
      <c r="FBX416" s="1716"/>
      <c r="FBY416" s="1716"/>
      <c r="FBZ416" s="244"/>
      <c r="FCA416" s="244" t="s">
        <v>68</v>
      </c>
      <c r="FCB416" s="245" t="s">
        <v>68</v>
      </c>
      <c r="FCC416" s="1715" t="s">
        <v>0</v>
      </c>
      <c r="FCD416" s="1716"/>
      <c r="FCE416" s="1716"/>
      <c r="FCF416" s="1716"/>
      <c r="FCG416" s="1716"/>
      <c r="FCH416" s="244"/>
      <c r="FCI416" s="244" t="s">
        <v>68</v>
      </c>
      <c r="FCJ416" s="245" t="s">
        <v>68</v>
      </c>
      <c r="FCK416" s="1715" t="s">
        <v>0</v>
      </c>
      <c r="FCL416" s="1716"/>
      <c r="FCM416" s="1716"/>
      <c r="FCN416" s="1716"/>
      <c r="FCO416" s="1716"/>
      <c r="FCP416" s="244"/>
      <c r="FCQ416" s="244" t="s">
        <v>68</v>
      </c>
      <c r="FCR416" s="245" t="s">
        <v>68</v>
      </c>
      <c r="FCS416" s="1715" t="s">
        <v>0</v>
      </c>
      <c r="FCT416" s="1716"/>
      <c r="FCU416" s="1716"/>
      <c r="FCV416" s="1716"/>
      <c r="FCW416" s="1716"/>
      <c r="FCX416" s="244"/>
      <c r="FCY416" s="244" t="s">
        <v>68</v>
      </c>
      <c r="FCZ416" s="245" t="s">
        <v>68</v>
      </c>
      <c r="FDA416" s="1715" t="s">
        <v>0</v>
      </c>
      <c r="FDB416" s="1716"/>
      <c r="FDC416" s="1716"/>
      <c r="FDD416" s="1716"/>
      <c r="FDE416" s="1716"/>
      <c r="FDF416" s="244"/>
      <c r="FDG416" s="244" t="s">
        <v>68</v>
      </c>
      <c r="FDH416" s="245" t="s">
        <v>68</v>
      </c>
      <c r="FDI416" s="1715" t="s">
        <v>0</v>
      </c>
      <c r="FDJ416" s="1716"/>
      <c r="FDK416" s="1716"/>
      <c r="FDL416" s="1716"/>
      <c r="FDM416" s="1716"/>
      <c r="FDN416" s="244"/>
      <c r="FDO416" s="244" t="s">
        <v>68</v>
      </c>
      <c r="FDP416" s="245" t="s">
        <v>68</v>
      </c>
      <c r="FDQ416" s="1715" t="s">
        <v>0</v>
      </c>
      <c r="FDR416" s="1716"/>
      <c r="FDS416" s="1716"/>
      <c r="FDT416" s="1716"/>
      <c r="FDU416" s="1716"/>
      <c r="FDV416" s="244"/>
      <c r="FDW416" s="244" t="s">
        <v>68</v>
      </c>
      <c r="FDX416" s="245" t="s">
        <v>68</v>
      </c>
      <c r="FDY416" s="1715" t="s">
        <v>0</v>
      </c>
      <c r="FDZ416" s="1716"/>
      <c r="FEA416" s="1716"/>
      <c r="FEB416" s="1716"/>
      <c r="FEC416" s="1716"/>
      <c r="FED416" s="244"/>
      <c r="FEE416" s="244" t="s">
        <v>68</v>
      </c>
      <c r="FEF416" s="245" t="s">
        <v>68</v>
      </c>
      <c r="FEG416" s="1715" t="s">
        <v>0</v>
      </c>
      <c r="FEH416" s="1716"/>
      <c r="FEI416" s="1716"/>
      <c r="FEJ416" s="1716"/>
      <c r="FEK416" s="1716"/>
      <c r="FEL416" s="244"/>
      <c r="FEM416" s="244" t="s">
        <v>68</v>
      </c>
      <c r="FEN416" s="245" t="s">
        <v>68</v>
      </c>
      <c r="FEO416" s="1715" t="s">
        <v>0</v>
      </c>
      <c r="FEP416" s="1716"/>
      <c r="FEQ416" s="1716"/>
      <c r="FER416" s="1716"/>
      <c r="FES416" s="1716"/>
      <c r="FET416" s="244"/>
      <c r="FEU416" s="244" t="s">
        <v>68</v>
      </c>
      <c r="FEV416" s="245" t="s">
        <v>68</v>
      </c>
      <c r="FEW416" s="1715" t="s">
        <v>0</v>
      </c>
      <c r="FEX416" s="1716"/>
      <c r="FEY416" s="1716"/>
      <c r="FEZ416" s="1716"/>
      <c r="FFA416" s="1716"/>
      <c r="FFB416" s="244"/>
      <c r="FFC416" s="244" t="s">
        <v>68</v>
      </c>
      <c r="FFD416" s="245" t="s">
        <v>68</v>
      </c>
      <c r="FFE416" s="1715" t="s">
        <v>0</v>
      </c>
      <c r="FFF416" s="1716"/>
      <c r="FFG416" s="1716"/>
      <c r="FFH416" s="1716"/>
      <c r="FFI416" s="1716"/>
      <c r="FFJ416" s="244"/>
      <c r="FFK416" s="244" t="s">
        <v>68</v>
      </c>
      <c r="FFL416" s="245" t="s">
        <v>68</v>
      </c>
      <c r="FFM416" s="1715" t="s">
        <v>0</v>
      </c>
      <c r="FFN416" s="1716"/>
      <c r="FFO416" s="1716"/>
      <c r="FFP416" s="1716"/>
      <c r="FFQ416" s="1716"/>
      <c r="FFR416" s="244"/>
      <c r="FFS416" s="244" t="s">
        <v>68</v>
      </c>
      <c r="FFT416" s="245" t="s">
        <v>68</v>
      </c>
      <c r="FFU416" s="1715" t="s">
        <v>0</v>
      </c>
      <c r="FFV416" s="1716"/>
      <c r="FFW416" s="1716"/>
      <c r="FFX416" s="1716"/>
      <c r="FFY416" s="1716"/>
      <c r="FFZ416" s="244"/>
      <c r="FGA416" s="244" t="s">
        <v>68</v>
      </c>
      <c r="FGB416" s="245" t="s">
        <v>68</v>
      </c>
      <c r="FGC416" s="1715" t="s">
        <v>0</v>
      </c>
      <c r="FGD416" s="1716"/>
      <c r="FGE416" s="1716"/>
      <c r="FGF416" s="1716"/>
      <c r="FGG416" s="1716"/>
      <c r="FGH416" s="244"/>
      <c r="FGI416" s="244" t="s">
        <v>68</v>
      </c>
      <c r="FGJ416" s="245" t="s">
        <v>68</v>
      </c>
      <c r="FGK416" s="1715" t="s">
        <v>0</v>
      </c>
      <c r="FGL416" s="1716"/>
      <c r="FGM416" s="1716"/>
      <c r="FGN416" s="1716"/>
      <c r="FGO416" s="1716"/>
      <c r="FGP416" s="244"/>
      <c r="FGQ416" s="244" t="s">
        <v>68</v>
      </c>
      <c r="FGR416" s="245" t="s">
        <v>68</v>
      </c>
      <c r="FGS416" s="1715" t="s">
        <v>0</v>
      </c>
      <c r="FGT416" s="1716"/>
      <c r="FGU416" s="1716"/>
      <c r="FGV416" s="1716"/>
      <c r="FGW416" s="1716"/>
      <c r="FGX416" s="244"/>
      <c r="FGY416" s="244" t="s">
        <v>68</v>
      </c>
      <c r="FGZ416" s="245" t="s">
        <v>68</v>
      </c>
      <c r="FHA416" s="1715" t="s">
        <v>0</v>
      </c>
      <c r="FHB416" s="1716"/>
      <c r="FHC416" s="1716"/>
      <c r="FHD416" s="1716"/>
      <c r="FHE416" s="1716"/>
      <c r="FHF416" s="244"/>
      <c r="FHG416" s="244" t="s">
        <v>68</v>
      </c>
      <c r="FHH416" s="245" t="s">
        <v>68</v>
      </c>
      <c r="FHI416" s="1715" t="s">
        <v>0</v>
      </c>
      <c r="FHJ416" s="1716"/>
      <c r="FHK416" s="1716"/>
      <c r="FHL416" s="1716"/>
      <c r="FHM416" s="1716"/>
      <c r="FHN416" s="244"/>
      <c r="FHO416" s="244" t="s">
        <v>68</v>
      </c>
      <c r="FHP416" s="245" t="s">
        <v>68</v>
      </c>
      <c r="FHQ416" s="1715" t="s">
        <v>0</v>
      </c>
      <c r="FHR416" s="1716"/>
      <c r="FHS416" s="1716"/>
      <c r="FHT416" s="1716"/>
      <c r="FHU416" s="1716"/>
      <c r="FHV416" s="244"/>
      <c r="FHW416" s="244" t="s">
        <v>68</v>
      </c>
      <c r="FHX416" s="245" t="s">
        <v>68</v>
      </c>
      <c r="FHY416" s="1715" t="s">
        <v>0</v>
      </c>
      <c r="FHZ416" s="1716"/>
      <c r="FIA416" s="1716"/>
      <c r="FIB416" s="1716"/>
      <c r="FIC416" s="1716"/>
      <c r="FID416" s="244"/>
      <c r="FIE416" s="244" t="s">
        <v>68</v>
      </c>
      <c r="FIF416" s="245" t="s">
        <v>68</v>
      </c>
      <c r="FIG416" s="1715" t="s">
        <v>0</v>
      </c>
      <c r="FIH416" s="1716"/>
      <c r="FII416" s="1716"/>
      <c r="FIJ416" s="1716"/>
      <c r="FIK416" s="1716"/>
      <c r="FIL416" s="244"/>
      <c r="FIM416" s="244" t="s">
        <v>68</v>
      </c>
      <c r="FIN416" s="245" t="s">
        <v>68</v>
      </c>
      <c r="FIO416" s="1715" t="s">
        <v>0</v>
      </c>
      <c r="FIP416" s="1716"/>
      <c r="FIQ416" s="1716"/>
      <c r="FIR416" s="1716"/>
      <c r="FIS416" s="1716"/>
      <c r="FIT416" s="244"/>
      <c r="FIU416" s="244" t="s">
        <v>68</v>
      </c>
      <c r="FIV416" s="245" t="s">
        <v>68</v>
      </c>
      <c r="FIW416" s="1715" t="s">
        <v>0</v>
      </c>
      <c r="FIX416" s="1716"/>
      <c r="FIY416" s="1716"/>
      <c r="FIZ416" s="1716"/>
      <c r="FJA416" s="1716"/>
      <c r="FJB416" s="244"/>
      <c r="FJC416" s="244" t="s">
        <v>68</v>
      </c>
      <c r="FJD416" s="245" t="s">
        <v>68</v>
      </c>
      <c r="FJE416" s="1715" t="s">
        <v>0</v>
      </c>
      <c r="FJF416" s="1716"/>
      <c r="FJG416" s="1716"/>
      <c r="FJH416" s="1716"/>
      <c r="FJI416" s="1716"/>
      <c r="FJJ416" s="244"/>
      <c r="FJK416" s="244" t="s">
        <v>68</v>
      </c>
      <c r="FJL416" s="245" t="s">
        <v>68</v>
      </c>
      <c r="FJM416" s="1715" t="s">
        <v>0</v>
      </c>
      <c r="FJN416" s="1716"/>
      <c r="FJO416" s="1716"/>
      <c r="FJP416" s="1716"/>
      <c r="FJQ416" s="1716"/>
      <c r="FJR416" s="244"/>
      <c r="FJS416" s="244" t="s">
        <v>68</v>
      </c>
      <c r="FJT416" s="245" t="s">
        <v>68</v>
      </c>
      <c r="FJU416" s="1715" t="s">
        <v>0</v>
      </c>
      <c r="FJV416" s="1716"/>
      <c r="FJW416" s="1716"/>
      <c r="FJX416" s="1716"/>
      <c r="FJY416" s="1716"/>
      <c r="FJZ416" s="244"/>
      <c r="FKA416" s="244" t="s">
        <v>68</v>
      </c>
      <c r="FKB416" s="245" t="s">
        <v>68</v>
      </c>
      <c r="FKC416" s="1715" t="s">
        <v>0</v>
      </c>
      <c r="FKD416" s="1716"/>
      <c r="FKE416" s="1716"/>
      <c r="FKF416" s="1716"/>
      <c r="FKG416" s="1716"/>
      <c r="FKH416" s="244"/>
      <c r="FKI416" s="244" t="s">
        <v>68</v>
      </c>
      <c r="FKJ416" s="245" t="s">
        <v>68</v>
      </c>
      <c r="FKK416" s="1715" t="s">
        <v>0</v>
      </c>
      <c r="FKL416" s="1716"/>
      <c r="FKM416" s="1716"/>
      <c r="FKN416" s="1716"/>
      <c r="FKO416" s="1716"/>
      <c r="FKP416" s="244"/>
      <c r="FKQ416" s="244" t="s">
        <v>68</v>
      </c>
      <c r="FKR416" s="245" t="s">
        <v>68</v>
      </c>
      <c r="FKS416" s="1715" t="s">
        <v>0</v>
      </c>
      <c r="FKT416" s="1716"/>
      <c r="FKU416" s="1716"/>
      <c r="FKV416" s="1716"/>
      <c r="FKW416" s="1716"/>
      <c r="FKX416" s="244"/>
      <c r="FKY416" s="244" t="s">
        <v>68</v>
      </c>
      <c r="FKZ416" s="245" t="s">
        <v>68</v>
      </c>
      <c r="FLA416" s="1715" t="s">
        <v>0</v>
      </c>
      <c r="FLB416" s="1716"/>
      <c r="FLC416" s="1716"/>
      <c r="FLD416" s="1716"/>
      <c r="FLE416" s="1716"/>
      <c r="FLF416" s="244"/>
      <c r="FLG416" s="244" t="s">
        <v>68</v>
      </c>
      <c r="FLH416" s="245" t="s">
        <v>68</v>
      </c>
      <c r="FLI416" s="1715" t="s">
        <v>0</v>
      </c>
      <c r="FLJ416" s="1716"/>
      <c r="FLK416" s="1716"/>
      <c r="FLL416" s="1716"/>
      <c r="FLM416" s="1716"/>
      <c r="FLN416" s="244"/>
      <c r="FLO416" s="244" t="s">
        <v>68</v>
      </c>
      <c r="FLP416" s="245" t="s">
        <v>68</v>
      </c>
      <c r="FLQ416" s="1715" t="s">
        <v>0</v>
      </c>
      <c r="FLR416" s="1716"/>
      <c r="FLS416" s="1716"/>
      <c r="FLT416" s="1716"/>
      <c r="FLU416" s="1716"/>
      <c r="FLV416" s="244"/>
      <c r="FLW416" s="244" t="s">
        <v>68</v>
      </c>
      <c r="FLX416" s="245" t="s">
        <v>68</v>
      </c>
      <c r="FLY416" s="1715" t="s">
        <v>0</v>
      </c>
      <c r="FLZ416" s="1716"/>
      <c r="FMA416" s="1716"/>
      <c r="FMB416" s="1716"/>
      <c r="FMC416" s="1716"/>
      <c r="FMD416" s="244"/>
      <c r="FME416" s="244" t="s">
        <v>68</v>
      </c>
      <c r="FMF416" s="245" t="s">
        <v>68</v>
      </c>
      <c r="FMG416" s="1715" t="s">
        <v>0</v>
      </c>
      <c r="FMH416" s="1716"/>
      <c r="FMI416" s="1716"/>
      <c r="FMJ416" s="1716"/>
      <c r="FMK416" s="1716"/>
      <c r="FML416" s="244"/>
      <c r="FMM416" s="244" t="s">
        <v>68</v>
      </c>
      <c r="FMN416" s="245" t="s">
        <v>68</v>
      </c>
      <c r="FMO416" s="1715" t="s">
        <v>0</v>
      </c>
      <c r="FMP416" s="1716"/>
      <c r="FMQ416" s="1716"/>
      <c r="FMR416" s="1716"/>
      <c r="FMS416" s="1716"/>
      <c r="FMT416" s="244"/>
      <c r="FMU416" s="244" t="s">
        <v>68</v>
      </c>
      <c r="FMV416" s="245" t="s">
        <v>68</v>
      </c>
      <c r="FMW416" s="1715" t="s">
        <v>0</v>
      </c>
      <c r="FMX416" s="1716"/>
      <c r="FMY416" s="1716"/>
      <c r="FMZ416" s="1716"/>
      <c r="FNA416" s="1716"/>
      <c r="FNB416" s="244"/>
      <c r="FNC416" s="244" t="s">
        <v>68</v>
      </c>
      <c r="FND416" s="245" t="s">
        <v>68</v>
      </c>
      <c r="FNE416" s="1715" t="s">
        <v>0</v>
      </c>
      <c r="FNF416" s="1716"/>
      <c r="FNG416" s="1716"/>
      <c r="FNH416" s="1716"/>
      <c r="FNI416" s="1716"/>
      <c r="FNJ416" s="244"/>
      <c r="FNK416" s="244" t="s">
        <v>68</v>
      </c>
      <c r="FNL416" s="245" t="s">
        <v>68</v>
      </c>
      <c r="FNM416" s="1715" t="s">
        <v>0</v>
      </c>
      <c r="FNN416" s="1716"/>
      <c r="FNO416" s="1716"/>
      <c r="FNP416" s="1716"/>
      <c r="FNQ416" s="1716"/>
      <c r="FNR416" s="244"/>
      <c r="FNS416" s="244" t="s">
        <v>68</v>
      </c>
      <c r="FNT416" s="245" t="s">
        <v>68</v>
      </c>
      <c r="FNU416" s="1715" t="s">
        <v>0</v>
      </c>
      <c r="FNV416" s="1716"/>
      <c r="FNW416" s="1716"/>
      <c r="FNX416" s="1716"/>
      <c r="FNY416" s="1716"/>
      <c r="FNZ416" s="244"/>
      <c r="FOA416" s="244" t="s">
        <v>68</v>
      </c>
      <c r="FOB416" s="245" t="s">
        <v>68</v>
      </c>
      <c r="FOC416" s="1715" t="s">
        <v>0</v>
      </c>
      <c r="FOD416" s="1716"/>
      <c r="FOE416" s="1716"/>
      <c r="FOF416" s="1716"/>
      <c r="FOG416" s="1716"/>
      <c r="FOH416" s="244"/>
      <c r="FOI416" s="244" t="s">
        <v>68</v>
      </c>
      <c r="FOJ416" s="245" t="s">
        <v>68</v>
      </c>
      <c r="FOK416" s="1715" t="s">
        <v>0</v>
      </c>
      <c r="FOL416" s="1716"/>
      <c r="FOM416" s="1716"/>
      <c r="FON416" s="1716"/>
      <c r="FOO416" s="1716"/>
      <c r="FOP416" s="244"/>
      <c r="FOQ416" s="244" t="s">
        <v>68</v>
      </c>
      <c r="FOR416" s="245" t="s">
        <v>68</v>
      </c>
      <c r="FOS416" s="1715" t="s">
        <v>0</v>
      </c>
      <c r="FOT416" s="1716"/>
      <c r="FOU416" s="1716"/>
      <c r="FOV416" s="1716"/>
      <c r="FOW416" s="1716"/>
      <c r="FOX416" s="244"/>
      <c r="FOY416" s="244" t="s">
        <v>68</v>
      </c>
      <c r="FOZ416" s="245" t="s">
        <v>68</v>
      </c>
      <c r="FPA416" s="1715" t="s">
        <v>0</v>
      </c>
      <c r="FPB416" s="1716"/>
      <c r="FPC416" s="1716"/>
      <c r="FPD416" s="1716"/>
      <c r="FPE416" s="1716"/>
      <c r="FPF416" s="244"/>
      <c r="FPG416" s="244" t="s">
        <v>68</v>
      </c>
      <c r="FPH416" s="245" t="s">
        <v>68</v>
      </c>
      <c r="FPI416" s="1715" t="s">
        <v>0</v>
      </c>
      <c r="FPJ416" s="1716"/>
      <c r="FPK416" s="1716"/>
      <c r="FPL416" s="1716"/>
      <c r="FPM416" s="1716"/>
      <c r="FPN416" s="244"/>
      <c r="FPO416" s="244" t="s">
        <v>68</v>
      </c>
      <c r="FPP416" s="245" t="s">
        <v>68</v>
      </c>
      <c r="FPQ416" s="1715" t="s">
        <v>0</v>
      </c>
      <c r="FPR416" s="1716"/>
      <c r="FPS416" s="1716"/>
      <c r="FPT416" s="1716"/>
      <c r="FPU416" s="1716"/>
      <c r="FPV416" s="244"/>
      <c r="FPW416" s="244" t="s">
        <v>68</v>
      </c>
      <c r="FPX416" s="245" t="s">
        <v>68</v>
      </c>
      <c r="FPY416" s="1715" t="s">
        <v>0</v>
      </c>
      <c r="FPZ416" s="1716"/>
      <c r="FQA416" s="1716"/>
      <c r="FQB416" s="1716"/>
      <c r="FQC416" s="1716"/>
      <c r="FQD416" s="244"/>
      <c r="FQE416" s="244" t="s">
        <v>68</v>
      </c>
      <c r="FQF416" s="245" t="s">
        <v>68</v>
      </c>
      <c r="FQG416" s="1715" t="s">
        <v>0</v>
      </c>
      <c r="FQH416" s="1716"/>
      <c r="FQI416" s="1716"/>
      <c r="FQJ416" s="1716"/>
      <c r="FQK416" s="1716"/>
      <c r="FQL416" s="244"/>
      <c r="FQM416" s="244" t="s">
        <v>68</v>
      </c>
      <c r="FQN416" s="245" t="s">
        <v>68</v>
      </c>
      <c r="FQO416" s="1715" t="s">
        <v>0</v>
      </c>
      <c r="FQP416" s="1716"/>
      <c r="FQQ416" s="1716"/>
      <c r="FQR416" s="1716"/>
      <c r="FQS416" s="1716"/>
      <c r="FQT416" s="244"/>
      <c r="FQU416" s="244" t="s">
        <v>68</v>
      </c>
      <c r="FQV416" s="245" t="s">
        <v>68</v>
      </c>
      <c r="FQW416" s="1715" t="s">
        <v>0</v>
      </c>
      <c r="FQX416" s="1716"/>
      <c r="FQY416" s="1716"/>
      <c r="FQZ416" s="1716"/>
      <c r="FRA416" s="1716"/>
      <c r="FRB416" s="244"/>
      <c r="FRC416" s="244" t="s">
        <v>68</v>
      </c>
      <c r="FRD416" s="245" t="s">
        <v>68</v>
      </c>
      <c r="FRE416" s="1715" t="s">
        <v>0</v>
      </c>
      <c r="FRF416" s="1716"/>
      <c r="FRG416" s="1716"/>
      <c r="FRH416" s="1716"/>
      <c r="FRI416" s="1716"/>
      <c r="FRJ416" s="244"/>
      <c r="FRK416" s="244" t="s">
        <v>68</v>
      </c>
      <c r="FRL416" s="245" t="s">
        <v>68</v>
      </c>
      <c r="FRM416" s="1715" t="s">
        <v>0</v>
      </c>
      <c r="FRN416" s="1716"/>
      <c r="FRO416" s="1716"/>
      <c r="FRP416" s="1716"/>
      <c r="FRQ416" s="1716"/>
      <c r="FRR416" s="244"/>
      <c r="FRS416" s="244" t="s">
        <v>68</v>
      </c>
      <c r="FRT416" s="245" t="s">
        <v>68</v>
      </c>
      <c r="FRU416" s="1715" t="s">
        <v>0</v>
      </c>
      <c r="FRV416" s="1716"/>
      <c r="FRW416" s="1716"/>
      <c r="FRX416" s="1716"/>
      <c r="FRY416" s="1716"/>
      <c r="FRZ416" s="244"/>
      <c r="FSA416" s="244" t="s">
        <v>68</v>
      </c>
      <c r="FSB416" s="245" t="s">
        <v>68</v>
      </c>
      <c r="FSC416" s="1715" t="s">
        <v>0</v>
      </c>
      <c r="FSD416" s="1716"/>
      <c r="FSE416" s="1716"/>
      <c r="FSF416" s="1716"/>
      <c r="FSG416" s="1716"/>
      <c r="FSH416" s="244"/>
      <c r="FSI416" s="244" t="s">
        <v>68</v>
      </c>
      <c r="FSJ416" s="245" t="s">
        <v>68</v>
      </c>
      <c r="FSK416" s="1715" t="s">
        <v>0</v>
      </c>
      <c r="FSL416" s="1716"/>
      <c r="FSM416" s="1716"/>
      <c r="FSN416" s="1716"/>
      <c r="FSO416" s="1716"/>
      <c r="FSP416" s="244"/>
      <c r="FSQ416" s="244" t="s">
        <v>68</v>
      </c>
      <c r="FSR416" s="245" t="s">
        <v>68</v>
      </c>
      <c r="FSS416" s="1715" t="s">
        <v>0</v>
      </c>
      <c r="FST416" s="1716"/>
      <c r="FSU416" s="1716"/>
      <c r="FSV416" s="1716"/>
      <c r="FSW416" s="1716"/>
      <c r="FSX416" s="244"/>
      <c r="FSY416" s="244" t="s">
        <v>68</v>
      </c>
      <c r="FSZ416" s="245" t="s">
        <v>68</v>
      </c>
      <c r="FTA416" s="1715" t="s">
        <v>0</v>
      </c>
      <c r="FTB416" s="1716"/>
      <c r="FTC416" s="1716"/>
      <c r="FTD416" s="1716"/>
      <c r="FTE416" s="1716"/>
      <c r="FTF416" s="244"/>
      <c r="FTG416" s="244" t="s">
        <v>68</v>
      </c>
      <c r="FTH416" s="245" t="s">
        <v>68</v>
      </c>
      <c r="FTI416" s="1715" t="s">
        <v>0</v>
      </c>
      <c r="FTJ416" s="1716"/>
      <c r="FTK416" s="1716"/>
      <c r="FTL416" s="1716"/>
      <c r="FTM416" s="1716"/>
      <c r="FTN416" s="244"/>
      <c r="FTO416" s="244" t="s">
        <v>68</v>
      </c>
      <c r="FTP416" s="245" t="s">
        <v>68</v>
      </c>
      <c r="FTQ416" s="1715" t="s">
        <v>0</v>
      </c>
      <c r="FTR416" s="1716"/>
      <c r="FTS416" s="1716"/>
      <c r="FTT416" s="1716"/>
      <c r="FTU416" s="1716"/>
      <c r="FTV416" s="244"/>
      <c r="FTW416" s="244" t="s">
        <v>68</v>
      </c>
      <c r="FTX416" s="245" t="s">
        <v>68</v>
      </c>
      <c r="FTY416" s="1715" t="s">
        <v>0</v>
      </c>
      <c r="FTZ416" s="1716"/>
      <c r="FUA416" s="1716"/>
      <c r="FUB416" s="1716"/>
      <c r="FUC416" s="1716"/>
      <c r="FUD416" s="244"/>
      <c r="FUE416" s="244" t="s">
        <v>68</v>
      </c>
      <c r="FUF416" s="245" t="s">
        <v>68</v>
      </c>
      <c r="FUG416" s="1715" t="s">
        <v>0</v>
      </c>
      <c r="FUH416" s="1716"/>
      <c r="FUI416" s="1716"/>
      <c r="FUJ416" s="1716"/>
      <c r="FUK416" s="1716"/>
      <c r="FUL416" s="244"/>
      <c r="FUM416" s="244" t="s">
        <v>68</v>
      </c>
      <c r="FUN416" s="245" t="s">
        <v>68</v>
      </c>
      <c r="FUO416" s="1715" t="s">
        <v>0</v>
      </c>
      <c r="FUP416" s="1716"/>
      <c r="FUQ416" s="1716"/>
      <c r="FUR416" s="1716"/>
      <c r="FUS416" s="1716"/>
      <c r="FUT416" s="244"/>
      <c r="FUU416" s="244" t="s">
        <v>68</v>
      </c>
      <c r="FUV416" s="245" t="s">
        <v>68</v>
      </c>
      <c r="FUW416" s="1715" t="s">
        <v>0</v>
      </c>
      <c r="FUX416" s="1716"/>
      <c r="FUY416" s="1716"/>
      <c r="FUZ416" s="1716"/>
      <c r="FVA416" s="1716"/>
      <c r="FVB416" s="244"/>
      <c r="FVC416" s="244" t="s">
        <v>68</v>
      </c>
      <c r="FVD416" s="245" t="s">
        <v>68</v>
      </c>
      <c r="FVE416" s="1715" t="s">
        <v>0</v>
      </c>
      <c r="FVF416" s="1716"/>
      <c r="FVG416" s="1716"/>
      <c r="FVH416" s="1716"/>
      <c r="FVI416" s="1716"/>
      <c r="FVJ416" s="244"/>
      <c r="FVK416" s="244" t="s">
        <v>68</v>
      </c>
      <c r="FVL416" s="245" t="s">
        <v>68</v>
      </c>
      <c r="FVM416" s="1715" t="s">
        <v>0</v>
      </c>
      <c r="FVN416" s="1716"/>
      <c r="FVO416" s="1716"/>
      <c r="FVP416" s="1716"/>
      <c r="FVQ416" s="1716"/>
      <c r="FVR416" s="244"/>
      <c r="FVS416" s="244" t="s">
        <v>68</v>
      </c>
      <c r="FVT416" s="245" t="s">
        <v>68</v>
      </c>
      <c r="FVU416" s="1715" t="s">
        <v>0</v>
      </c>
      <c r="FVV416" s="1716"/>
      <c r="FVW416" s="1716"/>
      <c r="FVX416" s="1716"/>
      <c r="FVY416" s="1716"/>
      <c r="FVZ416" s="244"/>
      <c r="FWA416" s="244" t="s">
        <v>68</v>
      </c>
      <c r="FWB416" s="245" t="s">
        <v>68</v>
      </c>
      <c r="FWC416" s="1715" t="s">
        <v>0</v>
      </c>
      <c r="FWD416" s="1716"/>
      <c r="FWE416" s="1716"/>
      <c r="FWF416" s="1716"/>
      <c r="FWG416" s="1716"/>
      <c r="FWH416" s="244"/>
      <c r="FWI416" s="244" t="s">
        <v>68</v>
      </c>
      <c r="FWJ416" s="245" t="s">
        <v>68</v>
      </c>
      <c r="FWK416" s="1715" t="s">
        <v>0</v>
      </c>
      <c r="FWL416" s="1716"/>
      <c r="FWM416" s="1716"/>
      <c r="FWN416" s="1716"/>
      <c r="FWO416" s="1716"/>
      <c r="FWP416" s="244"/>
      <c r="FWQ416" s="244" t="s">
        <v>68</v>
      </c>
      <c r="FWR416" s="245" t="s">
        <v>68</v>
      </c>
      <c r="FWS416" s="1715" t="s">
        <v>0</v>
      </c>
      <c r="FWT416" s="1716"/>
      <c r="FWU416" s="1716"/>
      <c r="FWV416" s="1716"/>
      <c r="FWW416" s="1716"/>
      <c r="FWX416" s="244"/>
      <c r="FWY416" s="244" t="s">
        <v>68</v>
      </c>
      <c r="FWZ416" s="245" t="s">
        <v>68</v>
      </c>
      <c r="FXA416" s="1715" t="s">
        <v>0</v>
      </c>
      <c r="FXB416" s="1716"/>
      <c r="FXC416" s="1716"/>
      <c r="FXD416" s="1716"/>
      <c r="FXE416" s="1716"/>
      <c r="FXF416" s="244"/>
      <c r="FXG416" s="244" t="s">
        <v>68</v>
      </c>
      <c r="FXH416" s="245" t="s">
        <v>68</v>
      </c>
      <c r="FXI416" s="1715" t="s">
        <v>0</v>
      </c>
      <c r="FXJ416" s="1716"/>
      <c r="FXK416" s="1716"/>
      <c r="FXL416" s="1716"/>
      <c r="FXM416" s="1716"/>
      <c r="FXN416" s="244"/>
      <c r="FXO416" s="244" t="s">
        <v>68</v>
      </c>
      <c r="FXP416" s="245" t="s">
        <v>68</v>
      </c>
      <c r="FXQ416" s="1715" t="s">
        <v>0</v>
      </c>
      <c r="FXR416" s="1716"/>
      <c r="FXS416" s="1716"/>
      <c r="FXT416" s="1716"/>
      <c r="FXU416" s="1716"/>
      <c r="FXV416" s="244"/>
      <c r="FXW416" s="244" t="s">
        <v>68</v>
      </c>
      <c r="FXX416" s="245" t="s">
        <v>68</v>
      </c>
      <c r="FXY416" s="1715" t="s">
        <v>0</v>
      </c>
      <c r="FXZ416" s="1716"/>
      <c r="FYA416" s="1716"/>
      <c r="FYB416" s="1716"/>
      <c r="FYC416" s="1716"/>
      <c r="FYD416" s="244"/>
      <c r="FYE416" s="244" t="s">
        <v>68</v>
      </c>
      <c r="FYF416" s="245" t="s">
        <v>68</v>
      </c>
      <c r="FYG416" s="1715" t="s">
        <v>0</v>
      </c>
      <c r="FYH416" s="1716"/>
      <c r="FYI416" s="1716"/>
      <c r="FYJ416" s="1716"/>
      <c r="FYK416" s="1716"/>
      <c r="FYL416" s="244"/>
      <c r="FYM416" s="244" t="s">
        <v>68</v>
      </c>
      <c r="FYN416" s="245" t="s">
        <v>68</v>
      </c>
      <c r="FYO416" s="1715" t="s">
        <v>0</v>
      </c>
      <c r="FYP416" s="1716"/>
      <c r="FYQ416" s="1716"/>
      <c r="FYR416" s="1716"/>
      <c r="FYS416" s="1716"/>
      <c r="FYT416" s="244"/>
      <c r="FYU416" s="244" t="s">
        <v>68</v>
      </c>
      <c r="FYV416" s="245" t="s">
        <v>68</v>
      </c>
      <c r="FYW416" s="1715" t="s">
        <v>0</v>
      </c>
      <c r="FYX416" s="1716"/>
      <c r="FYY416" s="1716"/>
      <c r="FYZ416" s="1716"/>
      <c r="FZA416" s="1716"/>
      <c r="FZB416" s="244"/>
      <c r="FZC416" s="244" t="s">
        <v>68</v>
      </c>
      <c r="FZD416" s="245" t="s">
        <v>68</v>
      </c>
      <c r="FZE416" s="1715" t="s">
        <v>0</v>
      </c>
      <c r="FZF416" s="1716"/>
      <c r="FZG416" s="1716"/>
      <c r="FZH416" s="1716"/>
      <c r="FZI416" s="1716"/>
      <c r="FZJ416" s="244"/>
      <c r="FZK416" s="244" t="s">
        <v>68</v>
      </c>
      <c r="FZL416" s="245" t="s">
        <v>68</v>
      </c>
      <c r="FZM416" s="1715" t="s">
        <v>0</v>
      </c>
      <c r="FZN416" s="1716"/>
      <c r="FZO416" s="1716"/>
      <c r="FZP416" s="1716"/>
      <c r="FZQ416" s="1716"/>
      <c r="FZR416" s="244"/>
      <c r="FZS416" s="244" t="s">
        <v>68</v>
      </c>
      <c r="FZT416" s="245" t="s">
        <v>68</v>
      </c>
      <c r="FZU416" s="1715" t="s">
        <v>0</v>
      </c>
      <c r="FZV416" s="1716"/>
      <c r="FZW416" s="1716"/>
      <c r="FZX416" s="1716"/>
      <c r="FZY416" s="1716"/>
      <c r="FZZ416" s="244"/>
      <c r="GAA416" s="244" t="s">
        <v>68</v>
      </c>
      <c r="GAB416" s="245" t="s">
        <v>68</v>
      </c>
      <c r="GAC416" s="1715" t="s">
        <v>0</v>
      </c>
      <c r="GAD416" s="1716"/>
      <c r="GAE416" s="1716"/>
      <c r="GAF416" s="1716"/>
      <c r="GAG416" s="1716"/>
      <c r="GAH416" s="244"/>
      <c r="GAI416" s="244" t="s">
        <v>68</v>
      </c>
      <c r="GAJ416" s="245" t="s">
        <v>68</v>
      </c>
      <c r="GAK416" s="1715" t="s">
        <v>0</v>
      </c>
      <c r="GAL416" s="1716"/>
      <c r="GAM416" s="1716"/>
      <c r="GAN416" s="1716"/>
      <c r="GAO416" s="1716"/>
      <c r="GAP416" s="244"/>
      <c r="GAQ416" s="244" t="s">
        <v>68</v>
      </c>
      <c r="GAR416" s="245" t="s">
        <v>68</v>
      </c>
      <c r="GAS416" s="1715" t="s">
        <v>0</v>
      </c>
      <c r="GAT416" s="1716"/>
      <c r="GAU416" s="1716"/>
      <c r="GAV416" s="1716"/>
      <c r="GAW416" s="1716"/>
      <c r="GAX416" s="244"/>
      <c r="GAY416" s="244" t="s">
        <v>68</v>
      </c>
      <c r="GAZ416" s="245" t="s">
        <v>68</v>
      </c>
      <c r="GBA416" s="1715" t="s">
        <v>0</v>
      </c>
      <c r="GBB416" s="1716"/>
      <c r="GBC416" s="1716"/>
      <c r="GBD416" s="1716"/>
      <c r="GBE416" s="1716"/>
      <c r="GBF416" s="244"/>
      <c r="GBG416" s="244" t="s">
        <v>68</v>
      </c>
      <c r="GBH416" s="245" t="s">
        <v>68</v>
      </c>
      <c r="GBI416" s="1715" t="s">
        <v>0</v>
      </c>
      <c r="GBJ416" s="1716"/>
      <c r="GBK416" s="1716"/>
      <c r="GBL416" s="1716"/>
      <c r="GBM416" s="1716"/>
      <c r="GBN416" s="244"/>
      <c r="GBO416" s="244" t="s">
        <v>68</v>
      </c>
      <c r="GBP416" s="245" t="s">
        <v>68</v>
      </c>
      <c r="GBQ416" s="1715" t="s">
        <v>0</v>
      </c>
      <c r="GBR416" s="1716"/>
      <c r="GBS416" s="1716"/>
      <c r="GBT416" s="1716"/>
      <c r="GBU416" s="1716"/>
      <c r="GBV416" s="244"/>
      <c r="GBW416" s="244" t="s">
        <v>68</v>
      </c>
      <c r="GBX416" s="245" t="s">
        <v>68</v>
      </c>
      <c r="GBY416" s="1715" t="s">
        <v>0</v>
      </c>
      <c r="GBZ416" s="1716"/>
      <c r="GCA416" s="1716"/>
      <c r="GCB416" s="1716"/>
      <c r="GCC416" s="1716"/>
      <c r="GCD416" s="244"/>
      <c r="GCE416" s="244" t="s">
        <v>68</v>
      </c>
      <c r="GCF416" s="245" t="s">
        <v>68</v>
      </c>
      <c r="GCG416" s="1715" t="s">
        <v>0</v>
      </c>
      <c r="GCH416" s="1716"/>
      <c r="GCI416" s="1716"/>
      <c r="GCJ416" s="1716"/>
      <c r="GCK416" s="1716"/>
      <c r="GCL416" s="244"/>
      <c r="GCM416" s="244" t="s">
        <v>68</v>
      </c>
      <c r="GCN416" s="245" t="s">
        <v>68</v>
      </c>
      <c r="GCO416" s="1715" t="s">
        <v>0</v>
      </c>
      <c r="GCP416" s="1716"/>
      <c r="GCQ416" s="1716"/>
      <c r="GCR416" s="1716"/>
      <c r="GCS416" s="1716"/>
      <c r="GCT416" s="244"/>
      <c r="GCU416" s="244" t="s">
        <v>68</v>
      </c>
      <c r="GCV416" s="245" t="s">
        <v>68</v>
      </c>
      <c r="GCW416" s="1715" t="s">
        <v>0</v>
      </c>
      <c r="GCX416" s="1716"/>
      <c r="GCY416" s="1716"/>
      <c r="GCZ416" s="1716"/>
      <c r="GDA416" s="1716"/>
      <c r="GDB416" s="244"/>
      <c r="GDC416" s="244" t="s">
        <v>68</v>
      </c>
      <c r="GDD416" s="245" t="s">
        <v>68</v>
      </c>
      <c r="GDE416" s="1715" t="s">
        <v>0</v>
      </c>
      <c r="GDF416" s="1716"/>
      <c r="GDG416" s="1716"/>
      <c r="GDH416" s="1716"/>
      <c r="GDI416" s="1716"/>
      <c r="GDJ416" s="244"/>
      <c r="GDK416" s="244" t="s">
        <v>68</v>
      </c>
      <c r="GDL416" s="245" t="s">
        <v>68</v>
      </c>
      <c r="GDM416" s="1715" t="s">
        <v>0</v>
      </c>
      <c r="GDN416" s="1716"/>
      <c r="GDO416" s="1716"/>
      <c r="GDP416" s="1716"/>
      <c r="GDQ416" s="1716"/>
      <c r="GDR416" s="244"/>
      <c r="GDS416" s="244" t="s">
        <v>68</v>
      </c>
      <c r="GDT416" s="245" t="s">
        <v>68</v>
      </c>
      <c r="GDU416" s="1715" t="s">
        <v>0</v>
      </c>
      <c r="GDV416" s="1716"/>
      <c r="GDW416" s="1716"/>
      <c r="GDX416" s="1716"/>
      <c r="GDY416" s="1716"/>
      <c r="GDZ416" s="244"/>
      <c r="GEA416" s="244" t="s">
        <v>68</v>
      </c>
      <c r="GEB416" s="245" t="s">
        <v>68</v>
      </c>
      <c r="GEC416" s="1715" t="s">
        <v>0</v>
      </c>
      <c r="GED416" s="1716"/>
      <c r="GEE416" s="1716"/>
      <c r="GEF416" s="1716"/>
      <c r="GEG416" s="1716"/>
      <c r="GEH416" s="244"/>
      <c r="GEI416" s="244" t="s">
        <v>68</v>
      </c>
      <c r="GEJ416" s="245" t="s">
        <v>68</v>
      </c>
      <c r="GEK416" s="1715" t="s">
        <v>0</v>
      </c>
      <c r="GEL416" s="1716"/>
      <c r="GEM416" s="1716"/>
      <c r="GEN416" s="1716"/>
      <c r="GEO416" s="1716"/>
      <c r="GEP416" s="244"/>
      <c r="GEQ416" s="244" t="s">
        <v>68</v>
      </c>
      <c r="GER416" s="245" t="s">
        <v>68</v>
      </c>
      <c r="GES416" s="1715" t="s">
        <v>0</v>
      </c>
      <c r="GET416" s="1716"/>
      <c r="GEU416" s="1716"/>
      <c r="GEV416" s="1716"/>
      <c r="GEW416" s="1716"/>
      <c r="GEX416" s="244"/>
      <c r="GEY416" s="244" t="s">
        <v>68</v>
      </c>
      <c r="GEZ416" s="245" t="s">
        <v>68</v>
      </c>
      <c r="GFA416" s="1715" t="s">
        <v>0</v>
      </c>
      <c r="GFB416" s="1716"/>
      <c r="GFC416" s="1716"/>
      <c r="GFD416" s="1716"/>
      <c r="GFE416" s="1716"/>
      <c r="GFF416" s="244"/>
      <c r="GFG416" s="244" t="s">
        <v>68</v>
      </c>
      <c r="GFH416" s="245" t="s">
        <v>68</v>
      </c>
      <c r="GFI416" s="1715" t="s">
        <v>0</v>
      </c>
      <c r="GFJ416" s="1716"/>
      <c r="GFK416" s="1716"/>
      <c r="GFL416" s="1716"/>
      <c r="GFM416" s="1716"/>
      <c r="GFN416" s="244"/>
      <c r="GFO416" s="244" t="s">
        <v>68</v>
      </c>
      <c r="GFP416" s="245" t="s">
        <v>68</v>
      </c>
      <c r="GFQ416" s="1715" t="s">
        <v>0</v>
      </c>
      <c r="GFR416" s="1716"/>
      <c r="GFS416" s="1716"/>
      <c r="GFT416" s="1716"/>
      <c r="GFU416" s="1716"/>
      <c r="GFV416" s="244"/>
      <c r="GFW416" s="244" t="s">
        <v>68</v>
      </c>
      <c r="GFX416" s="245" t="s">
        <v>68</v>
      </c>
      <c r="GFY416" s="1715" t="s">
        <v>0</v>
      </c>
      <c r="GFZ416" s="1716"/>
      <c r="GGA416" s="1716"/>
      <c r="GGB416" s="1716"/>
      <c r="GGC416" s="1716"/>
      <c r="GGD416" s="244"/>
      <c r="GGE416" s="244" t="s">
        <v>68</v>
      </c>
      <c r="GGF416" s="245" t="s">
        <v>68</v>
      </c>
      <c r="GGG416" s="1715" t="s">
        <v>0</v>
      </c>
      <c r="GGH416" s="1716"/>
      <c r="GGI416" s="1716"/>
      <c r="GGJ416" s="1716"/>
      <c r="GGK416" s="1716"/>
      <c r="GGL416" s="244"/>
      <c r="GGM416" s="244" t="s">
        <v>68</v>
      </c>
      <c r="GGN416" s="245" t="s">
        <v>68</v>
      </c>
      <c r="GGO416" s="1715" t="s">
        <v>0</v>
      </c>
      <c r="GGP416" s="1716"/>
      <c r="GGQ416" s="1716"/>
      <c r="GGR416" s="1716"/>
      <c r="GGS416" s="1716"/>
      <c r="GGT416" s="244"/>
      <c r="GGU416" s="244" t="s">
        <v>68</v>
      </c>
      <c r="GGV416" s="245" t="s">
        <v>68</v>
      </c>
      <c r="GGW416" s="1715" t="s">
        <v>0</v>
      </c>
      <c r="GGX416" s="1716"/>
      <c r="GGY416" s="1716"/>
      <c r="GGZ416" s="1716"/>
      <c r="GHA416" s="1716"/>
      <c r="GHB416" s="244"/>
      <c r="GHC416" s="244" t="s">
        <v>68</v>
      </c>
      <c r="GHD416" s="245" t="s">
        <v>68</v>
      </c>
      <c r="GHE416" s="1715" t="s">
        <v>0</v>
      </c>
      <c r="GHF416" s="1716"/>
      <c r="GHG416" s="1716"/>
      <c r="GHH416" s="1716"/>
      <c r="GHI416" s="1716"/>
      <c r="GHJ416" s="244"/>
      <c r="GHK416" s="244" t="s">
        <v>68</v>
      </c>
      <c r="GHL416" s="245" t="s">
        <v>68</v>
      </c>
      <c r="GHM416" s="1715" t="s">
        <v>0</v>
      </c>
      <c r="GHN416" s="1716"/>
      <c r="GHO416" s="1716"/>
      <c r="GHP416" s="1716"/>
      <c r="GHQ416" s="1716"/>
      <c r="GHR416" s="244"/>
      <c r="GHS416" s="244" t="s">
        <v>68</v>
      </c>
      <c r="GHT416" s="245" t="s">
        <v>68</v>
      </c>
      <c r="GHU416" s="1715" t="s">
        <v>0</v>
      </c>
      <c r="GHV416" s="1716"/>
      <c r="GHW416" s="1716"/>
      <c r="GHX416" s="1716"/>
      <c r="GHY416" s="1716"/>
      <c r="GHZ416" s="244"/>
      <c r="GIA416" s="244" t="s">
        <v>68</v>
      </c>
      <c r="GIB416" s="245" t="s">
        <v>68</v>
      </c>
      <c r="GIC416" s="1715" t="s">
        <v>0</v>
      </c>
      <c r="GID416" s="1716"/>
      <c r="GIE416" s="1716"/>
      <c r="GIF416" s="1716"/>
      <c r="GIG416" s="1716"/>
      <c r="GIH416" s="244"/>
      <c r="GII416" s="244" t="s">
        <v>68</v>
      </c>
      <c r="GIJ416" s="245" t="s">
        <v>68</v>
      </c>
      <c r="GIK416" s="1715" t="s">
        <v>0</v>
      </c>
      <c r="GIL416" s="1716"/>
      <c r="GIM416" s="1716"/>
      <c r="GIN416" s="1716"/>
      <c r="GIO416" s="1716"/>
      <c r="GIP416" s="244"/>
      <c r="GIQ416" s="244" t="s">
        <v>68</v>
      </c>
      <c r="GIR416" s="245" t="s">
        <v>68</v>
      </c>
      <c r="GIS416" s="1715" t="s">
        <v>0</v>
      </c>
      <c r="GIT416" s="1716"/>
      <c r="GIU416" s="1716"/>
      <c r="GIV416" s="1716"/>
      <c r="GIW416" s="1716"/>
      <c r="GIX416" s="244"/>
      <c r="GIY416" s="244" t="s">
        <v>68</v>
      </c>
      <c r="GIZ416" s="245" t="s">
        <v>68</v>
      </c>
      <c r="GJA416" s="1715" t="s">
        <v>0</v>
      </c>
      <c r="GJB416" s="1716"/>
      <c r="GJC416" s="1716"/>
      <c r="GJD416" s="1716"/>
      <c r="GJE416" s="1716"/>
      <c r="GJF416" s="244"/>
      <c r="GJG416" s="244" t="s">
        <v>68</v>
      </c>
      <c r="GJH416" s="245" t="s">
        <v>68</v>
      </c>
      <c r="GJI416" s="1715" t="s">
        <v>0</v>
      </c>
      <c r="GJJ416" s="1716"/>
      <c r="GJK416" s="1716"/>
      <c r="GJL416" s="1716"/>
      <c r="GJM416" s="1716"/>
      <c r="GJN416" s="244"/>
      <c r="GJO416" s="244" t="s">
        <v>68</v>
      </c>
      <c r="GJP416" s="245" t="s">
        <v>68</v>
      </c>
      <c r="GJQ416" s="1715" t="s">
        <v>0</v>
      </c>
      <c r="GJR416" s="1716"/>
      <c r="GJS416" s="1716"/>
      <c r="GJT416" s="1716"/>
      <c r="GJU416" s="1716"/>
      <c r="GJV416" s="244"/>
      <c r="GJW416" s="244" t="s">
        <v>68</v>
      </c>
      <c r="GJX416" s="245" t="s">
        <v>68</v>
      </c>
      <c r="GJY416" s="1715" t="s">
        <v>0</v>
      </c>
      <c r="GJZ416" s="1716"/>
      <c r="GKA416" s="1716"/>
      <c r="GKB416" s="1716"/>
      <c r="GKC416" s="1716"/>
      <c r="GKD416" s="244"/>
      <c r="GKE416" s="244" t="s">
        <v>68</v>
      </c>
      <c r="GKF416" s="245" t="s">
        <v>68</v>
      </c>
      <c r="GKG416" s="1715" t="s">
        <v>0</v>
      </c>
      <c r="GKH416" s="1716"/>
      <c r="GKI416" s="1716"/>
      <c r="GKJ416" s="1716"/>
      <c r="GKK416" s="1716"/>
      <c r="GKL416" s="244"/>
      <c r="GKM416" s="244" t="s">
        <v>68</v>
      </c>
      <c r="GKN416" s="245" t="s">
        <v>68</v>
      </c>
      <c r="GKO416" s="1715" t="s">
        <v>0</v>
      </c>
      <c r="GKP416" s="1716"/>
      <c r="GKQ416" s="1716"/>
      <c r="GKR416" s="1716"/>
      <c r="GKS416" s="1716"/>
      <c r="GKT416" s="244"/>
      <c r="GKU416" s="244" t="s">
        <v>68</v>
      </c>
      <c r="GKV416" s="245" t="s">
        <v>68</v>
      </c>
      <c r="GKW416" s="1715" t="s">
        <v>0</v>
      </c>
      <c r="GKX416" s="1716"/>
      <c r="GKY416" s="1716"/>
      <c r="GKZ416" s="1716"/>
      <c r="GLA416" s="1716"/>
      <c r="GLB416" s="244"/>
      <c r="GLC416" s="244" t="s">
        <v>68</v>
      </c>
      <c r="GLD416" s="245" t="s">
        <v>68</v>
      </c>
      <c r="GLE416" s="1715" t="s">
        <v>0</v>
      </c>
      <c r="GLF416" s="1716"/>
      <c r="GLG416" s="1716"/>
      <c r="GLH416" s="1716"/>
      <c r="GLI416" s="1716"/>
      <c r="GLJ416" s="244"/>
      <c r="GLK416" s="244" t="s">
        <v>68</v>
      </c>
      <c r="GLL416" s="245" t="s">
        <v>68</v>
      </c>
      <c r="GLM416" s="1715" t="s">
        <v>0</v>
      </c>
      <c r="GLN416" s="1716"/>
      <c r="GLO416" s="1716"/>
      <c r="GLP416" s="1716"/>
      <c r="GLQ416" s="1716"/>
      <c r="GLR416" s="244"/>
      <c r="GLS416" s="244" t="s">
        <v>68</v>
      </c>
      <c r="GLT416" s="245" t="s">
        <v>68</v>
      </c>
      <c r="GLU416" s="1715" t="s">
        <v>0</v>
      </c>
      <c r="GLV416" s="1716"/>
      <c r="GLW416" s="1716"/>
      <c r="GLX416" s="1716"/>
      <c r="GLY416" s="1716"/>
      <c r="GLZ416" s="244"/>
      <c r="GMA416" s="244" t="s">
        <v>68</v>
      </c>
      <c r="GMB416" s="245" t="s">
        <v>68</v>
      </c>
      <c r="GMC416" s="1715" t="s">
        <v>0</v>
      </c>
      <c r="GMD416" s="1716"/>
      <c r="GME416" s="1716"/>
      <c r="GMF416" s="1716"/>
      <c r="GMG416" s="1716"/>
      <c r="GMH416" s="244"/>
      <c r="GMI416" s="244" t="s">
        <v>68</v>
      </c>
      <c r="GMJ416" s="245" t="s">
        <v>68</v>
      </c>
      <c r="GMK416" s="1715" t="s">
        <v>0</v>
      </c>
      <c r="GML416" s="1716"/>
      <c r="GMM416" s="1716"/>
      <c r="GMN416" s="1716"/>
      <c r="GMO416" s="1716"/>
      <c r="GMP416" s="244"/>
      <c r="GMQ416" s="244" t="s">
        <v>68</v>
      </c>
      <c r="GMR416" s="245" t="s">
        <v>68</v>
      </c>
      <c r="GMS416" s="1715" t="s">
        <v>0</v>
      </c>
      <c r="GMT416" s="1716"/>
      <c r="GMU416" s="1716"/>
      <c r="GMV416" s="1716"/>
      <c r="GMW416" s="1716"/>
      <c r="GMX416" s="244"/>
      <c r="GMY416" s="244" t="s">
        <v>68</v>
      </c>
      <c r="GMZ416" s="245" t="s">
        <v>68</v>
      </c>
      <c r="GNA416" s="1715" t="s">
        <v>0</v>
      </c>
      <c r="GNB416" s="1716"/>
      <c r="GNC416" s="1716"/>
      <c r="GND416" s="1716"/>
      <c r="GNE416" s="1716"/>
      <c r="GNF416" s="244"/>
      <c r="GNG416" s="244" t="s">
        <v>68</v>
      </c>
      <c r="GNH416" s="245" t="s">
        <v>68</v>
      </c>
      <c r="GNI416" s="1715" t="s">
        <v>0</v>
      </c>
      <c r="GNJ416" s="1716"/>
      <c r="GNK416" s="1716"/>
      <c r="GNL416" s="1716"/>
      <c r="GNM416" s="1716"/>
      <c r="GNN416" s="244"/>
      <c r="GNO416" s="244" t="s">
        <v>68</v>
      </c>
      <c r="GNP416" s="245" t="s">
        <v>68</v>
      </c>
      <c r="GNQ416" s="1715" t="s">
        <v>0</v>
      </c>
      <c r="GNR416" s="1716"/>
      <c r="GNS416" s="1716"/>
      <c r="GNT416" s="1716"/>
      <c r="GNU416" s="1716"/>
      <c r="GNV416" s="244"/>
      <c r="GNW416" s="244" t="s">
        <v>68</v>
      </c>
      <c r="GNX416" s="245" t="s">
        <v>68</v>
      </c>
      <c r="GNY416" s="1715" t="s">
        <v>0</v>
      </c>
      <c r="GNZ416" s="1716"/>
      <c r="GOA416" s="1716"/>
      <c r="GOB416" s="1716"/>
      <c r="GOC416" s="1716"/>
      <c r="GOD416" s="244"/>
      <c r="GOE416" s="244" t="s">
        <v>68</v>
      </c>
      <c r="GOF416" s="245" t="s">
        <v>68</v>
      </c>
      <c r="GOG416" s="1715" t="s">
        <v>0</v>
      </c>
      <c r="GOH416" s="1716"/>
      <c r="GOI416" s="1716"/>
      <c r="GOJ416" s="1716"/>
      <c r="GOK416" s="1716"/>
      <c r="GOL416" s="244"/>
      <c r="GOM416" s="244" t="s">
        <v>68</v>
      </c>
      <c r="GON416" s="245" t="s">
        <v>68</v>
      </c>
      <c r="GOO416" s="1715" t="s">
        <v>0</v>
      </c>
      <c r="GOP416" s="1716"/>
      <c r="GOQ416" s="1716"/>
      <c r="GOR416" s="1716"/>
      <c r="GOS416" s="1716"/>
      <c r="GOT416" s="244"/>
      <c r="GOU416" s="244" t="s">
        <v>68</v>
      </c>
      <c r="GOV416" s="245" t="s">
        <v>68</v>
      </c>
      <c r="GOW416" s="1715" t="s">
        <v>0</v>
      </c>
      <c r="GOX416" s="1716"/>
      <c r="GOY416" s="1716"/>
      <c r="GOZ416" s="1716"/>
      <c r="GPA416" s="1716"/>
      <c r="GPB416" s="244"/>
      <c r="GPC416" s="244" t="s">
        <v>68</v>
      </c>
      <c r="GPD416" s="245" t="s">
        <v>68</v>
      </c>
      <c r="GPE416" s="1715" t="s">
        <v>0</v>
      </c>
      <c r="GPF416" s="1716"/>
      <c r="GPG416" s="1716"/>
      <c r="GPH416" s="1716"/>
      <c r="GPI416" s="1716"/>
      <c r="GPJ416" s="244"/>
      <c r="GPK416" s="244" t="s">
        <v>68</v>
      </c>
      <c r="GPL416" s="245" t="s">
        <v>68</v>
      </c>
      <c r="GPM416" s="1715" t="s">
        <v>0</v>
      </c>
      <c r="GPN416" s="1716"/>
      <c r="GPO416" s="1716"/>
      <c r="GPP416" s="1716"/>
      <c r="GPQ416" s="1716"/>
      <c r="GPR416" s="244"/>
      <c r="GPS416" s="244" t="s">
        <v>68</v>
      </c>
      <c r="GPT416" s="245" t="s">
        <v>68</v>
      </c>
      <c r="GPU416" s="1715" t="s">
        <v>0</v>
      </c>
      <c r="GPV416" s="1716"/>
      <c r="GPW416" s="1716"/>
      <c r="GPX416" s="1716"/>
      <c r="GPY416" s="1716"/>
      <c r="GPZ416" s="244"/>
      <c r="GQA416" s="244" t="s">
        <v>68</v>
      </c>
      <c r="GQB416" s="245" t="s">
        <v>68</v>
      </c>
      <c r="GQC416" s="1715" t="s">
        <v>0</v>
      </c>
      <c r="GQD416" s="1716"/>
      <c r="GQE416" s="1716"/>
      <c r="GQF416" s="1716"/>
      <c r="GQG416" s="1716"/>
      <c r="GQH416" s="244"/>
      <c r="GQI416" s="244" t="s">
        <v>68</v>
      </c>
      <c r="GQJ416" s="245" t="s">
        <v>68</v>
      </c>
      <c r="GQK416" s="1715" t="s">
        <v>0</v>
      </c>
      <c r="GQL416" s="1716"/>
      <c r="GQM416" s="1716"/>
      <c r="GQN416" s="1716"/>
      <c r="GQO416" s="1716"/>
      <c r="GQP416" s="244"/>
      <c r="GQQ416" s="244" t="s">
        <v>68</v>
      </c>
      <c r="GQR416" s="245" t="s">
        <v>68</v>
      </c>
      <c r="GQS416" s="1715" t="s">
        <v>0</v>
      </c>
      <c r="GQT416" s="1716"/>
      <c r="GQU416" s="1716"/>
      <c r="GQV416" s="1716"/>
      <c r="GQW416" s="1716"/>
      <c r="GQX416" s="244"/>
      <c r="GQY416" s="244" t="s">
        <v>68</v>
      </c>
      <c r="GQZ416" s="245" t="s">
        <v>68</v>
      </c>
      <c r="GRA416" s="1715" t="s">
        <v>0</v>
      </c>
      <c r="GRB416" s="1716"/>
      <c r="GRC416" s="1716"/>
      <c r="GRD416" s="1716"/>
      <c r="GRE416" s="1716"/>
      <c r="GRF416" s="244"/>
      <c r="GRG416" s="244" t="s">
        <v>68</v>
      </c>
      <c r="GRH416" s="245" t="s">
        <v>68</v>
      </c>
      <c r="GRI416" s="1715" t="s">
        <v>0</v>
      </c>
      <c r="GRJ416" s="1716"/>
      <c r="GRK416" s="1716"/>
      <c r="GRL416" s="1716"/>
      <c r="GRM416" s="1716"/>
      <c r="GRN416" s="244"/>
      <c r="GRO416" s="244" t="s">
        <v>68</v>
      </c>
      <c r="GRP416" s="245" t="s">
        <v>68</v>
      </c>
      <c r="GRQ416" s="1715" t="s">
        <v>0</v>
      </c>
      <c r="GRR416" s="1716"/>
      <c r="GRS416" s="1716"/>
      <c r="GRT416" s="1716"/>
      <c r="GRU416" s="1716"/>
      <c r="GRV416" s="244"/>
      <c r="GRW416" s="244" t="s">
        <v>68</v>
      </c>
      <c r="GRX416" s="245" t="s">
        <v>68</v>
      </c>
      <c r="GRY416" s="1715" t="s">
        <v>0</v>
      </c>
      <c r="GRZ416" s="1716"/>
      <c r="GSA416" s="1716"/>
      <c r="GSB416" s="1716"/>
      <c r="GSC416" s="1716"/>
      <c r="GSD416" s="244"/>
      <c r="GSE416" s="244" t="s">
        <v>68</v>
      </c>
      <c r="GSF416" s="245" t="s">
        <v>68</v>
      </c>
      <c r="GSG416" s="1715" t="s">
        <v>0</v>
      </c>
      <c r="GSH416" s="1716"/>
      <c r="GSI416" s="1716"/>
      <c r="GSJ416" s="1716"/>
      <c r="GSK416" s="1716"/>
      <c r="GSL416" s="244"/>
      <c r="GSM416" s="244" t="s">
        <v>68</v>
      </c>
      <c r="GSN416" s="245" t="s">
        <v>68</v>
      </c>
      <c r="GSO416" s="1715" t="s">
        <v>0</v>
      </c>
      <c r="GSP416" s="1716"/>
      <c r="GSQ416" s="1716"/>
      <c r="GSR416" s="1716"/>
      <c r="GSS416" s="1716"/>
      <c r="GST416" s="244"/>
      <c r="GSU416" s="244" t="s">
        <v>68</v>
      </c>
      <c r="GSV416" s="245" t="s">
        <v>68</v>
      </c>
      <c r="GSW416" s="1715" t="s">
        <v>0</v>
      </c>
      <c r="GSX416" s="1716"/>
      <c r="GSY416" s="1716"/>
      <c r="GSZ416" s="1716"/>
      <c r="GTA416" s="1716"/>
      <c r="GTB416" s="244"/>
      <c r="GTC416" s="244" t="s">
        <v>68</v>
      </c>
      <c r="GTD416" s="245" t="s">
        <v>68</v>
      </c>
      <c r="GTE416" s="1715" t="s">
        <v>0</v>
      </c>
      <c r="GTF416" s="1716"/>
      <c r="GTG416" s="1716"/>
      <c r="GTH416" s="1716"/>
      <c r="GTI416" s="1716"/>
      <c r="GTJ416" s="244"/>
      <c r="GTK416" s="244" t="s">
        <v>68</v>
      </c>
      <c r="GTL416" s="245" t="s">
        <v>68</v>
      </c>
      <c r="GTM416" s="1715" t="s">
        <v>0</v>
      </c>
      <c r="GTN416" s="1716"/>
      <c r="GTO416" s="1716"/>
      <c r="GTP416" s="1716"/>
      <c r="GTQ416" s="1716"/>
      <c r="GTR416" s="244"/>
      <c r="GTS416" s="244" t="s">
        <v>68</v>
      </c>
      <c r="GTT416" s="245" t="s">
        <v>68</v>
      </c>
      <c r="GTU416" s="1715" t="s">
        <v>0</v>
      </c>
      <c r="GTV416" s="1716"/>
      <c r="GTW416" s="1716"/>
      <c r="GTX416" s="1716"/>
      <c r="GTY416" s="1716"/>
      <c r="GTZ416" s="244"/>
      <c r="GUA416" s="244" t="s">
        <v>68</v>
      </c>
      <c r="GUB416" s="245" t="s">
        <v>68</v>
      </c>
      <c r="GUC416" s="1715" t="s">
        <v>0</v>
      </c>
      <c r="GUD416" s="1716"/>
      <c r="GUE416" s="1716"/>
      <c r="GUF416" s="1716"/>
      <c r="GUG416" s="1716"/>
      <c r="GUH416" s="244"/>
      <c r="GUI416" s="244" t="s">
        <v>68</v>
      </c>
      <c r="GUJ416" s="245" t="s">
        <v>68</v>
      </c>
      <c r="GUK416" s="1715" t="s">
        <v>0</v>
      </c>
      <c r="GUL416" s="1716"/>
      <c r="GUM416" s="1716"/>
      <c r="GUN416" s="1716"/>
      <c r="GUO416" s="1716"/>
      <c r="GUP416" s="244"/>
      <c r="GUQ416" s="244" t="s">
        <v>68</v>
      </c>
      <c r="GUR416" s="245" t="s">
        <v>68</v>
      </c>
      <c r="GUS416" s="1715" t="s">
        <v>0</v>
      </c>
      <c r="GUT416" s="1716"/>
      <c r="GUU416" s="1716"/>
      <c r="GUV416" s="1716"/>
      <c r="GUW416" s="1716"/>
      <c r="GUX416" s="244"/>
      <c r="GUY416" s="244" t="s">
        <v>68</v>
      </c>
      <c r="GUZ416" s="245" t="s">
        <v>68</v>
      </c>
      <c r="GVA416" s="1715" t="s">
        <v>0</v>
      </c>
      <c r="GVB416" s="1716"/>
      <c r="GVC416" s="1716"/>
      <c r="GVD416" s="1716"/>
      <c r="GVE416" s="1716"/>
      <c r="GVF416" s="244"/>
      <c r="GVG416" s="244" t="s">
        <v>68</v>
      </c>
      <c r="GVH416" s="245" t="s">
        <v>68</v>
      </c>
      <c r="GVI416" s="1715" t="s">
        <v>0</v>
      </c>
      <c r="GVJ416" s="1716"/>
      <c r="GVK416" s="1716"/>
      <c r="GVL416" s="1716"/>
      <c r="GVM416" s="1716"/>
      <c r="GVN416" s="244"/>
      <c r="GVO416" s="244" t="s">
        <v>68</v>
      </c>
      <c r="GVP416" s="245" t="s">
        <v>68</v>
      </c>
      <c r="GVQ416" s="1715" t="s">
        <v>0</v>
      </c>
      <c r="GVR416" s="1716"/>
      <c r="GVS416" s="1716"/>
      <c r="GVT416" s="1716"/>
      <c r="GVU416" s="1716"/>
      <c r="GVV416" s="244"/>
      <c r="GVW416" s="244" t="s">
        <v>68</v>
      </c>
      <c r="GVX416" s="245" t="s">
        <v>68</v>
      </c>
      <c r="GVY416" s="1715" t="s">
        <v>0</v>
      </c>
      <c r="GVZ416" s="1716"/>
      <c r="GWA416" s="1716"/>
      <c r="GWB416" s="1716"/>
      <c r="GWC416" s="1716"/>
      <c r="GWD416" s="244"/>
      <c r="GWE416" s="244" t="s">
        <v>68</v>
      </c>
      <c r="GWF416" s="245" t="s">
        <v>68</v>
      </c>
      <c r="GWG416" s="1715" t="s">
        <v>0</v>
      </c>
      <c r="GWH416" s="1716"/>
      <c r="GWI416" s="1716"/>
      <c r="GWJ416" s="1716"/>
      <c r="GWK416" s="1716"/>
      <c r="GWL416" s="244"/>
      <c r="GWM416" s="244" t="s">
        <v>68</v>
      </c>
      <c r="GWN416" s="245" t="s">
        <v>68</v>
      </c>
      <c r="GWO416" s="1715" t="s">
        <v>0</v>
      </c>
      <c r="GWP416" s="1716"/>
      <c r="GWQ416" s="1716"/>
      <c r="GWR416" s="1716"/>
      <c r="GWS416" s="1716"/>
      <c r="GWT416" s="244"/>
      <c r="GWU416" s="244" t="s">
        <v>68</v>
      </c>
      <c r="GWV416" s="245" t="s">
        <v>68</v>
      </c>
      <c r="GWW416" s="1715" t="s">
        <v>0</v>
      </c>
      <c r="GWX416" s="1716"/>
      <c r="GWY416" s="1716"/>
      <c r="GWZ416" s="1716"/>
      <c r="GXA416" s="1716"/>
      <c r="GXB416" s="244"/>
      <c r="GXC416" s="244" t="s">
        <v>68</v>
      </c>
      <c r="GXD416" s="245" t="s">
        <v>68</v>
      </c>
      <c r="GXE416" s="1715" t="s">
        <v>0</v>
      </c>
      <c r="GXF416" s="1716"/>
      <c r="GXG416" s="1716"/>
      <c r="GXH416" s="1716"/>
      <c r="GXI416" s="1716"/>
      <c r="GXJ416" s="244"/>
      <c r="GXK416" s="244" t="s">
        <v>68</v>
      </c>
      <c r="GXL416" s="245" t="s">
        <v>68</v>
      </c>
      <c r="GXM416" s="1715" t="s">
        <v>0</v>
      </c>
      <c r="GXN416" s="1716"/>
      <c r="GXO416" s="1716"/>
      <c r="GXP416" s="1716"/>
      <c r="GXQ416" s="1716"/>
      <c r="GXR416" s="244"/>
      <c r="GXS416" s="244" t="s">
        <v>68</v>
      </c>
      <c r="GXT416" s="245" t="s">
        <v>68</v>
      </c>
      <c r="GXU416" s="1715" t="s">
        <v>0</v>
      </c>
      <c r="GXV416" s="1716"/>
      <c r="GXW416" s="1716"/>
      <c r="GXX416" s="1716"/>
      <c r="GXY416" s="1716"/>
      <c r="GXZ416" s="244"/>
      <c r="GYA416" s="244" t="s">
        <v>68</v>
      </c>
      <c r="GYB416" s="245" t="s">
        <v>68</v>
      </c>
      <c r="GYC416" s="1715" t="s">
        <v>0</v>
      </c>
      <c r="GYD416" s="1716"/>
      <c r="GYE416" s="1716"/>
      <c r="GYF416" s="1716"/>
      <c r="GYG416" s="1716"/>
      <c r="GYH416" s="244"/>
      <c r="GYI416" s="244" t="s">
        <v>68</v>
      </c>
      <c r="GYJ416" s="245" t="s">
        <v>68</v>
      </c>
      <c r="GYK416" s="1715" t="s">
        <v>0</v>
      </c>
      <c r="GYL416" s="1716"/>
      <c r="GYM416" s="1716"/>
      <c r="GYN416" s="1716"/>
      <c r="GYO416" s="1716"/>
      <c r="GYP416" s="244"/>
      <c r="GYQ416" s="244" t="s">
        <v>68</v>
      </c>
      <c r="GYR416" s="245" t="s">
        <v>68</v>
      </c>
      <c r="GYS416" s="1715" t="s">
        <v>0</v>
      </c>
      <c r="GYT416" s="1716"/>
      <c r="GYU416" s="1716"/>
      <c r="GYV416" s="1716"/>
      <c r="GYW416" s="1716"/>
      <c r="GYX416" s="244"/>
      <c r="GYY416" s="244" t="s">
        <v>68</v>
      </c>
      <c r="GYZ416" s="245" t="s">
        <v>68</v>
      </c>
      <c r="GZA416" s="1715" t="s">
        <v>0</v>
      </c>
      <c r="GZB416" s="1716"/>
      <c r="GZC416" s="1716"/>
      <c r="GZD416" s="1716"/>
      <c r="GZE416" s="1716"/>
      <c r="GZF416" s="244"/>
      <c r="GZG416" s="244" t="s">
        <v>68</v>
      </c>
      <c r="GZH416" s="245" t="s">
        <v>68</v>
      </c>
      <c r="GZI416" s="1715" t="s">
        <v>0</v>
      </c>
      <c r="GZJ416" s="1716"/>
      <c r="GZK416" s="1716"/>
      <c r="GZL416" s="1716"/>
      <c r="GZM416" s="1716"/>
      <c r="GZN416" s="244"/>
      <c r="GZO416" s="244" t="s">
        <v>68</v>
      </c>
      <c r="GZP416" s="245" t="s">
        <v>68</v>
      </c>
      <c r="GZQ416" s="1715" t="s">
        <v>0</v>
      </c>
      <c r="GZR416" s="1716"/>
      <c r="GZS416" s="1716"/>
      <c r="GZT416" s="1716"/>
      <c r="GZU416" s="1716"/>
      <c r="GZV416" s="244"/>
      <c r="GZW416" s="244" t="s">
        <v>68</v>
      </c>
      <c r="GZX416" s="245" t="s">
        <v>68</v>
      </c>
      <c r="GZY416" s="1715" t="s">
        <v>0</v>
      </c>
      <c r="GZZ416" s="1716"/>
      <c r="HAA416" s="1716"/>
      <c r="HAB416" s="1716"/>
      <c r="HAC416" s="1716"/>
      <c r="HAD416" s="244"/>
      <c r="HAE416" s="244" t="s">
        <v>68</v>
      </c>
      <c r="HAF416" s="245" t="s">
        <v>68</v>
      </c>
      <c r="HAG416" s="1715" t="s">
        <v>0</v>
      </c>
      <c r="HAH416" s="1716"/>
      <c r="HAI416" s="1716"/>
      <c r="HAJ416" s="1716"/>
      <c r="HAK416" s="1716"/>
      <c r="HAL416" s="244"/>
      <c r="HAM416" s="244" t="s">
        <v>68</v>
      </c>
      <c r="HAN416" s="245" t="s">
        <v>68</v>
      </c>
      <c r="HAO416" s="1715" t="s">
        <v>0</v>
      </c>
      <c r="HAP416" s="1716"/>
      <c r="HAQ416" s="1716"/>
      <c r="HAR416" s="1716"/>
      <c r="HAS416" s="1716"/>
      <c r="HAT416" s="244"/>
      <c r="HAU416" s="244" t="s">
        <v>68</v>
      </c>
      <c r="HAV416" s="245" t="s">
        <v>68</v>
      </c>
      <c r="HAW416" s="1715" t="s">
        <v>0</v>
      </c>
      <c r="HAX416" s="1716"/>
      <c r="HAY416" s="1716"/>
      <c r="HAZ416" s="1716"/>
      <c r="HBA416" s="1716"/>
      <c r="HBB416" s="244"/>
      <c r="HBC416" s="244" t="s">
        <v>68</v>
      </c>
      <c r="HBD416" s="245" t="s">
        <v>68</v>
      </c>
      <c r="HBE416" s="1715" t="s">
        <v>0</v>
      </c>
      <c r="HBF416" s="1716"/>
      <c r="HBG416" s="1716"/>
      <c r="HBH416" s="1716"/>
      <c r="HBI416" s="1716"/>
      <c r="HBJ416" s="244"/>
      <c r="HBK416" s="244" t="s">
        <v>68</v>
      </c>
      <c r="HBL416" s="245" t="s">
        <v>68</v>
      </c>
      <c r="HBM416" s="1715" t="s">
        <v>0</v>
      </c>
      <c r="HBN416" s="1716"/>
      <c r="HBO416" s="1716"/>
      <c r="HBP416" s="1716"/>
      <c r="HBQ416" s="1716"/>
      <c r="HBR416" s="244"/>
      <c r="HBS416" s="244" t="s">
        <v>68</v>
      </c>
      <c r="HBT416" s="245" t="s">
        <v>68</v>
      </c>
      <c r="HBU416" s="1715" t="s">
        <v>0</v>
      </c>
      <c r="HBV416" s="1716"/>
      <c r="HBW416" s="1716"/>
      <c r="HBX416" s="1716"/>
      <c r="HBY416" s="1716"/>
      <c r="HBZ416" s="244"/>
      <c r="HCA416" s="244" t="s">
        <v>68</v>
      </c>
      <c r="HCB416" s="245" t="s">
        <v>68</v>
      </c>
      <c r="HCC416" s="1715" t="s">
        <v>0</v>
      </c>
      <c r="HCD416" s="1716"/>
      <c r="HCE416" s="1716"/>
      <c r="HCF416" s="1716"/>
      <c r="HCG416" s="1716"/>
      <c r="HCH416" s="244"/>
      <c r="HCI416" s="244" t="s">
        <v>68</v>
      </c>
      <c r="HCJ416" s="245" t="s">
        <v>68</v>
      </c>
      <c r="HCK416" s="1715" t="s">
        <v>0</v>
      </c>
      <c r="HCL416" s="1716"/>
      <c r="HCM416" s="1716"/>
      <c r="HCN416" s="1716"/>
      <c r="HCO416" s="1716"/>
      <c r="HCP416" s="244"/>
      <c r="HCQ416" s="244" t="s">
        <v>68</v>
      </c>
      <c r="HCR416" s="245" t="s">
        <v>68</v>
      </c>
      <c r="HCS416" s="1715" t="s">
        <v>0</v>
      </c>
      <c r="HCT416" s="1716"/>
      <c r="HCU416" s="1716"/>
      <c r="HCV416" s="1716"/>
      <c r="HCW416" s="1716"/>
      <c r="HCX416" s="244"/>
      <c r="HCY416" s="244" t="s">
        <v>68</v>
      </c>
      <c r="HCZ416" s="245" t="s">
        <v>68</v>
      </c>
      <c r="HDA416" s="1715" t="s">
        <v>0</v>
      </c>
      <c r="HDB416" s="1716"/>
      <c r="HDC416" s="1716"/>
      <c r="HDD416" s="1716"/>
      <c r="HDE416" s="1716"/>
      <c r="HDF416" s="244"/>
      <c r="HDG416" s="244" t="s">
        <v>68</v>
      </c>
      <c r="HDH416" s="245" t="s">
        <v>68</v>
      </c>
      <c r="HDI416" s="1715" t="s">
        <v>0</v>
      </c>
      <c r="HDJ416" s="1716"/>
      <c r="HDK416" s="1716"/>
      <c r="HDL416" s="1716"/>
      <c r="HDM416" s="1716"/>
      <c r="HDN416" s="244"/>
      <c r="HDO416" s="244" t="s">
        <v>68</v>
      </c>
      <c r="HDP416" s="245" t="s">
        <v>68</v>
      </c>
      <c r="HDQ416" s="1715" t="s">
        <v>0</v>
      </c>
      <c r="HDR416" s="1716"/>
      <c r="HDS416" s="1716"/>
      <c r="HDT416" s="1716"/>
      <c r="HDU416" s="1716"/>
      <c r="HDV416" s="244"/>
      <c r="HDW416" s="244" t="s">
        <v>68</v>
      </c>
      <c r="HDX416" s="245" t="s">
        <v>68</v>
      </c>
      <c r="HDY416" s="1715" t="s">
        <v>0</v>
      </c>
      <c r="HDZ416" s="1716"/>
      <c r="HEA416" s="1716"/>
      <c r="HEB416" s="1716"/>
      <c r="HEC416" s="1716"/>
      <c r="HED416" s="244"/>
      <c r="HEE416" s="244" t="s">
        <v>68</v>
      </c>
      <c r="HEF416" s="245" t="s">
        <v>68</v>
      </c>
      <c r="HEG416" s="1715" t="s">
        <v>0</v>
      </c>
      <c r="HEH416" s="1716"/>
      <c r="HEI416" s="1716"/>
      <c r="HEJ416" s="1716"/>
      <c r="HEK416" s="1716"/>
      <c r="HEL416" s="244"/>
      <c r="HEM416" s="244" t="s">
        <v>68</v>
      </c>
      <c r="HEN416" s="245" t="s">
        <v>68</v>
      </c>
      <c r="HEO416" s="1715" t="s">
        <v>0</v>
      </c>
      <c r="HEP416" s="1716"/>
      <c r="HEQ416" s="1716"/>
      <c r="HER416" s="1716"/>
      <c r="HES416" s="1716"/>
      <c r="HET416" s="244"/>
      <c r="HEU416" s="244" t="s">
        <v>68</v>
      </c>
      <c r="HEV416" s="245" t="s">
        <v>68</v>
      </c>
      <c r="HEW416" s="1715" t="s">
        <v>0</v>
      </c>
      <c r="HEX416" s="1716"/>
      <c r="HEY416" s="1716"/>
      <c r="HEZ416" s="1716"/>
      <c r="HFA416" s="1716"/>
      <c r="HFB416" s="244"/>
      <c r="HFC416" s="244" t="s">
        <v>68</v>
      </c>
      <c r="HFD416" s="245" t="s">
        <v>68</v>
      </c>
      <c r="HFE416" s="1715" t="s">
        <v>0</v>
      </c>
      <c r="HFF416" s="1716"/>
      <c r="HFG416" s="1716"/>
      <c r="HFH416" s="1716"/>
      <c r="HFI416" s="1716"/>
      <c r="HFJ416" s="244"/>
      <c r="HFK416" s="244" t="s">
        <v>68</v>
      </c>
      <c r="HFL416" s="245" t="s">
        <v>68</v>
      </c>
      <c r="HFM416" s="1715" t="s">
        <v>0</v>
      </c>
      <c r="HFN416" s="1716"/>
      <c r="HFO416" s="1716"/>
      <c r="HFP416" s="1716"/>
      <c r="HFQ416" s="1716"/>
      <c r="HFR416" s="244"/>
      <c r="HFS416" s="244" t="s">
        <v>68</v>
      </c>
      <c r="HFT416" s="245" t="s">
        <v>68</v>
      </c>
      <c r="HFU416" s="1715" t="s">
        <v>0</v>
      </c>
      <c r="HFV416" s="1716"/>
      <c r="HFW416" s="1716"/>
      <c r="HFX416" s="1716"/>
      <c r="HFY416" s="1716"/>
      <c r="HFZ416" s="244"/>
      <c r="HGA416" s="244" t="s">
        <v>68</v>
      </c>
      <c r="HGB416" s="245" t="s">
        <v>68</v>
      </c>
      <c r="HGC416" s="1715" t="s">
        <v>0</v>
      </c>
      <c r="HGD416" s="1716"/>
      <c r="HGE416" s="1716"/>
      <c r="HGF416" s="1716"/>
      <c r="HGG416" s="1716"/>
      <c r="HGH416" s="244"/>
      <c r="HGI416" s="244" t="s">
        <v>68</v>
      </c>
      <c r="HGJ416" s="245" t="s">
        <v>68</v>
      </c>
      <c r="HGK416" s="1715" t="s">
        <v>0</v>
      </c>
      <c r="HGL416" s="1716"/>
      <c r="HGM416" s="1716"/>
      <c r="HGN416" s="1716"/>
      <c r="HGO416" s="1716"/>
      <c r="HGP416" s="244"/>
      <c r="HGQ416" s="244" t="s">
        <v>68</v>
      </c>
      <c r="HGR416" s="245" t="s">
        <v>68</v>
      </c>
      <c r="HGS416" s="1715" t="s">
        <v>0</v>
      </c>
      <c r="HGT416" s="1716"/>
      <c r="HGU416" s="1716"/>
      <c r="HGV416" s="1716"/>
      <c r="HGW416" s="1716"/>
      <c r="HGX416" s="244"/>
      <c r="HGY416" s="244" t="s">
        <v>68</v>
      </c>
      <c r="HGZ416" s="245" t="s">
        <v>68</v>
      </c>
      <c r="HHA416" s="1715" t="s">
        <v>0</v>
      </c>
      <c r="HHB416" s="1716"/>
      <c r="HHC416" s="1716"/>
      <c r="HHD416" s="1716"/>
      <c r="HHE416" s="1716"/>
      <c r="HHF416" s="244"/>
      <c r="HHG416" s="244" t="s">
        <v>68</v>
      </c>
      <c r="HHH416" s="245" t="s">
        <v>68</v>
      </c>
      <c r="HHI416" s="1715" t="s">
        <v>0</v>
      </c>
      <c r="HHJ416" s="1716"/>
      <c r="HHK416" s="1716"/>
      <c r="HHL416" s="1716"/>
      <c r="HHM416" s="1716"/>
      <c r="HHN416" s="244"/>
      <c r="HHO416" s="244" t="s">
        <v>68</v>
      </c>
      <c r="HHP416" s="245" t="s">
        <v>68</v>
      </c>
      <c r="HHQ416" s="1715" t="s">
        <v>0</v>
      </c>
      <c r="HHR416" s="1716"/>
      <c r="HHS416" s="1716"/>
      <c r="HHT416" s="1716"/>
      <c r="HHU416" s="1716"/>
      <c r="HHV416" s="244"/>
      <c r="HHW416" s="244" t="s">
        <v>68</v>
      </c>
      <c r="HHX416" s="245" t="s">
        <v>68</v>
      </c>
      <c r="HHY416" s="1715" t="s">
        <v>0</v>
      </c>
      <c r="HHZ416" s="1716"/>
      <c r="HIA416" s="1716"/>
      <c r="HIB416" s="1716"/>
      <c r="HIC416" s="1716"/>
      <c r="HID416" s="244"/>
      <c r="HIE416" s="244" t="s">
        <v>68</v>
      </c>
      <c r="HIF416" s="245" t="s">
        <v>68</v>
      </c>
      <c r="HIG416" s="1715" t="s">
        <v>0</v>
      </c>
      <c r="HIH416" s="1716"/>
      <c r="HII416" s="1716"/>
      <c r="HIJ416" s="1716"/>
      <c r="HIK416" s="1716"/>
      <c r="HIL416" s="244"/>
      <c r="HIM416" s="244" t="s">
        <v>68</v>
      </c>
      <c r="HIN416" s="245" t="s">
        <v>68</v>
      </c>
      <c r="HIO416" s="1715" t="s">
        <v>0</v>
      </c>
      <c r="HIP416" s="1716"/>
      <c r="HIQ416" s="1716"/>
      <c r="HIR416" s="1716"/>
      <c r="HIS416" s="1716"/>
      <c r="HIT416" s="244"/>
      <c r="HIU416" s="244" t="s">
        <v>68</v>
      </c>
      <c r="HIV416" s="245" t="s">
        <v>68</v>
      </c>
      <c r="HIW416" s="1715" t="s">
        <v>0</v>
      </c>
      <c r="HIX416" s="1716"/>
      <c r="HIY416" s="1716"/>
      <c r="HIZ416" s="1716"/>
      <c r="HJA416" s="1716"/>
      <c r="HJB416" s="244"/>
      <c r="HJC416" s="244" t="s">
        <v>68</v>
      </c>
      <c r="HJD416" s="245" t="s">
        <v>68</v>
      </c>
      <c r="HJE416" s="1715" t="s">
        <v>0</v>
      </c>
      <c r="HJF416" s="1716"/>
      <c r="HJG416" s="1716"/>
      <c r="HJH416" s="1716"/>
      <c r="HJI416" s="1716"/>
      <c r="HJJ416" s="244"/>
      <c r="HJK416" s="244" t="s">
        <v>68</v>
      </c>
      <c r="HJL416" s="245" t="s">
        <v>68</v>
      </c>
      <c r="HJM416" s="1715" t="s">
        <v>0</v>
      </c>
      <c r="HJN416" s="1716"/>
      <c r="HJO416" s="1716"/>
      <c r="HJP416" s="1716"/>
      <c r="HJQ416" s="1716"/>
      <c r="HJR416" s="244"/>
      <c r="HJS416" s="244" t="s">
        <v>68</v>
      </c>
      <c r="HJT416" s="245" t="s">
        <v>68</v>
      </c>
      <c r="HJU416" s="1715" t="s">
        <v>0</v>
      </c>
      <c r="HJV416" s="1716"/>
      <c r="HJW416" s="1716"/>
      <c r="HJX416" s="1716"/>
      <c r="HJY416" s="1716"/>
      <c r="HJZ416" s="244"/>
      <c r="HKA416" s="244" t="s">
        <v>68</v>
      </c>
      <c r="HKB416" s="245" t="s">
        <v>68</v>
      </c>
      <c r="HKC416" s="1715" t="s">
        <v>0</v>
      </c>
      <c r="HKD416" s="1716"/>
      <c r="HKE416" s="1716"/>
      <c r="HKF416" s="1716"/>
      <c r="HKG416" s="1716"/>
      <c r="HKH416" s="244"/>
      <c r="HKI416" s="244" t="s">
        <v>68</v>
      </c>
      <c r="HKJ416" s="245" t="s">
        <v>68</v>
      </c>
      <c r="HKK416" s="1715" t="s">
        <v>0</v>
      </c>
      <c r="HKL416" s="1716"/>
      <c r="HKM416" s="1716"/>
      <c r="HKN416" s="1716"/>
      <c r="HKO416" s="1716"/>
      <c r="HKP416" s="244"/>
      <c r="HKQ416" s="244" t="s">
        <v>68</v>
      </c>
      <c r="HKR416" s="245" t="s">
        <v>68</v>
      </c>
      <c r="HKS416" s="1715" t="s">
        <v>0</v>
      </c>
      <c r="HKT416" s="1716"/>
      <c r="HKU416" s="1716"/>
      <c r="HKV416" s="1716"/>
      <c r="HKW416" s="1716"/>
      <c r="HKX416" s="244"/>
      <c r="HKY416" s="244" t="s">
        <v>68</v>
      </c>
      <c r="HKZ416" s="245" t="s">
        <v>68</v>
      </c>
      <c r="HLA416" s="1715" t="s">
        <v>0</v>
      </c>
      <c r="HLB416" s="1716"/>
      <c r="HLC416" s="1716"/>
      <c r="HLD416" s="1716"/>
      <c r="HLE416" s="1716"/>
      <c r="HLF416" s="244"/>
      <c r="HLG416" s="244" t="s">
        <v>68</v>
      </c>
      <c r="HLH416" s="245" t="s">
        <v>68</v>
      </c>
      <c r="HLI416" s="1715" t="s">
        <v>0</v>
      </c>
      <c r="HLJ416" s="1716"/>
      <c r="HLK416" s="1716"/>
      <c r="HLL416" s="1716"/>
      <c r="HLM416" s="1716"/>
      <c r="HLN416" s="244"/>
      <c r="HLO416" s="244" t="s">
        <v>68</v>
      </c>
      <c r="HLP416" s="245" t="s">
        <v>68</v>
      </c>
      <c r="HLQ416" s="1715" t="s">
        <v>0</v>
      </c>
      <c r="HLR416" s="1716"/>
      <c r="HLS416" s="1716"/>
      <c r="HLT416" s="1716"/>
      <c r="HLU416" s="1716"/>
      <c r="HLV416" s="244"/>
      <c r="HLW416" s="244" t="s">
        <v>68</v>
      </c>
      <c r="HLX416" s="245" t="s">
        <v>68</v>
      </c>
      <c r="HLY416" s="1715" t="s">
        <v>0</v>
      </c>
      <c r="HLZ416" s="1716"/>
      <c r="HMA416" s="1716"/>
      <c r="HMB416" s="1716"/>
      <c r="HMC416" s="1716"/>
      <c r="HMD416" s="244"/>
      <c r="HME416" s="244" t="s">
        <v>68</v>
      </c>
      <c r="HMF416" s="245" t="s">
        <v>68</v>
      </c>
      <c r="HMG416" s="1715" t="s">
        <v>0</v>
      </c>
      <c r="HMH416" s="1716"/>
      <c r="HMI416" s="1716"/>
      <c r="HMJ416" s="1716"/>
      <c r="HMK416" s="1716"/>
      <c r="HML416" s="244"/>
      <c r="HMM416" s="244" t="s">
        <v>68</v>
      </c>
      <c r="HMN416" s="245" t="s">
        <v>68</v>
      </c>
      <c r="HMO416" s="1715" t="s">
        <v>0</v>
      </c>
      <c r="HMP416" s="1716"/>
      <c r="HMQ416" s="1716"/>
      <c r="HMR416" s="1716"/>
      <c r="HMS416" s="1716"/>
      <c r="HMT416" s="244"/>
      <c r="HMU416" s="244" t="s">
        <v>68</v>
      </c>
      <c r="HMV416" s="245" t="s">
        <v>68</v>
      </c>
      <c r="HMW416" s="1715" t="s">
        <v>0</v>
      </c>
      <c r="HMX416" s="1716"/>
      <c r="HMY416" s="1716"/>
      <c r="HMZ416" s="1716"/>
      <c r="HNA416" s="1716"/>
      <c r="HNB416" s="244"/>
      <c r="HNC416" s="244" t="s">
        <v>68</v>
      </c>
      <c r="HND416" s="245" t="s">
        <v>68</v>
      </c>
      <c r="HNE416" s="1715" t="s">
        <v>0</v>
      </c>
      <c r="HNF416" s="1716"/>
      <c r="HNG416" s="1716"/>
      <c r="HNH416" s="1716"/>
      <c r="HNI416" s="1716"/>
      <c r="HNJ416" s="244"/>
      <c r="HNK416" s="244" t="s">
        <v>68</v>
      </c>
      <c r="HNL416" s="245" t="s">
        <v>68</v>
      </c>
      <c r="HNM416" s="1715" t="s">
        <v>0</v>
      </c>
      <c r="HNN416" s="1716"/>
      <c r="HNO416" s="1716"/>
      <c r="HNP416" s="1716"/>
      <c r="HNQ416" s="1716"/>
      <c r="HNR416" s="244"/>
      <c r="HNS416" s="244" t="s">
        <v>68</v>
      </c>
      <c r="HNT416" s="245" t="s">
        <v>68</v>
      </c>
      <c r="HNU416" s="1715" t="s">
        <v>0</v>
      </c>
      <c r="HNV416" s="1716"/>
      <c r="HNW416" s="1716"/>
      <c r="HNX416" s="1716"/>
      <c r="HNY416" s="1716"/>
      <c r="HNZ416" s="244"/>
      <c r="HOA416" s="244" t="s">
        <v>68</v>
      </c>
      <c r="HOB416" s="245" t="s">
        <v>68</v>
      </c>
      <c r="HOC416" s="1715" t="s">
        <v>0</v>
      </c>
      <c r="HOD416" s="1716"/>
      <c r="HOE416" s="1716"/>
      <c r="HOF416" s="1716"/>
      <c r="HOG416" s="1716"/>
      <c r="HOH416" s="244"/>
      <c r="HOI416" s="244" t="s">
        <v>68</v>
      </c>
      <c r="HOJ416" s="245" t="s">
        <v>68</v>
      </c>
      <c r="HOK416" s="1715" t="s">
        <v>0</v>
      </c>
      <c r="HOL416" s="1716"/>
      <c r="HOM416" s="1716"/>
      <c r="HON416" s="1716"/>
      <c r="HOO416" s="1716"/>
      <c r="HOP416" s="244"/>
      <c r="HOQ416" s="244" t="s">
        <v>68</v>
      </c>
      <c r="HOR416" s="245" t="s">
        <v>68</v>
      </c>
      <c r="HOS416" s="1715" t="s">
        <v>0</v>
      </c>
      <c r="HOT416" s="1716"/>
      <c r="HOU416" s="1716"/>
      <c r="HOV416" s="1716"/>
      <c r="HOW416" s="1716"/>
      <c r="HOX416" s="244"/>
      <c r="HOY416" s="244" t="s">
        <v>68</v>
      </c>
      <c r="HOZ416" s="245" t="s">
        <v>68</v>
      </c>
      <c r="HPA416" s="1715" t="s">
        <v>0</v>
      </c>
      <c r="HPB416" s="1716"/>
      <c r="HPC416" s="1716"/>
      <c r="HPD416" s="1716"/>
      <c r="HPE416" s="1716"/>
      <c r="HPF416" s="244"/>
      <c r="HPG416" s="244" t="s">
        <v>68</v>
      </c>
      <c r="HPH416" s="245" t="s">
        <v>68</v>
      </c>
      <c r="HPI416" s="1715" t="s">
        <v>0</v>
      </c>
      <c r="HPJ416" s="1716"/>
      <c r="HPK416" s="1716"/>
      <c r="HPL416" s="1716"/>
      <c r="HPM416" s="1716"/>
      <c r="HPN416" s="244"/>
      <c r="HPO416" s="244" t="s">
        <v>68</v>
      </c>
      <c r="HPP416" s="245" t="s">
        <v>68</v>
      </c>
      <c r="HPQ416" s="1715" t="s">
        <v>0</v>
      </c>
      <c r="HPR416" s="1716"/>
      <c r="HPS416" s="1716"/>
      <c r="HPT416" s="1716"/>
      <c r="HPU416" s="1716"/>
      <c r="HPV416" s="244"/>
      <c r="HPW416" s="244" t="s">
        <v>68</v>
      </c>
      <c r="HPX416" s="245" t="s">
        <v>68</v>
      </c>
      <c r="HPY416" s="1715" t="s">
        <v>0</v>
      </c>
      <c r="HPZ416" s="1716"/>
      <c r="HQA416" s="1716"/>
      <c r="HQB416" s="1716"/>
      <c r="HQC416" s="1716"/>
      <c r="HQD416" s="244"/>
      <c r="HQE416" s="244" t="s">
        <v>68</v>
      </c>
      <c r="HQF416" s="245" t="s">
        <v>68</v>
      </c>
      <c r="HQG416" s="1715" t="s">
        <v>0</v>
      </c>
      <c r="HQH416" s="1716"/>
      <c r="HQI416" s="1716"/>
      <c r="HQJ416" s="1716"/>
      <c r="HQK416" s="1716"/>
      <c r="HQL416" s="244"/>
      <c r="HQM416" s="244" t="s">
        <v>68</v>
      </c>
      <c r="HQN416" s="245" t="s">
        <v>68</v>
      </c>
      <c r="HQO416" s="1715" t="s">
        <v>0</v>
      </c>
      <c r="HQP416" s="1716"/>
      <c r="HQQ416" s="1716"/>
      <c r="HQR416" s="1716"/>
      <c r="HQS416" s="1716"/>
      <c r="HQT416" s="244"/>
      <c r="HQU416" s="244" t="s">
        <v>68</v>
      </c>
      <c r="HQV416" s="245" t="s">
        <v>68</v>
      </c>
      <c r="HQW416" s="1715" t="s">
        <v>0</v>
      </c>
      <c r="HQX416" s="1716"/>
      <c r="HQY416" s="1716"/>
      <c r="HQZ416" s="1716"/>
      <c r="HRA416" s="1716"/>
      <c r="HRB416" s="244"/>
      <c r="HRC416" s="244" t="s">
        <v>68</v>
      </c>
      <c r="HRD416" s="245" t="s">
        <v>68</v>
      </c>
      <c r="HRE416" s="1715" t="s">
        <v>0</v>
      </c>
      <c r="HRF416" s="1716"/>
      <c r="HRG416" s="1716"/>
      <c r="HRH416" s="1716"/>
      <c r="HRI416" s="1716"/>
      <c r="HRJ416" s="244"/>
      <c r="HRK416" s="244" t="s">
        <v>68</v>
      </c>
      <c r="HRL416" s="245" t="s">
        <v>68</v>
      </c>
      <c r="HRM416" s="1715" t="s">
        <v>0</v>
      </c>
      <c r="HRN416" s="1716"/>
      <c r="HRO416" s="1716"/>
      <c r="HRP416" s="1716"/>
      <c r="HRQ416" s="1716"/>
      <c r="HRR416" s="244"/>
      <c r="HRS416" s="244" t="s">
        <v>68</v>
      </c>
      <c r="HRT416" s="245" t="s">
        <v>68</v>
      </c>
      <c r="HRU416" s="1715" t="s">
        <v>0</v>
      </c>
      <c r="HRV416" s="1716"/>
      <c r="HRW416" s="1716"/>
      <c r="HRX416" s="1716"/>
      <c r="HRY416" s="1716"/>
      <c r="HRZ416" s="244"/>
      <c r="HSA416" s="244" t="s">
        <v>68</v>
      </c>
      <c r="HSB416" s="245" t="s">
        <v>68</v>
      </c>
      <c r="HSC416" s="1715" t="s">
        <v>0</v>
      </c>
      <c r="HSD416" s="1716"/>
      <c r="HSE416" s="1716"/>
      <c r="HSF416" s="1716"/>
      <c r="HSG416" s="1716"/>
      <c r="HSH416" s="244"/>
      <c r="HSI416" s="244" t="s">
        <v>68</v>
      </c>
      <c r="HSJ416" s="245" t="s">
        <v>68</v>
      </c>
      <c r="HSK416" s="1715" t="s">
        <v>0</v>
      </c>
      <c r="HSL416" s="1716"/>
      <c r="HSM416" s="1716"/>
      <c r="HSN416" s="1716"/>
      <c r="HSO416" s="1716"/>
      <c r="HSP416" s="244"/>
      <c r="HSQ416" s="244" t="s">
        <v>68</v>
      </c>
      <c r="HSR416" s="245" t="s">
        <v>68</v>
      </c>
      <c r="HSS416" s="1715" t="s">
        <v>0</v>
      </c>
      <c r="HST416" s="1716"/>
      <c r="HSU416" s="1716"/>
      <c r="HSV416" s="1716"/>
      <c r="HSW416" s="1716"/>
      <c r="HSX416" s="244"/>
      <c r="HSY416" s="244" t="s">
        <v>68</v>
      </c>
      <c r="HSZ416" s="245" t="s">
        <v>68</v>
      </c>
      <c r="HTA416" s="1715" t="s">
        <v>0</v>
      </c>
      <c r="HTB416" s="1716"/>
      <c r="HTC416" s="1716"/>
      <c r="HTD416" s="1716"/>
      <c r="HTE416" s="1716"/>
      <c r="HTF416" s="244"/>
      <c r="HTG416" s="244" t="s">
        <v>68</v>
      </c>
      <c r="HTH416" s="245" t="s">
        <v>68</v>
      </c>
      <c r="HTI416" s="1715" t="s">
        <v>0</v>
      </c>
      <c r="HTJ416" s="1716"/>
      <c r="HTK416" s="1716"/>
      <c r="HTL416" s="1716"/>
      <c r="HTM416" s="1716"/>
      <c r="HTN416" s="244"/>
      <c r="HTO416" s="244" t="s">
        <v>68</v>
      </c>
      <c r="HTP416" s="245" t="s">
        <v>68</v>
      </c>
      <c r="HTQ416" s="1715" t="s">
        <v>0</v>
      </c>
      <c r="HTR416" s="1716"/>
      <c r="HTS416" s="1716"/>
      <c r="HTT416" s="1716"/>
      <c r="HTU416" s="1716"/>
      <c r="HTV416" s="244"/>
      <c r="HTW416" s="244" t="s">
        <v>68</v>
      </c>
      <c r="HTX416" s="245" t="s">
        <v>68</v>
      </c>
      <c r="HTY416" s="1715" t="s">
        <v>0</v>
      </c>
      <c r="HTZ416" s="1716"/>
      <c r="HUA416" s="1716"/>
      <c r="HUB416" s="1716"/>
      <c r="HUC416" s="1716"/>
      <c r="HUD416" s="244"/>
      <c r="HUE416" s="244" t="s">
        <v>68</v>
      </c>
      <c r="HUF416" s="245" t="s">
        <v>68</v>
      </c>
      <c r="HUG416" s="1715" t="s">
        <v>0</v>
      </c>
      <c r="HUH416" s="1716"/>
      <c r="HUI416" s="1716"/>
      <c r="HUJ416" s="1716"/>
      <c r="HUK416" s="1716"/>
      <c r="HUL416" s="244"/>
      <c r="HUM416" s="244" t="s">
        <v>68</v>
      </c>
      <c r="HUN416" s="245" t="s">
        <v>68</v>
      </c>
      <c r="HUO416" s="1715" t="s">
        <v>0</v>
      </c>
      <c r="HUP416" s="1716"/>
      <c r="HUQ416" s="1716"/>
      <c r="HUR416" s="1716"/>
      <c r="HUS416" s="1716"/>
      <c r="HUT416" s="244"/>
      <c r="HUU416" s="244" t="s">
        <v>68</v>
      </c>
      <c r="HUV416" s="245" t="s">
        <v>68</v>
      </c>
      <c r="HUW416" s="1715" t="s">
        <v>0</v>
      </c>
      <c r="HUX416" s="1716"/>
      <c r="HUY416" s="1716"/>
      <c r="HUZ416" s="1716"/>
      <c r="HVA416" s="1716"/>
      <c r="HVB416" s="244"/>
      <c r="HVC416" s="244" t="s">
        <v>68</v>
      </c>
      <c r="HVD416" s="245" t="s">
        <v>68</v>
      </c>
      <c r="HVE416" s="1715" t="s">
        <v>0</v>
      </c>
      <c r="HVF416" s="1716"/>
      <c r="HVG416" s="1716"/>
      <c r="HVH416" s="1716"/>
      <c r="HVI416" s="1716"/>
      <c r="HVJ416" s="244"/>
      <c r="HVK416" s="244" t="s">
        <v>68</v>
      </c>
      <c r="HVL416" s="245" t="s">
        <v>68</v>
      </c>
      <c r="HVM416" s="1715" t="s">
        <v>0</v>
      </c>
      <c r="HVN416" s="1716"/>
      <c r="HVO416" s="1716"/>
      <c r="HVP416" s="1716"/>
      <c r="HVQ416" s="1716"/>
      <c r="HVR416" s="244"/>
      <c r="HVS416" s="244" t="s">
        <v>68</v>
      </c>
      <c r="HVT416" s="245" t="s">
        <v>68</v>
      </c>
      <c r="HVU416" s="1715" t="s">
        <v>0</v>
      </c>
      <c r="HVV416" s="1716"/>
      <c r="HVW416" s="1716"/>
      <c r="HVX416" s="1716"/>
      <c r="HVY416" s="1716"/>
      <c r="HVZ416" s="244"/>
      <c r="HWA416" s="244" t="s">
        <v>68</v>
      </c>
      <c r="HWB416" s="245" t="s">
        <v>68</v>
      </c>
      <c r="HWC416" s="1715" t="s">
        <v>0</v>
      </c>
      <c r="HWD416" s="1716"/>
      <c r="HWE416" s="1716"/>
      <c r="HWF416" s="1716"/>
      <c r="HWG416" s="1716"/>
      <c r="HWH416" s="244"/>
      <c r="HWI416" s="244" t="s">
        <v>68</v>
      </c>
      <c r="HWJ416" s="245" t="s">
        <v>68</v>
      </c>
      <c r="HWK416" s="1715" t="s">
        <v>0</v>
      </c>
      <c r="HWL416" s="1716"/>
      <c r="HWM416" s="1716"/>
      <c r="HWN416" s="1716"/>
      <c r="HWO416" s="1716"/>
      <c r="HWP416" s="244"/>
      <c r="HWQ416" s="244" t="s">
        <v>68</v>
      </c>
      <c r="HWR416" s="245" t="s">
        <v>68</v>
      </c>
      <c r="HWS416" s="1715" t="s">
        <v>0</v>
      </c>
      <c r="HWT416" s="1716"/>
      <c r="HWU416" s="1716"/>
      <c r="HWV416" s="1716"/>
      <c r="HWW416" s="1716"/>
      <c r="HWX416" s="244"/>
      <c r="HWY416" s="244" t="s">
        <v>68</v>
      </c>
      <c r="HWZ416" s="245" t="s">
        <v>68</v>
      </c>
      <c r="HXA416" s="1715" t="s">
        <v>0</v>
      </c>
      <c r="HXB416" s="1716"/>
      <c r="HXC416" s="1716"/>
      <c r="HXD416" s="1716"/>
      <c r="HXE416" s="1716"/>
      <c r="HXF416" s="244"/>
      <c r="HXG416" s="244" t="s">
        <v>68</v>
      </c>
      <c r="HXH416" s="245" t="s">
        <v>68</v>
      </c>
      <c r="HXI416" s="1715" t="s">
        <v>0</v>
      </c>
      <c r="HXJ416" s="1716"/>
      <c r="HXK416" s="1716"/>
      <c r="HXL416" s="1716"/>
      <c r="HXM416" s="1716"/>
      <c r="HXN416" s="244"/>
      <c r="HXO416" s="244" t="s">
        <v>68</v>
      </c>
      <c r="HXP416" s="245" t="s">
        <v>68</v>
      </c>
      <c r="HXQ416" s="1715" t="s">
        <v>0</v>
      </c>
      <c r="HXR416" s="1716"/>
      <c r="HXS416" s="1716"/>
      <c r="HXT416" s="1716"/>
      <c r="HXU416" s="1716"/>
      <c r="HXV416" s="244"/>
      <c r="HXW416" s="244" t="s">
        <v>68</v>
      </c>
      <c r="HXX416" s="245" t="s">
        <v>68</v>
      </c>
      <c r="HXY416" s="1715" t="s">
        <v>0</v>
      </c>
      <c r="HXZ416" s="1716"/>
      <c r="HYA416" s="1716"/>
      <c r="HYB416" s="1716"/>
      <c r="HYC416" s="1716"/>
      <c r="HYD416" s="244"/>
      <c r="HYE416" s="244" t="s">
        <v>68</v>
      </c>
      <c r="HYF416" s="245" t="s">
        <v>68</v>
      </c>
      <c r="HYG416" s="1715" t="s">
        <v>0</v>
      </c>
      <c r="HYH416" s="1716"/>
      <c r="HYI416" s="1716"/>
      <c r="HYJ416" s="1716"/>
      <c r="HYK416" s="1716"/>
      <c r="HYL416" s="244"/>
      <c r="HYM416" s="244" t="s">
        <v>68</v>
      </c>
      <c r="HYN416" s="245" t="s">
        <v>68</v>
      </c>
      <c r="HYO416" s="1715" t="s">
        <v>0</v>
      </c>
      <c r="HYP416" s="1716"/>
      <c r="HYQ416" s="1716"/>
      <c r="HYR416" s="1716"/>
      <c r="HYS416" s="1716"/>
      <c r="HYT416" s="244"/>
      <c r="HYU416" s="244" t="s">
        <v>68</v>
      </c>
      <c r="HYV416" s="245" t="s">
        <v>68</v>
      </c>
      <c r="HYW416" s="1715" t="s">
        <v>0</v>
      </c>
      <c r="HYX416" s="1716"/>
      <c r="HYY416" s="1716"/>
      <c r="HYZ416" s="1716"/>
      <c r="HZA416" s="1716"/>
      <c r="HZB416" s="244"/>
      <c r="HZC416" s="244" t="s">
        <v>68</v>
      </c>
      <c r="HZD416" s="245" t="s">
        <v>68</v>
      </c>
      <c r="HZE416" s="1715" t="s">
        <v>0</v>
      </c>
      <c r="HZF416" s="1716"/>
      <c r="HZG416" s="1716"/>
      <c r="HZH416" s="1716"/>
      <c r="HZI416" s="1716"/>
      <c r="HZJ416" s="244"/>
      <c r="HZK416" s="244" t="s">
        <v>68</v>
      </c>
      <c r="HZL416" s="245" t="s">
        <v>68</v>
      </c>
      <c r="HZM416" s="1715" t="s">
        <v>0</v>
      </c>
      <c r="HZN416" s="1716"/>
      <c r="HZO416" s="1716"/>
      <c r="HZP416" s="1716"/>
      <c r="HZQ416" s="1716"/>
      <c r="HZR416" s="244"/>
      <c r="HZS416" s="244" t="s">
        <v>68</v>
      </c>
      <c r="HZT416" s="245" t="s">
        <v>68</v>
      </c>
      <c r="HZU416" s="1715" t="s">
        <v>0</v>
      </c>
      <c r="HZV416" s="1716"/>
      <c r="HZW416" s="1716"/>
      <c r="HZX416" s="1716"/>
      <c r="HZY416" s="1716"/>
      <c r="HZZ416" s="244"/>
      <c r="IAA416" s="244" t="s">
        <v>68</v>
      </c>
      <c r="IAB416" s="245" t="s">
        <v>68</v>
      </c>
      <c r="IAC416" s="1715" t="s">
        <v>0</v>
      </c>
      <c r="IAD416" s="1716"/>
      <c r="IAE416" s="1716"/>
      <c r="IAF416" s="1716"/>
      <c r="IAG416" s="1716"/>
      <c r="IAH416" s="244"/>
      <c r="IAI416" s="244" t="s">
        <v>68</v>
      </c>
      <c r="IAJ416" s="245" t="s">
        <v>68</v>
      </c>
      <c r="IAK416" s="1715" t="s">
        <v>0</v>
      </c>
      <c r="IAL416" s="1716"/>
      <c r="IAM416" s="1716"/>
      <c r="IAN416" s="1716"/>
      <c r="IAO416" s="1716"/>
      <c r="IAP416" s="244"/>
      <c r="IAQ416" s="244" t="s">
        <v>68</v>
      </c>
      <c r="IAR416" s="245" t="s">
        <v>68</v>
      </c>
      <c r="IAS416" s="1715" t="s">
        <v>0</v>
      </c>
      <c r="IAT416" s="1716"/>
      <c r="IAU416" s="1716"/>
      <c r="IAV416" s="1716"/>
      <c r="IAW416" s="1716"/>
      <c r="IAX416" s="244"/>
      <c r="IAY416" s="244" t="s">
        <v>68</v>
      </c>
      <c r="IAZ416" s="245" t="s">
        <v>68</v>
      </c>
      <c r="IBA416" s="1715" t="s">
        <v>0</v>
      </c>
      <c r="IBB416" s="1716"/>
      <c r="IBC416" s="1716"/>
      <c r="IBD416" s="1716"/>
      <c r="IBE416" s="1716"/>
      <c r="IBF416" s="244"/>
      <c r="IBG416" s="244" t="s">
        <v>68</v>
      </c>
      <c r="IBH416" s="245" t="s">
        <v>68</v>
      </c>
      <c r="IBI416" s="1715" t="s">
        <v>0</v>
      </c>
      <c r="IBJ416" s="1716"/>
      <c r="IBK416" s="1716"/>
      <c r="IBL416" s="1716"/>
      <c r="IBM416" s="1716"/>
      <c r="IBN416" s="244"/>
      <c r="IBO416" s="244" t="s">
        <v>68</v>
      </c>
      <c r="IBP416" s="245" t="s">
        <v>68</v>
      </c>
      <c r="IBQ416" s="1715" t="s">
        <v>0</v>
      </c>
      <c r="IBR416" s="1716"/>
      <c r="IBS416" s="1716"/>
      <c r="IBT416" s="1716"/>
      <c r="IBU416" s="1716"/>
      <c r="IBV416" s="244"/>
      <c r="IBW416" s="244" t="s">
        <v>68</v>
      </c>
      <c r="IBX416" s="245" t="s">
        <v>68</v>
      </c>
      <c r="IBY416" s="1715" t="s">
        <v>0</v>
      </c>
      <c r="IBZ416" s="1716"/>
      <c r="ICA416" s="1716"/>
      <c r="ICB416" s="1716"/>
      <c r="ICC416" s="1716"/>
      <c r="ICD416" s="244"/>
      <c r="ICE416" s="244" t="s">
        <v>68</v>
      </c>
      <c r="ICF416" s="245" t="s">
        <v>68</v>
      </c>
      <c r="ICG416" s="1715" t="s">
        <v>0</v>
      </c>
      <c r="ICH416" s="1716"/>
      <c r="ICI416" s="1716"/>
      <c r="ICJ416" s="1716"/>
      <c r="ICK416" s="1716"/>
      <c r="ICL416" s="244"/>
      <c r="ICM416" s="244" t="s">
        <v>68</v>
      </c>
      <c r="ICN416" s="245" t="s">
        <v>68</v>
      </c>
      <c r="ICO416" s="1715" t="s">
        <v>0</v>
      </c>
      <c r="ICP416" s="1716"/>
      <c r="ICQ416" s="1716"/>
      <c r="ICR416" s="1716"/>
      <c r="ICS416" s="1716"/>
      <c r="ICT416" s="244"/>
      <c r="ICU416" s="244" t="s">
        <v>68</v>
      </c>
      <c r="ICV416" s="245" t="s">
        <v>68</v>
      </c>
      <c r="ICW416" s="1715" t="s">
        <v>0</v>
      </c>
      <c r="ICX416" s="1716"/>
      <c r="ICY416" s="1716"/>
      <c r="ICZ416" s="1716"/>
      <c r="IDA416" s="1716"/>
      <c r="IDB416" s="244"/>
      <c r="IDC416" s="244" t="s">
        <v>68</v>
      </c>
      <c r="IDD416" s="245" t="s">
        <v>68</v>
      </c>
      <c r="IDE416" s="1715" t="s">
        <v>0</v>
      </c>
      <c r="IDF416" s="1716"/>
      <c r="IDG416" s="1716"/>
      <c r="IDH416" s="1716"/>
      <c r="IDI416" s="1716"/>
      <c r="IDJ416" s="244"/>
      <c r="IDK416" s="244" t="s">
        <v>68</v>
      </c>
      <c r="IDL416" s="245" t="s">
        <v>68</v>
      </c>
      <c r="IDM416" s="1715" t="s">
        <v>0</v>
      </c>
      <c r="IDN416" s="1716"/>
      <c r="IDO416" s="1716"/>
      <c r="IDP416" s="1716"/>
      <c r="IDQ416" s="1716"/>
      <c r="IDR416" s="244"/>
      <c r="IDS416" s="244" t="s">
        <v>68</v>
      </c>
      <c r="IDT416" s="245" t="s">
        <v>68</v>
      </c>
      <c r="IDU416" s="1715" t="s">
        <v>0</v>
      </c>
      <c r="IDV416" s="1716"/>
      <c r="IDW416" s="1716"/>
      <c r="IDX416" s="1716"/>
      <c r="IDY416" s="1716"/>
      <c r="IDZ416" s="244"/>
      <c r="IEA416" s="244" t="s">
        <v>68</v>
      </c>
      <c r="IEB416" s="245" t="s">
        <v>68</v>
      </c>
      <c r="IEC416" s="1715" t="s">
        <v>0</v>
      </c>
      <c r="IED416" s="1716"/>
      <c r="IEE416" s="1716"/>
      <c r="IEF416" s="1716"/>
      <c r="IEG416" s="1716"/>
      <c r="IEH416" s="244"/>
      <c r="IEI416" s="244" t="s">
        <v>68</v>
      </c>
      <c r="IEJ416" s="245" t="s">
        <v>68</v>
      </c>
      <c r="IEK416" s="1715" t="s">
        <v>0</v>
      </c>
      <c r="IEL416" s="1716"/>
      <c r="IEM416" s="1716"/>
      <c r="IEN416" s="1716"/>
      <c r="IEO416" s="1716"/>
      <c r="IEP416" s="244"/>
      <c r="IEQ416" s="244" t="s">
        <v>68</v>
      </c>
      <c r="IER416" s="245" t="s">
        <v>68</v>
      </c>
      <c r="IES416" s="1715" t="s">
        <v>0</v>
      </c>
      <c r="IET416" s="1716"/>
      <c r="IEU416" s="1716"/>
      <c r="IEV416" s="1716"/>
      <c r="IEW416" s="1716"/>
      <c r="IEX416" s="244"/>
      <c r="IEY416" s="244" t="s">
        <v>68</v>
      </c>
      <c r="IEZ416" s="245" t="s">
        <v>68</v>
      </c>
      <c r="IFA416" s="1715" t="s">
        <v>0</v>
      </c>
      <c r="IFB416" s="1716"/>
      <c r="IFC416" s="1716"/>
      <c r="IFD416" s="1716"/>
      <c r="IFE416" s="1716"/>
      <c r="IFF416" s="244"/>
      <c r="IFG416" s="244" t="s">
        <v>68</v>
      </c>
      <c r="IFH416" s="245" t="s">
        <v>68</v>
      </c>
      <c r="IFI416" s="1715" t="s">
        <v>0</v>
      </c>
      <c r="IFJ416" s="1716"/>
      <c r="IFK416" s="1716"/>
      <c r="IFL416" s="1716"/>
      <c r="IFM416" s="1716"/>
      <c r="IFN416" s="244"/>
      <c r="IFO416" s="244" t="s">
        <v>68</v>
      </c>
      <c r="IFP416" s="245" t="s">
        <v>68</v>
      </c>
      <c r="IFQ416" s="1715" t="s">
        <v>0</v>
      </c>
      <c r="IFR416" s="1716"/>
      <c r="IFS416" s="1716"/>
      <c r="IFT416" s="1716"/>
      <c r="IFU416" s="1716"/>
      <c r="IFV416" s="244"/>
      <c r="IFW416" s="244" t="s">
        <v>68</v>
      </c>
      <c r="IFX416" s="245" t="s">
        <v>68</v>
      </c>
      <c r="IFY416" s="1715" t="s">
        <v>0</v>
      </c>
      <c r="IFZ416" s="1716"/>
      <c r="IGA416" s="1716"/>
      <c r="IGB416" s="1716"/>
      <c r="IGC416" s="1716"/>
      <c r="IGD416" s="244"/>
      <c r="IGE416" s="244" t="s">
        <v>68</v>
      </c>
      <c r="IGF416" s="245" t="s">
        <v>68</v>
      </c>
      <c r="IGG416" s="1715" t="s">
        <v>0</v>
      </c>
      <c r="IGH416" s="1716"/>
      <c r="IGI416" s="1716"/>
      <c r="IGJ416" s="1716"/>
      <c r="IGK416" s="1716"/>
      <c r="IGL416" s="244"/>
      <c r="IGM416" s="244" t="s">
        <v>68</v>
      </c>
      <c r="IGN416" s="245" t="s">
        <v>68</v>
      </c>
      <c r="IGO416" s="1715" t="s">
        <v>0</v>
      </c>
      <c r="IGP416" s="1716"/>
      <c r="IGQ416" s="1716"/>
      <c r="IGR416" s="1716"/>
      <c r="IGS416" s="1716"/>
      <c r="IGT416" s="244"/>
      <c r="IGU416" s="244" t="s">
        <v>68</v>
      </c>
      <c r="IGV416" s="245" t="s">
        <v>68</v>
      </c>
      <c r="IGW416" s="1715" t="s">
        <v>0</v>
      </c>
      <c r="IGX416" s="1716"/>
      <c r="IGY416" s="1716"/>
      <c r="IGZ416" s="1716"/>
      <c r="IHA416" s="1716"/>
      <c r="IHB416" s="244"/>
      <c r="IHC416" s="244" t="s">
        <v>68</v>
      </c>
      <c r="IHD416" s="245" t="s">
        <v>68</v>
      </c>
      <c r="IHE416" s="1715" t="s">
        <v>0</v>
      </c>
      <c r="IHF416" s="1716"/>
      <c r="IHG416" s="1716"/>
      <c r="IHH416" s="1716"/>
      <c r="IHI416" s="1716"/>
      <c r="IHJ416" s="244"/>
      <c r="IHK416" s="244" t="s">
        <v>68</v>
      </c>
      <c r="IHL416" s="245" t="s">
        <v>68</v>
      </c>
      <c r="IHM416" s="1715" t="s">
        <v>0</v>
      </c>
      <c r="IHN416" s="1716"/>
      <c r="IHO416" s="1716"/>
      <c r="IHP416" s="1716"/>
      <c r="IHQ416" s="1716"/>
      <c r="IHR416" s="244"/>
      <c r="IHS416" s="244" t="s">
        <v>68</v>
      </c>
      <c r="IHT416" s="245" t="s">
        <v>68</v>
      </c>
      <c r="IHU416" s="1715" t="s">
        <v>0</v>
      </c>
      <c r="IHV416" s="1716"/>
      <c r="IHW416" s="1716"/>
      <c r="IHX416" s="1716"/>
      <c r="IHY416" s="1716"/>
      <c r="IHZ416" s="244"/>
      <c r="IIA416" s="244" t="s">
        <v>68</v>
      </c>
      <c r="IIB416" s="245" t="s">
        <v>68</v>
      </c>
      <c r="IIC416" s="1715" t="s">
        <v>0</v>
      </c>
      <c r="IID416" s="1716"/>
      <c r="IIE416" s="1716"/>
      <c r="IIF416" s="1716"/>
      <c r="IIG416" s="1716"/>
      <c r="IIH416" s="244"/>
      <c r="III416" s="244" t="s">
        <v>68</v>
      </c>
      <c r="IIJ416" s="245" t="s">
        <v>68</v>
      </c>
      <c r="IIK416" s="1715" t="s">
        <v>0</v>
      </c>
      <c r="IIL416" s="1716"/>
      <c r="IIM416" s="1716"/>
      <c r="IIN416" s="1716"/>
      <c r="IIO416" s="1716"/>
      <c r="IIP416" s="244"/>
      <c r="IIQ416" s="244" t="s">
        <v>68</v>
      </c>
      <c r="IIR416" s="245" t="s">
        <v>68</v>
      </c>
      <c r="IIS416" s="1715" t="s">
        <v>0</v>
      </c>
      <c r="IIT416" s="1716"/>
      <c r="IIU416" s="1716"/>
      <c r="IIV416" s="1716"/>
      <c r="IIW416" s="1716"/>
      <c r="IIX416" s="244"/>
      <c r="IIY416" s="244" t="s">
        <v>68</v>
      </c>
      <c r="IIZ416" s="245" t="s">
        <v>68</v>
      </c>
      <c r="IJA416" s="1715" t="s">
        <v>0</v>
      </c>
      <c r="IJB416" s="1716"/>
      <c r="IJC416" s="1716"/>
      <c r="IJD416" s="1716"/>
      <c r="IJE416" s="1716"/>
      <c r="IJF416" s="244"/>
      <c r="IJG416" s="244" t="s">
        <v>68</v>
      </c>
      <c r="IJH416" s="245" t="s">
        <v>68</v>
      </c>
      <c r="IJI416" s="1715" t="s">
        <v>0</v>
      </c>
      <c r="IJJ416" s="1716"/>
      <c r="IJK416" s="1716"/>
      <c r="IJL416" s="1716"/>
      <c r="IJM416" s="1716"/>
      <c r="IJN416" s="244"/>
      <c r="IJO416" s="244" t="s">
        <v>68</v>
      </c>
      <c r="IJP416" s="245" t="s">
        <v>68</v>
      </c>
      <c r="IJQ416" s="1715" t="s">
        <v>0</v>
      </c>
      <c r="IJR416" s="1716"/>
      <c r="IJS416" s="1716"/>
      <c r="IJT416" s="1716"/>
      <c r="IJU416" s="1716"/>
      <c r="IJV416" s="244"/>
      <c r="IJW416" s="244" t="s">
        <v>68</v>
      </c>
      <c r="IJX416" s="245" t="s">
        <v>68</v>
      </c>
      <c r="IJY416" s="1715" t="s">
        <v>0</v>
      </c>
      <c r="IJZ416" s="1716"/>
      <c r="IKA416" s="1716"/>
      <c r="IKB416" s="1716"/>
      <c r="IKC416" s="1716"/>
      <c r="IKD416" s="244"/>
      <c r="IKE416" s="244" t="s">
        <v>68</v>
      </c>
      <c r="IKF416" s="245" t="s">
        <v>68</v>
      </c>
      <c r="IKG416" s="1715" t="s">
        <v>0</v>
      </c>
      <c r="IKH416" s="1716"/>
      <c r="IKI416" s="1716"/>
      <c r="IKJ416" s="1716"/>
      <c r="IKK416" s="1716"/>
      <c r="IKL416" s="244"/>
      <c r="IKM416" s="244" t="s">
        <v>68</v>
      </c>
      <c r="IKN416" s="245" t="s">
        <v>68</v>
      </c>
      <c r="IKO416" s="1715" t="s">
        <v>0</v>
      </c>
      <c r="IKP416" s="1716"/>
      <c r="IKQ416" s="1716"/>
      <c r="IKR416" s="1716"/>
      <c r="IKS416" s="1716"/>
      <c r="IKT416" s="244"/>
      <c r="IKU416" s="244" t="s">
        <v>68</v>
      </c>
      <c r="IKV416" s="245" t="s">
        <v>68</v>
      </c>
      <c r="IKW416" s="1715" t="s">
        <v>0</v>
      </c>
      <c r="IKX416" s="1716"/>
      <c r="IKY416" s="1716"/>
      <c r="IKZ416" s="1716"/>
      <c r="ILA416" s="1716"/>
      <c r="ILB416" s="244"/>
      <c r="ILC416" s="244" t="s">
        <v>68</v>
      </c>
      <c r="ILD416" s="245" t="s">
        <v>68</v>
      </c>
      <c r="ILE416" s="1715" t="s">
        <v>0</v>
      </c>
      <c r="ILF416" s="1716"/>
      <c r="ILG416" s="1716"/>
      <c r="ILH416" s="1716"/>
      <c r="ILI416" s="1716"/>
      <c r="ILJ416" s="244"/>
      <c r="ILK416" s="244" t="s">
        <v>68</v>
      </c>
      <c r="ILL416" s="245" t="s">
        <v>68</v>
      </c>
      <c r="ILM416" s="1715" t="s">
        <v>0</v>
      </c>
      <c r="ILN416" s="1716"/>
      <c r="ILO416" s="1716"/>
      <c r="ILP416" s="1716"/>
      <c r="ILQ416" s="1716"/>
      <c r="ILR416" s="244"/>
      <c r="ILS416" s="244" t="s">
        <v>68</v>
      </c>
      <c r="ILT416" s="245" t="s">
        <v>68</v>
      </c>
      <c r="ILU416" s="1715" t="s">
        <v>0</v>
      </c>
      <c r="ILV416" s="1716"/>
      <c r="ILW416" s="1716"/>
      <c r="ILX416" s="1716"/>
      <c r="ILY416" s="1716"/>
      <c r="ILZ416" s="244"/>
      <c r="IMA416" s="244" t="s">
        <v>68</v>
      </c>
      <c r="IMB416" s="245" t="s">
        <v>68</v>
      </c>
      <c r="IMC416" s="1715" t="s">
        <v>0</v>
      </c>
      <c r="IMD416" s="1716"/>
      <c r="IME416" s="1716"/>
      <c r="IMF416" s="1716"/>
      <c r="IMG416" s="1716"/>
      <c r="IMH416" s="244"/>
      <c r="IMI416" s="244" t="s">
        <v>68</v>
      </c>
      <c r="IMJ416" s="245" t="s">
        <v>68</v>
      </c>
      <c r="IMK416" s="1715" t="s">
        <v>0</v>
      </c>
      <c r="IML416" s="1716"/>
      <c r="IMM416" s="1716"/>
      <c r="IMN416" s="1716"/>
      <c r="IMO416" s="1716"/>
      <c r="IMP416" s="244"/>
      <c r="IMQ416" s="244" t="s">
        <v>68</v>
      </c>
      <c r="IMR416" s="245" t="s">
        <v>68</v>
      </c>
      <c r="IMS416" s="1715" t="s">
        <v>0</v>
      </c>
      <c r="IMT416" s="1716"/>
      <c r="IMU416" s="1716"/>
      <c r="IMV416" s="1716"/>
      <c r="IMW416" s="1716"/>
      <c r="IMX416" s="244"/>
      <c r="IMY416" s="244" t="s">
        <v>68</v>
      </c>
      <c r="IMZ416" s="245" t="s">
        <v>68</v>
      </c>
      <c r="INA416" s="1715" t="s">
        <v>0</v>
      </c>
      <c r="INB416" s="1716"/>
      <c r="INC416" s="1716"/>
      <c r="IND416" s="1716"/>
      <c r="INE416" s="1716"/>
      <c r="INF416" s="244"/>
      <c r="ING416" s="244" t="s">
        <v>68</v>
      </c>
      <c r="INH416" s="245" t="s">
        <v>68</v>
      </c>
      <c r="INI416" s="1715" t="s">
        <v>0</v>
      </c>
      <c r="INJ416" s="1716"/>
      <c r="INK416" s="1716"/>
      <c r="INL416" s="1716"/>
      <c r="INM416" s="1716"/>
      <c r="INN416" s="244"/>
      <c r="INO416" s="244" t="s">
        <v>68</v>
      </c>
      <c r="INP416" s="245" t="s">
        <v>68</v>
      </c>
      <c r="INQ416" s="1715" t="s">
        <v>0</v>
      </c>
      <c r="INR416" s="1716"/>
      <c r="INS416" s="1716"/>
      <c r="INT416" s="1716"/>
      <c r="INU416" s="1716"/>
      <c r="INV416" s="244"/>
      <c r="INW416" s="244" t="s">
        <v>68</v>
      </c>
      <c r="INX416" s="245" t="s">
        <v>68</v>
      </c>
      <c r="INY416" s="1715" t="s">
        <v>0</v>
      </c>
      <c r="INZ416" s="1716"/>
      <c r="IOA416" s="1716"/>
      <c r="IOB416" s="1716"/>
      <c r="IOC416" s="1716"/>
      <c r="IOD416" s="244"/>
      <c r="IOE416" s="244" t="s">
        <v>68</v>
      </c>
      <c r="IOF416" s="245" t="s">
        <v>68</v>
      </c>
      <c r="IOG416" s="1715" t="s">
        <v>0</v>
      </c>
      <c r="IOH416" s="1716"/>
      <c r="IOI416" s="1716"/>
      <c r="IOJ416" s="1716"/>
      <c r="IOK416" s="1716"/>
      <c r="IOL416" s="244"/>
      <c r="IOM416" s="244" t="s">
        <v>68</v>
      </c>
      <c r="ION416" s="245" t="s">
        <v>68</v>
      </c>
      <c r="IOO416" s="1715" t="s">
        <v>0</v>
      </c>
      <c r="IOP416" s="1716"/>
      <c r="IOQ416" s="1716"/>
      <c r="IOR416" s="1716"/>
      <c r="IOS416" s="1716"/>
      <c r="IOT416" s="244"/>
      <c r="IOU416" s="244" t="s">
        <v>68</v>
      </c>
      <c r="IOV416" s="245" t="s">
        <v>68</v>
      </c>
      <c r="IOW416" s="1715" t="s">
        <v>0</v>
      </c>
      <c r="IOX416" s="1716"/>
      <c r="IOY416" s="1716"/>
      <c r="IOZ416" s="1716"/>
      <c r="IPA416" s="1716"/>
      <c r="IPB416" s="244"/>
      <c r="IPC416" s="244" t="s">
        <v>68</v>
      </c>
      <c r="IPD416" s="245" t="s">
        <v>68</v>
      </c>
      <c r="IPE416" s="1715" t="s">
        <v>0</v>
      </c>
      <c r="IPF416" s="1716"/>
      <c r="IPG416" s="1716"/>
      <c r="IPH416" s="1716"/>
      <c r="IPI416" s="1716"/>
      <c r="IPJ416" s="244"/>
      <c r="IPK416" s="244" t="s">
        <v>68</v>
      </c>
      <c r="IPL416" s="245" t="s">
        <v>68</v>
      </c>
      <c r="IPM416" s="1715" t="s">
        <v>0</v>
      </c>
      <c r="IPN416" s="1716"/>
      <c r="IPO416" s="1716"/>
      <c r="IPP416" s="1716"/>
      <c r="IPQ416" s="1716"/>
      <c r="IPR416" s="244"/>
      <c r="IPS416" s="244" t="s">
        <v>68</v>
      </c>
      <c r="IPT416" s="245" t="s">
        <v>68</v>
      </c>
      <c r="IPU416" s="1715" t="s">
        <v>0</v>
      </c>
      <c r="IPV416" s="1716"/>
      <c r="IPW416" s="1716"/>
      <c r="IPX416" s="1716"/>
      <c r="IPY416" s="1716"/>
      <c r="IPZ416" s="244"/>
      <c r="IQA416" s="244" t="s">
        <v>68</v>
      </c>
      <c r="IQB416" s="245" t="s">
        <v>68</v>
      </c>
      <c r="IQC416" s="1715" t="s">
        <v>0</v>
      </c>
      <c r="IQD416" s="1716"/>
      <c r="IQE416" s="1716"/>
      <c r="IQF416" s="1716"/>
      <c r="IQG416" s="1716"/>
      <c r="IQH416" s="244"/>
      <c r="IQI416" s="244" t="s">
        <v>68</v>
      </c>
      <c r="IQJ416" s="245" t="s">
        <v>68</v>
      </c>
      <c r="IQK416" s="1715" t="s">
        <v>0</v>
      </c>
      <c r="IQL416" s="1716"/>
      <c r="IQM416" s="1716"/>
      <c r="IQN416" s="1716"/>
      <c r="IQO416" s="1716"/>
      <c r="IQP416" s="244"/>
      <c r="IQQ416" s="244" t="s">
        <v>68</v>
      </c>
      <c r="IQR416" s="245" t="s">
        <v>68</v>
      </c>
      <c r="IQS416" s="1715" t="s">
        <v>0</v>
      </c>
      <c r="IQT416" s="1716"/>
      <c r="IQU416" s="1716"/>
      <c r="IQV416" s="1716"/>
      <c r="IQW416" s="1716"/>
      <c r="IQX416" s="244"/>
      <c r="IQY416" s="244" t="s">
        <v>68</v>
      </c>
      <c r="IQZ416" s="245" t="s">
        <v>68</v>
      </c>
      <c r="IRA416" s="1715" t="s">
        <v>0</v>
      </c>
      <c r="IRB416" s="1716"/>
      <c r="IRC416" s="1716"/>
      <c r="IRD416" s="1716"/>
      <c r="IRE416" s="1716"/>
      <c r="IRF416" s="244"/>
      <c r="IRG416" s="244" t="s">
        <v>68</v>
      </c>
      <c r="IRH416" s="245" t="s">
        <v>68</v>
      </c>
      <c r="IRI416" s="1715" t="s">
        <v>0</v>
      </c>
      <c r="IRJ416" s="1716"/>
      <c r="IRK416" s="1716"/>
      <c r="IRL416" s="1716"/>
      <c r="IRM416" s="1716"/>
      <c r="IRN416" s="244"/>
      <c r="IRO416" s="244" t="s">
        <v>68</v>
      </c>
      <c r="IRP416" s="245" t="s">
        <v>68</v>
      </c>
      <c r="IRQ416" s="1715" t="s">
        <v>0</v>
      </c>
      <c r="IRR416" s="1716"/>
      <c r="IRS416" s="1716"/>
      <c r="IRT416" s="1716"/>
      <c r="IRU416" s="1716"/>
      <c r="IRV416" s="244"/>
      <c r="IRW416" s="244" t="s">
        <v>68</v>
      </c>
      <c r="IRX416" s="245" t="s">
        <v>68</v>
      </c>
      <c r="IRY416" s="1715" t="s">
        <v>0</v>
      </c>
      <c r="IRZ416" s="1716"/>
      <c r="ISA416" s="1716"/>
      <c r="ISB416" s="1716"/>
      <c r="ISC416" s="1716"/>
      <c r="ISD416" s="244"/>
      <c r="ISE416" s="244" t="s">
        <v>68</v>
      </c>
      <c r="ISF416" s="245" t="s">
        <v>68</v>
      </c>
      <c r="ISG416" s="1715" t="s">
        <v>0</v>
      </c>
      <c r="ISH416" s="1716"/>
      <c r="ISI416" s="1716"/>
      <c r="ISJ416" s="1716"/>
      <c r="ISK416" s="1716"/>
      <c r="ISL416" s="244"/>
      <c r="ISM416" s="244" t="s">
        <v>68</v>
      </c>
      <c r="ISN416" s="245" t="s">
        <v>68</v>
      </c>
      <c r="ISO416" s="1715" t="s">
        <v>0</v>
      </c>
      <c r="ISP416" s="1716"/>
      <c r="ISQ416" s="1716"/>
      <c r="ISR416" s="1716"/>
      <c r="ISS416" s="1716"/>
      <c r="IST416" s="244"/>
      <c r="ISU416" s="244" t="s">
        <v>68</v>
      </c>
      <c r="ISV416" s="245" t="s">
        <v>68</v>
      </c>
      <c r="ISW416" s="1715" t="s">
        <v>0</v>
      </c>
      <c r="ISX416" s="1716"/>
      <c r="ISY416" s="1716"/>
      <c r="ISZ416" s="1716"/>
      <c r="ITA416" s="1716"/>
      <c r="ITB416" s="244"/>
      <c r="ITC416" s="244" t="s">
        <v>68</v>
      </c>
      <c r="ITD416" s="245" t="s">
        <v>68</v>
      </c>
      <c r="ITE416" s="1715" t="s">
        <v>0</v>
      </c>
      <c r="ITF416" s="1716"/>
      <c r="ITG416" s="1716"/>
      <c r="ITH416" s="1716"/>
      <c r="ITI416" s="1716"/>
      <c r="ITJ416" s="244"/>
      <c r="ITK416" s="244" t="s">
        <v>68</v>
      </c>
      <c r="ITL416" s="245" t="s">
        <v>68</v>
      </c>
      <c r="ITM416" s="1715" t="s">
        <v>0</v>
      </c>
      <c r="ITN416" s="1716"/>
      <c r="ITO416" s="1716"/>
      <c r="ITP416" s="1716"/>
      <c r="ITQ416" s="1716"/>
      <c r="ITR416" s="244"/>
      <c r="ITS416" s="244" t="s">
        <v>68</v>
      </c>
      <c r="ITT416" s="245" t="s">
        <v>68</v>
      </c>
      <c r="ITU416" s="1715" t="s">
        <v>0</v>
      </c>
      <c r="ITV416" s="1716"/>
      <c r="ITW416" s="1716"/>
      <c r="ITX416" s="1716"/>
      <c r="ITY416" s="1716"/>
      <c r="ITZ416" s="244"/>
      <c r="IUA416" s="244" t="s">
        <v>68</v>
      </c>
      <c r="IUB416" s="245" t="s">
        <v>68</v>
      </c>
      <c r="IUC416" s="1715" t="s">
        <v>0</v>
      </c>
      <c r="IUD416" s="1716"/>
      <c r="IUE416" s="1716"/>
      <c r="IUF416" s="1716"/>
      <c r="IUG416" s="1716"/>
      <c r="IUH416" s="244"/>
      <c r="IUI416" s="244" t="s">
        <v>68</v>
      </c>
      <c r="IUJ416" s="245" t="s">
        <v>68</v>
      </c>
      <c r="IUK416" s="1715" t="s">
        <v>0</v>
      </c>
      <c r="IUL416" s="1716"/>
      <c r="IUM416" s="1716"/>
      <c r="IUN416" s="1716"/>
      <c r="IUO416" s="1716"/>
      <c r="IUP416" s="244"/>
      <c r="IUQ416" s="244" t="s">
        <v>68</v>
      </c>
      <c r="IUR416" s="245" t="s">
        <v>68</v>
      </c>
      <c r="IUS416" s="1715" t="s">
        <v>0</v>
      </c>
      <c r="IUT416" s="1716"/>
      <c r="IUU416" s="1716"/>
      <c r="IUV416" s="1716"/>
      <c r="IUW416" s="1716"/>
      <c r="IUX416" s="244"/>
      <c r="IUY416" s="244" t="s">
        <v>68</v>
      </c>
      <c r="IUZ416" s="245" t="s">
        <v>68</v>
      </c>
      <c r="IVA416" s="1715" t="s">
        <v>0</v>
      </c>
      <c r="IVB416" s="1716"/>
      <c r="IVC416" s="1716"/>
      <c r="IVD416" s="1716"/>
      <c r="IVE416" s="1716"/>
      <c r="IVF416" s="244"/>
      <c r="IVG416" s="244" t="s">
        <v>68</v>
      </c>
      <c r="IVH416" s="245" t="s">
        <v>68</v>
      </c>
      <c r="IVI416" s="1715" t="s">
        <v>0</v>
      </c>
      <c r="IVJ416" s="1716"/>
      <c r="IVK416" s="1716"/>
      <c r="IVL416" s="1716"/>
      <c r="IVM416" s="1716"/>
      <c r="IVN416" s="244"/>
      <c r="IVO416" s="244" t="s">
        <v>68</v>
      </c>
      <c r="IVP416" s="245" t="s">
        <v>68</v>
      </c>
      <c r="IVQ416" s="1715" t="s">
        <v>0</v>
      </c>
      <c r="IVR416" s="1716"/>
      <c r="IVS416" s="1716"/>
      <c r="IVT416" s="1716"/>
      <c r="IVU416" s="1716"/>
      <c r="IVV416" s="244"/>
      <c r="IVW416" s="244" t="s">
        <v>68</v>
      </c>
      <c r="IVX416" s="245" t="s">
        <v>68</v>
      </c>
      <c r="IVY416" s="1715" t="s">
        <v>0</v>
      </c>
      <c r="IVZ416" s="1716"/>
      <c r="IWA416" s="1716"/>
      <c r="IWB416" s="1716"/>
      <c r="IWC416" s="1716"/>
      <c r="IWD416" s="244"/>
      <c r="IWE416" s="244" t="s">
        <v>68</v>
      </c>
      <c r="IWF416" s="245" t="s">
        <v>68</v>
      </c>
      <c r="IWG416" s="1715" t="s">
        <v>0</v>
      </c>
      <c r="IWH416" s="1716"/>
      <c r="IWI416" s="1716"/>
      <c r="IWJ416" s="1716"/>
      <c r="IWK416" s="1716"/>
      <c r="IWL416" s="244"/>
      <c r="IWM416" s="244" t="s">
        <v>68</v>
      </c>
      <c r="IWN416" s="245" t="s">
        <v>68</v>
      </c>
      <c r="IWO416" s="1715" t="s">
        <v>0</v>
      </c>
      <c r="IWP416" s="1716"/>
      <c r="IWQ416" s="1716"/>
      <c r="IWR416" s="1716"/>
      <c r="IWS416" s="1716"/>
      <c r="IWT416" s="244"/>
      <c r="IWU416" s="244" t="s">
        <v>68</v>
      </c>
      <c r="IWV416" s="245" t="s">
        <v>68</v>
      </c>
      <c r="IWW416" s="1715" t="s">
        <v>0</v>
      </c>
      <c r="IWX416" s="1716"/>
      <c r="IWY416" s="1716"/>
      <c r="IWZ416" s="1716"/>
      <c r="IXA416" s="1716"/>
      <c r="IXB416" s="244"/>
      <c r="IXC416" s="244" t="s">
        <v>68</v>
      </c>
      <c r="IXD416" s="245" t="s">
        <v>68</v>
      </c>
      <c r="IXE416" s="1715" t="s">
        <v>0</v>
      </c>
      <c r="IXF416" s="1716"/>
      <c r="IXG416" s="1716"/>
      <c r="IXH416" s="1716"/>
      <c r="IXI416" s="1716"/>
      <c r="IXJ416" s="244"/>
      <c r="IXK416" s="244" t="s">
        <v>68</v>
      </c>
      <c r="IXL416" s="245" t="s">
        <v>68</v>
      </c>
      <c r="IXM416" s="1715" t="s">
        <v>0</v>
      </c>
      <c r="IXN416" s="1716"/>
      <c r="IXO416" s="1716"/>
      <c r="IXP416" s="1716"/>
      <c r="IXQ416" s="1716"/>
      <c r="IXR416" s="244"/>
      <c r="IXS416" s="244" t="s">
        <v>68</v>
      </c>
      <c r="IXT416" s="245" t="s">
        <v>68</v>
      </c>
      <c r="IXU416" s="1715" t="s">
        <v>0</v>
      </c>
      <c r="IXV416" s="1716"/>
      <c r="IXW416" s="1716"/>
      <c r="IXX416" s="1716"/>
      <c r="IXY416" s="1716"/>
      <c r="IXZ416" s="244"/>
      <c r="IYA416" s="244" t="s">
        <v>68</v>
      </c>
      <c r="IYB416" s="245" t="s">
        <v>68</v>
      </c>
      <c r="IYC416" s="1715" t="s">
        <v>0</v>
      </c>
      <c r="IYD416" s="1716"/>
      <c r="IYE416" s="1716"/>
      <c r="IYF416" s="1716"/>
      <c r="IYG416" s="1716"/>
      <c r="IYH416" s="244"/>
      <c r="IYI416" s="244" t="s">
        <v>68</v>
      </c>
      <c r="IYJ416" s="245" t="s">
        <v>68</v>
      </c>
      <c r="IYK416" s="1715" t="s">
        <v>0</v>
      </c>
      <c r="IYL416" s="1716"/>
      <c r="IYM416" s="1716"/>
      <c r="IYN416" s="1716"/>
      <c r="IYO416" s="1716"/>
      <c r="IYP416" s="244"/>
      <c r="IYQ416" s="244" t="s">
        <v>68</v>
      </c>
      <c r="IYR416" s="245" t="s">
        <v>68</v>
      </c>
      <c r="IYS416" s="1715" t="s">
        <v>0</v>
      </c>
      <c r="IYT416" s="1716"/>
      <c r="IYU416" s="1716"/>
      <c r="IYV416" s="1716"/>
      <c r="IYW416" s="1716"/>
      <c r="IYX416" s="244"/>
      <c r="IYY416" s="244" t="s">
        <v>68</v>
      </c>
      <c r="IYZ416" s="245" t="s">
        <v>68</v>
      </c>
      <c r="IZA416" s="1715" t="s">
        <v>0</v>
      </c>
      <c r="IZB416" s="1716"/>
      <c r="IZC416" s="1716"/>
      <c r="IZD416" s="1716"/>
      <c r="IZE416" s="1716"/>
      <c r="IZF416" s="244"/>
      <c r="IZG416" s="244" t="s">
        <v>68</v>
      </c>
      <c r="IZH416" s="245" t="s">
        <v>68</v>
      </c>
      <c r="IZI416" s="1715" t="s">
        <v>0</v>
      </c>
      <c r="IZJ416" s="1716"/>
      <c r="IZK416" s="1716"/>
      <c r="IZL416" s="1716"/>
      <c r="IZM416" s="1716"/>
      <c r="IZN416" s="244"/>
      <c r="IZO416" s="244" t="s">
        <v>68</v>
      </c>
      <c r="IZP416" s="245" t="s">
        <v>68</v>
      </c>
      <c r="IZQ416" s="1715" t="s">
        <v>0</v>
      </c>
      <c r="IZR416" s="1716"/>
      <c r="IZS416" s="1716"/>
      <c r="IZT416" s="1716"/>
      <c r="IZU416" s="1716"/>
      <c r="IZV416" s="244"/>
      <c r="IZW416" s="244" t="s">
        <v>68</v>
      </c>
      <c r="IZX416" s="245" t="s">
        <v>68</v>
      </c>
      <c r="IZY416" s="1715" t="s">
        <v>0</v>
      </c>
      <c r="IZZ416" s="1716"/>
      <c r="JAA416" s="1716"/>
      <c r="JAB416" s="1716"/>
      <c r="JAC416" s="1716"/>
      <c r="JAD416" s="244"/>
      <c r="JAE416" s="244" t="s">
        <v>68</v>
      </c>
      <c r="JAF416" s="245" t="s">
        <v>68</v>
      </c>
      <c r="JAG416" s="1715" t="s">
        <v>0</v>
      </c>
      <c r="JAH416" s="1716"/>
      <c r="JAI416" s="1716"/>
      <c r="JAJ416" s="1716"/>
      <c r="JAK416" s="1716"/>
      <c r="JAL416" s="244"/>
      <c r="JAM416" s="244" t="s">
        <v>68</v>
      </c>
      <c r="JAN416" s="245" t="s">
        <v>68</v>
      </c>
      <c r="JAO416" s="1715" t="s">
        <v>0</v>
      </c>
      <c r="JAP416" s="1716"/>
      <c r="JAQ416" s="1716"/>
      <c r="JAR416" s="1716"/>
      <c r="JAS416" s="1716"/>
      <c r="JAT416" s="244"/>
      <c r="JAU416" s="244" t="s">
        <v>68</v>
      </c>
      <c r="JAV416" s="245" t="s">
        <v>68</v>
      </c>
      <c r="JAW416" s="1715" t="s">
        <v>0</v>
      </c>
      <c r="JAX416" s="1716"/>
      <c r="JAY416" s="1716"/>
      <c r="JAZ416" s="1716"/>
      <c r="JBA416" s="1716"/>
      <c r="JBB416" s="244"/>
      <c r="JBC416" s="244" t="s">
        <v>68</v>
      </c>
      <c r="JBD416" s="245" t="s">
        <v>68</v>
      </c>
      <c r="JBE416" s="1715" t="s">
        <v>0</v>
      </c>
      <c r="JBF416" s="1716"/>
      <c r="JBG416" s="1716"/>
      <c r="JBH416" s="1716"/>
      <c r="JBI416" s="1716"/>
      <c r="JBJ416" s="244"/>
      <c r="JBK416" s="244" t="s">
        <v>68</v>
      </c>
      <c r="JBL416" s="245" t="s">
        <v>68</v>
      </c>
      <c r="JBM416" s="1715" t="s">
        <v>0</v>
      </c>
      <c r="JBN416" s="1716"/>
      <c r="JBO416" s="1716"/>
      <c r="JBP416" s="1716"/>
      <c r="JBQ416" s="1716"/>
      <c r="JBR416" s="244"/>
      <c r="JBS416" s="244" t="s">
        <v>68</v>
      </c>
      <c r="JBT416" s="245" t="s">
        <v>68</v>
      </c>
      <c r="JBU416" s="1715" t="s">
        <v>0</v>
      </c>
      <c r="JBV416" s="1716"/>
      <c r="JBW416" s="1716"/>
      <c r="JBX416" s="1716"/>
      <c r="JBY416" s="1716"/>
      <c r="JBZ416" s="244"/>
      <c r="JCA416" s="244" t="s">
        <v>68</v>
      </c>
      <c r="JCB416" s="245" t="s">
        <v>68</v>
      </c>
      <c r="JCC416" s="1715" t="s">
        <v>0</v>
      </c>
      <c r="JCD416" s="1716"/>
      <c r="JCE416" s="1716"/>
      <c r="JCF416" s="1716"/>
      <c r="JCG416" s="1716"/>
      <c r="JCH416" s="244"/>
      <c r="JCI416" s="244" t="s">
        <v>68</v>
      </c>
      <c r="JCJ416" s="245" t="s">
        <v>68</v>
      </c>
      <c r="JCK416" s="1715" t="s">
        <v>0</v>
      </c>
      <c r="JCL416" s="1716"/>
      <c r="JCM416" s="1716"/>
      <c r="JCN416" s="1716"/>
      <c r="JCO416" s="1716"/>
      <c r="JCP416" s="244"/>
      <c r="JCQ416" s="244" t="s">
        <v>68</v>
      </c>
      <c r="JCR416" s="245" t="s">
        <v>68</v>
      </c>
      <c r="JCS416" s="1715" t="s">
        <v>0</v>
      </c>
      <c r="JCT416" s="1716"/>
      <c r="JCU416" s="1716"/>
      <c r="JCV416" s="1716"/>
      <c r="JCW416" s="1716"/>
      <c r="JCX416" s="244"/>
      <c r="JCY416" s="244" t="s">
        <v>68</v>
      </c>
      <c r="JCZ416" s="245" t="s">
        <v>68</v>
      </c>
      <c r="JDA416" s="1715" t="s">
        <v>0</v>
      </c>
      <c r="JDB416" s="1716"/>
      <c r="JDC416" s="1716"/>
      <c r="JDD416" s="1716"/>
      <c r="JDE416" s="1716"/>
      <c r="JDF416" s="244"/>
      <c r="JDG416" s="244" t="s">
        <v>68</v>
      </c>
      <c r="JDH416" s="245" t="s">
        <v>68</v>
      </c>
      <c r="JDI416" s="1715" t="s">
        <v>0</v>
      </c>
      <c r="JDJ416" s="1716"/>
      <c r="JDK416" s="1716"/>
      <c r="JDL416" s="1716"/>
      <c r="JDM416" s="1716"/>
      <c r="JDN416" s="244"/>
      <c r="JDO416" s="244" t="s">
        <v>68</v>
      </c>
      <c r="JDP416" s="245" t="s">
        <v>68</v>
      </c>
      <c r="JDQ416" s="1715" t="s">
        <v>0</v>
      </c>
      <c r="JDR416" s="1716"/>
      <c r="JDS416" s="1716"/>
      <c r="JDT416" s="1716"/>
      <c r="JDU416" s="1716"/>
      <c r="JDV416" s="244"/>
      <c r="JDW416" s="244" t="s">
        <v>68</v>
      </c>
      <c r="JDX416" s="245" t="s">
        <v>68</v>
      </c>
      <c r="JDY416" s="1715" t="s">
        <v>0</v>
      </c>
      <c r="JDZ416" s="1716"/>
      <c r="JEA416" s="1716"/>
      <c r="JEB416" s="1716"/>
      <c r="JEC416" s="1716"/>
      <c r="JED416" s="244"/>
      <c r="JEE416" s="244" t="s">
        <v>68</v>
      </c>
      <c r="JEF416" s="245" t="s">
        <v>68</v>
      </c>
      <c r="JEG416" s="1715" t="s">
        <v>0</v>
      </c>
      <c r="JEH416" s="1716"/>
      <c r="JEI416" s="1716"/>
      <c r="JEJ416" s="1716"/>
      <c r="JEK416" s="1716"/>
      <c r="JEL416" s="244"/>
      <c r="JEM416" s="244" t="s">
        <v>68</v>
      </c>
      <c r="JEN416" s="245" t="s">
        <v>68</v>
      </c>
      <c r="JEO416" s="1715" t="s">
        <v>0</v>
      </c>
      <c r="JEP416" s="1716"/>
      <c r="JEQ416" s="1716"/>
      <c r="JER416" s="1716"/>
      <c r="JES416" s="1716"/>
      <c r="JET416" s="244"/>
      <c r="JEU416" s="244" t="s">
        <v>68</v>
      </c>
      <c r="JEV416" s="245" t="s">
        <v>68</v>
      </c>
      <c r="JEW416" s="1715" t="s">
        <v>0</v>
      </c>
      <c r="JEX416" s="1716"/>
      <c r="JEY416" s="1716"/>
      <c r="JEZ416" s="1716"/>
      <c r="JFA416" s="1716"/>
      <c r="JFB416" s="244"/>
      <c r="JFC416" s="244" t="s">
        <v>68</v>
      </c>
      <c r="JFD416" s="245" t="s">
        <v>68</v>
      </c>
      <c r="JFE416" s="1715" t="s">
        <v>0</v>
      </c>
      <c r="JFF416" s="1716"/>
      <c r="JFG416" s="1716"/>
      <c r="JFH416" s="1716"/>
      <c r="JFI416" s="1716"/>
      <c r="JFJ416" s="244"/>
      <c r="JFK416" s="244" t="s">
        <v>68</v>
      </c>
      <c r="JFL416" s="245" t="s">
        <v>68</v>
      </c>
      <c r="JFM416" s="1715" t="s">
        <v>0</v>
      </c>
      <c r="JFN416" s="1716"/>
      <c r="JFO416" s="1716"/>
      <c r="JFP416" s="1716"/>
      <c r="JFQ416" s="1716"/>
      <c r="JFR416" s="244"/>
      <c r="JFS416" s="244" t="s">
        <v>68</v>
      </c>
      <c r="JFT416" s="245" t="s">
        <v>68</v>
      </c>
      <c r="JFU416" s="1715" t="s">
        <v>0</v>
      </c>
      <c r="JFV416" s="1716"/>
      <c r="JFW416" s="1716"/>
      <c r="JFX416" s="1716"/>
      <c r="JFY416" s="1716"/>
      <c r="JFZ416" s="244"/>
      <c r="JGA416" s="244" t="s">
        <v>68</v>
      </c>
      <c r="JGB416" s="245" t="s">
        <v>68</v>
      </c>
      <c r="JGC416" s="1715" t="s">
        <v>0</v>
      </c>
      <c r="JGD416" s="1716"/>
      <c r="JGE416" s="1716"/>
      <c r="JGF416" s="1716"/>
      <c r="JGG416" s="1716"/>
      <c r="JGH416" s="244"/>
      <c r="JGI416" s="244" t="s">
        <v>68</v>
      </c>
      <c r="JGJ416" s="245" t="s">
        <v>68</v>
      </c>
      <c r="JGK416" s="1715" t="s">
        <v>0</v>
      </c>
      <c r="JGL416" s="1716"/>
      <c r="JGM416" s="1716"/>
      <c r="JGN416" s="1716"/>
      <c r="JGO416" s="1716"/>
      <c r="JGP416" s="244"/>
      <c r="JGQ416" s="244" t="s">
        <v>68</v>
      </c>
      <c r="JGR416" s="245" t="s">
        <v>68</v>
      </c>
      <c r="JGS416" s="1715" t="s">
        <v>0</v>
      </c>
      <c r="JGT416" s="1716"/>
      <c r="JGU416" s="1716"/>
      <c r="JGV416" s="1716"/>
      <c r="JGW416" s="1716"/>
      <c r="JGX416" s="244"/>
      <c r="JGY416" s="244" t="s">
        <v>68</v>
      </c>
      <c r="JGZ416" s="245" t="s">
        <v>68</v>
      </c>
      <c r="JHA416" s="1715" t="s">
        <v>0</v>
      </c>
      <c r="JHB416" s="1716"/>
      <c r="JHC416" s="1716"/>
      <c r="JHD416" s="1716"/>
      <c r="JHE416" s="1716"/>
      <c r="JHF416" s="244"/>
      <c r="JHG416" s="244" t="s">
        <v>68</v>
      </c>
      <c r="JHH416" s="245" t="s">
        <v>68</v>
      </c>
      <c r="JHI416" s="1715" t="s">
        <v>0</v>
      </c>
      <c r="JHJ416" s="1716"/>
      <c r="JHK416" s="1716"/>
      <c r="JHL416" s="1716"/>
      <c r="JHM416" s="1716"/>
      <c r="JHN416" s="244"/>
      <c r="JHO416" s="244" t="s">
        <v>68</v>
      </c>
      <c r="JHP416" s="245" t="s">
        <v>68</v>
      </c>
      <c r="JHQ416" s="1715" t="s">
        <v>0</v>
      </c>
      <c r="JHR416" s="1716"/>
      <c r="JHS416" s="1716"/>
      <c r="JHT416" s="1716"/>
      <c r="JHU416" s="1716"/>
      <c r="JHV416" s="244"/>
      <c r="JHW416" s="244" t="s">
        <v>68</v>
      </c>
      <c r="JHX416" s="245" t="s">
        <v>68</v>
      </c>
      <c r="JHY416" s="1715" t="s">
        <v>0</v>
      </c>
      <c r="JHZ416" s="1716"/>
      <c r="JIA416" s="1716"/>
      <c r="JIB416" s="1716"/>
      <c r="JIC416" s="1716"/>
      <c r="JID416" s="244"/>
      <c r="JIE416" s="244" t="s">
        <v>68</v>
      </c>
      <c r="JIF416" s="245" t="s">
        <v>68</v>
      </c>
      <c r="JIG416" s="1715" t="s">
        <v>0</v>
      </c>
      <c r="JIH416" s="1716"/>
      <c r="JII416" s="1716"/>
      <c r="JIJ416" s="1716"/>
      <c r="JIK416" s="1716"/>
      <c r="JIL416" s="244"/>
      <c r="JIM416" s="244" t="s">
        <v>68</v>
      </c>
      <c r="JIN416" s="245" t="s">
        <v>68</v>
      </c>
      <c r="JIO416" s="1715" t="s">
        <v>0</v>
      </c>
      <c r="JIP416" s="1716"/>
      <c r="JIQ416" s="1716"/>
      <c r="JIR416" s="1716"/>
      <c r="JIS416" s="1716"/>
      <c r="JIT416" s="244"/>
      <c r="JIU416" s="244" t="s">
        <v>68</v>
      </c>
      <c r="JIV416" s="245" t="s">
        <v>68</v>
      </c>
      <c r="JIW416" s="1715" t="s">
        <v>0</v>
      </c>
      <c r="JIX416" s="1716"/>
      <c r="JIY416" s="1716"/>
      <c r="JIZ416" s="1716"/>
      <c r="JJA416" s="1716"/>
      <c r="JJB416" s="244"/>
      <c r="JJC416" s="244" t="s">
        <v>68</v>
      </c>
      <c r="JJD416" s="245" t="s">
        <v>68</v>
      </c>
      <c r="JJE416" s="1715" t="s">
        <v>0</v>
      </c>
      <c r="JJF416" s="1716"/>
      <c r="JJG416" s="1716"/>
      <c r="JJH416" s="1716"/>
      <c r="JJI416" s="1716"/>
      <c r="JJJ416" s="244"/>
      <c r="JJK416" s="244" t="s">
        <v>68</v>
      </c>
      <c r="JJL416" s="245" t="s">
        <v>68</v>
      </c>
      <c r="JJM416" s="1715" t="s">
        <v>0</v>
      </c>
      <c r="JJN416" s="1716"/>
      <c r="JJO416" s="1716"/>
      <c r="JJP416" s="1716"/>
      <c r="JJQ416" s="1716"/>
      <c r="JJR416" s="244"/>
      <c r="JJS416" s="244" t="s">
        <v>68</v>
      </c>
      <c r="JJT416" s="245" t="s">
        <v>68</v>
      </c>
      <c r="JJU416" s="1715" t="s">
        <v>0</v>
      </c>
      <c r="JJV416" s="1716"/>
      <c r="JJW416" s="1716"/>
      <c r="JJX416" s="1716"/>
      <c r="JJY416" s="1716"/>
      <c r="JJZ416" s="244"/>
      <c r="JKA416" s="244" t="s">
        <v>68</v>
      </c>
      <c r="JKB416" s="245" t="s">
        <v>68</v>
      </c>
      <c r="JKC416" s="1715" t="s">
        <v>0</v>
      </c>
      <c r="JKD416" s="1716"/>
      <c r="JKE416" s="1716"/>
      <c r="JKF416" s="1716"/>
      <c r="JKG416" s="1716"/>
      <c r="JKH416" s="244"/>
      <c r="JKI416" s="244" t="s">
        <v>68</v>
      </c>
      <c r="JKJ416" s="245" t="s">
        <v>68</v>
      </c>
      <c r="JKK416" s="1715" t="s">
        <v>0</v>
      </c>
      <c r="JKL416" s="1716"/>
      <c r="JKM416" s="1716"/>
      <c r="JKN416" s="1716"/>
      <c r="JKO416" s="1716"/>
      <c r="JKP416" s="244"/>
      <c r="JKQ416" s="244" t="s">
        <v>68</v>
      </c>
      <c r="JKR416" s="245" t="s">
        <v>68</v>
      </c>
      <c r="JKS416" s="1715" t="s">
        <v>0</v>
      </c>
      <c r="JKT416" s="1716"/>
      <c r="JKU416" s="1716"/>
      <c r="JKV416" s="1716"/>
      <c r="JKW416" s="1716"/>
      <c r="JKX416" s="244"/>
      <c r="JKY416" s="244" t="s">
        <v>68</v>
      </c>
      <c r="JKZ416" s="245" t="s">
        <v>68</v>
      </c>
      <c r="JLA416" s="1715" t="s">
        <v>0</v>
      </c>
      <c r="JLB416" s="1716"/>
      <c r="JLC416" s="1716"/>
      <c r="JLD416" s="1716"/>
      <c r="JLE416" s="1716"/>
      <c r="JLF416" s="244"/>
      <c r="JLG416" s="244" t="s">
        <v>68</v>
      </c>
      <c r="JLH416" s="245" t="s">
        <v>68</v>
      </c>
      <c r="JLI416" s="1715" t="s">
        <v>0</v>
      </c>
      <c r="JLJ416" s="1716"/>
      <c r="JLK416" s="1716"/>
      <c r="JLL416" s="1716"/>
      <c r="JLM416" s="1716"/>
      <c r="JLN416" s="244"/>
      <c r="JLO416" s="244" t="s">
        <v>68</v>
      </c>
      <c r="JLP416" s="245" t="s">
        <v>68</v>
      </c>
      <c r="JLQ416" s="1715" t="s">
        <v>0</v>
      </c>
      <c r="JLR416" s="1716"/>
      <c r="JLS416" s="1716"/>
      <c r="JLT416" s="1716"/>
      <c r="JLU416" s="1716"/>
      <c r="JLV416" s="244"/>
      <c r="JLW416" s="244" t="s">
        <v>68</v>
      </c>
      <c r="JLX416" s="245" t="s">
        <v>68</v>
      </c>
      <c r="JLY416" s="1715" t="s">
        <v>0</v>
      </c>
      <c r="JLZ416" s="1716"/>
      <c r="JMA416" s="1716"/>
      <c r="JMB416" s="1716"/>
      <c r="JMC416" s="1716"/>
      <c r="JMD416" s="244"/>
      <c r="JME416" s="244" t="s">
        <v>68</v>
      </c>
      <c r="JMF416" s="245" t="s">
        <v>68</v>
      </c>
      <c r="JMG416" s="1715" t="s">
        <v>0</v>
      </c>
      <c r="JMH416" s="1716"/>
      <c r="JMI416" s="1716"/>
      <c r="JMJ416" s="1716"/>
      <c r="JMK416" s="1716"/>
      <c r="JML416" s="244"/>
      <c r="JMM416" s="244" t="s">
        <v>68</v>
      </c>
      <c r="JMN416" s="245" t="s">
        <v>68</v>
      </c>
      <c r="JMO416" s="1715" t="s">
        <v>0</v>
      </c>
      <c r="JMP416" s="1716"/>
      <c r="JMQ416" s="1716"/>
      <c r="JMR416" s="1716"/>
      <c r="JMS416" s="1716"/>
      <c r="JMT416" s="244"/>
      <c r="JMU416" s="244" t="s">
        <v>68</v>
      </c>
      <c r="JMV416" s="245" t="s">
        <v>68</v>
      </c>
      <c r="JMW416" s="1715" t="s">
        <v>0</v>
      </c>
      <c r="JMX416" s="1716"/>
      <c r="JMY416" s="1716"/>
      <c r="JMZ416" s="1716"/>
      <c r="JNA416" s="1716"/>
      <c r="JNB416" s="244"/>
      <c r="JNC416" s="244" t="s">
        <v>68</v>
      </c>
      <c r="JND416" s="245" t="s">
        <v>68</v>
      </c>
      <c r="JNE416" s="1715" t="s">
        <v>0</v>
      </c>
      <c r="JNF416" s="1716"/>
      <c r="JNG416" s="1716"/>
      <c r="JNH416" s="1716"/>
      <c r="JNI416" s="1716"/>
      <c r="JNJ416" s="244"/>
      <c r="JNK416" s="244" t="s">
        <v>68</v>
      </c>
      <c r="JNL416" s="245" t="s">
        <v>68</v>
      </c>
      <c r="JNM416" s="1715" t="s">
        <v>0</v>
      </c>
      <c r="JNN416" s="1716"/>
      <c r="JNO416" s="1716"/>
      <c r="JNP416" s="1716"/>
      <c r="JNQ416" s="1716"/>
      <c r="JNR416" s="244"/>
      <c r="JNS416" s="244" t="s">
        <v>68</v>
      </c>
      <c r="JNT416" s="245" t="s">
        <v>68</v>
      </c>
      <c r="JNU416" s="1715" t="s">
        <v>0</v>
      </c>
      <c r="JNV416" s="1716"/>
      <c r="JNW416" s="1716"/>
      <c r="JNX416" s="1716"/>
      <c r="JNY416" s="1716"/>
      <c r="JNZ416" s="244"/>
      <c r="JOA416" s="244" t="s">
        <v>68</v>
      </c>
      <c r="JOB416" s="245" t="s">
        <v>68</v>
      </c>
      <c r="JOC416" s="1715" t="s">
        <v>0</v>
      </c>
      <c r="JOD416" s="1716"/>
      <c r="JOE416" s="1716"/>
      <c r="JOF416" s="1716"/>
      <c r="JOG416" s="1716"/>
      <c r="JOH416" s="244"/>
      <c r="JOI416" s="244" t="s">
        <v>68</v>
      </c>
      <c r="JOJ416" s="245" t="s">
        <v>68</v>
      </c>
      <c r="JOK416" s="1715" t="s">
        <v>0</v>
      </c>
      <c r="JOL416" s="1716"/>
      <c r="JOM416" s="1716"/>
      <c r="JON416" s="1716"/>
      <c r="JOO416" s="1716"/>
      <c r="JOP416" s="244"/>
      <c r="JOQ416" s="244" t="s">
        <v>68</v>
      </c>
      <c r="JOR416" s="245" t="s">
        <v>68</v>
      </c>
      <c r="JOS416" s="1715" t="s">
        <v>0</v>
      </c>
      <c r="JOT416" s="1716"/>
      <c r="JOU416" s="1716"/>
      <c r="JOV416" s="1716"/>
      <c r="JOW416" s="1716"/>
      <c r="JOX416" s="244"/>
      <c r="JOY416" s="244" t="s">
        <v>68</v>
      </c>
      <c r="JOZ416" s="245" t="s">
        <v>68</v>
      </c>
      <c r="JPA416" s="1715" t="s">
        <v>0</v>
      </c>
      <c r="JPB416" s="1716"/>
      <c r="JPC416" s="1716"/>
      <c r="JPD416" s="1716"/>
      <c r="JPE416" s="1716"/>
      <c r="JPF416" s="244"/>
      <c r="JPG416" s="244" t="s">
        <v>68</v>
      </c>
      <c r="JPH416" s="245" t="s">
        <v>68</v>
      </c>
      <c r="JPI416" s="1715" t="s">
        <v>0</v>
      </c>
      <c r="JPJ416" s="1716"/>
      <c r="JPK416" s="1716"/>
      <c r="JPL416" s="1716"/>
      <c r="JPM416" s="1716"/>
      <c r="JPN416" s="244"/>
      <c r="JPO416" s="244" t="s">
        <v>68</v>
      </c>
      <c r="JPP416" s="245" t="s">
        <v>68</v>
      </c>
      <c r="JPQ416" s="1715" t="s">
        <v>0</v>
      </c>
      <c r="JPR416" s="1716"/>
      <c r="JPS416" s="1716"/>
      <c r="JPT416" s="1716"/>
      <c r="JPU416" s="1716"/>
      <c r="JPV416" s="244"/>
      <c r="JPW416" s="244" t="s">
        <v>68</v>
      </c>
      <c r="JPX416" s="245" t="s">
        <v>68</v>
      </c>
      <c r="JPY416" s="1715" t="s">
        <v>0</v>
      </c>
      <c r="JPZ416" s="1716"/>
      <c r="JQA416" s="1716"/>
      <c r="JQB416" s="1716"/>
      <c r="JQC416" s="1716"/>
      <c r="JQD416" s="244"/>
      <c r="JQE416" s="244" t="s">
        <v>68</v>
      </c>
      <c r="JQF416" s="245" t="s">
        <v>68</v>
      </c>
      <c r="JQG416" s="1715" t="s">
        <v>0</v>
      </c>
      <c r="JQH416" s="1716"/>
      <c r="JQI416" s="1716"/>
      <c r="JQJ416" s="1716"/>
      <c r="JQK416" s="1716"/>
      <c r="JQL416" s="244"/>
      <c r="JQM416" s="244" t="s">
        <v>68</v>
      </c>
      <c r="JQN416" s="245" t="s">
        <v>68</v>
      </c>
      <c r="JQO416" s="1715" t="s">
        <v>0</v>
      </c>
      <c r="JQP416" s="1716"/>
      <c r="JQQ416" s="1716"/>
      <c r="JQR416" s="1716"/>
      <c r="JQS416" s="1716"/>
      <c r="JQT416" s="244"/>
      <c r="JQU416" s="244" t="s">
        <v>68</v>
      </c>
      <c r="JQV416" s="245" t="s">
        <v>68</v>
      </c>
      <c r="JQW416" s="1715" t="s">
        <v>0</v>
      </c>
      <c r="JQX416" s="1716"/>
      <c r="JQY416" s="1716"/>
      <c r="JQZ416" s="1716"/>
      <c r="JRA416" s="1716"/>
      <c r="JRB416" s="244"/>
      <c r="JRC416" s="244" t="s">
        <v>68</v>
      </c>
      <c r="JRD416" s="245" t="s">
        <v>68</v>
      </c>
      <c r="JRE416" s="1715" t="s">
        <v>0</v>
      </c>
      <c r="JRF416" s="1716"/>
      <c r="JRG416" s="1716"/>
      <c r="JRH416" s="1716"/>
      <c r="JRI416" s="1716"/>
      <c r="JRJ416" s="244"/>
      <c r="JRK416" s="244" t="s">
        <v>68</v>
      </c>
      <c r="JRL416" s="245" t="s">
        <v>68</v>
      </c>
      <c r="JRM416" s="1715" t="s">
        <v>0</v>
      </c>
      <c r="JRN416" s="1716"/>
      <c r="JRO416" s="1716"/>
      <c r="JRP416" s="1716"/>
      <c r="JRQ416" s="1716"/>
      <c r="JRR416" s="244"/>
      <c r="JRS416" s="244" t="s">
        <v>68</v>
      </c>
      <c r="JRT416" s="245" t="s">
        <v>68</v>
      </c>
      <c r="JRU416" s="1715" t="s">
        <v>0</v>
      </c>
      <c r="JRV416" s="1716"/>
      <c r="JRW416" s="1716"/>
      <c r="JRX416" s="1716"/>
      <c r="JRY416" s="1716"/>
      <c r="JRZ416" s="244"/>
      <c r="JSA416" s="244" t="s">
        <v>68</v>
      </c>
      <c r="JSB416" s="245" t="s">
        <v>68</v>
      </c>
      <c r="JSC416" s="1715" t="s">
        <v>0</v>
      </c>
      <c r="JSD416" s="1716"/>
      <c r="JSE416" s="1716"/>
      <c r="JSF416" s="1716"/>
      <c r="JSG416" s="1716"/>
      <c r="JSH416" s="244"/>
      <c r="JSI416" s="244" t="s">
        <v>68</v>
      </c>
      <c r="JSJ416" s="245" t="s">
        <v>68</v>
      </c>
      <c r="JSK416" s="1715" t="s">
        <v>0</v>
      </c>
      <c r="JSL416" s="1716"/>
      <c r="JSM416" s="1716"/>
      <c r="JSN416" s="1716"/>
      <c r="JSO416" s="1716"/>
      <c r="JSP416" s="244"/>
      <c r="JSQ416" s="244" t="s">
        <v>68</v>
      </c>
      <c r="JSR416" s="245" t="s">
        <v>68</v>
      </c>
      <c r="JSS416" s="1715" t="s">
        <v>0</v>
      </c>
      <c r="JST416" s="1716"/>
      <c r="JSU416" s="1716"/>
      <c r="JSV416" s="1716"/>
      <c r="JSW416" s="1716"/>
      <c r="JSX416" s="244"/>
      <c r="JSY416" s="244" t="s">
        <v>68</v>
      </c>
      <c r="JSZ416" s="245" t="s">
        <v>68</v>
      </c>
      <c r="JTA416" s="1715" t="s">
        <v>0</v>
      </c>
      <c r="JTB416" s="1716"/>
      <c r="JTC416" s="1716"/>
      <c r="JTD416" s="1716"/>
      <c r="JTE416" s="1716"/>
      <c r="JTF416" s="244"/>
      <c r="JTG416" s="244" t="s">
        <v>68</v>
      </c>
      <c r="JTH416" s="245" t="s">
        <v>68</v>
      </c>
      <c r="JTI416" s="1715" t="s">
        <v>0</v>
      </c>
      <c r="JTJ416" s="1716"/>
      <c r="JTK416" s="1716"/>
      <c r="JTL416" s="1716"/>
      <c r="JTM416" s="1716"/>
      <c r="JTN416" s="244"/>
      <c r="JTO416" s="244" t="s">
        <v>68</v>
      </c>
      <c r="JTP416" s="245" t="s">
        <v>68</v>
      </c>
      <c r="JTQ416" s="1715" t="s">
        <v>0</v>
      </c>
      <c r="JTR416" s="1716"/>
      <c r="JTS416" s="1716"/>
      <c r="JTT416" s="1716"/>
      <c r="JTU416" s="1716"/>
      <c r="JTV416" s="244"/>
      <c r="JTW416" s="244" t="s">
        <v>68</v>
      </c>
      <c r="JTX416" s="245" t="s">
        <v>68</v>
      </c>
      <c r="JTY416" s="1715" t="s">
        <v>0</v>
      </c>
      <c r="JTZ416" s="1716"/>
      <c r="JUA416" s="1716"/>
      <c r="JUB416" s="1716"/>
      <c r="JUC416" s="1716"/>
      <c r="JUD416" s="244"/>
      <c r="JUE416" s="244" t="s">
        <v>68</v>
      </c>
      <c r="JUF416" s="245" t="s">
        <v>68</v>
      </c>
      <c r="JUG416" s="1715" t="s">
        <v>0</v>
      </c>
      <c r="JUH416" s="1716"/>
      <c r="JUI416" s="1716"/>
      <c r="JUJ416" s="1716"/>
      <c r="JUK416" s="1716"/>
      <c r="JUL416" s="244"/>
      <c r="JUM416" s="244" t="s">
        <v>68</v>
      </c>
      <c r="JUN416" s="245" t="s">
        <v>68</v>
      </c>
      <c r="JUO416" s="1715" t="s">
        <v>0</v>
      </c>
      <c r="JUP416" s="1716"/>
      <c r="JUQ416" s="1716"/>
      <c r="JUR416" s="1716"/>
      <c r="JUS416" s="1716"/>
      <c r="JUT416" s="244"/>
      <c r="JUU416" s="244" t="s">
        <v>68</v>
      </c>
      <c r="JUV416" s="245" t="s">
        <v>68</v>
      </c>
      <c r="JUW416" s="1715" t="s">
        <v>0</v>
      </c>
      <c r="JUX416" s="1716"/>
      <c r="JUY416" s="1716"/>
      <c r="JUZ416" s="1716"/>
      <c r="JVA416" s="1716"/>
      <c r="JVB416" s="244"/>
      <c r="JVC416" s="244" t="s">
        <v>68</v>
      </c>
      <c r="JVD416" s="245" t="s">
        <v>68</v>
      </c>
      <c r="JVE416" s="1715" t="s">
        <v>0</v>
      </c>
      <c r="JVF416" s="1716"/>
      <c r="JVG416" s="1716"/>
      <c r="JVH416" s="1716"/>
      <c r="JVI416" s="1716"/>
      <c r="JVJ416" s="244"/>
      <c r="JVK416" s="244" t="s">
        <v>68</v>
      </c>
      <c r="JVL416" s="245" t="s">
        <v>68</v>
      </c>
      <c r="JVM416" s="1715" t="s">
        <v>0</v>
      </c>
      <c r="JVN416" s="1716"/>
      <c r="JVO416" s="1716"/>
      <c r="JVP416" s="1716"/>
      <c r="JVQ416" s="1716"/>
      <c r="JVR416" s="244"/>
      <c r="JVS416" s="244" t="s">
        <v>68</v>
      </c>
      <c r="JVT416" s="245" t="s">
        <v>68</v>
      </c>
      <c r="JVU416" s="1715" t="s">
        <v>0</v>
      </c>
      <c r="JVV416" s="1716"/>
      <c r="JVW416" s="1716"/>
      <c r="JVX416" s="1716"/>
      <c r="JVY416" s="1716"/>
      <c r="JVZ416" s="244"/>
      <c r="JWA416" s="244" t="s">
        <v>68</v>
      </c>
      <c r="JWB416" s="245" t="s">
        <v>68</v>
      </c>
      <c r="JWC416" s="1715" t="s">
        <v>0</v>
      </c>
      <c r="JWD416" s="1716"/>
      <c r="JWE416" s="1716"/>
      <c r="JWF416" s="1716"/>
      <c r="JWG416" s="1716"/>
      <c r="JWH416" s="244"/>
      <c r="JWI416" s="244" t="s">
        <v>68</v>
      </c>
      <c r="JWJ416" s="245" t="s">
        <v>68</v>
      </c>
      <c r="JWK416" s="1715" t="s">
        <v>0</v>
      </c>
      <c r="JWL416" s="1716"/>
      <c r="JWM416" s="1716"/>
      <c r="JWN416" s="1716"/>
      <c r="JWO416" s="1716"/>
      <c r="JWP416" s="244"/>
      <c r="JWQ416" s="244" t="s">
        <v>68</v>
      </c>
      <c r="JWR416" s="245" t="s">
        <v>68</v>
      </c>
      <c r="JWS416" s="1715" t="s">
        <v>0</v>
      </c>
      <c r="JWT416" s="1716"/>
      <c r="JWU416" s="1716"/>
      <c r="JWV416" s="1716"/>
      <c r="JWW416" s="1716"/>
      <c r="JWX416" s="244"/>
      <c r="JWY416" s="244" t="s">
        <v>68</v>
      </c>
      <c r="JWZ416" s="245" t="s">
        <v>68</v>
      </c>
      <c r="JXA416" s="1715" t="s">
        <v>0</v>
      </c>
      <c r="JXB416" s="1716"/>
      <c r="JXC416" s="1716"/>
      <c r="JXD416" s="1716"/>
      <c r="JXE416" s="1716"/>
      <c r="JXF416" s="244"/>
      <c r="JXG416" s="244" t="s">
        <v>68</v>
      </c>
      <c r="JXH416" s="245" t="s">
        <v>68</v>
      </c>
      <c r="JXI416" s="1715" t="s">
        <v>0</v>
      </c>
      <c r="JXJ416" s="1716"/>
      <c r="JXK416" s="1716"/>
      <c r="JXL416" s="1716"/>
      <c r="JXM416" s="1716"/>
      <c r="JXN416" s="244"/>
      <c r="JXO416" s="244" t="s">
        <v>68</v>
      </c>
      <c r="JXP416" s="245" t="s">
        <v>68</v>
      </c>
      <c r="JXQ416" s="1715" t="s">
        <v>0</v>
      </c>
      <c r="JXR416" s="1716"/>
      <c r="JXS416" s="1716"/>
      <c r="JXT416" s="1716"/>
      <c r="JXU416" s="1716"/>
      <c r="JXV416" s="244"/>
      <c r="JXW416" s="244" t="s">
        <v>68</v>
      </c>
      <c r="JXX416" s="245" t="s">
        <v>68</v>
      </c>
      <c r="JXY416" s="1715" t="s">
        <v>0</v>
      </c>
      <c r="JXZ416" s="1716"/>
      <c r="JYA416" s="1716"/>
      <c r="JYB416" s="1716"/>
      <c r="JYC416" s="1716"/>
      <c r="JYD416" s="244"/>
      <c r="JYE416" s="244" t="s">
        <v>68</v>
      </c>
      <c r="JYF416" s="245" t="s">
        <v>68</v>
      </c>
      <c r="JYG416" s="1715" t="s">
        <v>0</v>
      </c>
      <c r="JYH416" s="1716"/>
      <c r="JYI416" s="1716"/>
      <c r="JYJ416" s="1716"/>
      <c r="JYK416" s="1716"/>
      <c r="JYL416" s="244"/>
      <c r="JYM416" s="244" t="s">
        <v>68</v>
      </c>
      <c r="JYN416" s="245" t="s">
        <v>68</v>
      </c>
      <c r="JYO416" s="1715" t="s">
        <v>0</v>
      </c>
      <c r="JYP416" s="1716"/>
      <c r="JYQ416" s="1716"/>
      <c r="JYR416" s="1716"/>
      <c r="JYS416" s="1716"/>
      <c r="JYT416" s="244"/>
      <c r="JYU416" s="244" t="s">
        <v>68</v>
      </c>
      <c r="JYV416" s="245" t="s">
        <v>68</v>
      </c>
      <c r="JYW416" s="1715" t="s">
        <v>0</v>
      </c>
      <c r="JYX416" s="1716"/>
      <c r="JYY416" s="1716"/>
      <c r="JYZ416" s="1716"/>
      <c r="JZA416" s="1716"/>
      <c r="JZB416" s="244"/>
      <c r="JZC416" s="244" t="s">
        <v>68</v>
      </c>
      <c r="JZD416" s="245" t="s">
        <v>68</v>
      </c>
      <c r="JZE416" s="1715" t="s">
        <v>0</v>
      </c>
      <c r="JZF416" s="1716"/>
      <c r="JZG416" s="1716"/>
      <c r="JZH416" s="1716"/>
      <c r="JZI416" s="1716"/>
      <c r="JZJ416" s="244"/>
      <c r="JZK416" s="244" t="s">
        <v>68</v>
      </c>
      <c r="JZL416" s="245" t="s">
        <v>68</v>
      </c>
      <c r="JZM416" s="1715" t="s">
        <v>0</v>
      </c>
      <c r="JZN416" s="1716"/>
      <c r="JZO416" s="1716"/>
      <c r="JZP416" s="1716"/>
      <c r="JZQ416" s="1716"/>
      <c r="JZR416" s="244"/>
      <c r="JZS416" s="244" t="s">
        <v>68</v>
      </c>
      <c r="JZT416" s="245" t="s">
        <v>68</v>
      </c>
      <c r="JZU416" s="1715" t="s">
        <v>0</v>
      </c>
      <c r="JZV416" s="1716"/>
      <c r="JZW416" s="1716"/>
      <c r="JZX416" s="1716"/>
      <c r="JZY416" s="1716"/>
      <c r="JZZ416" s="244"/>
      <c r="KAA416" s="244" t="s">
        <v>68</v>
      </c>
      <c r="KAB416" s="245" t="s">
        <v>68</v>
      </c>
      <c r="KAC416" s="1715" t="s">
        <v>0</v>
      </c>
      <c r="KAD416" s="1716"/>
      <c r="KAE416" s="1716"/>
      <c r="KAF416" s="1716"/>
      <c r="KAG416" s="1716"/>
      <c r="KAH416" s="244"/>
      <c r="KAI416" s="244" t="s">
        <v>68</v>
      </c>
      <c r="KAJ416" s="245" t="s">
        <v>68</v>
      </c>
      <c r="KAK416" s="1715" t="s">
        <v>0</v>
      </c>
      <c r="KAL416" s="1716"/>
      <c r="KAM416" s="1716"/>
      <c r="KAN416" s="1716"/>
      <c r="KAO416" s="1716"/>
      <c r="KAP416" s="244"/>
      <c r="KAQ416" s="244" t="s">
        <v>68</v>
      </c>
      <c r="KAR416" s="245" t="s">
        <v>68</v>
      </c>
      <c r="KAS416" s="1715" t="s">
        <v>0</v>
      </c>
      <c r="KAT416" s="1716"/>
      <c r="KAU416" s="1716"/>
      <c r="KAV416" s="1716"/>
      <c r="KAW416" s="1716"/>
      <c r="KAX416" s="244"/>
      <c r="KAY416" s="244" t="s">
        <v>68</v>
      </c>
      <c r="KAZ416" s="245" t="s">
        <v>68</v>
      </c>
      <c r="KBA416" s="1715" t="s">
        <v>0</v>
      </c>
      <c r="KBB416" s="1716"/>
      <c r="KBC416" s="1716"/>
      <c r="KBD416" s="1716"/>
      <c r="KBE416" s="1716"/>
      <c r="KBF416" s="244"/>
      <c r="KBG416" s="244" t="s">
        <v>68</v>
      </c>
      <c r="KBH416" s="245" t="s">
        <v>68</v>
      </c>
      <c r="KBI416" s="1715" t="s">
        <v>0</v>
      </c>
      <c r="KBJ416" s="1716"/>
      <c r="KBK416" s="1716"/>
      <c r="KBL416" s="1716"/>
      <c r="KBM416" s="1716"/>
      <c r="KBN416" s="244"/>
      <c r="KBO416" s="244" t="s">
        <v>68</v>
      </c>
      <c r="KBP416" s="245" t="s">
        <v>68</v>
      </c>
      <c r="KBQ416" s="1715" t="s">
        <v>0</v>
      </c>
      <c r="KBR416" s="1716"/>
      <c r="KBS416" s="1716"/>
      <c r="KBT416" s="1716"/>
      <c r="KBU416" s="1716"/>
      <c r="KBV416" s="244"/>
      <c r="KBW416" s="244" t="s">
        <v>68</v>
      </c>
      <c r="KBX416" s="245" t="s">
        <v>68</v>
      </c>
      <c r="KBY416" s="1715" t="s">
        <v>0</v>
      </c>
      <c r="KBZ416" s="1716"/>
      <c r="KCA416" s="1716"/>
      <c r="KCB416" s="1716"/>
      <c r="KCC416" s="1716"/>
      <c r="KCD416" s="244"/>
      <c r="KCE416" s="244" t="s">
        <v>68</v>
      </c>
      <c r="KCF416" s="245" t="s">
        <v>68</v>
      </c>
      <c r="KCG416" s="1715" t="s">
        <v>0</v>
      </c>
      <c r="KCH416" s="1716"/>
      <c r="KCI416" s="1716"/>
      <c r="KCJ416" s="1716"/>
      <c r="KCK416" s="1716"/>
      <c r="KCL416" s="244"/>
      <c r="KCM416" s="244" t="s">
        <v>68</v>
      </c>
      <c r="KCN416" s="245" t="s">
        <v>68</v>
      </c>
      <c r="KCO416" s="1715" t="s">
        <v>0</v>
      </c>
      <c r="KCP416" s="1716"/>
      <c r="KCQ416" s="1716"/>
      <c r="KCR416" s="1716"/>
      <c r="KCS416" s="1716"/>
      <c r="KCT416" s="244"/>
      <c r="KCU416" s="244" t="s">
        <v>68</v>
      </c>
      <c r="KCV416" s="245" t="s">
        <v>68</v>
      </c>
      <c r="KCW416" s="1715" t="s">
        <v>0</v>
      </c>
      <c r="KCX416" s="1716"/>
      <c r="KCY416" s="1716"/>
      <c r="KCZ416" s="1716"/>
      <c r="KDA416" s="1716"/>
      <c r="KDB416" s="244"/>
      <c r="KDC416" s="244" t="s">
        <v>68</v>
      </c>
      <c r="KDD416" s="245" t="s">
        <v>68</v>
      </c>
      <c r="KDE416" s="1715" t="s">
        <v>0</v>
      </c>
      <c r="KDF416" s="1716"/>
      <c r="KDG416" s="1716"/>
      <c r="KDH416" s="1716"/>
      <c r="KDI416" s="1716"/>
      <c r="KDJ416" s="244"/>
      <c r="KDK416" s="244" t="s">
        <v>68</v>
      </c>
      <c r="KDL416" s="245" t="s">
        <v>68</v>
      </c>
      <c r="KDM416" s="1715" t="s">
        <v>0</v>
      </c>
      <c r="KDN416" s="1716"/>
      <c r="KDO416" s="1716"/>
      <c r="KDP416" s="1716"/>
      <c r="KDQ416" s="1716"/>
      <c r="KDR416" s="244"/>
      <c r="KDS416" s="244" t="s">
        <v>68</v>
      </c>
      <c r="KDT416" s="245" t="s">
        <v>68</v>
      </c>
      <c r="KDU416" s="1715" t="s">
        <v>0</v>
      </c>
      <c r="KDV416" s="1716"/>
      <c r="KDW416" s="1716"/>
      <c r="KDX416" s="1716"/>
      <c r="KDY416" s="1716"/>
      <c r="KDZ416" s="244"/>
      <c r="KEA416" s="244" t="s">
        <v>68</v>
      </c>
      <c r="KEB416" s="245" t="s">
        <v>68</v>
      </c>
      <c r="KEC416" s="1715" t="s">
        <v>0</v>
      </c>
      <c r="KED416" s="1716"/>
      <c r="KEE416" s="1716"/>
      <c r="KEF416" s="1716"/>
      <c r="KEG416" s="1716"/>
      <c r="KEH416" s="244"/>
      <c r="KEI416" s="244" t="s">
        <v>68</v>
      </c>
      <c r="KEJ416" s="245" t="s">
        <v>68</v>
      </c>
      <c r="KEK416" s="1715" t="s">
        <v>0</v>
      </c>
      <c r="KEL416" s="1716"/>
      <c r="KEM416" s="1716"/>
      <c r="KEN416" s="1716"/>
      <c r="KEO416" s="1716"/>
      <c r="KEP416" s="244"/>
      <c r="KEQ416" s="244" t="s">
        <v>68</v>
      </c>
      <c r="KER416" s="245" t="s">
        <v>68</v>
      </c>
      <c r="KES416" s="1715" t="s">
        <v>0</v>
      </c>
      <c r="KET416" s="1716"/>
      <c r="KEU416" s="1716"/>
      <c r="KEV416" s="1716"/>
      <c r="KEW416" s="1716"/>
      <c r="KEX416" s="244"/>
      <c r="KEY416" s="244" t="s">
        <v>68</v>
      </c>
      <c r="KEZ416" s="245" t="s">
        <v>68</v>
      </c>
      <c r="KFA416" s="1715" t="s">
        <v>0</v>
      </c>
      <c r="KFB416" s="1716"/>
      <c r="KFC416" s="1716"/>
      <c r="KFD416" s="1716"/>
      <c r="KFE416" s="1716"/>
      <c r="KFF416" s="244"/>
      <c r="KFG416" s="244" t="s">
        <v>68</v>
      </c>
      <c r="KFH416" s="245" t="s">
        <v>68</v>
      </c>
      <c r="KFI416" s="1715" t="s">
        <v>0</v>
      </c>
      <c r="KFJ416" s="1716"/>
      <c r="KFK416" s="1716"/>
      <c r="KFL416" s="1716"/>
      <c r="KFM416" s="1716"/>
      <c r="KFN416" s="244"/>
      <c r="KFO416" s="244" t="s">
        <v>68</v>
      </c>
      <c r="KFP416" s="245" t="s">
        <v>68</v>
      </c>
      <c r="KFQ416" s="1715" t="s">
        <v>0</v>
      </c>
      <c r="KFR416" s="1716"/>
      <c r="KFS416" s="1716"/>
      <c r="KFT416" s="1716"/>
      <c r="KFU416" s="1716"/>
      <c r="KFV416" s="244"/>
      <c r="KFW416" s="244" t="s">
        <v>68</v>
      </c>
      <c r="KFX416" s="245" t="s">
        <v>68</v>
      </c>
      <c r="KFY416" s="1715" t="s">
        <v>0</v>
      </c>
      <c r="KFZ416" s="1716"/>
      <c r="KGA416" s="1716"/>
      <c r="KGB416" s="1716"/>
      <c r="KGC416" s="1716"/>
      <c r="KGD416" s="244"/>
      <c r="KGE416" s="244" t="s">
        <v>68</v>
      </c>
      <c r="KGF416" s="245" t="s">
        <v>68</v>
      </c>
      <c r="KGG416" s="1715" t="s">
        <v>0</v>
      </c>
      <c r="KGH416" s="1716"/>
      <c r="KGI416" s="1716"/>
      <c r="KGJ416" s="1716"/>
      <c r="KGK416" s="1716"/>
      <c r="KGL416" s="244"/>
      <c r="KGM416" s="244" t="s">
        <v>68</v>
      </c>
      <c r="KGN416" s="245" t="s">
        <v>68</v>
      </c>
      <c r="KGO416" s="1715" t="s">
        <v>0</v>
      </c>
      <c r="KGP416" s="1716"/>
      <c r="KGQ416" s="1716"/>
      <c r="KGR416" s="1716"/>
      <c r="KGS416" s="1716"/>
      <c r="KGT416" s="244"/>
      <c r="KGU416" s="244" t="s">
        <v>68</v>
      </c>
      <c r="KGV416" s="245" t="s">
        <v>68</v>
      </c>
      <c r="KGW416" s="1715" t="s">
        <v>0</v>
      </c>
      <c r="KGX416" s="1716"/>
      <c r="KGY416" s="1716"/>
      <c r="KGZ416" s="1716"/>
      <c r="KHA416" s="1716"/>
      <c r="KHB416" s="244"/>
      <c r="KHC416" s="244" t="s">
        <v>68</v>
      </c>
      <c r="KHD416" s="245" t="s">
        <v>68</v>
      </c>
      <c r="KHE416" s="1715" t="s">
        <v>0</v>
      </c>
      <c r="KHF416" s="1716"/>
      <c r="KHG416" s="1716"/>
      <c r="KHH416" s="1716"/>
      <c r="KHI416" s="1716"/>
      <c r="KHJ416" s="244"/>
      <c r="KHK416" s="244" t="s">
        <v>68</v>
      </c>
      <c r="KHL416" s="245" t="s">
        <v>68</v>
      </c>
      <c r="KHM416" s="1715" t="s">
        <v>0</v>
      </c>
      <c r="KHN416" s="1716"/>
      <c r="KHO416" s="1716"/>
      <c r="KHP416" s="1716"/>
      <c r="KHQ416" s="1716"/>
      <c r="KHR416" s="244"/>
      <c r="KHS416" s="244" t="s">
        <v>68</v>
      </c>
      <c r="KHT416" s="245" t="s">
        <v>68</v>
      </c>
      <c r="KHU416" s="1715" t="s">
        <v>0</v>
      </c>
      <c r="KHV416" s="1716"/>
      <c r="KHW416" s="1716"/>
      <c r="KHX416" s="1716"/>
      <c r="KHY416" s="1716"/>
      <c r="KHZ416" s="244"/>
      <c r="KIA416" s="244" t="s">
        <v>68</v>
      </c>
      <c r="KIB416" s="245" t="s">
        <v>68</v>
      </c>
      <c r="KIC416" s="1715" t="s">
        <v>0</v>
      </c>
      <c r="KID416" s="1716"/>
      <c r="KIE416" s="1716"/>
      <c r="KIF416" s="1716"/>
      <c r="KIG416" s="1716"/>
      <c r="KIH416" s="244"/>
      <c r="KII416" s="244" t="s">
        <v>68</v>
      </c>
      <c r="KIJ416" s="245" t="s">
        <v>68</v>
      </c>
      <c r="KIK416" s="1715" t="s">
        <v>0</v>
      </c>
      <c r="KIL416" s="1716"/>
      <c r="KIM416" s="1716"/>
      <c r="KIN416" s="1716"/>
      <c r="KIO416" s="1716"/>
      <c r="KIP416" s="244"/>
      <c r="KIQ416" s="244" t="s">
        <v>68</v>
      </c>
      <c r="KIR416" s="245" t="s">
        <v>68</v>
      </c>
      <c r="KIS416" s="1715" t="s">
        <v>0</v>
      </c>
      <c r="KIT416" s="1716"/>
      <c r="KIU416" s="1716"/>
      <c r="KIV416" s="1716"/>
      <c r="KIW416" s="1716"/>
      <c r="KIX416" s="244"/>
      <c r="KIY416" s="244" t="s">
        <v>68</v>
      </c>
      <c r="KIZ416" s="245" t="s">
        <v>68</v>
      </c>
      <c r="KJA416" s="1715" t="s">
        <v>0</v>
      </c>
      <c r="KJB416" s="1716"/>
      <c r="KJC416" s="1716"/>
      <c r="KJD416" s="1716"/>
      <c r="KJE416" s="1716"/>
      <c r="KJF416" s="244"/>
      <c r="KJG416" s="244" t="s">
        <v>68</v>
      </c>
      <c r="KJH416" s="245" t="s">
        <v>68</v>
      </c>
      <c r="KJI416" s="1715" t="s">
        <v>0</v>
      </c>
      <c r="KJJ416" s="1716"/>
      <c r="KJK416" s="1716"/>
      <c r="KJL416" s="1716"/>
      <c r="KJM416" s="1716"/>
      <c r="KJN416" s="244"/>
      <c r="KJO416" s="244" t="s">
        <v>68</v>
      </c>
      <c r="KJP416" s="245" t="s">
        <v>68</v>
      </c>
      <c r="KJQ416" s="1715" t="s">
        <v>0</v>
      </c>
      <c r="KJR416" s="1716"/>
      <c r="KJS416" s="1716"/>
      <c r="KJT416" s="1716"/>
      <c r="KJU416" s="1716"/>
      <c r="KJV416" s="244"/>
      <c r="KJW416" s="244" t="s">
        <v>68</v>
      </c>
      <c r="KJX416" s="245" t="s">
        <v>68</v>
      </c>
      <c r="KJY416" s="1715" t="s">
        <v>0</v>
      </c>
      <c r="KJZ416" s="1716"/>
      <c r="KKA416" s="1716"/>
      <c r="KKB416" s="1716"/>
      <c r="KKC416" s="1716"/>
      <c r="KKD416" s="244"/>
      <c r="KKE416" s="244" t="s">
        <v>68</v>
      </c>
      <c r="KKF416" s="245" t="s">
        <v>68</v>
      </c>
      <c r="KKG416" s="1715" t="s">
        <v>0</v>
      </c>
      <c r="KKH416" s="1716"/>
      <c r="KKI416" s="1716"/>
      <c r="KKJ416" s="1716"/>
      <c r="KKK416" s="1716"/>
      <c r="KKL416" s="244"/>
      <c r="KKM416" s="244" t="s">
        <v>68</v>
      </c>
      <c r="KKN416" s="245" t="s">
        <v>68</v>
      </c>
      <c r="KKO416" s="1715" t="s">
        <v>0</v>
      </c>
      <c r="KKP416" s="1716"/>
      <c r="KKQ416" s="1716"/>
      <c r="KKR416" s="1716"/>
      <c r="KKS416" s="1716"/>
      <c r="KKT416" s="244"/>
      <c r="KKU416" s="244" t="s">
        <v>68</v>
      </c>
      <c r="KKV416" s="245" t="s">
        <v>68</v>
      </c>
      <c r="KKW416" s="1715" t="s">
        <v>0</v>
      </c>
      <c r="KKX416" s="1716"/>
      <c r="KKY416" s="1716"/>
      <c r="KKZ416" s="1716"/>
      <c r="KLA416" s="1716"/>
      <c r="KLB416" s="244"/>
      <c r="KLC416" s="244" t="s">
        <v>68</v>
      </c>
      <c r="KLD416" s="245" t="s">
        <v>68</v>
      </c>
      <c r="KLE416" s="1715" t="s">
        <v>0</v>
      </c>
      <c r="KLF416" s="1716"/>
      <c r="KLG416" s="1716"/>
      <c r="KLH416" s="1716"/>
      <c r="KLI416" s="1716"/>
      <c r="KLJ416" s="244"/>
      <c r="KLK416" s="244" t="s">
        <v>68</v>
      </c>
      <c r="KLL416" s="245" t="s">
        <v>68</v>
      </c>
      <c r="KLM416" s="1715" t="s">
        <v>0</v>
      </c>
      <c r="KLN416" s="1716"/>
      <c r="KLO416" s="1716"/>
      <c r="KLP416" s="1716"/>
      <c r="KLQ416" s="1716"/>
      <c r="KLR416" s="244"/>
      <c r="KLS416" s="244" t="s">
        <v>68</v>
      </c>
      <c r="KLT416" s="245" t="s">
        <v>68</v>
      </c>
      <c r="KLU416" s="1715" t="s">
        <v>0</v>
      </c>
      <c r="KLV416" s="1716"/>
      <c r="KLW416" s="1716"/>
      <c r="KLX416" s="1716"/>
      <c r="KLY416" s="1716"/>
      <c r="KLZ416" s="244"/>
      <c r="KMA416" s="244" t="s">
        <v>68</v>
      </c>
      <c r="KMB416" s="245" t="s">
        <v>68</v>
      </c>
      <c r="KMC416" s="1715" t="s">
        <v>0</v>
      </c>
      <c r="KMD416" s="1716"/>
      <c r="KME416" s="1716"/>
      <c r="KMF416" s="1716"/>
      <c r="KMG416" s="1716"/>
      <c r="KMH416" s="244"/>
      <c r="KMI416" s="244" t="s">
        <v>68</v>
      </c>
      <c r="KMJ416" s="245" t="s">
        <v>68</v>
      </c>
      <c r="KMK416" s="1715" t="s">
        <v>0</v>
      </c>
      <c r="KML416" s="1716"/>
      <c r="KMM416" s="1716"/>
      <c r="KMN416" s="1716"/>
      <c r="KMO416" s="1716"/>
      <c r="KMP416" s="244"/>
      <c r="KMQ416" s="244" t="s">
        <v>68</v>
      </c>
      <c r="KMR416" s="245" t="s">
        <v>68</v>
      </c>
      <c r="KMS416" s="1715" t="s">
        <v>0</v>
      </c>
      <c r="KMT416" s="1716"/>
      <c r="KMU416" s="1716"/>
      <c r="KMV416" s="1716"/>
      <c r="KMW416" s="1716"/>
      <c r="KMX416" s="244"/>
      <c r="KMY416" s="244" t="s">
        <v>68</v>
      </c>
      <c r="KMZ416" s="245" t="s">
        <v>68</v>
      </c>
      <c r="KNA416" s="1715" t="s">
        <v>0</v>
      </c>
      <c r="KNB416" s="1716"/>
      <c r="KNC416" s="1716"/>
      <c r="KND416" s="1716"/>
      <c r="KNE416" s="1716"/>
      <c r="KNF416" s="244"/>
      <c r="KNG416" s="244" t="s">
        <v>68</v>
      </c>
      <c r="KNH416" s="245" t="s">
        <v>68</v>
      </c>
      <c r="KNI416" s="1715" t="s">
        <v>0</v>
      </c>
      <c r="KNJ416" s="1716"/>
      <c r="KNK416" s="1716"/>
      <c r="KNL416" s="1716"/>
      <c r="KNM416" s="1716"/>
      <c r="KNN416" s="244"/>
      <c r="KNO416" s="244" t="s">
        <v>68</v>
      </c>
      <c r="KNP416" s="245" t="s">
        <v>68</v>
      </c>
      <c r="KNQ416" s="1715" t="s">
        <v>0</v>
      </c>
      <c r="KNR416" s="1716"/>
      <c r="KNS416" s="1716"/>
      <c r="KNT416" s="1716"/>
      <c r="KNU416" s="1716"/>
      <c r="KNV416" s="244"/>
      <c r="KNW416" s="244" t="s">
        <v>68</v>
      </c>
      <c r="KNX416" s="245" t="s">
        <v>68</v>
      </c>
      <c r="KNY416" s="1715" t="s">
        <v>0</v>
      </c>
      <c r="KNZ416" s="1716"/>
      <c r="KOA416" s="1716"/>
      <c r="KOB416" s="1716"/>
      <c r="KOC416" s="1716"/>
      <c r="KOD416" s="244"/>
      <c r="KOE416" s="244" t="s">
        <v>68</v>
      </c>
      <c r="KOF416" s="245" t="s">
        <v>68</v>
      </c>
      <c r="KOG416" s="1715" t="s">
        <v>0</v>
      </c>
      <c r="KOH416" s="1716"/>
      <c r="KOI416" s="1716"/>
      <c r="KOJ416" s="1716"/>
      <c r="KOK416" s="1716"/>
      <c r="KOL416" s="244"/>
      <c r="KOM416" s="244" t="s">
        <v>68</v>
      </c>
      <c r="KON416" s="245" t="s">
        <v>68</v>
      </c>
      <c r="KOO416" s="1715" t="s">
        <v>0</v>
      </c>
      <c r="KOP416" s="1716"/>
      <c r="KOQ416" s="1716"/>
      <c r="KOR416" s="1716"/>
      <c r="KOS416" s="1716"/>
      <c r="KOT416" s="244"/>
      <c r="KOU416" s="244" t="s">
        <v>68</v>
      </c>
      <c r="KOV416" s="245" t="s">
        <v>68</v>
      </c>
      <c r="KOW416" s="1715" t="s">
        <v>0</v>
      </c>
      <c r="KOX416" s="1716"/>
      <c r="KOY416" s="1716"/>
      <c r="KOZ416" s="1716"/>
      <c r="KPA416" s="1716"/>
      <c r="KPB416" s="244"/>
      <c r="KPC416" s="244" t="s">
        <v>68</v>
      </c>
      <c r="KPD416" s="245" t="s">
        <v>68</v>
      </c>
      <c r="KPE416" s="1715" t="s">
        <v>0</v>
      </c>
      <c r="KPF416" s="1716"/>
      <c r="KPG416" s="1716"/>
      <c r="KPH416" s="1716"/>
      <c r="KPI416" s="1716"/>
      <c r="KPJ416" s="244"/>
      <c r="KPK416" s="244" t="s">
        <v>68</v>
      </c>
      <c r="KPL416" s="245" t="s">
        <v>68</v>
      </c>
      <c r="KPM416" s="1715" t="s">
        <v>0</v>
      </c>
      <c r="KPN416" s="1716"/>
      <c r="KPO416" s="1716"/>
      <c r="KPP416" s="1716"/>
      <c r="KPQ416" s="1716"/>
      <c r="KPR416" s="244"/>
      <c r="KPS416" s="244" t="s">
        <v>68</v>
      </c>
      <c r="KPT416" s="245" t="s">
        <v>68</v>
      </c>
      <c r="KPU416" s="1715" t="s">
        <v>0</v>
      </c>
      <c r="KPV416" s="1716"/>
      <c r="KPW416" s="1716"/>
      <c r="KPX416" s="1716"/>
      <c r="KPY416" s="1716"/>
      <c r="KPZ416" s="244"/>
      <c r="KQA416" s="244" t="s">
        <v>68</v>
      </c>
      <c r="KQB416" s="245" t="s">
        <v>68</v>
      </c>
      <c r="KQC416" s="1715" t="s">
        <v>0</v>
      </c>
      <c r="KQD416" s="1716"/>
      <c r="KQE416" s="1716"/>
      <c r="KQF416" s="1716"/>
      <c r="KQG416" s="1716"/>
      <c r="KQH416" s="244"/>
      <c r="KQI416" s="244" t="s">
        <v>68</v>
      </c>
      <c r="KQJ416" s="245" t="s">
        <v>68</v>
      </c>
      <c r="KQK416" s="1715" t="s">
        <v>0</v>
      </c>
      <c r="KQL416" s="1716"/>
      <c r="KQM416" s="1716"/>
      <c r="KQN416" s="1716"/>
      <c r="KQO416" s="1716"/>
      <c r="KQP416" s="244"/>
      <c r="KQQ416" s="244" t="s">
        <v>68</v>
      </c>
      <c r="KQR416" s="245" t="s">
        <v>68</v>
      </c>
      <c r="KQS416" s="1715" t="s">
        <v>0</v>
      </c>
      <c r="KQT416" s="1716"/>
      <c r="KQU416" s="1716"/>
      <c r="KQV416" s="1716"/>
      <c r="KQW416" s="1716"/>
      <c r="KQX416" s="244"/>
      <c r="KQY416" s="244" t="s">
        <v>68</v>
      </c>
      <c r="KQZ416" s="245" t="s">
        <v>68</v>
      </c>
      <c r="KRA416" s="1715" t="s">
        <v>0</v>
      </c>
      <c r="KRB416" s="1716"/>
      <c r="KRC416" s="1716"/>
      <c r="KRD416" s="1716"/>
      <c r="KRE416" s="1716"/>
      <c r="KRF416" s="244"/>
      <c r="KRG416" s="244" t="s">
        <v>68</v>
      </c>
      <c r="KRH416" s="245" t="s">
        <v>68</v>
      </c>
      <c r="KRI416" s="1715" t="s">
        <v>0</v>
      </c>
      <c r="KRJ416" s="1716"/>
      <c r="KRK416" s="1716"/>
      <c r="KRL416" s="1716"/>
      <c r="KRM416" s="1716"/>
      <c r="KRN416" s="244"/>
      <c r="KRO416" s="244" t="s">
        <v>68</v>
      </c>
      <c r="KRP416" s="245" t="s">
        <v>68</v>
      </c>
      <c r="KRQ416" s="1715" t="s">
        <v>0</v>
      </c>
      <c r="KRR416" s="1716"/>
      <c r="KRS416" s="1716"/>
      <c r="KRT416" s="1716"/>
      <c r="KRU416" s="1716"/>
      <c r="KRV416" s="244"/>
      <c r="KRW416" s="244" t="s">
        <v>68</v>
      </c>
      <c r="KRX416" s="245" t="s">
        <v>68</v>
      </c>
      <c r="KRY416" s="1715" t="s">
        <v>0</v>
      </c>
      <c r="KRZ416" s="1716"/>
      <c r="KSA416" s="1716"/>
      <c r="KSB416" s="1716"/>
      <c r="KSC416" s="1716"/>
      <c r="KSD416" s="244"/>
      <c r="KSE416" s="244" t="s">
        <v>68</v>
      </c>
      <c r="KSF416" s="245" t="s">
        <v>68</v>
      </c>
      <c r="KSG416" s="1715" t="s">
        <v>0</v>
      </c>
      <c r="KSH416" s="1716"/>
      <c r="KSI416" s="1716"/>
      <c r="KSJ416" s="1716"/>
      <c r="KSK416" s="1716"/>
      <c r="KSL416" s="244"/>
      <c r="KSM416" s="244" t="s">
        <v>68</v>
      </c>
      <c r="KSN416" s="245" t="s">
        <v>68</v>
      </c>
      <c r="KSO416" s="1715" t="s">
        <v>0</v>
      </c>
      <c r="KSP416" s="1716"/>
      <c r="KSQ416" s="1716"/>
      <c r="KSR416" s="1716"/>
      <c r="KSS416" s="1716"/>
      <c r="KST416" s="244"/>
      <c r="KSU416" s="244" t="s">
        <v>68</v>
      </c>
      <c r="KSV416" s="245" t="s">
        <v>68</v>
      </c>
      <c r="KSW416" s="1715" t="s">
        <v>0</v>
      </c>
      <c r="KSX416" s="1716"/>
      <c r="KSY416" s="1716"/>
      <c r="KSZ416" s="1716"/>
      <c r="KTA416" s="1716"/>
      <c r="KTB416" s="244"/>
      <c r="KTC416" s="244" t="s">
        <v>68</v>
      </c>
      <c r="KTD416" s="245" t="s">
        <v>68</v>
      </c>
      <c r="KTE416" s="1715" t="s">
        <v>0</v>
      </c>
      <c r="KTF416" s="1716"/>
      <c r="KTG416" s="1716"/>
      <c r="KTH416" s="1716"/>
      <c r="KTI416" s="1716"/>
      <c r="KTJ416" s="244"/>
      <c r="KTK416" s="244" t="s">
        <v>68</v>
      </c>
      <c r="KTL416" s="245" t="s">
        <v>68</v>
      </c>
      <c r="KTM416" s="1715" t="s">
        <v>0</v>
      </c>
      <c r="KTN416" s="1716"/>
      <c r="KTO416" s="1716"/>
      <c r="KTP416" s="1716"/>
      <c r="KTQ416" s="1716"/>
      <c r="KTR416" s="244"/>
      <c r="KTS416" s="244" t="s">
        <v>68</v>
      </c>
      <c r="KTT416" s="245" t="s">
        <v>68</v>
      </c>
      <c r="KTU416" s="1715" t="s">
        <v>0</v>
      </c>
      <c r="KTV416" s="1716"/>
      <c r="KTW416" s="1716"/>
      <c r="KTX416" s="1716"/>
      <c r="KTY416" s="1716"/>
      <c r="KTZ416" s="244"/>
      <c r="KUA416" s="244" t="s">
        <v>68</v>
      </c>
      <c r="KUB416" s="245" t="s">
        <v>68</v>
      </c>
      <c r="KUC416" s="1715" t="s">
        <v>0</v>
      </c>
      <c r="KUD416" s="1716"/>
      <c r="KUE416" s="1716"/>
      <c r="KUF416" s="1716"/>
      <c r="KUG416" s="1716"/>
      <c r="KUH416" s="244"/>
      <c r="KUI416" s="244" t="s">
        <v>68</v>
      </c>
      <c r="KUJ416" s="245" t="s">
        <v>68</v>
      </c>
      <c r="KUK416" s="1715" t="s">
        <v>0</v>
      </c>
      <c r="KUL416" s="1716"/>
      <c r="KUM416" s="1716"/>
      <c r="KUN416" s="1716"/>
      <c r="KUO416" s="1716"/>
      <c r="KUP416" s="244"/>
      <c r="KUQ416" s="244" t="s">
        <v>68</v>
      </c>
      <c r="KUR416" s="245" t="s">
        <v>68</v>
      </c>
      <c r="KUS416" s="1715" t="s">
        <v>0</v>
      </c>
      <c r="KUT416" s="1716"/>
      <c r="KUU416" s="1716"/>
      <c r="KUV416" s="1716"/>
      <c r="KUW416" s="1716"/>
      <c r="KUX416" s="244"/>
      <c r="KUY416" s="244" t="s">
        <v>68</v>
      </c>
      <c r="KUZ416" s="245" t="s">
        <v>68</v>
      </c>
      <c r="KVA416" s="1715" t="s">
        <v>0</v>
      </c>
      <c r="KVB416" s="1716"/>
      <c r="KVC416" s="1716"/>
      <c r="KVD416" s="1716"/>
      <c r="KVE416" s="1716"/>
      <c r="KVF416" s="244"/>
      <c r="KVG416" s="244" t="s">
        <v>68</v>
      </c>
      <c r="KVH416" s="245" t="s">
        <v>68</v>
      </c>
      <c r="KVI416" s="1715" t="s">
        <v>0</v>
      </c>
      <c r="KVJ416" s="1716"/>
      <c r="KVK416" s="1716"/>
      <c r="KVL416" s="1716"/>
      <c r="KVM416" s="1716"/>
      <c r="KVN416" s="244"/>
      <c r="KVO416" s="244" t="s">
        <v>68</v>
      </c>
      <c r="KVP416" s="245" t="s">
        <v>68</v>
      </c>
      <c r="KVQ416" s="1715" t="s">
        <v>0</v>
      </c>
      <c r="KVR416" s="1716"/>
      <c r="KVS416" s="1716"/>
      <c r="KVT416" s="1716"/>
      <c r="KVU416" s="1716"/>
      <c r="KVV416" s="244"/>
      <c r="KVW416" s="244" t="s">
        <v>68</v>
      </c>
      <c r="KVX416" s="245" t="s">
        <v>68</v>
      </c>
      <c r="KVY416" s="1715" t="s">
        <v>0</v>
      </c>
      <c r="KVZ416" s="1716"/>
      <c r="KWA416" s="1716"/>
      <c r="KWB416" s="1716"/>
      <c r="KWC416" s="1716"/>
      <c r="KWD416" s="244"/>
      <c r="KWE416" s="244" t="s">
        <v>68</v>
      </c>
      <c r="KWF416" s="245" t="s">
        <v>68</v>
      </c>
      <c r="KWG416" s="1715" t="s">
        <v>0</v>
      </c>
      <c r="KWH416" s="1716"/>
      <c r="KWI416" s="1716"/>
      <c r="KWJ416" s="1716"/>
      <c r="KWK416" s="1716"/>
      <c r="KWL416" s="244"/>
      <c r="KWM416" s="244" t="s">
        <v>68</v>
      </c>
      <c r="KWN416" s="245" t="s">
        <v>68</v>
      </c>
      <c r="KWO416" s="1715" t="s">
        <v>0</v>
      </c>
      <c r="KWP416" s="1716"/>
      <c r="KWQ416" s="1716"/>
      <c r="KWR416" s="1716"/>
      <c r="KWS416" s="1716"/>
      <c r="KWT416" s="244"/>
      <c r="KWU416" s="244" t="s">
        <v>68</v>
      </c>
      <c r="KWV416" s="245" t="s">
        <v>68</v>
      </c>
      <c r="KWW416" s="1715" t="s">
        <v>0</v>
      </c>
      <c r="KWX416" s="1716"/>
      <c r="KWY416" s="1716"/>
      <c r="KWZ416" s="1716"/>
      <c r="KXA416" s="1716"/>
      <c r="KXB416" s="244"/>
      <c r="KXC416" s="244" t="s">
        <v>68</v>
      </c>
      <c r="KXD416" s="245" t="s">
        <v>68</v>
      </c>
      <c r="KXE416" s="1715" t="s">
        <v>0</v>
      </c>
      <c r="KXF416" s="1716"/>
      <c r="KXG416" s="1716"/>
      <c r="KXH416" s="1716"/>
      <c r="KXI416" s="1716"/>
      <c r="KXJ416" s="244"/>
      <c r="KXK416" s="244" t="s">
        <v>68</v>
      </c>
      <c r="KXL416" s="245" t="s">
        <v>68</v>
      </c>
      <c r="KXM416" s="1715" t="s">
        <v>0</v>
      </c>
      <c r="KXN416" s="1716"/>
      <c r="KXO416" s="1716"/>
      <c r="KXP416" s="1716"/>
      <c r="KXQ416" s="1716"/>
      <c r="KXR416" s="244"/>
      <c r="KXS416" s="244" t="s">
        <v>68</v>
      </c>
      <c r="KXT416" s="245" t="s">
        <v>68</v>
      </c>
      <c r="KXU416" s="1715" t="s">
        <v>0</v>
      </c>
      <c r="KXV416" s="1716"/>
      <c r="KXW416" s="1716"/>
      <c r="KXX416" s="1716"/>
      <c r="KXY416" s="1716"/>
      <c r="KXZ416" s="244"/>
      <c r="KYA416" s="244" t="s">
        <v>68</v>
      </c>
      <c r="KYB416" s="245" t="s">
        <v>68</v>
      </c>
      <c r="KYC416" s="1715" t="s">
        <v>0</v>
      </c>
      <c r="KYD416" s="1716"/>
      <c r="KYE416" s="1716"/>
      <c r="KYF416" s="1716"/>
      <c r="KYG416" s="1716"/>
      <c r="KYH416" s="244"/>
      <c r="KYI416" s="244" t="s">
        <v>68</v>
      </c>
      <c r="KYJ416" s="245" t="s">
        <v>68</v>
      </c>
      <c r="KYK416" s="1715" t="s">
        <v>0</v>
      </c>
      <c r="KYL416" s="1716"/>
      <c r="KYM416" s="1716"/>
      <c r="KYN416" s="1716"/>
      <c r="KYO416" s="1716"/>
      <c r="KYP416" s="244"/>
      <c r="KYQ416" s="244" t="s">
        <v>68</v>
      </c>
      <c r="KYR416" s="245" t="s">
        <v>68</v>
      </c>
      <c r="KYS416" s="1715" t="s">
        <v>0</v>
      </c>
      <c r="KYT416" s="1716"/>
      <c r="KYU416" s="1716"/>
      <c r="KYV416" s="1716"/>
      <c r="KYW416" s="1716"/>
      <c r="KYX416" s="244"/>
      <c r="KYY416" s="244" t="s">
        <v>68</v>
      </c>
      <c r="KYZ416" s="245" t="s">
        <v>68</v>
      </c>
      <c r="KZA416" s="1715" t="s">
        <v>0</v>
      </c>
      <c r="KZB416" s="1716"/>
      <c r="KZC416" s="1716"/>
      <c r="KZD416" s="1716"/>
      <c r="KZE416" s="1716"/>
      <c r="KZF416" s="244"/>
      <c r="KZG416" s="244" t="s">
        <v>68</v>
      </c>
      <c r="KZH416" s="245" t="s">
        <v>68</v>
      </c>
      <c r="KZI416" s="1715" t="s">
        <v>0</v>
      </c>
      <c r="KZJ416" s="1716"/>
      <c r="KZK416" s="1716"/>
      <c r="KZL416" s="1716"/>
      <c r="KZM416" s="1716"/>
      <c r="KZN416" s="244"/>
      <c r="KZO416" s="244" t="s">
        <v>68</v>
      </c>
      <c r="KZP416" s="245" t="s">
        <v>68</v>
      </c>
      <c r="KZQ416" s="1715" t="s">
        <v>0</v>
      </c>
      <c r="KZR416" s="1716"/>
      <c r="KZS416" s="1716"/>
      <c r="KZT416" s="1716"/>
      <c r="KZU416" s="1716"/>
      <c r="KZV416" s="244"/>
      <c r="KZW416" s="244" t="s">
        <v>68</v>
      </c>
      <c r="KZX416" s="245" t="s">
        <v>68</v>
      </c>
      <c r="KZY416" s="1715" t="s">
        <v>0</v>
      </c>
      <c r="KZZ416" s="1716"/>
      <c r="LAA416" s="1716"/>
      <c r="LAB416" s="1716"/>
      <c r="LAC416" s="1716"/>
      <c r="LAD416" s="244"/>
      <c r="LAE416" s="244" t="s">
        <v>68</v>
      </c>
      <c r="LAF416" s="245" t="s">
        <v>68</v>
      </c>
      <c r="LAG416" s="1715" t="s">
        <v>0</v>
      </c>
      <c r="LAH416" s="1716"/>
      <c r="LAI416" s="1716"/>
      <c r="LAJ416" s="1716"/>
      <c r="LAK416" s="1716"/>
      <c r="LAL416" s="244"/>
      <c r="LAM416" s="244" t="s">
        <v>68</v>
      </c>
      <c r="LAN416" s="245" t="s">
        <v>68</v>
      </c>
      <c r="LAO416" s="1715" t="s">
        <v>0</v>
      </c>
      <c r="LAP416" s="1716"/>
      <c r="LAQ416" s="1716"/>
      <c r="LAR416" s="1716"/>
      <c r="LAS416" s="1716"/>
      <c r="LAT416" s="244"/>
      <c r="LAU416" s="244" t="s">
        <v>68</v>
      </c>
      <c r="LAV416" s="245" t="s">
        <v>68</v>
      </c>
      <c r="LAW416" s="1715" t="s">
        <v>0</v>
      </c>
      <c r="LAX416" s="1716"/>
      <c r="LAY416" s="1716"/>
      <c r="LAZ416" s="1716"/>
      <c r="LBA416" s="1716"/>
      <c r="LBB416" s="244"/>
      <c r="LBC416" s="244" t="s">
        <v>68</v>
      </c>
      <c r="LBD416" s="245" t="s">
        <v>68</v>
      </c>
      <c r="LBE416" s="1715" t="s">
        <v>0</v>
      </c>
      <c r="LBF416" s="1716"/>
      <c r="LBG416" s="1716"/>
      <c r="LBH416" s="1716"/>
      <c r="LBI416" s="1716"/>
      <c r="LBJ416" s="244"/>
      <c r="LBK416" s="244" t="s">
        <v>68</v>
      </c>
      <c r="LBL416" s="245" t="s">
        <v>68</v>
      </c>
      <c r="LBM416" s="1715" t="s">
        <v>0</v>
      </c>
      <c r="LBN416" s="1716"/>
      <c r="LBO416" s="1716"/>
      <c r="LBP416" s="1716"/>
      <c r="LBQ416" s="1716"/>
      <c r="LBR416" s="244"/>
      <c r="LBS416" s="244" t="s">
        <v>68</v>
      </c>
      <c r="LBT416" s="245" t="s">
        <v>68</v>
      </c>
      <c r="LBU416" s="1715" t="s">
        <v>0</v>
      </c>
      <c r="LBV416" s="1716"/>
      <c r="LBW416" s="1716"/>
      <c r="LBX416" s="1716"/>
      <c r="LBY416" s="1716"/>
      <c r="LBZ416" s="244"/>
      <c r="LCA416" s="244" t="s">
        <v>68</v>
      </c>
      <c r="LCB416" s="245" t="s">
        <v>68</v>
      </c>
      <c r="LCC416" s="1715" t="s">
        <v>0</v>
      </c>
      <c r="LCD416" s="1716"/>
      <c r="LCE416" s="1716"/>
      <c r="LCF416" s="1716"/>
      <c r="LCG416" s="1716"/>
      <c r="LCH416" s="244"/>
      <c r="LCI416" s="244" t="s">
        <v>68</v>
      </c>
      <c r="LCJ416" s="245" t="s">
        <v>68</v>
      </c>
      <c r="LCK416" s="1715" t="s">
        <v>0</v>
      </c>
      <c r="LCL416" s="1716"/>
      <c r="LCM416" s="1716"/>
      <c r="LCN416" s="1716"/>
      <c r="LCO416" s="1716"/>
      <c r="LCP416" s="244"/>
      <c r="LCQ416" s="244" t="s">
        <v>68</v>
      </c>
      <c r="LCR416" s="245" t="s">
        <v>68</v>
      </c>
      <c r="LCS416" s="1715" t="s">
        <v>0</v>
      </c>
      <c r="LCT416" s="1716"/>
      <c r="LCU416" s="1716"/>
      <c r="LCV416" s="1716"/>
      <c r="LCW416" s="1716"/>
      <c r="LCX416" s="244"/>
      <c r="LCY416" s="244" t="s">
        <v>68</v>
      </c>
      <c r="LCZ416" s="245" t="s">
        <v>68</v>
      </c>
      <c r="LDA416" s="1715" t="s">
        <v>0</v>
      </c>
      <c r="LDB416" s="1716"/>
      <c r="LDC416" s="1716"/>
      <c r="LDD416" s="1716"/>
      <c r="LDE416" s="1716"/>
      <c r="LDF416" s="244"/>
      <c r="LDG416" s="244" t="s">
        <v>68</v>
      </c>
      <c r="LDH416" s="245" t="s">
        <v>68</v>
      </c>
      <c r="LDI416" s="1715" t="s">
        <v>0</v>
      </c>
      <c r="LDJ416" s="1716"/>
      <c r="LDK416" s="1716"/>
      <c r="LDL416" s="1716"/>
      <c r="LDM416" s="1716"/>
      <c r="LDN416" s="244"/>
      <c r="LDO416" s="244" t="s">
        <v>68</v>
      </c>
      <c r="LDP416" s="245" t="s">
        <v>68</v>
      </c>
      <c r="LDQ416" s="1715" t="s">
        <v>0</v>
      </c>
      <c r="LDR416" s="1716"/>
      <c r="LDS416" s="1716"/>
      <c r="LDT416" s="1716"/>
      <c r="LDU416" s="1716"/>
      <c r="LDV416" s="244"/>
      <c r="LDW416" s="244" t="s">
        <v>68</v>
      </c>
      <c r="LDX416" s="245" t="s">
        <v>68</v>
      </c>
      <c r="LDY416" s="1715" t="s">
        <v>0</v>
      </c>
      <c r="LDZ416" s="1716"/>
      <c r="LEA416" s="1716"/>
      <c r="LEB416" s="1716"/>
      <c r="LEC416" s="1716"/>
      <c r="LED416" s="244"/>
      <c r="LEE416" s="244" t="s">
        <v>68</v>
      </c>
      <c r="LEF416" s="245" t="s">
        <v>68</v>
      </c>
      <c r="LEG416" s="1715" t="s">
        <v>0</v>
      </c>
      <c r="LEH416" s="1716"/>
      <c r="LEI416" s="1716"/>
      <c r="LEJ416" s="1716"/>
      <c r="LEK416" s="1716"/>
      <c r="LEL416" s="244"/>
      <c r="LEM416" s="244" t="s">
        <v>68</v>
      </c>
      <c r="LEN416" s="245" t="s">
        <v>68</v>
      </c>
      <c r="LEO416" s="1715" t="s">
        <v>0</v>
      </c>
      <c r="LEP416" s="1716"/>
      <c r="LEQ416" s="1716"/>
      <c r="LER416" s="1716"/>
      <c r="LES416" s="1716"/>
      <c r="LET416" s="244"/>
      <c r="LEU416" s="244" t="s">
        <v>68</v>
      </c>
      <c r="LEV416" s="245" t="s">
        <v>68</v>
      </c>
      <c r="LEW416" s="1715" t="s">
        <v>0</v>
      </c>
      <c r="LEX416" s="1716"/>
      <c r="LEY416" s="1716"/>
      <c r="LEZ416" s="1716"/>
      <c r="LFA416" s="1716"/>
      <c r="LFB416" s="244"/>
      <c r="LFC416" s="244" t="s">
        <v>68</v>
      </c>
      <c r="LFD416" s="245" t="s">
        <v>68</v>
      </c>
      <c r="LFE416" s="1715" t="s">
        <v>0</v>
      </c>
      <c r="LFF416" s="1716"/>
      <c r="LFG416" s="1716"/>
      <c r="LFH416" s="1716"/>
      <c r="LFI416" s="1716"/>
      <c r="LFJ416" s="244"/>
      <c r="LFK416" s="244" t="s">
        <v>68</v>
      </c>
      <c r="LFL416" s="245" t="s">
        <v>68</v>
      </c>
      <c r="LFM416" s="1715" t="s">
        <v>0</v>
      </c>
      <c r="LFN416" s="1716"/>
      <c r="LFO416" s="1716"/>
      <c r="LFP416" s="1716"/>
      <c r="LFQ416" s="1716"/>
      <c r="LFR416" s="244"/>
      <c r="LFS416" s="244" t="s">
        <v>68</v>
      </c>
      <c r="LFT416" s="245" t="s">
        <v>68</v>
      </c>
      <c r="LFU416" s="1715" t="s">
        <v>0</v>
      </c>
      <c r="LFV416" s="1716"/>
      <c r="LFW416" s="1716"/>
      <c r="LFX416" s="1716"/>
      <c r="LFY416" s="1716"/>
      <c r="LFZ416" s="244"/>
      <c r="LGA416" s="244" t="s">
        <v>68</v>
      </c>
      <c r="LGB416" s="245" t="s">
        <v>68</v>
      </c>
      <c r="LGC416" s="1715" t="s">
        <v>0</v>
      </c>
      <c r="LGD416" s="1716"/>
      <c r="LGE416" s="1716"/>
      <c r="LGF416" s="1716"/>
      <c r="LGG416" s="1716"/>
      <c r="LGH416" s="244"/>
      <c r="LGI416" s="244" t="s">
        <v>68</v>
      </c>
      <c r="LGJ416" s="245" t="s">
        <v>68</v>
      </c>
      <c r="LGK416" s="1715" t="s">
        <v>0</v>
      </c>
      <c r="LGL416" s="1716"/>
      <c r="LGM416" s="1716"/>
      <c r="LGN416" s="1716"/>
      <c r="LGO416" s="1716"/>
      <c r="LGP416" s="244"/>
      <c r="LGQ416" s="244" t="s">
        <v>68</v>
      </c>
      <c r="LGR416" s="245" t="s">
        <v>68</v>
      </c>
      <c r="LGS416" s="1715" t="s">
        <v>0</v>
      </c>
      <c r="LGT416" s="1716"/>
      <c r="LGU416" s="1716"/>
      <c r="LGV416" s="1716"/>
      <c r="LGW416" s="1716"/>
      <c r="LGX416" s="244"/>
      <c r="LGY416" s="244" t="s">
        <v>68</v>
      </c>
      <c r="LGZ416" s="245" t="s">
        <v>68</v>
      </c>
      <c r="LHA416" s="1715" t="s">
        <v>0</v>
      </c>
      <c r="LHB416" s="1716"/>
      <c r="LHC416" s="1716"/>
      <c r="LHD416" s="1716"/>
      <c r="LHE416" s="1716"/>
      <c r="LHF416" s="244"/>
      <c r="LHG416" s="244" t="s">
        <v>68</v>
      </c>
      <c r="LHH416" s="245" t="s">
        <v>68</v>
      </c>
      <c r="LHI416" s="1715" t="s">
        <v>0</v>
      </c>
      <c r="LHJ416" s="1716"/>
      <c r="LHK416" s="1716"/>
      <c r="LHL416" s="1716"/>
      <c r="LHM416" s="1716"/>
      <c r="LHN416" s="244"/>
      <c r="LHO416" s="244" t="s">
        <v>68</v>
      </c>
      <c r="LHP416" s="245" t="s">
        <v>68</v>
      </c>
      <c r="LHQ416" s="1715" t="s">
        <v>0</v>
      </c>
      <c r="LHR416" s="1716"/>
      <c r="LHS416" s="1716"/>
      <c r="LHT416" s="1716"/>
      <c r="LHU416" s="1716"/>
      <c r="LHV416" s="244"/>
      <c r="LHW416" s="244" t="s">
        <v>68</v>
      </c>
      <c r="LHX416" s="245" t="s">
        <v>68</v>
      </c>
      <c r="LHY416" s="1715" t="s">
        <v>0</v>
      </c>
      <c r="LHZ416" s="1716"/>
      <c r="LIA416" s="1716"/>
      <c r="LIB416" s="1716"/>
      <c r="LIC416" s="1716"/>
      <c r="LID416" s="244"/>
      <c r="LIE416" s="244" t="s">
        <v>68</v>
      </c>
      <c r="LIF416" s="245" t="s">
        <v>68</v>
      </c>
      <c r="LIG416" s="1715" t="s">
        <v>0</v>
      </c>
      <c r="LIH416" s="1716"/>
      <c r="LII416" s="1716"/>
      <c r="LIJ416" s="1716"/>
      <c r="LIK416" s="1716"/>
      <c r="LIL416" s="244"/>
      <c r="LIM416" s="244" t="s">
        <v>68</v>
      </c>
      <c r="LIN416" s="245" t="s">
        <v>68</v>
      </c>
      <c r="LIO416" s="1715" t="s">
        <v>0</v>
      </c>
      <c r="LIP416" s="1716"/>
      <c r="LIQ416" s="1716"/>
      <c r="LIR416" s="1716"/>
      <c r="LIS416" s="1716"/>
      <c r="LIT416" s="244"/>
      <c r="LIU416" s="244" t="s">
        <v>68</v>
      </c>
      <c r="LIV416" s="245" t="s">
        <v>68</v>
      </c>
      <c r="LIW416" s="1715" t="s">
        <v>0</v>
      </c>
      <c r="LIX416" s="1716"/>
      <c r="LIY416" s="1716"/>
      <c r="LIZ416" s="1716"/>
      <c r="LJA416" s="1716"/>
      <c r="LJB416" s="244"/>
      <c r="LJC416" s="244" t="s">
        <v>68</v>
      </c>
      <c r="LJD416" s="245" t="s">
        <v>68</v>
      </c>
      <c r="LJE416" s="1715" t="s">
        <v>0</v>
      </c>
      <c r="LJF416" s="1716"/>
      <c r="LJG416" s="1716"/>
      <c r="LJH416" s="1716"/>
      <c r="LJI416" s="1716"/>
      <c r="LJJ416" s="244"/>
      <c r="LJK416" s="244" t="s">
        <v>68</v>
      </c>
      <c r="LJL416" s="245" t="s">
        <v>68</v>
      </c>
      <c r="LJM416" s="1715" t="s">
        <v>0</v>
      </c>
      <c r="LJN416" s="1716"/>
      <c r="LJO416" s="1716"/>
      <c r="LJP416" s="1716"/>
      <c r="LJQ416" s="1716"/>
      <c r="LJR416" s="244"/>
      <c r="LJS416" s="244" t="s">
        <v>68</v>
      </c>
      <c r="LJT416" s="245" t="s">
        <v>68</v>
      </c>
      <c r="LJU416" s="1715" t="s">
        <v>0</v>
      </c>
      <c r="LJV416" s="1716"/>
      <c r="LJW416" s="1716"/>
      <c r="LJX416" s="1716"/>
      <c r="LJY416" s="1716"/>
      <c r="LJZ416" s="244"/>
      <c r="LKA416" s="244" t="s">
        <v>68</v>
      </c>
      <c r="LKB416" s="245" t="s">
        <v>68</v>
      </c>
      <c r="LKC416" s="1715" t="s">
        <v>0</v>
      </c>
      <c r="LKD416" s="1716"/>
      <c r="LKE416" s="1716"/>
      <c r="LKF416" s="1716"/>
      <c r="LKG416" s="1716"/>
      <c r="LKH416" s="244"/>
      <c r="LKI416" s="244" t="s">
        <v>68</v>
      </c>
      <c r="LKJ416" s="245" t="s">
        <v>68</v>
      </c>
      <c r="LKK416" s="1715" t="s">
        <v>0</v>
      </c>
      <c r="LKL416" s="1716"/>
      <c r="LKM416" s="1716"/>
      <c r="LKN416" s="1716"/>
      <c r="LKO416" s="1716"/>
      <c r="LKP416" s="244"/>
      <c r="LKQ416" s="244" t="s">
        <v>68</v>
      </c>
      <c r="LKR416" s="245" t="s">
        <v>68</v>
      </c>
      <c r="LKS416" s="1715" t="s">
        <v>0</v>
      </c>
      <c r="LKT416" s="1716"/>
      <c r="LKU416" s="1716"/>
      <c r="LKV416" s="1716"/>
      <c r="LKW416" s="1716"/>
      <c r="LKX416" s="244"/>
      <c r="LKY416" s="244" t="s">
        <v>68</v>
      </c>
      <c r="LKZ416" s="245" t="s">
        <v>68</v>
      </c>
      <c r="LLA416" s="1715" t="s">
        <v>0</v>
      </c>
      <c r="LLB416" s="1716"/>
      <c r="LLC416" s="1716"/>
      <c r="LLD416" s="1716"/>
      <c r="LLE416" s="1716"/>
      <c r="LLF416" s="244"/>
      <c r="LLG416" s="244" t="s">
        <v>68</v>
      </c>
      <c r="LLH416" s="245" t="s">
        <v>68</v>
      </c>
      <c r="LLI416" s="1715" t="s">
        <v>0</v>
      </c>
      <c r="LLJ416" s="1716"/>
      <c r="LLK416" s="1716"/>
      <c r="LLL416" s="1716"/>
      <c r="LLM416" s="1716"/>
      <c r="LLN416" s="244"/>
      <c r="LLO416" s="244" t="s">
        <v>68</v>
      </c>
      <c r="LLP416" s="245" t="s">
        <v>68</v>
      </c>
      <c r="LLQ416" s="1715" t="s">
        <v>0</v>
      </c>
      <c r="LLR416" s="1716"/>
      <c r="LLS416" s="1716"/>
      <c r="LLT416" s="1716"/>
      <c r="LLU416" s="1716"/>
      <c r="LLV416" s="244"/>
      <c r="LLW416" s="244" t="s">
        <v>68</v>
      </c>
      <c r="LLX416" s="245" t="s">
        <v>68</v>
      </c>
      <c r="LLY416" s="1715" t="s">
        <v>0</v>
      </c>
      <c r="LLZ416" s="1716"/>
      <c r="LMA416" s="1716"/>
      <c r="LMB416" s="1716"/>
      <c r="LMC416" s="1716"/>
      <c r="LMD416" s="244"/>
      <c r="LME416" s="244" t="s">
        <v>68</v>
      </c>
      <c r="LMF416" s="245" t="s">
        <v>68</v>
      </c>
      <c r="LMG416" s="1715" t="s">
        <v>0</v>
      </c>
      <c r="LMH416" s="1716"/>
      <c r="LMI416" s="1716"/>
      <c r="LMJ416" s="1716"/>
      <c r="LMK416" s="1716"/>
      <c r="LML416" s="244"/>
      <c r="LMM416" s="244" t="s">
        <v>68</v>
      </c>
      <c r="LMN416" s="245" t="s">
        <v>68</v>
      </c>
      <c r="LMO416" s="1715" t="s">
        <v>0</v>
      </c>
      <c r="LMP416" s="1716"/>
      <c r="LMQ416" s="1716"/>
      <c r="LMR416" s="1716"/>
      <c r="LMS416" s="1716"/>
      <c r="LMT416" s="244"/>
      <c r="LMU416" s="244" t="s">
        <v>68</v>
      </c>
      <c r="LMV416" s="245" t="s">
        <v>68</v>
      </c>
      <c r="LMW416" s="1715" t="s">
        <v>0</v>
      </c>
      <c r="LMX416" s="1716"/>
      <c r="LMY416" s="1716"/>
      <c r="LMZ416" s="1716"/>
      <c r="LNA416" s="1716"/>
      <c r="LNB416" s="244"/>
      <c r="LNC416" s="244" t="s">
        <v>68</v>
      </c>
      <c r="LND416" s="245" t="s">
        <v>68</v>
      </c>
      <c r="LNE416" s="1715" t="s">
        <v>0</v>
      </c>
      <c r="LNF416" s="1716"/>
      <c r="LNG416" s="1716"/>
      <c r="LNH416" s="1716"/>
      <c r="LNI416" s="1716"/>
      <c r="LNJ416" s="244"/>
      <c r="LNK416" s="244" t="s">
        <v>68</v>
      </c>
      <c r="LNL416" s="245" t="s">
        <v>68</v>
      </c>
      <c r="LNM416" s="1715" t="s">
        <v>0</v>
      </c>
      <c r="LNN416" s="1716"/>
      <c r="LNO416" s="1716"/>
      <c r="LNP416" s="1716"/>
      <c r="LNQ416" s="1716"/>
      <c r="LNR416" s="244"/>
      <c r="LNS416" s="244" t="s">
        <v>68</v>
      </c>
      <c r="LNT416" s="245" t="s">
        <v>68</v>
      </c>
      <c r="LNU416" s="1715" t="s">
        <v>0</v>
      </c>
      <c r="LNV416" s="1716"/>
      <c r="LNW416" s="1716"/>
      <c r="LNX416" s="1716"/>
      <c r="LNY416" s="1716"/>
      <c r="LNZ416" s="244"/>
      <c r="LOA416" s="244" t="s">
        <v>68</v>
      </c>
      <c r="LOB416" s="245" t="s">
        <v>68</v>
      </c>
      <c r="LOC416" s="1715" t="s">
        <v>0</v>
      </c>
      <c r="LOD416" s="1716"/>
      <c r="LOE416" s="1716"/>
      <c r="LOF416" s="1716"/>
      <c r="LOG416" s="1716"/>
      <c r="LOH416" s="244"/>
      <c r="LOI416" s="244" t="s">
        <v>68</v>
      </c>
      <c r="LOJ416" s="245" t="s">
        <v>68</v>
      </c>
      <c r="LOK416" s="1715" t="s">
        <v>0</v>
      </c>
      <c r="LOL416" s="1716"/>
      <c r="LOM416" s="1716"/>
      <c r="LON416" s="1716"/>
      <c r="LOO416" s="1716"/>
      <c r="LOP416" s="244"/>
      <c r="LOQ416" s="244" t="s">
        <v>68</v>
      </c>
      <c r="LOR416" s="245" t="s">
        <v>68</v>
      </c>
      <c r="LOS416" s="1715" t="s">
        <v>0</v>
      </c>
      <c r="LOT416" s="1716"/>
      <c r="LOU416" s="1716"/>
      <c r="LOV416" s="1716"/>
      <c r="LOW416" s="1716"/>
      <c r="LOX416" s="244"/>
      <c r="LOY416" s="244" t="s">
        <v>68</v>
      </c>
      <c r="LOZ416" s="245" t="s">
        <v>68</v>
      </c>
      <c r="LPA416" s="1715" t="s">
        <v>0</v>
      </c>
      <c r="LPB416" s="1716"/>
      <c r="LPC416" s="1716"/>
      <c r="LPD416" s="1716"/>
      <c r="LPE416" s="1716"/>
      <c r="LPF416" s="244"/>
      <c r="LPG416" s="244" t="s">
        <v>68</v>
      </c>
      <c r="LPH416" s="245" t="s">
        <v>68</v>
      </c>
      <c r="LPI416" s="1715" t="s">
        <v>0</v>
      </c>
      <c r="LPJ416" s="1716"/>
      <c r="LPK416" s="1716"/>
      <c r="LPL416" s="1716"/>
      <c r="LPM416" s="1716"/>
      <c r="LPN416" s="244"/>
      <c r="LPO416" s="244" t="s">
        <v>68</v>
      </c>
      <c r="LPP416" s="245" t="s">
        <v>68</v>
      </c>
      <c r="LPQ416" s="1715" t="s">
        <v>0</v>
      </c>
      <c r="LPR416" s="1716"/>
      <c r="LPS416" s="1716"/>
      <c r="LPT416" s="1716"/>
      <c r="LPU416" s="1716"/>
      <c r="LPV416" s="244"/>
      <c r="LPW416" s="244" t="s">
        <v>68</v>
      </c>
      <c r="LPX416" s="245" t="s">
        <v>68</v>
      </c>
      <c r="LPY416" s="1715" t="s">
        <v>0</v>
      </c>
      <c r="LPZ416" s="1716"/>
      <c r="LQA416" s="1716"/>
      <c r="LQB416" s="1716"/>
      <c r="LQC416" s="1716"/>
      <c r="LQD416" s="244"/>
      <c r="LQE416" s="244" t="s">
        <v>68</v>
      </c>
      <c r="LQF416" s="245" t="s">
        <v>68</v>
      </c>
      <c r="LQG416" s="1715" t="s">
        <v>0</v>
      </c>
      <c r="LQH416" s="1716"/>
      <c r="LQI416" s="1716"/>
      <c r="LQJ416" s="1716"/>
      <c r="LQK416" s="1716"/>
      <c r="LQL416" s="244"/>
      <c r="LQM416" s="244" t="s">
        <v>68</v>
      </c>
      <c r="LQN416" s="245" t="s">
        <v>68</v>
      </c>
      <c r="LQO416" s="1715" t="s">
        <v>0</v>
      </c>
      <c r="LQP416" s="1716"/>
      <c r="LQQ416" s="1716"/>
      <c r="LQR416" s="1716"/>
      <c r="LQS416" s="1716"/>
      <c r="LQT416" s="244"/>
      <c r="LQU416" s="244" t="s">
        <v>68</v>
      </c>
      <c r="LQV416" s="245" t="s">
        <v>68</v>
      </c>
      <c r="LQW416" s="1715" t="s">
        <v>0</v>
      </c>
      <c r="LQX416" s="1716"/>
      <c r="LQY416" s="1716"/>
      <c r="LQZ416" s="1716"/>
      <c r="LRA416" s="1716"/>
      <c r="LRB416" s="244"/>
      <c r="LRC416" s="244" t="s">
        <v>68</v>
      </c>
      <c r="LRD416" s="245" t="s">
        <v>68</v>
      </c>
      <c r="LRE416" s="1715" t="s">
        <v>0</v>
      </c>
      <c r="LRF416" s="1716"/>
      <c r="LRG416" s="1716"/>
      <c r="LRH416" s="1716"/>
      <c r="LRI416" s="1716"/>
      <c r="LRJ416" s="244"/>
      <c r="LRK416" s="244" t="s">
        <v>68</v>
      </c>
      <c r="LRL416" s="245" t="s">
        <v>68</v>
      </c>
      <c r="LRM416" s="1715" t="s">
        <v>0</v>
      </c>
      <c r="LRN416" s="1716"/>
      <c r="LRO416" s="1716"/>
      <c r="LRP416" s="1716"/>
      <c r="LRQ416" s="1716"/>
      <c r="LRR416" s="244"/>
      <c r="LRS416" s="244" t="s">
        <v>68</v>
      </c>
      <c r="LRT416" s="245" t="s">
        <v>68</v>
      </c>
      <c r="LRU416" s="1715" t="s">
        <v>0</v>
      </c>
      <c r="LRV416" s="1716"/>
      <c r="LRW416" s="1716"/>
      <c r="LRX416" s="1716"/>
      <c r="LRY416" s="1716"/>
      <c r="LRZ416" s="244"/>
      <c r="LSA416" s="244" t="s">
        <v>68</v>
      </c>
      <c r="LSB416" s="245" t="s">
        <v>68</v>
      </c>
      <c r="LSC416" s="1715" t="s">
        <v>0</v>
      </c>
      <c r="LSD416" s="1716"/>
      <c r="LSE416" s="1716"/>
      <c r="LSF416" s="1716"/>
      <c r="LSG416" s="1716"/>
      <c r="LSH416" s="244"/>
      <c r="LSI416" s="244" t="s">
        <v>68</v>
      </c>
      <c r="LSJ416" s="245" t="s">
        <v>68</v>
      </c>
      <c r="LSK416" s="1715" t="s">
        <v>0</v>
      </c>
      <c r="LSL416" s="1716"/>
      <c r="LSM416" s="1716"/>
      <c r="LSN416" s="1716"/>
      <c r="LSO416" s="1716"/>
      <c r="LSP416" s="244"/>
      <c r="LSQ416" s="244" t="s">
        <v>68</v>
      </c>
      <c r="LSR416" s="245" t="s">
        <v>68</v>
      </c>
      <c r="LSS416" s="1715" t="s">
        <v>0</v>
      </c>
      <c r="LST416" s="1716"/>
      <c r="LSU416" s="1716"/>
      <c r="LSV416" s="1716"/>
      <c r="LSW416" s="1716"/>
      <c r="LSX416" s="244"/>
      <c r="LSY416" s="244" t="s">
        <v>68</v>
      </c>
      <c r="LSZ416" s="245" t="s">
        <v>68</v>
      </c>
      <c r="LTA416" s="1715" t="s">
        <v>0</v>
      </c>
      <c r="LTB416" s="1716"/>
      <c r="LTC416" s="1716"/>
      <c r="LTD416" s="1716"/>
      <c r="LTE416" s="1716"/>
      <c r="LTF416" s="244"/>
      <c r="LTG416" s="244" t="s">
        <v>68</v>
      </c>
      <c r="LTH416" s="245" t="s">
        <v>68</v>
      </c>
      <c r="LTI416" s="1715" t="s">
        <v>0</v>
      </c>
      <c r="LTJ416" s="1716"/>
      <c r="LTK416" s="1716"/>
      <c r="LTL416" s="1716"/>
      <c r="LTM416" s="1716"/>
      <c r="LTN416" s="244"/>
      <c r="LTO416" s="244" t="s">
        <v>68</v>
      </c>
      <c r="LTP416" s="245" t="s">
        <v>68</v>
      </c>
      <c r="LTQ416" s="1715" t="s">
        <v>0</v>
      </c>
      <c r="LTR416" s="1716"/>
      <c r="LTS416" s="1716"/>
      <c r="LTT416" s="1716"/>
      <c r="LTU416" s="1716"/>
      <c r="LTV416" s="244"/>
      <c r="LTW416" s="244" t="s">
        <v>68</v>
      </c>
      <c r="LTX416" s="245" t="s">
        <v>68</v>
      </c>
      <c r="LTY416" s="1715" t="s">
        <v>0</v>
      </c>
      <c r="LTZ416" s="1716"/>
      <c r="LUA416" s="1716"/>
      <c r="LUB416" s="1716"/>
      <c r="LUC416" s="1716"/>
      <c r="LUD416" s="244"/>
      <c r="LUE416" s="244" t="s">
        <v>68</v>
      </c>
      <c r="LUF416" s="245" t="s">
        <v>68</v>
      </c>
      <c r="LUG416" s="1715" t="s">
        <v>0</v>
      </c>
      <c r="LUH416" s="1716"/>
      <c r="LUI416" s="1716"/>
      <c r="LUJ416" s="1716"/>
      <c r="LUK416" s="1716"/>
      <c r="LUL416" s="244"/>
      <c r="LUM416" s="244" t="s">
        <v>68</v>
      </c>
      <c r="LUN416" s="245" t="s">
        <v>68</v>
      </c>
      <c r="LUO416" s="1715" t="s">
        <v>0</v>
      </c>
      <c r="LUP416" s="1716"/>
      <c r="LUQ416" s="1716"/>
      <c r="LUR416" s="1716"/>
      <c r="LUS416" s="1716"/>
      <c r="LUT416" s="244"/>
      <c r="LUU416" s="244" t="s">
        <v>68</v>
      </c>
      <c r="LUV416" s="245" t="s">
        <v>68</v>
      </c>
      <c r="LUW416" s="1715" t="s">
        <v>0</v>
      </c>
      <c r="LUX416" s="1716"/>
      <c r="LUY416" s="1716"/>
      <c r="LUZ416" s="1716"/>
      <c r="LVA416" s="1716"/>
      <c r="LVB416" s="244"/>
      <c r="LVC416" s="244" t="s">
        <v>68</v>
      </c>
      <c r="LVD416" s="245" t="s">
        <v>68</v>
      </c>
      <c r="LVE416" s="1715" t="s">
        <v>0</v>
      </c>
      <c r="LVF416" s="1716"/>
      <c r="LVG416" s="1716"/>
      <c r="LVH416" s="1716"/>
      <c r="LVI416" s="1716"/>
      <c r="LVJ416" s="244"/>
      <c r="LVK416" s="244" t="s">
        <v>68</v>
      </c>
      <c r="LVL416" s="245" t="s">
        <v>68</v>
      </c>
      <c r="LVM416" s="1715" t="s">
        <v>0</v>
      </c>
      <c r="LVN416" s="1716"/>
      <c r="LVO416" s="1716"/>
      <c r="LVP416" s="1716"/>
      <c r="LVQ416" s="1716"/>
      <c r="LVR416" s="244"/>
      <c r="LVS416" s="244" t="s">
        <v>68</v>
      </c>
      <c r="LVT416" s="245" t="s">
        <v>68</v>
      </c>
      <c r="LVU416" s="1715" t="s">
        <v>0</v>
      </c>
      <c r="LVV416" s="1716"/>
      <c r="LVW416" s="1716"/>
      <c r="LVX416" s="1716"/>
      <c r="LVY416" s="1716"/>
      <c r="LVZ416" s="244"/>
      <c r="LWA416" s="244" t="s">
        <v>68</v>
      </c>
      <c r="LWB416" s="245" t="s">
        <v>68</v>
      </c>
      <c r="LWC416" s="1715" t="s">
        <v>0</v>
      </c>
      <c r="LWD416" s="1716"/>
      <c r="LWE416" s="1716"/>
      <c r="LWF416" s="1716"/>
      <c r="LWG416" s="1716"/>
      <c r="LWH416" s="244"/>
      <c r="LWI416" s="244" t="s">
        <v>68</v>
      </c>
      <c r="LWJ416" s="245" t="s">
        <v>68</v>
      </c>
      <c r="LWK416" s="1715" t="s">
        <v>0</v>
      </c>
      <c r="LWL416" s="1716"/>
      <c r="LWM416" s="1716"/>
      <c r="LWN416" s="1716"/>
      <c r="LWO416" s="1716"/>
      <c r="LWP416" s="244"/>
      <c r="LWQ416" s="244" t="s">
        <v>68</v>
      </c>
      <c r="LWR416" s="245" t="s">
        <v>68</v>
      </c>
      <c r="LWS416" s="1715" t="s">
        <v>0</v>
      </c>
      <c r="LWT416" s="1716"/>
      <c r="LWU416" s="1716"/>
      <c r="LWV416" s="1716"/>
      <c r="LWW416" s="1716"/>
      <c r="LWX416" s="244"/>
      <c r="LWY416" s="244" t="s">
        <v>68</v>
      </c>
      <c r="LWZ416" s="245" t="s">
        <v>68</v>
      </c>
      <c r="LXA416" s="1715" t="s">
        <v>0</v>
      </c>
      <c r="LXB416" s="1716"/>
      <c r="LXC416" s="1716"/>
      <c r="LXD416" s="1716"/>
      <c r="LXE416" s="1716"/>
      <c r="LXF416" s="244"/>
      <c r="LXG416" s="244" t="s">
        <v>68</v>
      </c>
      <c r="LXH416" s="245" t="s">
        <v>68</v>
      </c>
      <c r="LXI416" s="1715" t="s">
        <v>0</v>
      </c>
      <c r="LXJ416" s="1716"/>
      <c r="LXK416" s="1716"/>
      <c r="LXL416" s="1716"/>
      <c r="LXM416" s="1716"/>
      <c r="LXN416" s="244"/>
      <c r="LXO416" s="244" t="s">
        <v>68</v>
      </c>
      <c r="LXP416" s="245" t="s">
        <v>68</v>
      </c>
      <c r="LXQ416" s="1715" t="s">
        <v>0</v>
      </c>
      <c r="LXR416" s="1716"/>
      <c r="LXS416" s="1716"/>
      <c r="LXT416" s="1716"/>
      <c r="LXU416" s="1716"/>
      <c r="LXV416" s="244"/>
      <c r="LXW416" s="244" t="s">
        <v>68</v>
      </c>
      <c r="LXX416" s="245" t="s">
        <v>68</v>
      </c>
      <c r="LXY416" s="1715" t="s">
        <v>0</v>
      </c>
      <c r="LXZ416" s="1716"/>
      <c r="LYA416" s="1716"/>
      <c r="LYB416" s="1716"/>
      <c r="LYC416" s="1716"/>
      <c r="LYD416" s="244"/>
      <c r="LYE416" s="244" t="s">
        <v>68</v>
      </c>
      <c r="LYF416" s="245" t="s">
        <v>68</v>
      </c>
      <c r="LYG416" s="1715" t="s">
        <v>0</v>
      </c>
      <c r="LYH416" s="1716"/>
      <c r="LYI416" s="1716"/>
      <c r="LYJ416" s="1716"/>
      <c r="LYK416" s="1716"/>
      <c r="LYL416" s="244"/>
      <c r="LYM416" s="244" t="s">
        <v>68</v>
      </c>
      <c r="LYN416" s="245" t="s">
        <v>68</v>
      </c>
      <c r="LYO416" s="1715" t="s">
        <v>0</v>
      </c>
      <c r="LYP416" s="1716"/>
      <c r="LYQ416" s="1716"/>
      <c r="LYR416" s="1716"/>
      <c r="LYS416" s="1716"/>
      <c r="LYT416" s="244"/>
      <c r="LYU416" s="244" t="s">
        <v>68</v>
      </c>
      <c r="LYV416" s="245" t="s">
        <v>68</v>
      </c>
      <c r="LYW416" s="1715" t="s">
        <v>0</v>
      </c>
      <c r="LYX416" s="1716"/>
      <c r="LYY416" s="1716"/>
      <c r="LYZ416" s="1716"/>
      <c r="LZA416" s="1716"/>
      <c r="LZB416" s="244"/>
      <c r="LZC416" s="244" t="s">
        <v>68</v>
      </c>
      <c r="LZD416" s="245" t="s">
        <v>68</v>
      </c>
      <c r="LZE416" s="1715" t="s">
        <v>0</v>
      </c>
      <c r="LZF416" s="1716"/>
      <c r="LZG416" s="1716"/>
      <c r="LZH416" s="1716"/>
      <c r="LZI416" s="1716"/>
      <c r="LZJ416" s="244"/>
      <c r="LZK416" s="244" t="s">
        <v>68</v>
      </c>
      <c r="LZL416" s="245" t="s">
        <v>68</v>
      </c>
      <c r="LZM416" s="1715" t="s">
        <v>0</v>
      </c>
      <c r="LZN416" s="1716"/>
      <c r="LZO416" s="1716"/>
      <c r="LZP416" s="1716"/>
      <c r="LZQ416" s="1716"/>
      <c r="LZR416" s="244"/>
      <c r="LZS416" s="244" t="s">
        <v>68</v>
      </c>
      <c r="LZT416" s="245" t="s">
        <v>68</v>
      </c>
      <c r="LZU416" s="1715" t="s">
        <v>0</v>
      </c>
      <c r="LZV416" s="1716"/>
      <c r="LZW416" s="1716"/>
      <c r="LZX416" s="1716"/>
      <c r="LZY416" s="1716"/>
      <c r="LZZ416" s="244"/>
      <c r="MAA416" s="244" t="s">
        <v>68</v>
      </c>
      <c r="MAB416" s="245" t="s">
        <v>68</v>
      </c>
      <c r="MAC416" s="1715" t="s">
        <v>0</v>
      </c>
      <c r="MAD416" s="1716"/>
      <c r="MAE416" s="1716"/>
      <c r="MAF416" s="1716"/>
      <c r="MAG416" s="1716"/>
      <c r="MAH416" s="244"/>
      <c r="MAI416" s="244" t="s">
        <v>68</v>
      </c>
      <c r="MAJ416" s="245" t="s">
        <v>68</v>
      </c>
      <c r="MAK416" s="1715" t="s">
        <v>0</v>
      </c>
      <c r="MAL416" s="1716"/>
      <c r="MAM416" s="1716"/>
      <c r="MAN416" s="1716"/>
      <c r="MAO416" s="1716"/>
      <c r="MAP416" s="244"/>
      <c r="MAQ416" s="244" t="s">
        <v>68</v>
      </c>
      <c r="MAR416" s="245" t="s">
        <v>68</v>
      </c>
      <c r="MAS416" s="1715" t="s">
        <v>0</v>
      </c>
      <c r="MAT416" s="1716"/>
      <c r="MAU416" s="1716"/>
      <c r="MAV416" s="1716"/>
      <c r="MAW416" s="1716"/>
      <c r="MAX416" s="244"/>
      <c r="MAY416" s="244" t="s">
        <v>68</v>
      </c>
      <c r="MAZ416" s="245" t="s">
        <v>68</v>
      </c>
      <c r="MBA416" s="1715" t="s">
        <v>0</v>
      </c>
      <c r="MBB416" s="1716"/>
      <c r="MBC416" s="1716"/>
      <c r="MBD416" s="1716"/>
      <c r="MBE416" s="1716"/>
      <c r="MBF416" s="244"/>
      <c r="MBG416" s="244" t="s">
        <v>68</v>
      </c>
      <c r="MBH416" s="245" t="s">
        <v>68</v>
      </c>
      <c r="MBI416" s="1715" t="s">
        <v>0</v>
      </c>
      <c r="MBJ416" s="1716"/>
      <c r="MBK416" s="1716"/>
      <c r="MBL416" s="1716"/>
      <c r="MBM416" s="1716"/>
      <c r="MBN416" s="244"/>
      <c r="MBO416" s="244" t="s">
        <v>68</v>
      </c>
      <c r="MBP416" s="245" t="s">
        <v>68</v>
      </c>
      <c r="MBQ416" s="1715" t="s">
        <v>0</v>
      </c>
      <c r="MBR416" s="1716"/>
      <c r="MBS416" s="1716"/>
      <c r="MBT416" s="1716"/>
      <c r="MBU416" s="1716"/>
      <c r="MBV416" s="244"/>
      <c r="MBW416" s="244" t="s">
        <v>68</v>
      </c>
      <c r="MBX416" s="245" t="s">
        <v>68</v>
      </c>
      <c r="MBY416" s="1715" t="s">
        <v>0</v>
      </c>
      <c r="MBZ416" s="1716"/>
      <c r="MCA416" s="1716"/>
      <c r="MCB416" s="1716"/>
      <c r="MCC416" s="1716"/>
      <c r="MCD416" s="244"/>
      <c r="MCE416" s="244" t="s">
        <v>68</v>
      </c>
      <c r="MCF416" s="245" t="s">
        <v>68</v>
      </c>
      <c r="MCG416" s="1715" t="s">
        <v>0</v>
      </c>
      <c r="MCH416" s="1716"/>
      <c r="MCI416" s="1716"/>
      <c r="MCJ416" s="1716"/>
      <c r="MCK416" s="1716"/>
      <c r="MCL416" s="244"/>
      <c r="MCM416" s="244" t="s">
        <v>68</v>
      </c>
      <c r="MCN416" s="245" t="s">
        <v>68</v>
      </c>
      <c r="MCO416" s="1715" t="s">
        <v>0</v>
      </c>
      <c r="MCP416" s="1716"/>
      <c r="MCQ416" s="1716"/>
      <c r="MCR416" s="1716"/>
      <c r="MCS416" s="1716"/>
      <c r="MCT416" s="244"/>
      <c r="MCU416" s="244" t="s">
        <v>68</v>
      </c>
      <c r="MCV416" s="245" t="s">
        <v>68</v>
      </c>
      <c r="MCW416" s="1715" t="s">
        <v>0</v>
      </c>
      <c r="MCX416" s="1716"/>
      <c r="MCY416" s="1716"/>
      <c r="MCZ416" s="1716"/>
      <c r="MDA416" s="1716"/>
      <c r="MDB416" s="244"/>
      <c r="MDC416" s="244" t="s">
        <v>68</v>
      </c>
      <c r="MDD416" s="245" t="s">
        <v>68</v>
      </c>
      <c r="MDE416" s="1715" t="s">
        <v>0</v>
      </c>
      <c r="MDF416" s="1716"/>
      <c r="MDG416" s="1716"/>
      <c r="MDH416" s="1716"/>
      <c r="MDI416" s="1716"/>
      <c r="MDJ416" s="244"/>
      <c r="MDK416" s="244" t="s">
        <v>68</v>
      </c>
      <c r="MDL416" s="245" t="s">
        <v>68</v>
      </c>
      <c r="MDM416" s="1715" t="s">
        <v>0</v>
      </c>
      <c r="MDN416" s="1716"/>
      <c r="MDO416" s="1716"/>
      <c r="MDP416" s="1716"/>
      <c r="MDQ416" s="1716"/>
      <c r="MDR416" s="244"/>
      <c r="MDS416" s="244" t="s">
        <v>68</v>
      </c>
      <c r="MDT416" s="245" t="s">
        <v>68</v>
      </c>
      <c r="MDU416" s="1715" t="s">
        <v>0</v>
      </c>
      <c r="MDV416" s="1716"/>
      <c r="MDW416" s="1716"/>
      <c r="MDX416" s="1716"/>
      <c r="MDY416" s="1716"/>
      <c r="MDZ416" s="244"/>
      <c r="MEA416" s="244" t="s">
        <v>68</v>
      </c>
      <c r="MEB416" s="245" t="s">
        <v>68</v>
      </c>
      <c r="MEC416" s="1715" t="s">
        <v>0</v>
      </c>
      <c r="MED416" s="1716"/>
      <c r="MEE416" s="1716"/>
      <c r="MEF416" s="1716"/>
      <c r="MEG416" s="1716"/>
      <c r="MEH416" s="244"/>
      <c r="MEI416" s="244" t="s">
        <v>68</v>
      </c>
      <c r="MEJ416" s="245" t="s">
        <v>68</v>
      </c>
      <c r="MEK416" s="1715" t="s">
        <v>0</v>
      </c>
      <c r="MEL416" s="1716"/>
      <c r="MEM416" s="1716"/>
      <c r="MEN416" s="1716"/>
      <c r="MEO416" s="1716"/>
      <c r="MEP416" s="244"/>
      <c r="MEQ416" s="244" t="s">
        <v>68</v>
      </c>
      <c r="MER416" s="245" t="s">
        <v>68</v>
      </c>
      <c r="MES416" s="1715" t="s">
        <v>0</v>
      </c>
      <c r="MET416" s="1716"/>
      <c r="MEU416" s="1716"/>
      <c r="MEV416" s="1716"/>
      <c r="MEW416" s="1716"/>
      <c r="MEX416" s="244"/>
      <c r="MEY416" s="244" t="s">
        <v>68</v>
      </c>
      <c r="MEZ416" s="245" t="s">
        <v>68</v>
      </c>
      <c r="MFA416" s="1715" t="s">
        <v>0</v>
      </c>
      <c r="MFB416" s="1716"/>
      <c r="MFC416" s="1716"/>
      <c r="MFD416" s="1716"/>
      <c r="MFE416" s="1716"/>
      <c r="MFF416" s="244"/>
      <c r="MFG416" s="244" t="s">
        <v>68</v>
      </c>
      <c r="MFH416" s="245" t="s">
        <v>68</v>
      </c>
      <c r="MFI416" s="1715" t="s">
        <v>0</v>
      </c>
      <c r="MFJ416" s="1716"/>
      <c r="MFK416" s="1716"/>
      <c r="MFL416" s="1716"/>
      <c r="MFM416" s="1716"/>
      <c r="MFN416" s="244"/>
      <c r="MFO416" s="244" t="s">
        <v>68</v>
      </c>
      <c r="MFP416" s="245" t="s">
        <v>68</v>
      </c>
      <c r="MFQ416" s="1715" t="s">
        <v>0</v>
      </c>
      <c r="MFR416" s="1716"/>
      <c r="MFS416" s="1716"/>
      <c r="MFT416" s="1716"/>
      <c r="MFU416" s="1716"/>
      <c r="MFV416" s="244"/>
      <c r="MFW416" s="244" t="s">
        <v>68</v>
      </c>
      <c r="MFX416" s="245" t="s">
        <v>68</v>
      </c>
      <c r="MFY416" s="1715" t="s">
        <v>0</v>
      </c>
      <c r="MFZ416" s="1716"/>
      <c r="MGA416" s="1716"/>
      <c r="MGB416" s="1716"/>
      <c r="MGC416" s="1716"/>
      <c r="MGD416" s="244"/>
      <c r="MGE416" s="244" t="s">
        <v>68</v>
      </c>
      <c r="MGF416" s="245" t="s">
        <v>68</v>
      </c>
      <c r="MGG416" s="1715" t="s">
        <v>0</v>
      </c>
      <c r="MGH416" s="1716"/>
      <c r="MGI416" s="1716"/>
      <c r="MGJ416" s="1716"/>
      <c r="MGK416" s="1716"/>
      <c r="MGL416" s="244"/>
      <c r="MGM416" s="244" t="s">
        <v>68</v>
      </c>
      <c r="MGN416" s="245" t="s">
        <v>68</v>
      </c>
      <c r="MGO416" s="1715" t="s">
        <v>0</v>
      </c>
      <c r="MGP416" s="1716"/>
      <c r="MGQ416" s="1716"/>
      <c r="MGR416" s="1716"/>
      <c r="MGS416" s="1716"/>
      <c r="MGT416" s="244"/>
      <c r="MGU416" s="244" t="s">
        <v>68</v>
      </c>
      <c r="MGV416" s="245" t="s">
        <v>68</v>
      </c>
      <c r="MGW416" s="1715" t="s">
        <v>0</v>
      </c>
      <c r="MGX416" s="1716"/>
      <c r="MGY416" s="1716"/>
      <c r="MGZ416" s="1716"/>
      <c r="MHA416" s="1716"/>
      <c r="MHB416" s="244"/>
      <c r="MHC416" s="244" t="s">
        <v>68</v>
      </c>
      <c r="MHD416" s="245" t="s">
        <v>68</v>
      </c>
      <c r="MHE416" s="1715" t="s">
        <v>0</v>
      </c>
      <c r="MHF416" s="1716"/>
      <c r="MHG416" s="1716"/>
      <c r="MHH416" s="1716"/>
      <c r="MHI416" s="1716"/>
      <c r="MHJ416" s="244"/>
      <c r="MHK416" s="244" t="s">
        <v>68</v>
      </c>
      <c r="MHL416" s="245" t="s">
        <v>68</v>
      </c>
      <c r="MHM416" s="1715" t="s">
        <v>0</v>
      </c>
      <c r="MHN416" s="1716"/>
      <c r="MHO416" s="1716"/>
      <c r="MHP416" s="1716"/>
      <c r="MHQ416" s="1716"/>
      <c r="MHR416" s="244"/>
      <c r="MHS416" s="244" t="s">
        <v>68</v>
      </c>
      <c r="MHT416" s="245" t="s">
        <v>68</v>
      </c>
      <c r="MHU416" s="1715" t="s">
        <v>0</v>
      </c>
      <c r="MHV416" s="1716"/>
      <c r="MHW416" s="1716"/>
      <c r="MHX416" s="1716"/>
      <c r="MHY416" s="1716"/>
      <c r="MHZ416" s="244"/>
      <c r="MIA416" s="244" t="s">
        <v>68</v>
      </c>
      <c r="MIB416" s="245" t="s">
        <v>68</v>
      </c>
      <c r="MIC416" s="1715" t="s">
        <v>0</v>
      </c>
      <c r="MID416" s="1716"/>
      <c r="MIE416" s="1716"/>
      <c r="MIF416" s="1716"/>
      <c r="MIG416" s="1716"/>
      <c r="MIH416" s="244"/>
      <c r="MII416" s="244" t="s">
        <v>68</v>
      </c>
      <c r="MIJ416" s="245" t="s">
        <v>68</v>
      </c>
      <c r="MIK416" s="1715" t="s">
        <v>0</v>
      </c>
      <c r="MIL416" s="1716"/>
      <c r="MIM416" s="1716"/>
      <c r="MIN416" s="1716"/>
      <c r="MIO416" s="1716"/>
      <c r="MIP416" s="244"/>
      <c r="MIQ416" s="244" t="s">
        <v>68</v>
      </c>
      <c r="MIR416" s="245" t="s">
        <v>68</v>
      </c>
      <c r="MIS416" s="1715" t="s">
        <v>0</v>
      </c>
      <c r="MIT416" s="1716"/>
      <c r="MIU416" s="1716"/>
      <c r="MIV416" s="1716"/>
      <c r="MIW416" s="1716"/>
      <c r="MIX416" s="244"/>
      <c r="MIY416" s="244" t="s">
        <v>68</v>
      </c>
      <c r="MIZ416" s="245" t="s">
        <v>68</v>
      </c>
      <c r="MJA416" s="1715" t="s">
        <v>0</v>
      </c>
      <c r="MJB416" s="1716"/>
      <c r="MJC416" s="1716"/>
      <c r="MJD416" s="1716"/>
      <c r="MJE416" s="1716"/>
      <c r="MJF416" s="244"/>
      <c r="MJG416" s="244" t="s">
        <v>68</v>
      </c>
      <c r="MJH416" s="245" t="s">
        <v>68</v>
      </c>
      <c r="MJI416" s="1715" t="s">
        <v>0</v>
      </c>
      <c r="MJJ416" s="1716"/>
      <c r="MJK416" s="1716"/>
      <c r="MJL416" s="1716"/>
      <c r="MJM416" s="1716"/>
      <c r="MJN416" s="244"/>
      <c r="MJO416" s="244" t="s">
        <v>68</v>
      </c>
      <c r="MJP416" s="245" t="s">
        <v>68</v>
      </c>
      <c r="MJQ416" s="1715" t="s">
        <v>0</v>
      </c>
      <c r="MJR416" s="1716"/>
      <c r="MJS416" s="1716"/>
      <c r="MJT416" s="1716"/>
      <c r="MJU416" s="1716"/>
      <c r="MJV416" s="244"/>
      <c r="MJW416" s="244" t="s">
        <v>68</v>
      </c>
      <c r="MJX416" s="245" t="s">
        <v>68</v>
      </c>
      <c r="MJY416" s="1715" t="s">
        <v>0</v>
      </c>
      <c r="MJZ416" s="1716"/>
      <c r="MKA416" s="1716"/>
      <c r="MKB416" s="1716"/>
      <c r="MKC416" s="1716"/>
      <c r="MKD416" s="244"/>
      <c r="MKE416" s="244" t="s">
        <v>68</v>
      </c>
      <c r="MKF416" s="245" t="s">
        <v>68</v>
      </c>
      <c r="MKG416" s="1715" t="s">
        <v>0</v>
      </c>
      <c r="MKH416" s="1716"/>
      <c r="MKI416" s="1716"/>
      <c r="MKJ416" s="1716"/>
      <c r="MKK416" s="1716"/>
      <c r="MKL416" s="244"/>
      <c r="MKM416" s="244" t="s">
        <v>68</v>
      </c>
      <c r="MKN416" s="245" t="s">
        <v>68</v>
      </c>
      <c r="MKO416" s="1715" t="s">
        <v>0</v>
      </c>
      <c r="MKP416" s="1716"/>
      <c r="MKQ416" s="1716"/>
      <c r="MKR416" s="1716"/>
      <c r="MKS416" s="1716"/>
      <c r="MKT416" s="244"/>
      <c r="MKU416" s="244" t="s">
        <v>68</v>
      </c>
      <c r="MKV416" s="245" t="s">
        <v>68</v>
      </c>
      <c r="MKW416" s="1715" t="s">
        <v>0</v>
      </c>
      <c r="MKX416" s="1716"/>
      <c r="MKY416" s="1716"/>
      <c r="MKZ416" s="1716"/>
      <c r="MLA416" s="1716"/>
      <c r="MLB416" s="244"/>
      <c r="MLC416" s="244" t="s">
        <v>68</v>
      </c>
      <c r="MLD416" s="245" t="s">
        <v>68</v>
      </c>
      <c r="MLE416" s="1715" t="s">
        <v>0</v>
      </c>
      <c r="MLF416" s="1716"/>
      <c r="MLG416" s="1716"/>
      <c r="MLH416" s="1716"/>
      <c r="MLI416" s="1716"/>
      <c r="MLJ416" s="244"/>
      <c r="MLK416" s="244" t="s">
        <v>68</v>
      </c>
      <c r="MLL416" s="245" t="s">
        <v>68</v>
      </c>
      <c r="MLM416" s="1715" t="s">
        <v>0</v>
      </c>
      <c r="MLN416" s="1716"/>
      <c r="MLO416" s="1716"/>
      <c r="MLP416" s="1716"/>
      <c r="MLQ416" s="1716"/>
      <c r="MLR416" s="244"/>
      <c r="MLS416" s="244" t="s">
        <v>68</v>
      </c>
      <c r="MLT416" s="245" t="s">
        <v>68</v>
      </c>
      <c r="MLU416" s="1715" t="s">
        <v>0</v>
      </c>
      <c r="MLV416" s="1716"/>
      <c r="MLW416" s="1716"/>
      <c r="MLX416" s="1716"/>
      <c r="MLY416" s="1716"/>
      <c r="MLZ416" s="244"/>
      <c r="MMA416" s="244" t="s">
        <v>68</v>
      </c>
      <c r="MMB416" s="245" t="s">
        <v>68</v>
      </c>
      <c r="MMC416" s="1715" t="s">
        <v>0</v>
      </c>
      <c r="MMD416" s="1716"/>
      <c r="MME416" s="1716"/>
      <c r="MMF416" s="1716"/>
      <c r="MMG416" s="1716"/>
      <c r="MMH416" s="244"/>
      <c r="MMI416" s="244" t="s">
        <v>68</v>
      </c>
      <c r="MMJ416" s="245" t="s">
        <v>68</v>
      </c>
      <c r="MMK416" s="1715" t="s">
        <v>0</v>
      </c>
      <c r="MML416" s="1716"/>
      <c r="MMM416" s="1716"/>
      <c r="MMN416" s="1716"/>
      <c r="MMO416" s="1716"/>
      <c r="MMP416" s="244"/>
      <c r="MMQ416" s="244" t="s">
        <v>68</v>
      </c>
      <c r="MMR416" s="245" t="s">
        <v>68</v>
      </c>
      <c r="MMS416" s="1715" t="s">
        <v>0</v>
      </c>
      <c r="MMT416" s="1716"/>
      <c r="MMU416" s="1716"/>
      <c r="MMV416" s="1716"/>
      <c r="MMW416" s="1716"/>
      <c r="MMX416" s="244"/>
      <c r="MMY416" s="244" t="s">
        <v>68</v>
      </c>
      <c r="MMZ416" s="245" t="s">
        <v>68</v>
      </c>
      <c r="MNA416" s="1715" t="s">
        <v>0</v>
      </c>
      <c r="MNB416" s="1716"/>
      <c r="MNC416" s="1716"/>
      <c r="MND416" s="1716"/>
      <c r="MNE416" s="1716"/>
      <c r="MNF416" s="244"/>
      <c r="MNG416" s="244" t="s">
        <v>68</v>
      </c>
      <c r="MNH416" s="245" t="s">
        <v>68</v>
      </c>
      <c r="MNI416" s="1715" t="s">
        <v>0</v>
      </c>
      <c r="MNJ416" s="1716"/>
      <c r="MNK416" s="1716"/>
      <c r="MNL416" s="1716"/>
      <c r="MNM416" s="1716"/>
      <c r="MNN416" s="244"/>
      <c r="MNO416" s="244" t="s">
        <v>68</v>
      </c>
      <c r="MNP416" s="245" t="s">
        <v>68</v>
      </c>
      <c r="MNQ416" s="1715" t="s">
        <v>0</v>
      </c>
      <c r="MNR416" s="1716"/>
      <c r="MNS416" s="1716"/>
      <c r="MNT416" s="1716"/>
      <c r="MNU416" s="1716"/>
      <c r="MNV416" s="244"/>
      <c r="MNW416" s="244" t="s">
        <v>68</v>
      </c>
      <c r="MNX416" s="245" t="s">
        <v>68</v>
      </c>
      <c r="MNY416" s="1715" t="s">
        <v>0</v>
      </c>
      <c r="MNZ416" s="1716"/>
      <c r="MOA416" s="1716"/>
      <c r="MOB416" s="1716"/>
      <c r="MOC416" s="1716"/>
      <c r="MOD416" s="244"/>
      <c r="MOE416" s="244" t="s">
        <v>68</v>
      </c>
      <c r="MOF416" s="245" t="s">
        <v>68</v>
      </c>
      <c r="MOG416" s="1715" t="s">
        <v>0</v>
      </c>
      <c r="MOH416" s="1716"/>
      <c r="MOI416" s="1716"/>
      <c r="MOJ416" s="1716"/>
      <c r="MOK416" s="1716"/>
      <c r="MOL416" s="244"/>
      <c r="MOM416" s="244" t="s">
        <v>68</v>
      </c>
      <c r="MON416" s="245" t="s">
        <v>68</v>
      </c>
      <c r="MOO416" s="1715" t="s">
        <v>0</v>
      </c>
      <c r="MOP416" s="1716"/>
      <c r="MOQ416" s="1716"/>
      <c r="MOR416" s="1716"/>
      <c r="MOS416" s="1716"/>
      <c r="MOT416" s="244"/>
      <c r="MOU416" s="244" t="s">
        <v>68</v>
      </c>
      <c r="MOV416" s="245" t="s">
        <v>68</v>
      </c>
      <c r="MOW416" s="1715" t="s">
        <v>0</v>
      </c>
      <c r="MOX416" s="1716"/>
      <c r="MOY416" s="1716"/>
      <c r="MOZ416" s="1716"/>
      <c r="MPA416" s="1716"/>
      <c r="MPB416" s="244"/>
      <c r="MPC416" s="244" t="s">
        <v>68</v>
      </c>
      <c r="MPD416" s="245" t="s">
        <v>68</v>
      </c>
      <c r="MPE416" s="1715" t="s">
        <v>0</v>
      </c>
      <c r="MPF416" s="1716"/>
      <c r="MPG416" s="1716"/>
      <c r="MPH416" s="1716"/>
      <c r="MPI416" s="1716"/>
      <c r="MPJ416" s="244"/>
      <c r="MPK416" s="244" t="s">
        <v>68</v>
      </c>
      <c r="MPL416" s="245" t="s">
        <v>68</v>
      </c>
      <c r="MPM416" s="1715" t="s">
        <v>0</v>
      </c>
      <c r="MPN416" s="1716"/>
      <c r="MPO416" s="1716"/>
      <c r="MPP416" s="1716"/>
      <c r="MPQ416" s="1716"/>
      <c r="MPR416" s="244"/>
      <c r="MPS416" s="244" t="s">
        <v>68</v>
      </c>
      <c r="MPT416" s="245" t="s">
        <v>68</v>
      </c>
      <c r="MPU416" s="1715" t="s">
        <v>0</v>
      </c>
      <c r="MPV416" s="1716"/>
      <c r="MPW416" s="1716"/>
      <c r="MPX416" s="1716"/>
      <c r="MPY416" s="1716"/>
      <c r="MPZ416" s="244"/>
      <c r="MQA416" s="244" t="s">
        <v>68</v>
      </c>
      <c r="MQB416" s="245" t="s">
        <v>68</v>
      </c>
      <c r="MQC416" s="1715" t="s">
        <v>0</v>
      </c>
      <c r="MQD416" s="1716"/>
      <c r="MQE416" s="1716"/>
      <c r="MQF416" s="1716"/>
      <c r="MQG416" s="1716"/>
      <c r="MQH416" s="244"/>
      <c r="MQI416" s="244" t="s">
        <v>68</v>
      </c>
      <c r="MQJ416" s="245" t="s">
        <v>68</v>
      </c>
      <c r="MQK416" s="1715" t="s">
        <v>0</v>
      </c>
      <c r="MQL416" s="1716"/>
      <c r="MQM416" s="1716"/>
      <c r="MQN416" s="1716"/>
      <c r="MQO416" s="1716"/>
      <c r="MQP416" s="244"/>
      <c r="MQQ416" s="244" t="s">
        <v>68</v>
      </c>
      <c r="MQR416" s="245" t="s">
        <v>68</v>
      </c>
      <c r="MQS416" s="1715" t="s">
        <v>0</v>
      </c>
      <c r="MQT416" s="1716"/>
      <c r="MQU416" s="1716"/>
      <c r="MQV416" s="1716"/>
      <c r="MQW416" s="1716"/>
      <c r="MQX416" s="244"/>
      <c r="MQY416" s="244" t="s">
        <v>68</v>
      </c>
      <c r="MQZ416" s="245" t="s">
        <v>68</v>
      </c>
      <c r="MRA416" s="1715" t="s">
        <v>0</v>
      </c>
      <c r="MRB416" s="1716"/>
      <c r="MRC416" s="1716"/>
      <c r="MRD416" s="1716"/>
      <c r="MRE416" s="1716"/>
      <c r="MRF416" s="244"/>
      <c r="MRG416" s="244" t="s">
        <v>68</v>
      </c>
      <c r="MRH416" s="245" t="s">
        <v>68</v>
      </c>
      <c r="MRI416" s="1715" t="s">
        <v>0</v>
      </c>
      <c r="MRJ416" s="1716"/>
      <c r="MRK416" s="1716"/>
      <c r="MRL416" s="1716"/>
      <c r="MRM416" s="1716"/>
      <c r="MRN416" s="244"/>
      <c r="MRO416" s="244" t="s">
        <v>68</v>
      </c>
      <c r="MRP416" s="245" t="s">
        <v>68</v>
      </c>
      <c r="MRQ416" s="1715" t="s">
        <v>0</v>
      </c>
      <c r="MRR416" s="1716"/>
      <c r="MRS416" s="1716"/>
      <c r="MRT416" s="1716"/>
      <c r="MRU416" s="1716"/>
      <c r="MRV416" s="244"/>
      <c r="MRW416" s="244" t="s">
        <v>68</v>
      </c>
      <c r="MRX416" s="245" t="s">
        <v>68</v>
      </c>
      <c r="MRY416" s="1715" t="s">
        <v>0</v>
      </c>
      <c r="MRZ416" s="1716"/>
      <c r="MSA416" s="1716"/>
      <c r="MSB416" s="1716"/>
      <c r="MSC416" s="1716"/>
      <c r="MSD416" s="244"/>
      <c r="MSE416" s="244" t="s">
        <v>68</v>
      </c>
      <c r="MSF416" s="245" t="s">
        <v>68</v>
      </c>
      <c r="MSG416" s="1715" t="s">
        <v>0</v>
      </c>
      <c r="MSH416" s="1716"/>
      <c r="MSI416" s="1716"/>
      <c r="MSJ416" s="1716"/>
      <c r="MSK416" s="1716"/>
      <c r="MSL416" s="244"/>
      <c r="MSM416" s="244" t="s">
        <v>68</v>
      </c>
      <c r="MSN416" s="245" t="s">
        <v>68</v>
      </c>
      <c r="MSO416" s="1715" t="s">
        <v>0</v>
      </c>
      <c r="MSP416" s="1716"/>
      <c r="MSQ416" s="1716"/>
      <c r="MSR416" s="1716"/>
      <c r="MSS416" s="1716"/>
      <c r="MST416" s="244"/>
      <c r="MSU416" s="244" t="s">
        <v>68</v>
      </c>
      <c r="MSV416" s="245" t="s">
        <v>68</v>
      </c>
      <c r="MSW416" s="1715" t="s">
        <v>0</v>
      </c>
      <c r="MSX416" s="1716"/>
      <c r="MSY416" s="1716"/>
      <c r="MSZ416" s="1716"/>
      <c r="MTA416" s="1716"/>
      <c r="MTB416" s="244"/>
      <c r="MTC416" s="244" t="s">
        <v>68</v>
      </c>
      <c r="MTD416" s="245" t="s">
        <v>68</v>
      </c>
      <c r="MTE416" s="1715" t="s">
        <v>0</v>
      </c>
      <c r="MTF416" s="1716"/>
      <c r="MTG416" s="1716"/>
      <c r="MTH416" s="1716"/>
      <c r="MTI416" s="1716"/>
      <c r="MTJ416" s="244"/>
      <c r="MTK416" s="244" t="s">
        <v>68</v>
      </c>
      <c r="MTL416" s="245" t="s">
        <v>68</v>
      </c>
      <c r="MTM416" s="1715" t="s">
        <v>0</v>
      </c>
      <c r="MTN416" s="1716"/>
      <c r="MTO416" s="1716"/>
      <c r="MTP416" s="1716"/>
      <c r="MTQ416" s="1716"/>
      <c r="MTR416" s="244"/>
      <c r="MTS416" s="244" t="s">
        <v>68</v>
      </c>
      <c r="MTT416" s="245" t="s">
        <v>68</v>
      </c>
      <c r="MTU416" s="1715" t="s">
        <v>0</v>
      </c>
      <c r="MTV416" s="1716"/>
      <c r="MTW416" s="1716"/>
      <c r="MTX416" s="1716"/>
      <c r="MTY416" s="1716"/>
      <c r="MTZ416" s="244"/>
      <c r="MUA416" s="244" t="s">
        <v>68</v>
      </c>
      <c r="MUB416" s="245" t="s">
        <v>68</v>
      </c>
      <c r="MUC416" s="1715" t="s">
        <v>0</v>
      </c>
      <c r="MUD416" s="1716"/>
      <c r="MUE416" s="1716"/>
      <c r="MUF416" s="1716"/>
      <c r="MUG416" s="1716"/>
      <c r="MUH416" s="244"/>
      <c r="MUI416" s="244" t="s">
        <v>68</v>
      </c>
      <c r="MUJ416" s="245" t="s">
        <v>68</v>
      </c>
      <c r="MUK416" s="1715" t="s">
        <v>0</v>
      </c>
      <c r="MUL416" s="1716"/>
      <c r="MUM416" s="1716"/>
      <c r="MUN416" s="1716"/>
      <c r="MUO416" s="1716"/>
      <c r="MUP416" s="244"/>
      <c r="MUQ416" s="244" t="s">
        <v>68</v>
      </c>
      <c r="MUR416" s="245" t="s">
        <v>68</v>
      </c>
      <c r="MUS416" s="1715" t="s">
        <v>0</v>
      </c>
      <c r="MUT416" s="1716"/>
      <c r="MUU416" s="1716"/>
      <c r="MUV416" s="1716"/>
      <c r="MUW416" s="1716"/>
      <c r="MUX416" s="244"/>
      <c r="MUY416" s="244" t="s">
        <v>68</v>
      </c>
      <c r="MUZ416" s="245" t="s">
        <v>68</v>
      </c>
      <c r="MVA416" s="1715" t="s">
        <v>0</v>
      </c>
      <c r="MVB416" s="1716"/>
      <c r="MVC416" s="1716"/>
      <c r="MVD416" s="1716"/>
      <c r="MVE416" s="1716"/>
      <c r="MVF416" s="244"/>
      <c r="MVG416" s="244" t="s">
        <v>68</v>
      </c>
      <c r="MVH416" s="245" t="s">
        <v>68</v>
      </c>
      <c r="MVI416" s="1715" t="s">
        <v>0</v>
      </c>
      <c r="MVJ416" s="1716"/>
      <c r="MVK416" s="1716"/>
      <c r="MVL416" s="1716"/>
      <c r="MVM416" s="1716"/>
      <c r="MVN416" s="244"/>
      <c r="MVO416" s="244" t="s">
        <v>68</v>
      </c>
      <c r="MVP416" s="245" t="s">
        <v>68</v>
      </c>
      <c r="MVQ416" s="1715" t="s">
        <v>0</v>
      </c>
      <c r="MVR416" s="1716"/>
      <c r="MVS416" s="1716"/>
      <c r="MVT416" s="1716"/>
      <c r="MVU416" s="1716"/>
      <c r="MVV416" s="244"/>
      <c r="MVW416" s="244" t="s">
        <v>68</v>
      </c>
      <c r="MVX416" s="245" t="s">
        <v>68</v>
      </c>
      <c r="MVY416" s="1715" t="s">
        <v>0</v>
      </c>
      <c r="MVZ416" s="1716"/>
      <c r="MWA416" s="1716"/>
      <c r="MWB416" s="1716"/>
      <c r="MWC416" s="1716"/>
      <c r="MWD416" s="244"/>
      <c r="MWE416" s="244" t="s">
        <v>68</v>
      </c>
      <c r="MWF416" s="245" t="s">
        <v>68</v>
      </c>
      <c r="MWG416" s="1715" t="s">
        <v>0</v>
      </c>
      <c r="MWH416" s="1716"/>
      <c r="MWI416" s="1716"/>
      <c r="MWJ416" s="1716"/>
      <c r="MWK416" s="1716"/>
      <c r="MWL416" s="244"/>
      <c r="MWM416" s="244" t="s">
        <v>68</v>
      </c>
      <c r="MWN416" s="245" t="s">
        <v>68</v>
      </c>
      <c r="MWO416" s="1715" t="s">
        <v>0</v>
      </c>
      <c r="MWP416" s="1716"/>
      <c r="MWQ416" s="1716"/>
      <c r="MWR416" s="1716"/>
      <c r="MWS416" s="1716"/>
      <c r="MWT416" s="244"/>
      <c r="MWU416" s="244" t="s">
        <v>68</v>
      </c>
      <c r="MWV416" s="245" t="s">
        <v>68</v>
      </c>
      <c r="MWW416" s="1715" t="s">
        <v>0</v>
      </c>
      <c r="MWX416" s="1716"/>
      <c r="MWY416" s="1716"/>
      <c r="MWZ416" s="1716"/>
      <c r="MXA416" s="1716"/>
      <c r="MXB416" s="244"/>
      <c r="MXC416" s="244" t="s">
        <v>68</v>
      </c>
      <c r="MXD416" s="245" t="s">
        <v>68</v>
      </c>
      <c r="MXE416" s="1715" t="s">
        <v>0</v>
      </c>
      <c r="MXF416" s="1716"/>
      <c r="MXG416" s="1716"/>
      <c r="MXH416" s="1716"/>
      <c r="MXI416" s="1716"/>
      <c r="MXJ416" s="244"/>
      <c r="MXK416" s="244" t="s">
        <v>68</v>
      </c>
      <c r="MXL416" s="245" t="s">
        <v>68</v>
      </c>
      <c r="MXM416" s="1715" t="s">
        <v>0</v>
      </c>
      <c r="MXN416" s="1716"/>
      <c r="MXO416" s="1716"/>
      <c r="MXP416" s="1716"/>
      <c r="MXQ416" s="1716"/>
      <c r="MXR416" s="244"/>
      <c r="MXS416" s="244" t="s">
        <v>68</v>
      </c>
      <c r="MXT416" s="245" t="s">
        <v>68</v>
      </c>
      <c r="MXU416" s="1715" t="s">
        <v>0</v>
      </c>
      <c r="MXV416" s="1716"/>
      <c r="MXW416" s="1716"/>
      <c r="MXX416" s="1716"/>
      <c r="MXY416" s="1716"/>
      <c r="MXZ416" s="244"/>
      <c r="MYA416" s="244" t="s">
        <v>68</v>
      </c>
      <c r="MYB416" s="245" t="s">
        <v>68</v>
      </c>
      <c r="MYC416" s="1715" t="s">
        <v>0</v>
      </c>
      <c r="MYD416" s="1716"/>
      <c r="MYE416" s="1716"/>
      <c r="MYF416" s="1716"/>
      <c r="MYG416" s="1716"/>
      <c r="MYH416" s="244"/>
      <c r="MYI416" s="244" t="s">
        <v>68</v>
      </c>
      <c r="MYJ416" s="245" t="s">
        <v>68</v>
      </c>
      <c r="MYK416" s="1715" t="s">
        <v>0</v>
      </c>
      <c r="MYL416" s="1716"/>
      <c r="MYM416" s="1716"/>
      <c r="MYN416" s="1716"/>
      <c r="MYO416" s="1716"/>
      <c r="MYP416" s="244"/>
      <c r="MYQ416" s="244" t="s">
        <v>68</v>
      </c>
      <c r="MYR416" s="245" t="s">
        <v>68</v>
      </c>
      <c r="MYS416" s="1715" t="s">
        <v>0</v>
      </c>
      <c r="MYT416" s="1716"/>
      <c r="MYU416" s="1716"/>
      <c r="MYV416" s="1716"/>
      <c r="MYW416" s="1716"/>
      <c r="MYX416" s="244"/>
      <c r="MYY416" s="244" t="s">
        <v>68</v>
      </c>
      <c r="MYZ416" s="245" t="s">
        <v>68</v>
      </c>
      <c r="MZA416" s="1715" t="s">
        <v>0</v>
      </c>
      <c r="MZB416" s="1716"/>
      <c r="MZC416" s="1716"/>
      <c r="MZD416" s="1716"/>
      <c r="MZE416" s="1716"/>
      <c r="MZF416" s="244"/>
      <c r="MZG416" s="244" t="s">
        <v>68</v>
      </c>
      <c r="MZH416" s="245" t="s">
        <v>68</v>
      </c>
      <c r="MZI416" s="1715" t="s">
        <v>0</v>
      </c>
      <c r="MZJ416" s="1716"/>
      <c r="MZK416" s="1716"/>
      <c r="MZL416" s="1716"/>
      <c r="MZM416" s="1716"/>
      <c r="MZN416" s="244"/>
      <c r="MZO416" s="244" t="s">
        <v>68</v>
      </c>
      <c r="MZP416" s="245" t="s">
        <v>68</v>
      </c>
      <c r="MZQ416" s="1715" t="s">
        <v>0</v>
      </c>
      <c r="MZR416" s="1716"/>
      <c r="MZS416" s="1716"/>
      <c r="MZT416" s="1716"/>
      <c r="MZU416" s="1716"/>
      <c r="MZV416" s="244"/>
      <c r="MZW416" s="244" t="s">
        <v>68</v>
      </c>
      <c r="MZX416" s="245" t="s">
        <v>68</v>
      </c>
      <c r="MZY416" s="1715" t="s">
        <v>0</v>
      </c>
      <c r="MZZ416" s="1716"/>
      <c r="NAA416" s="1716"/>
      <c r="NAB416" s="1716"/>
      <c r="NAC416" s="1716"/>
      <c r="NAD416" s="244"/>
      <c r="NAE416" s="244" t="s">
        <v>68</v>
      </c>
      <c r="NAF416" s="245" t="s">
        <v>68</v>
      </c>
      <c r="NAG416" s="1715" t="s">
        <v>0</v>
      </c>
      <c r="NAH416" s="1716"/>
      <c r="NAI416" s="1716"/>
      <c r="NAJ416" s="1716"/>
      <c r="NAK416" s="1716"/>
      <c r="NAL416" s="244"/>
      <c r="NAM416" s="244" t="s">
        <v>68</v>
      </c>
      <c r="NAN416" s="245" t="s">
        <v>68</v>
      </c>
      <c r="NAO416" s="1715" t="s">
        <v>0</v>
      </c>
      <c r="NAP416" s="1716"/>
      <c r="NAQ416" s="1716"/>
      <c r="NAR416" s="1716"/>
      <c r="NAS416" s="1716"/>
      <c r="NAT416" s="244"/>
      <c r="NAU416" s="244" t="s">
        <v>68</v>
      </c>
      <c r="NAV416" s="245" t="s">
        <v>68</v>
      </c>
      <c r="NAW416" s="1715" t="s">
        <v>0</v>
      </c>
      <c r="NAX416" s="1716"/>
      <c r="NAY416" s="1716"/>
      <c r="NAZ416" s="1716"/>
      <c r="NBA416" s="1716"/>
      <c r="NBB416" s="244"/>
      <c r="NBC416" s="244" t="s">
        <v>68</v>
      </c>
      <c r="NBD416" s="245" t="s">
        <v>68</v>
      </c>
      <c r="NBE416" s="1715" t="s">
        <v>0</v>
      </c>
      <c r="NBF416" s="1716"/>
      <c r="NBG416" s="1716"/>
      <c r="NBH416" s="1716"/>
      <c r="NBI416" s="1716"/>
      <c r="NBJ416" s="244"/>
      <c r="NBK416" s="244" t="s">
        <v>68</v>
      </c>
      <c r="NBL416" s="245" t="s">
        <v>68</v>
      </c>
      <c r="NBM416" s="1715" t="s">
        <v>0</v>
      </c>
      <c r="NBN416" s="1716"/>
      <c r="NBO416" s="1716"/>
      <c r="NBP416" s="1716"/>
      <c r="NBQ416" s="1716"/>
      <c r="NBR416" s="244"/>
      <c r="NBS416" s="244" t="s">
        <v>68</v>
      </c>
      <c r="NBT416" s="245" t="s">
        <v>68</v>
      </c>
      <c r="NBU416" s="1715" t="s">
        <v>0</v>
      </c>
      <c r="NBV416" s="1716"/>
      <c r="NBW416" s="1716"/>
      <c r="NBX416" s="1716"/>
      <c r="NBY416" s="1716"/>
      <c r="NBZ416" s="244"/>
      <c r="NCA416" s="244" t="s">
        <v>68</v>
      </c>
      <c r="NCB416" s="245" t="s">
        <v>68</v>
      </c>
      <c r="NCC416" s="1715" t="s">
        <v>0</v>
      </c>
      <c r="NCD416" s="1716"/>
      <c r="NCE416" s="1716"/>
      <c r="NCF416" s="1716"/>
      <c r="NCG416" s="1716"/>
      <c r="NCH416" s="244"/>
      <c r="NCI416" s="244" t="s">
        <v>68</v>
      </c>
      <c r="NCJ416" s="245" t="s">
        <v>68</v>
      </c>
      <c r="NCK416" s="1715" t="s">
        <v>0</v>
      </c>
      <c r="NCL416" s="1716"/>
      <c r="NCM416" s="1716"/>
      <c r="NCN416" s="1716"/>
      <c r="NCO416" s="1716"/>
      <c r="NCP416" s="244"/>
      <c r="NCQ416" s="244" t="s">
        <v>68</v>
      </c>
      <c r="NCR416" s="245" t="s">
        <v>68</v>
      </c>
      <c r="NCS416" s="1715" t="s">
        <v>0</v>
      </c>
      <c r="NCT416" s="1716"/>
      <c r="NCU416" s="1716"/>
      <c r="NCV416" s="1716"/>
      <c r="NCW416" s="1716"/>
      <c r="NCX416" s="244"/>
      <c r="NCY416" s="244" t="s">
        <v>68</v>
      </c>
      <c r="NCZ416" s="245" t="s">
        <v>68</v>
      </c>
      <c r="NDA416" s="1715" t="s">
        <v>0</v>
      </c>
      <c r="NDB416" s="1716"/>
      <c r="NDC416" s="1716"/>
      <c r="NDD416" s="1716"/>
      <c r="NDE416" s="1716"/>
      <c r="NDF416" s="244"/>
      <c r="NDG416" s="244" t="s">
        <v>68</v>
      </c>
      <c r="NDH416" s="245" t="s">
        <v>68</v>
      </c>
      <c r="NDI416" s="1715" t="s">
        <v>0</v>
      </c>
      <c r="NDJ416" s="1716"/>
      <c r="NDK416" s="1716"/>
      <c r="NDL416" s="1716"/>
      <c r="NDM416" s="1716"/>
      <c r="NDN416" s="244"/>
      <c r="NDO416" s="244" t="s">
        <v>68</v>
      </c>
      <c r="NDP416" s="245" t="s">
        <v>68</v>
      </c>
      <c r="NDQ416" s="1715" t="s">
        <v>0</v>
      </c>
      <c r="NDR416" s="1716"/>
      <c r="NDS416" s="1716"/>
      <c r="NDT416" s="1716"/>
      <c r="NDU416" s="1716"/>
      <c r="NDV416" s="244"/>
      <c r="NDW416" s="244" t="s">
        <v>68</v>
      </c>
      <c r="NDX416" s="245" t="s">
        <v>68</v>
      </c>
      <c r="NDY416" s="1715" t="s">
        <v>0</v>
      </c>
      <c r="NDZ416" s="1716"/>
      <c r="NEA416" s="1716"/>
      <c r="NEB416" s="1716"/>
      <c r="NEC416" s="1716"/>
      <c r="NED416" s="244"/>
      <c r="NEE416" s="244" t="s">
        <v>68</v>
      </c>
      <c r="NEF416" s="245" t="s">
        <v>68</v>
      </c>
      <c r="NEG416" s="1715" t="s">
        <v>0</v>
      </c>
      <c r="NEH416" s="1716"/>
      <c r="NEI416" s="1716"/>
      <c r="NEJ416" s="1716"/>
      <c r="NEK416" s="1716"/>
      <c r="NEL416" s="244"/>
      <c r="NEM416" s="244" t="s">
        <v>68</v>
      </c>
      <c r="NEN416" s="245" t="s">
        <v>68</v>
      </c>
      <c r="NEO416" s="1715" t="s">
        <v>0</v>
      </c>
      <c r="NEP416" s="1716"/>
      <c r="NEQ416" s="1716"/>
      <c r="NER416" s="1716"/>
      <c r="NES416" s="1716"/>
      <c r="NET416" s="244"/>
      <c r="NEU416" s="244" t="s">
        <v>68</v>
      </c>
      <c r="NEV416" s="245" t="s">
        <v>68</v>
      </c>
      <c r="NEW416" s="1715" t="s">
        <v>0</v>
      </c>
      <c r="NEX416" s="1716"/>
      <c r="NEY416" s="1716"/>
      <c r="NEZ416" s="1716"/>
      <c r="NFA416" s="1716"/>
      <c r="NFB416" s="244"/>
      <c r="NFC416" s="244" t="s">
        <v>68</v>
      </c>
      <c r="NFD416" s="245" t="s">
        <v>68</v>
      </c>
      <c r="NFE416" s="1715" t="s">
        <v>0</v>
      </c>
      <c r="NFF416" s="1716"/>
      <c r="NFG416" s="1716"/>
      <c r="NFH416" s="1716"/>
      <c r="NFI416" s="1716"/>
      <c r="NFJ416" s="244"/>
      <c r="NFK416" s="244" t="s">
        <v>68</v>
      </c>
      <c r="NFL416" s="245" t="s">
        <v>68</v>
      </c>
      <c r="NFM416" s="1715" t="s">
        <v>0</v>
      </c>
      <c r="NFN416" s="1716"/>
      <c r="NFO416" s="1716"/>
      <c r="NFP416" s="1716"/>
      <c r="NFQ416" s="1716"/>
      <c r="NFR416" s="244"/>
      <c r="NFS416" s="244" t="s">
        <v>68</v>
      </c>
      <c r="NFT416" s="245" t="s">
        <v>68</v>
      </c>
      <c r="NFU416" s="1715" t="s">
        <v>0</v>
      </c>
      <c r="NFV416" s="1716"/>
      <c r="NFW416" s="1716"/>
      <c r="NFX416" s="1716"/>
      <c r="NFY416" s="1716"/>
      <c r="NFZ416" s="244"/>
      <c r="NGA416" s="244" t="s">
        <v>68</v>
      </c>
      <c r="NGB416" s="245" t="s">
        <v>68</v>
      </c>
      <c r="NGC416" s="1715" t="s">
        <v>0</v>
      </c>
      <c r="NGD416" s="1716"/>
      <c r="NGE416" s="1716"/>
      <c r="NGF416" s="1716"/>
      <c r="NGG416" s="1716"/>
      <c r="NGH416" s="244"/>
      <c r="NGI416" s="244" t="s">
        <v>68</v>
      </c>
      <c r="NGJ416" s="245" t="s">
        <v>68</v>
      </c>
      <c r="NGK416" s="1715" t="s">
        <v>0</v>
      </c>
      <c r="NGL416" s="1716"/>
      <c r="NGM416" s="1716"/>
      <c r="NGN416" s="1716"/>
      <c r="NGO416" s="1716"/>
      <c r="NGP416" s="244"/>
      <c r="NGQ416" s="244" t="s">
        <v>68</v>
      </c>
      <c r="NGR416" s="245" t="s">
        <v>68</v>
      </c>
      <c r="NGS416" s="1715" t="s">
        <v>0</v>
      </c>
      <c r="NGT416" s="1716"/>
      <c r="NGU416" s="1716"/>
      <c r="NGV416" s="1716"/>
      <c r="NGW416" s="1716"/>
      <c r="NGX416" s="244"/>
      <c r="NGY416" s="244" t="s">
        <v>68</v>
      </c>
      <c r="NGZ416" s="245" t="s">
        <v>68</v>
      </c>
      <c r="NHA416" s="1715" t="s">
        <v>0</v>
      </c>
      <c r="NHB416" s="1716"/>
      <c r="NHC416" s="1716"/>
      <c r="NHD416" s="1716"/>
      <c r="NHE416" s="1716"/>
      <c r="NHF416" s="244"/>
      <c r="NHG416" s="244" t="s">
        <v>68</v>
      </c>
      <c r="NHH416" s="245" t="s">
        <v>68</v>
      </c>
      <c r="NHI416" s="1715" t="s">
        <v>0</v>
      </c>
      <c r="NHJ416" s="1716"/>
      <c r="NHK416" s="1716"/>
      <c r="NHL416" s="1716"/>
      <c r="NHM416" s="1716"/>
      <c r="NHN416" s="244"/>
      <c r="NHO416" s="244" t="s">
        <v>68</v>
      </c>
      <c r="NHP416" s="245" t="s">
        <v>68</v>
      </c>
      <c r="NHQ416" s="1715" t="s">
        <v>0</v>
      </c>
      <c r="NHR416" s="1716"/>
      <c r="NHS416" s="1716"/>
      <c r="NHT416" s="1716"/>
      <c r="NHU416" s="1716"/>
      <c r="NHV416" s="244"/>
      <c r="NHW416" s="244" t="s">
        <v>68</v>
      </c>
      <c r="NHX416" s="245" t="s">
        <v>68</v>
      </c>
      <c r="NHY416" s="1715" t="s">
        <v>0</v>
      </c>
      <c r="NHZ416" s="1716"/>
      <c r="NIA416" s="1716"/>
      <c r="NIB416" s="1716"/>
      <c r="NIC416" s="1716"/>
      <c r="NID416" s="244"/>
      <c r="NIE416" s="244" t="s">
        <v>68</v>
      </c>
      <c r="NIF416" s="245" t="s">
        <v>68</v>
      </c>
      <c r="NIG416" s="1715" t="s">
        <v>0</v>
      </c>
      <c r="NIH416" s="1716"/>
      <c r="NII416" s="1716"/>
      <c r="NIJ416" s="1716"/>
      <c r="NIK416" s="1716"/>
      <c r="NIL416" s="244"/>
      <c r="NIM416" s="244" t="s">
        <v>68</v>
      </c>
      <c r="NIN416" s="245" t="s">
        <v>68</v>
      </c>
      <c r="NIO416" s="1715" t="s">
        <v>0</v>
      </c>
      <c r="NIP416" s="1716"/>
      <c r="NIQ416" s="1716"/>
      <c r="NIR416" s="1716"/>
      <c r="NIS416" s="1716"/>
      <c r="NIT416" s="244"/>
      <c r="NIU416" s="244" t="s">
        <v>68</v>
      </c>
      <c r="NIV416" s="245" t="s">
        <v>68</v>
      </c>
      <c r="NIW416" s="1715" t="s">
        <v>0</v>
      </c>
      <c r="NIX416" s="1716"/>
      <c r="NIY416" s="1716"/>
      <c r="NIZ416" s="1716"/>
      <c r="NJA416" s="1716"/>
      <c r="NJB416" s="244"/>
      <c r="NJC416" s="244" t="s">
        <v>68</v>
      </c>
      <c r="NJD416" s="245" t="s">
        <v>68</v>
      </c>
      <c r="NJE416" s="1715" t="s">
        <v>0</v>
      </c>
      <c r="NJF416" s="1716"/>
      <c r="NJG416" s="1716"/>
      <c r="NJH416" s="1716"/>
      <c r="NJI416" s="1716"/>
      <c r="NJJ416" s="244"/>
      <c r="NJK416" s="244" t="s">
        <v>68</v>
      </c>
      <c r="NJL416" s="245" t="s">
        <v>68</v>
      </c>
      <c r="NJM416" s="1715" t="s">
        <v>0</v>
      </c>
      <c r="NJN416" s="1716"/>
      <c r="NJO416" s="1716"/>
      <c r="NJP416" s="1716"/>
      <c r="NJQ416" s="1716"/>
      <c r="NJR416" s="244"/>
      <c r="NJS416" s="244" t="s">
        <v>68</v>
      </c>
      <c r="NJT416" s="245" t="s">
        <v>68</v>
      </c>
      <c r="NJU416" s="1715" t="s">
        <v>0</v>
      </c>
      <c r="NJV416" s="1716"/>
      <c r="NJW416" s="1716"/>
      <c r="NJX416" s="1716"/>
      <c r="NJY416" s="1716"/>
      <c r="NJZ416" s="244"/>
      <c r="NKA416" s="244" t="s">
        <v>68</v>
      </c>
      <c r="NKB416" s="245" t="s">
        <v>68</v>
      </c>
      <c r="NKC416" s="1715" t="s">
        <v>0</v>
      </c>
      <c r="NKD416" s="1716"/>
      <c r="NKE416" s="1716"/>
      <c r="NKF416" s="1716"/>
      <c r="NKG416" s="1716"/>
      <c r="NKH416" s="244"/>
      <c r="NKI416" s="244" t="s">
        <v>68</v>
      </c>
      <c r="NKJ416" s="245" t="s">
        <v>68</v>
      </c>
      <c r="NKK416" s="1715" t="s">
        <v>0</v>
      </c>
      <c r="NKL416" s="1716"/>
      <c r="NKM416" s="1716"/>
      <c r="NKN416" s="1716"/>
      <c r="NKO416" s="1716"/>
      <c r="NKP416" s="244"/>
      <c r="NKQ416" s="244" t="s">
        <v>68</v>
      </c>
      <c r="NKR416" s="245" t="s">
        <v>68</v>
      </c>
      <c r="NKS416" s="1715" t="s">
        <v>0</v>
      </c>
      <c r="NKT416" s="1716"/>
      <c r="NKU416" s="1716"/>
      <c r="NKV416" s="1716"/>
      <c r="NKW416" s="1716"/>
      <c r="NKX416" s="244"/>
      <c r="NKY416" s="244" t="s">
        <v>68</v>
      </c>
      <c r="NKZ416" s="245" t="s">
        <v>68</v>
      </c>
      <c r="NLA416" s="1715" t="s">
        <v>0</v>
      </c>
      <c r="NLB416" s="1716"/>
      <c r="NLC416" s="1716"/>
      <c r="NLD416" s="1716"/>
      <c r="NLE416" s="1716"/>
      <c r="NLF416" s="244"/>
      <c r="NLG416" s="244" t="s">
        <v>68</v>
      </c>
      <c r="NLH416" s="245" t="s">
        <v>68</v>
      </c>
      <c r="NLI416" s="1715" t="s">
        <v>0</v>
      </c>
      <c r="NLJ416" s="1716"/>
      <c r="NLK416" s="1716"/>
      <c r="NLL416" s="1716"/>
      <c r="NLM416" s="1716"/>
      <c r="NLN416" s="244"/>
      <c r="NLO416" s="244" t="s">
        <v>68</v>
      </c>
      <c r="NLP416" s="245" t="s">
        <v>68</v>
      </c>
      <c r="NLQ416" s="1715" t="s">
        <v>0</v>
      </c>
      <c r="NLR416" s="1716"/>
      <c r="NLS416" s="1716"/>
      <c r="NLT416" s="1716"/>
      <c r="NLU416" s="1716"/>
      <c r="NLV416" s="244"/>
      <c r="NLW416" s="244" t="s">
        <v>68</v>
      </c>
      <c r="NLX416" s="245" t="s">
        <v>68</v>
      </c>
      <c r="NLY416" s="1715" t="s">
        <v>0</v>
      </c>
      <c r="NLZ416" s="1716"/>
      <c r="NMA416" s="1716"/>
      <c r="NMB416" s="1716"/>
      <c r="NMC416" s="1716"/>
      <c r="NMD416" s="244"/>
      <c r="NME416" s="244" t="s">
        <v>68</v>
      </c>
      <c r="NMF416" s="245" t="s">
        <v>68</v>
      </c>
      <c r="NMG416" s="1715" t="s">
        <v>0</v>
      </c>
      <c r="NMH416" s="1716"/>
      <c r="NMI416" s="1716"/>
      <c r="NMJ416" s="1716"/>
      <c r="NMK416" s="1716"/>
      <c r="NML416" s="244"/>
      <c r="NMM416" s="244" t="s">
        <v>68</v>
      </c>
      <c r="NMN416" s="245" t="s">
        <v>68</v>
      </c>
      <c r="NMO416" s="1715" t="s">
        <v>0</v>
      </c>
      <c r="NMP416" s="1716"/>
      <c r="NMQ416" s="1716"/>
      <c r="NMR416" s="1716"/>
      <c r="NMS416" s="1716"/>
      <c r="NMT416" s="244"/>
      <c r="NMU416" s="244" t="s">
        <v>68</v>
      </c>
      <c r="NMV416" s="245" t="s">
        <v>68</v>
      </c>
      <c r="NMW416" s="1715" t="s">
        <v>0</v>
      </c>
      <c r="NMX416" s="1716"/>
      <c r="NMY416" s="1716"/>
      <c r="NMZ416" s="1716"/>
      <c r="NNA416" s="1716"/>
      <c r="NNB416" s="244"/>
      <c r="NNC416" s="244" t="s">
        <v>68</v>
      </c>
      <c r="NND416" s="245" t="s">
        <v>68</v>
      </c>
      <c r="NNE416" s="1715" t="s">
        <v>0</v>
      </c>
      <c r="NNF416" s="1716"/>
      <c r="NNG416" s="1716"/>
      <c r="NNH416" s="1716"/>
      <c r="NNI416" s="1716"/>
      <c r="NNJ416" s="244"/>
      <c r="NNK416" s="244" t="s">
        <v>68</v>
      </c>
      <c r="NNL416" s="245" t="s">
        <v>68</v>
      </c>
      <c r="NNM416" s="1715" t="s">
        <v>0</v>
      </c>
      <c r="NNN416" s="1716"/>
      <c r="NNO416" s="1716"/>
      <c r="NNP416" s="1716"/>
      <c r="NNQ416" s="1716"/>
      <c r="NNR416" s="244"/>
      <c r="NNS416" s="244" t="s">
        <v>68</v>
      </c>
      <c r="NNT416" s="245" t="s">
        <v>68</v>
      </c>
      <c r="NNU416" s="1715" t="s">
        <v>0</v>
      </c>
      <c r="NNV416" s="1716"/>
      <c r="NNW416" s="1716"/>
      <c r="NNX416" s="1716"/>
      <c r="NNY416" s="1716"/>
      <c r="NNZ416" s="244"/>
      <c r="NOA416" s="244" t="s">
        <v>68</v>
      </c>
      <c r="NOB416" s="245" t="s">
        <v>68</v>
      </c>
      <c r="NOC416" s="1715" t="s">
        <v>0</v>
      </c>
      <c r="NOD416" s="1716"/>
      <c r="NOE416" s="1716"/>
      <c r="NOF416" s="1716"/>
      <c r="NOG416" s="1716"/>
      <c r="NOH416" s="244"/>
      <c r="NOI416" s="244" t="s">
        <v>68</v>
      </c>
      <c r="NOJ416" s="245" t="s">
        <v>68</v>
      </c>
      <c r="NOK416" s="1715" t="s">
        <v>0</v>
      </c>
      <c r="NOL416" s="1716"/>
      <c r="NOM416" s="1716"/>
      <c r="NON416" s="1716"/>
      <c r="NOO416" s="1716"/>
      <c r="NOP416" s="244"/>
      <c r="NOQ416" s="244" t="s">
        <v>68</v>
      </c>
      <c r="NOR416" s="245" t="s">
        <v>68</v>
      </c>
      <c r="NOS416" s="1715" t="s">
        <v>0</v>
      </c>
      <c r="NOT416" s="1716"/>
      <c r="NOU416" s="1716"/>
      <c r="NOV416" s="1716"/>
      <c r="NOW416" s="1716"/>
      <c r="NOX416" s="244"/>
      <c r="NOY416" s="244" t="s">
        <v>68</v>
      </c>
      <c r="NOZ416" s="245" t="s">
        <v>68</v>
      </c>
      <c r="NPA416" s="1715" t="s">
        <v>0</v>
      </c>
      <c r="NPB416" s="1716"/>
      <c r="NPC416" s="1716"/>
      <c r="NPD416" s="1716"/>
      <c r="NPE416" s="1716"/>
      <c r="NPF416" s="244"/>
      <c r="NPG416" s="244" t="s">
        <v>68</v>
      </c>
      <c r="NPH416" s="245" t="s">
        <v>68</v>
      </c>
      <c r="NPI416" s="1715" t="s">
        <v>0</v>
      </c>
      <c r="NPJ416" s="1716"/>
      <c r="NPK416" s="1716"/>
      <c r="NPL416" s="1716"/>
      <c r="NPM416" s="1716"/>
      <c r="NPN416" s="244"/>
      <c r="NPO416" s="244" t="s">
        <v>68</v>
      </c>
      <c r="NPP416" s="245" t="s">
        <v>68</v>
      </c>
      <c r="NPQ416" s="1715" t="s">
        <v>0</v>
      </c>
      <c r="NPR416" s="1716"/>
      <c r="NPS416" s="1716"/>
      <c r="NPT416" s="1716"/>
      <c r="NPU416" s="1716"/>
      <c r="NPV416" s="244"/>
      <c r="NPW416" s="244" t="s">
        <v>68</v>
      </c>
      <c r="NPX416" s="245" t="s">
        <v>68</v>
      </c>
      <c r="NPY416" s="1715" t="s">
        <v>0</v>
      </c>
      <c r="NPZ416" s="1716"/>
      <c r="NQA416" s="1716"/>
      <c r="NQB416" s="1716"/>
      <c r="NQC416" s="1716"/>
      <c r="NQD416" s="244"/>
      <c r="NQE416" s="244" t="s">
        <v>68</v>
      </c>
      <c r="NQF416" s="245" t="s">
        <v>68</v>
      </c>
      <c r="NQG416" s="1715" t="s">
        <v>0</v>
      </c>
      <c r="NQH416" s="1716"/>
      <c r="NQI416" s="1716"/>
      <c r="NQJ416" s="1716"/>
      <c r="NQK416" s="1716"/>
      <c r="NQL416" s="244"/>
      <c r="NQM416" s="244" t="s">
        <v>68</v>
      </c>
      <c r="NQN416" s="245" t="s">
        <v>68</v>
      </c>
      <c r="NQO416" s="1715" t="s">
        <v>0</v>
      </c>
      <c r="NQP416" s="1716"/>
      <c r="NQQ416" s="1716"/>
      <c r="NQR416" s="1716"/>
      <c r="NQS416" s="1716"/>
      <c r="NQT416" s="244"/>
      <c r="NQU416" s="244" t="s">
        <v>68</v>
      </c>
      <c r="NQV416" s="245" t="s">
        <v>68</v>
      </c>
      <c r="NQW416" s="1715" t="s">
        <v>0</v>
      </c>
      <c r="NQX416" s="1716"/>
      <c r="NQY416" s="1716"/>
      <c r="NQZ416" s="1716"/>
      <c r="NRA416" s="1716"/>
      <c r="NRB416" s="244"/>
      <c r="NRC416" s="244" t="s">
        <v>68</v>
      </c>
      <c r="NRD416" s="245" t="s">
        <v>68</v>
      </c>
      <c r="NRE416" s="1715" t="s">
        <v>0</v>
      </c>
      <c r="NRF416" s="1716"/>
      <c r="NRG416" s="1716"/>
      <c r="NRH416" s="1716"/>
      <c r="NRI416" s="1716"/>
      <c r="NRJ416" s="244"/>
      <c r="NRK416" s="244" t="s">
        <v>68</v>
      </c>
      <c r="NRL416" s="245" t="s">
        <v>68</v>
      </c>
      <c r="NRM416" s="1715" t="s">
        <v>0</v>
      </c>
      <c r="NRN416" s="1716"/>
      <c r="NRO416" s="1716"/>
      <c r="NRP416" s="1716"/>
      <c r="NRQ416" s="1716"/>
      <c r="NRR416" s="244"/>
      <c r="NRS416" s="244" t="s">
        <v>68</v>
      </c>
      <c r="NRT416" s="245" t="s">
        <v>68</v>
      </c>
      <c r="NRU416" s="1715" t="s">
        <v>0</v>
      </c>
      <c r="NRV416" s="1716"/>
      <c r="NRW416" s="1716"/>
      <c r="NRX416" s="1716"/>
      <c r="NRY416" s="1716"/>
      <c r="NRZ416" s="244"/>
      <c r="NSA416" s="244" t="s">
        <v>68</v>
      </c>
      <c r="NSB416" s="245" t="s">
        <v>68</v>
      </c>
      <c r="NSC416" s="1715" t="s">
        <v>0</v>
      </c>
      <c r="NSD416" s="1716"/>
      <c r="NSE416" s="1716"/>
      <c r="NSF416" s="1716"/>
      <c r="NSG416" s="1716"/>
      <c r="NSH416" s="244"/>
      <c r="NSI416" s="244" t="s">
        <v>68</v>
      </c>
      <c r="NSJ416" s="245" t="s">
        <v>68</v>
      </c>
      <c r="NSK416" s="1715" t="s">
        <v>0</v>
      </c>
      <c r="NSL416" s="1716"/>
      <c r="NSM416" s="1716"/>
      <c r="NSN416" s="1716"/>
      <c r="NSO416" s="1716"/>
      <c r="NSP416" s="244"/>
      <c r="NSQ416" s="244" t="s">
        <v>68</v>
      </c>
      <c r="NSR416" s="245" t="s">
        <v>68</v>
      </c>
      <c r="NSS416" s="1715" t="s">
        <v>0</v>
      </c>
      <c r="NST416" s="1716"/>
      <c r="NSU416" s="1716"/>
      <c r="NSV416" s="1716"/>
      <c r="NSW416" s="1716"/>
      <c r="NSX416" s="244"/>
      <c r="NSY416" s="244" t="s">
        <v>68</v>
      </c>
      <c r="NSZ416" s="245" t="s">
        <v>68</v>
      </c>
      <c r="NTA416" s="1715" t="s">
        <v>0</v>
      </c>
      <c r="NTB416" s="1716"/>
      <c r="NTC416" s="1716"/>
      <c r="NTD416" s="1716"/>
      <c r="NTE416" s="1716"/>
      <c r="NTF416" s="244"/>
      <c r="NTG416" s="244" t="s">
        <v>68</v>
      </c>
      <c r="NTH416" s="245" t="s">
        <v>68</v>
      </c>
      <c r="NTI416" s="1715" t="s">
        <v>0</v>
      </c>
      <c r="NTJ416" s="1716"/>
      <c r="NTK416" s="1716"/>
      <c r="NTL416" s="1716"/>
      <c r="NTM416" s="1716"/>
      <c r="NTN416" s="244"/>
      <c r="NTO416" s="244" t="s">
        <v>68</v>
      </c>
      <c r="NTP416" s="245" t="s">
        <v>68</v>
      </c>
      <c r="NTQ416" s="1715" t="s">
        <v>0</v>
      </c>
      <c r="NTR416" s="1716"/>
      <c r="NTS416" s="1716"/>
      <c r="NTT416" s="1716"/>
      <c r="NTU416" s="1716"/>
      <c r="NTV416" s="244"/>
      <c r="NTW416" s="244" t="s">
        <v>68</v>
      </c>
      <c r="NTX416" s="245" t="s">
        <v>68</v>
      </c>
      <c r="NTY416" s="1715" t="s">
        <v>0</v>
      </c>
      <c r="NTZ416" s="1716"/>
      <c r="NUA416" s="1716"/>
      <c r="NUB416" s="1716"/>
      <c r="NUC416" s="1716"/>
      <c r="NUD416" s="244"/>
      <c r="NUE416" s="244" t="s">
        <v>68</v>
      </c>
      <c r="NUF416" s="245" t="s">
        <v>68</v>
      </c>
      <c r="NUG416" s="1715" t="s">
        <v>0</v>
      </c>
      <c r="NUH416" s="1716"/>
      <c r="NUI416" s="1716"/>
      <c r="NUJ416" s="1716"/>
      <c r="NUK416" s="1716"/>
      <c r="NUL416" s="244"/>
      <c r="NUM416" s="244" t="s">
        <v>68</v>
      </c>
      <c r="NUN416" s="245" t="s">
        <v>68</v>
      </c>
      <c r="NUO416" s="1715" t="s">
        <v>0</v>
      </c>
      <c r="NUP416" s="1716"/>
      <c r="NUQ416" s="1716"/>
      <c r="NUR416" s="1716"/>
      <c r="NUS416" s="1716"/>
      <c r="NUT416" s="244"/>
      <c r="NUU416" s="244" t="s">
        <v>68</v>
      </c>
      <c r="NUV416" s="245" t="s">
        <v>68</v>
      </c>
      <c r="NUW416" s="1715" t="s">
        <v>0</v>
      </c>
      <c r="NUX416" s="1716"/>
      <c r="NUY416" s="1716"/>
      <c r="NUZ416" s="1716"/>
      <c r="NVA416" s="1716"/>
      <c r="NVB416" s="244"/>
      <c r="NVC416" s="244" t="s">
        <v>68</v>
      </c>
      <c r="NVD416" s="245" t="s">
        <v>68</v>
      </c>
      <c r="NVE416" s="1715" t="s">
        <v>0</v>
      </c>
      <c r="NVF416" s="1716"/>
      <c r="NVG416" s="1716"/>
      <c r="NVH416" s="1716"/>
      <c r="NVI416" s="1716"/>
      <c r="NVJ416" s="244"/>
      <c r="NVK416" s="244" t="s">
        <v>68</v>
      </c>
      <c r="NVL416" s="245" t="s">
        <v>68</v>
      </c>
      <c r="NVM416" s="1715" t="s">
        <v>0</v>
      </c>
      <c r="NVN416" s="1716"/>
      <c r="NVO416" s="1716"/>
      <c r="NVP416" s="1716"/>
      <c r="NVQ416" s="1716"/>
      <c r="NVR416" s="244"/>
      <c r="NVS416" s="244" t="s">
        <v>68</v>
      </c>
      <c r="NVT416" s="245" t="s">
        <v>68</v>
      </c>
      <c r="NVU416" s="1715" t="s">
        <v>0</v>
      </c>
      <c r="NVV416" s="1716"/>
      <c r="NVW416" s="1716"/>
      <c r="NVX416" s="1716"/>
      <c r="NVY416" s="1716"/>
      <c r="NVZ416" s="244"/>
      <c r="NWA416" s="244" t="s">
        <v>68</v>
      </c>
      <c r="NWB416" s="245" t="s">
        <v>68</v>
      </c>
      <c r="NWC416" s="1715" t="s">
        <v>0</v>
      </c>
      <c r="NWD416" s="1716"/>
      <c r="NWE416" s="1716"/>
      <c r="NWF416" s="1716"/>
      <c r="NWG416" s="1716"/>
      <c r="NWH416" s="244"/>
      <c r="NWI416" s="244" t="s">
        <v>68</v>
      </c>
      <c r="NWJ416" s="245" t="s">
        <v>68</v>
      </c>
      <c r="NWK416" s="1715" t="s">
        <v>0</v>
      </c>
      <c r="NWL416" s="1716"/>
      <c r="NWM416" s="1716"/>
      <c r="NWN416" s="1716"/>
      <c r="NWO416" s="1716"/>
      <c r="NWP416" s="244"/>
      <c r="NWQ416" s="244" t="s">
        <v>68</v>
      </c>
      <c r="NWR416" s="245" t="s">
        <v>68</v>
      </c>
      <c r="NWS416" s="1715" t="s">
        <v>0</v>
      </c>
      <c r="NWT416" s="1716"/>
      <c r="NWU416" s="1716"/>
      <c r="NWV416" s="1716"/>
      <c r="NWW416" s="1716"/>
      <c r="NWX416" s="244"/>
      <c r="NWY416" s="244" t="s">
        <v>68</v>
      </c>
      <c r="NWZ416" s="245" t="s">
        <v>68</v>
      </c>
      <c r="NXA416" s="1715" t="s">
        <v>0</v>
      </c>
      <c r="NXB416" s="1716"/>
      <c r="NXC416" s="1716"/>
      <c r="NXD416" s="1716"/>
      <c r="NXE416" s="1716"/>
      <c r="NXF416" s="244"/>
      <c r="NXG416" s="244" t="s">
        <v>68</v>
      </c>
      <c r="NXH416" s="245" t="s">
        <v>68</v>
      </c>
      <c r="NXI416" s="1715" t="s">
        <v>0</v>
      </c>
      <c r="NXJ416" s="1716"/>
      <c r="NXK416" s="1716"/>
      <c r="NXL416" s="1716"/>
      <c r="NXM416" s="1716"/>
      <c r="NXN416" s="244"/>
      <c r="NXO416" s="244" t="s">
        <v>68</v>
      </c>
      <c r="NXP416" s="245" t="s">
        <v>68</v>
      </c>
      <c r="NXQ416" s="1715" t="s">
        <v>0</v>
      </c>
      <c r="NXR416" s="1716"/>
      <c r="NXS416" s="1716"/>
      <c r="NXT416" s="1716"/>
      <c r="NXU416" s="1716"/>
      <c r="NXV416" s="244"/>
      <c r="NXW416" s="244" t="s">
        <v>68</v>
      </c>
      <c r="NXX416" s="245" t="s">
        <v>68</v>
      </c>
      <c r="NXY416" s="1715" t="s">
        <v>0</v>
      </c>
      <c r="NXZ416" s="1716"/>
      <c r="NYA416" s="1716"/>
      <c r="NYB416" s="1716"/>
      <c r="NYC416" s="1716"/>
      <c r="NYD416" s="244"/>
      <c r="NYE416" s="244" t="s">
        <v>68</v>
      </c>
      <c r="NYF416" s="245" t="s">
        <v>68</v>
      </c>
      <c r="NYG416" s="1715" t="s">
        <v>0</v>
      </c>
      <c r="NYH416" s="1716"/>
      <c r="NYI416" s="1716"/>
      <c r="NYJ416" s="1716"/>
      <c r="NYK416" s="1716"/>
      <c r="NYL416" s="244"/>
      <c r="NYM416" s="244" t="s">
        <v>68</v>
      </c>
      <c r="NYN416" s="245" t="s">
        <v>68</v>
      </c>
      <c r="NYO416" s="1715" t="s">
        <v>0</v>
      </c>
      <c r="NYP416" s="1716"/>
      <c r="NYQ416" s="1716"/>
      <c r="NYR416" s="1716"/>
      <c r="NYS416" s="1716"/>
      <c r="NYT416" s="244"/>
      <c r="NYU416" s="244" t="s">
        <v>68</v>
      </c>
      <c r="NYV416" s="245" t="s">
        <v>68</v>
      </c>
      <c r="NYW416" s="1715" t="s">
        <v>0</v>
      </c>
      <c r="NYX416" s="1716"/>
      <c r="NYY416" s="1716"/>
      <c r="NYZ416" s="1716"/>
      <c r="NZA416" s="1716"/>
      <c r="NZB416" s="244"/>
      <c r="NZC416" s="244" t="s">
        <v>68</v>
      </c>
      <c r="NZD416" s="245" t="s">
        <v>68</v>
      </c>
      <c r="NZE416" s="1715" t="s">
        <v>0</v>
      </c>
      <c r="NZF416" s="1716"/>
      <c r="NZG416" s="1716"/>
      <c r="NZH416" s="1716"/>
      <c r="NZI416" s="1716"/>
      <c r="NZJ416" s="244"/>
      <c r="NZK416" s="244" t="s">
        <v>68</v>
      </c>
      <c r="NZL416" s="245" t="s">
        <v>68</v>
      </c>
      <c r="NZM416" s="1715" t="s">
        <v>0</v>
      </c>
      <c r="NZN416" s="1716"/>
      <c r="NZO416" s="1716"/>
      <c r="NZP416" s="1716"/>
      <c r="NZQ416" s="1716"/>
      <c r="NZR416" s="244"/>
      <c r="NZS416" s="244" t="s">
        <v>68</v>
      </c>
      <c r="NZT416" s="245" t="s">
        <v>68</v>
      </c>
      <c r="NZU416" s="1715" t="s">
        <v>0</v>
      </c>
      <c r="NZV416" s="1716"/>
      <c r="NZW416" s="1716"/>
      <c r="NZX416" s="1716"/>
      <c r="NZY416" s="1716"/>
      <c r="NZZ416" s="244"/>
      <c r="OAA416" s="244" t="s">
        <v>68</v>
      </c>
      <c r="OAB416" s="245" t="s">
        <v>68</v>
      </c>
      <c r="OAC416" s="1715" t="s">
        <v>0</v>
      </c>
      <c r="OAD416" s="1716"/>
      <c r="OAE416" s="1716"/>
      <c r="OAF416" s="1716"/>
      <c r="OAG416" s="1716"/>
      <c r="OAH416" s="244"/>
      <c r="OAI416" s="244" t="s">
        <v>68</v>
      </c>
      <c r="OAJ416" s="245" t="s">
        <v>68</v>
      </c>
      <c r="OAK416" s="1715" t="s">
        <v>0</v>
      </c>
      <c r="OAL416" s="1716"/>
      <c r="OAM416" s="1716"/>
      <c r="OAN416" s="1716"/>
      <c r="OAO416" s="1716"/>
      <c r="OAP416" s="244"/>
      <c r="OAQ416" s="244" t="s">
        <v>68</v>
      </c>
      <c r="OAR416" s="245" t="s">
        <v>68</v>
      </c>
      <c r="OAS416" s="1715" t="s">
        <v>0</v>
      </c>
      <c r="OAT416" s="1716"/>
      <c r="OAU416" s="1716"/>
      <c r="OAV416" s="1716"/>
      <c r="OAW416" s="1716"/>
      <c r="OAX416" s="244"/>
      <c r="OAY416" s="244" t="s">
        <v>68</v>
      </c>
      <c r="OAZ416" s="245" t="s">
        <v>68</v>
      </c>
      <c r="OBA416" s="1715" t="s">
        <v>0</v>
      </c>
      <c r="OBB416" s="1716"/>
      <c r="OBC416" s="1716"/>
      <c r="OBD416" s="1716"/>
      <c r="OBE416" s="1716"/>
      <c r="OBF416" s="244"/>
      <c r="OBG416" s="244" t="s">
        <v>68</v>
      </c>
      <c r="OBH416" s="245" t="s">
        <v>68</v>
      </c>
      <c r="OBI416" s="1715" t="s">
        <v>0</v>
      </c>
      <c r="OBJ416" s="1716"/>
      <c r="OBK416" s="1716"/>
      <c r="OBL416" s="1716"/>
      <c r="OBM416" s="1716"/>
      <c r="OBN416" s="244"/>
      <c r="OBO416" s="244" t="s">
        <v>68</v>
      </c>
      <c r="OBP416" s="245" t="s">
        <v>68</v>
      </c>
      <c r="OBQ416" s="1715" t="s">
        <v>0</v>
      </c>
      <c r="OBR416" s="1716"/>
      <c r="OBS416" s="1716"/>
      <c r="OBT416" s="1716"/>
      <c r="OBU416" s="1716"/>
      <c r="OBV416" s="244"/>
      <c r="OBW416" s="244" t="s">
        <v>68</v>
      </c>
      <c r="OBX416" s="245" t="s">
        <v>68</v>
      </c>
      <c r="OBY416" s="1715" t="s">
        <v>0</v>
      </c>
      <c r="OBZ416" s="1716"/>
      <c r="OCA416" s="1716"/>
      <c r="OCB416" s="1716"/>
      <c r="OCC416" s="1716"/>
      <c r="OCD416" s="244"/>
      <c r="OCE416" s="244" t="s">
        <v>68</v>
      </c>
      <c r="OCF416" s="245" t="s">
        <v>68</v>
      </c>
      <c r="OCG416" s="1715" t="s">
        <v>0</v>
      </c>
      <c r="OCH416" s="1716"/>
      <c r="OCI416" s="1716"/>
      <c r="OCJ416" s="1716"/>
      <c r="OCK416" s="1716"/>
      <c r="OCL416" s="244"/>
      <c r="OCM416" s="244" t="s">
        <v>68</v>
      </c>
      <c r="OCN416" s="245" t="s">
        <v>68</v>
      </c>
      <c r="OCO416" s="1715" t="s">
        <v>0</v>
      </c>
      <c r="OCP416" s="1716"/>
      <c r="OCQ416" s="1716"/>
      <c r="OCR416" s="1716"/>
      <c r="OCS416" s="1716"/>
      <c r="OCT416" s="244"/>
      <c r="OCU416" s="244" t="s">
        <v>68</v>
      </c>
      <c r="OCV416" s="245" t="s">
        <v>68</v>
      </c>
      <c r="OCW416" s="1715" t="s">
        <v>0</v>
      </c>
      <c r="OCX416" s="1716"/>
      <c r="OCY416" s="1716"/>
      <c r="OCZ416" s="1716"/>
      <c r="ODA416" s="1716"/>
      <c r="ODB416" s="244"/>
      <c r="ODC416" s="244" t="s">
        <v>68</v>
      </c>
      <c r="ODD416" s="245" t="s">
        <v>68</v>
      </c>
      <c r="ODE416" s="1715" t="s">
        <v>0</v>
      </c>
      <c r="ODF416" s="1716"/>
      <c r="ODG416" s="1716"/>
      <c r="ODH416" s="1716"/>
      <c r="ODI416" s="1716"/>
      <c r="ODJ416" s="244"/>
      <c r="ODK416" s="244" t="s">
        <v>68</v>
      </c>
      <c r="ODL416" s="245" t="s">
        <v>68</v>
      </c>
      <c r="ODM416" s="1715" t="s">
        <v>0</v>
      </c>
      <c r="ODN416" s="1716"/>
      <c r="ODO416" s="1716"/>
      <c r="ODP416" s="1716"/>
      <c r="ODQ416" s="1716"/>
      <c r="ODR416" s="244"/>
      <c r="ODS416" s="244" t="s">
        <v>68</v>
      </c>
      <c r="ODT416" s="245" t="s">
        <v>68</v>
      </c>
      <c r="ODU416" s="1715" t="s">
        <v>0</v>
      </c>
      <c r="ODV416" s="1716"/>
      <c r="ODW416" s="1716"/>
      <c r="ODX416" s="1716"/>
      <c r="ODY416" s="1716"/>
      <c r="ODZ416" s="244"/>
      <c r="OEA416" s="244" t="s">
        <v>68</v>
      </c>
      <c r="OEB416" s="245" t="s">
        <v>68</v>
      </c>
      <c r="OEC416" s="1715" t="s">
        <v>0</v>
      </c>
      <c r="OED416" s="1716"/>
      <c r="OEE416" s="1716"/>
      <c r="OEF416" s="1716"/>
      <c r="OEG416" s="1716"/>
      <c r="OEH416" s="244"/>
      <c r="OEI416" s="244" t="s">
        <v>68</v>
      </c>
      <c r="OEJ416" s="245" t="s">
        <v>68</v>
      </c>
      <c r="OEK416" s="1715" t="s">
        <v>0</v>
      </c>
      <c r="OEL416" s="1716"/>
      <c r="OEM416" s="1716"/>
      <c r="OEN416" s="1716"/>
      <c r="OEO416" s="1716"/>
      <c r="OEP416" s="244"/>
      <c r="OEQ416" s="244" t="s">
        <v>68</v>
      </c>
      <c r="OER416" s="245" t="s">
        <v>68</v>
      </c>
      <c r="OES416" s="1715" t="s">
        <v>0</v>
      </c>
      <c r="OET416" s="1716"/>
      <c r="OEU416" s="1716"/>
      <c r="OEV416" s="1716"/>
      <c r="OEW416" s="1716"/>
      <c r="OEX416" s="244"/>
      <c r="OEY416" s="244" t="s">
        <v>68</v>
      </c>
      <c r="OEZ416" s="245" t="s">
        <v>68</v>
      </c>
      <c r="OFA416" s="1715" t="s">
        <v>0</v>
      </c>
      <c r="OFB416" s="1716"/>
      <c r="OFC416" s="1716"/>
      <c r="OFD416" s="1716"/>
      <c r="OFE416" s="1716"/>
      <c r="OFF416" s="244"/>
      <c r="OFG416" s="244" t="s">
        <v>68</v>
      </c>
      <c r="OFH416" s="245" t="s">
        <v>68</v>
      </c>
      <c r="OFI416" s="1715" t="s">
        <v>0</v>
      </c>
      <c r="OFJ416" s="1716"/>
      <c r="OFK416" s="1716"/>
      <c r="OFL416" s="1716"/>
      <c r="OFM416" s="1716"/>
      <c r="OFN416" s="244"/>
      <c r="OFO416" s="244" t="s">
        <v>68</v>
      </c>
      <c r="OFP416" s="245" t="s">
        <v>68</v>
      </c>
      <c r="OFQ416" s="1715" t="s">
        <v>0</v>
      </c>
      <c r="OFR416" s="1716"/>
      <c r="OFS416" s="1716"/>
      <c r="OFT416" s="1716"/>
      <c r="OFU416" s="1716"/>
      <c r="OFV416" s="244"/>
      <c r="OFW416" s="244" t="s">
        <v>68</v>
      </c>
      <c r="OFX416" s="245" t="s">
        <v>68</v>
      </c>
      <c r="OFY416" s="1715" t="s">
        <v>0</v>
      </c>
      <c r="OFZ416" s="1716"/>
      <c r="OGA416" s="1716"/>
      <c r="OGB416" s="1716"/>
      <c r="OGC416" s="1716"/>
      <c r="OGD416" s="244"/>
      <c r="OGE416" s="244" t="s">
        <v>68</v>
      </c>
      <c r="OGF416" s="245" t="s">
        <v>68</v>
      </c>
      <c r="OGG416" s="1715" t="s">
        <v>0</v>
      </c>
      <c r="OGH416" s="1716"/>
      <c r="OGI416" s="1716"/>
      <c r="OGJ416" s="1716"/>
      <c r="OGK416" s="1716"/>
      <c r="OGL416" s="244"/>
      <c r="OGM416" s="244" t="s">
        <v>68</v>
      </c>
      <c r="OGN416" s="245" t="s">
        <v>68</v>
      </c>
      <c r="OGO416" s="1715" t="s">
        <v>0</v>
      </c>
      <c r="OGP416" s="1716"/>
      <c r="OGQ416" s="1716"/>
      <c r="OGR416" s="1716"/>
      <c r="OGS416" s="1716"/>
      <c r="OGT416" s="244"/>
      <c r="OGU416" s="244" t="s">
        <v>68</v>
      </c>
      <c r="OGV416" s="245" t="s">
        <v>68</v>
      </c>
      <c r="OGW416" s="1715" t="s">
        <v>0</v>
      </c>
      <c r="OGX416" s="1716"/>
      <c r="OGY416" s="1716"/>
      <c r="OGZ416" s="1716"/>
      <c r="OHA416" s="1716"/>
      <c r="OHB416" s="244"/>
      <c r="OHC416" s="244" t="s">
        <v>68</v>
      </c>
      <c r="OHD416" s="245" t="s">
        <v>68</v>
      </c>
      <c r="OHE416" s="1715" t="s">
        <v>0</v>
      </c>
      <c r="OHF416" s="1716"/>
      <c r="OHG416" s="1716"/>
      <c r="OHH416" s="1716"/>
      <c r="OHI416" s="1716"/>
      <c r="OHJ416" s="244"/>
      <c r="OHK416" s="244" t="s">
        <v>68</v>
      </c>
      <c r="OHL416" s="245" t="s">
        <v>68</v>
      </c>
      <c r="OHM416" s="1715" t="s">
        <v>0</v>
      </c>
      <c r="OHN416" s="1716"/>
      <c r="OHO416" s="1716"/>
      <c r="OHP416" s="1716"/>
      <c r="OHQ416" s="1716"/>
      <c r="OHR416" s="244"/>
      <c r="OHS416" s="244" t="s">
        <v>68</v>
      </c>
      <c r="OHT416" s="245" t="s">
        <v>68</v>
      </c>
      <c r="OHU416" s="1715" t="s">
        <v>0</v>
      </c>
      <c r="OHV416" s="1716"/>
      <c r="OHW416" s="1716"/>
      <c r="OHX416" s="1716"/>
      <c r="OHY416" s="1716"/>
      <c r="OHZ416" s="244"/>
      <c r="OIA416" s="244" t="s">
        <v>68</v>
      </c>
      <c r="OIB416" s="245" t="s">
        <v>68</v>
      </c>
      <c r="OIC416" s="1715" t="s">
        <v>0</v>
      </c>
      <c r="OID416" s="1716"/>
      <c r="OIE416" s="1716"/>
      <c r="OIF416" s="1716"/>
      <c r="OIG416" s="1716"/>
      <c r="OIH416" s="244"/>
      <c r="OII416" s="244" t="s">
        <v>68</v>
      </c>
      <c r="OIJ416" s="245" t="s">
        <v>68</v>
      </c>
      <c r="OIK416" s="1715" t="s">
        <v>0</v>
      </c>
      <c r="OIL416" s="1716"/>
      <c r="OIM416" s="1716"/>
      <c r="OIN416" s="1716"/>
      <c r="OIO416" s="1716"/>
      <c r="OIP416" s="244"/>
      <c r="OIQ416" s="244" t="s">
        <v>68</v>
      </c>
      <c r="OIR416" s="245" t="s">
        <v>68</v>
      </c>
      <c r="OIS416" s="1715" t="s">
        <v>0</v>
      </c>
      <c r="OIT416" s="1716"/>
      <c r="OIU416" s="1716"/>
      <c r="OIV416" s="1716"/>
      <c r="OIW416" s="1716"/>
      <c r="OIX416" s="244"/>
      <c r="OIY416" s="244" t="s">
        <v>68</v>
      </c>
      <c r="OIZ416" s="245" t="s">
        <v>68</v>
      </c>
      <c r="OJA416" s="1715" t="s">
        <v>0</v>
      </c>
      <c r="OJB416" s="1716"/>
      <c r="OJC416" s="1716"/>
      <c r="OJD416" s="1716"/>
      <c r="OJE416" s="1716"/>
      <c r="OJF416" s="244"/>
      <c r="OJG416" s="244" t="s">
        <v>68</v>
      </c>
      <c r="OJH416" s="245" t="s">
        <v>68</v>
      </c>
      <c r="OJI416" s="1715" t="s">
        <v>0</v>
      </c>
      <c r="OJJ416" s="1716"/>
      <c r="OJK416" s="1716"/>
      <c r="OJL416" s="1716"/>
      <c r="OJM416" s="1716"/>
      <c r="OJN416" s="244"/>
      <c r="OJO416" s="244" t="s">
        <v>68</v>
      </c>
      <c r="OJP416" s="245" t="s">
        <v>68</v>
      </c>
      <c r="OJQ416" s="1715" t="s">
        <v>0</v>
      </c>
      <c r="OJR416" s="1716"/>
      <c r="OJS416" s="1716"/>
      <c r="OJT416" s="1716"/>
      <c r="OJU416" s="1716"/>
      <c r="OJV416" s="244"/>
      <c r="OJW416" s="244" t="s">
        <v>68</v>
      </c>
      <c r="OJX416" s="245" t="s">
        <v>68</v>
      </c>
      <c r="OJY416" s="1715" t="s">
        <v>0</v>
      </c>
      <c r="OJZ416" s="1716"/>
      <c r="OKA416" s="1716"/>
      <c r="OKB416" s="1716"/>
      <c r="OKC416" s="1716"/>
      <c r="OKD416" s="244"/>
      <c r="OKE416" s="244" t="s">
        <v>68</v>
      </c>
      <c r="OKF416" s="245" t="s">
        <v>68</v>
      </c>
      <c r="OKG416" s="1715" t="s">
        <v>0</v>
      </c>
      <c r="OKH416" s="1716"/>
      <c r="OKI416" s="1716"/>
      <c r="OKJ416" s="1716"/>
      <c r="OKK416" s="1716"/>
      <c r="OKL416" s="244"/>
      <c r="OKM416" s="244" t="s">
        <v>68</v>
      </c>
      <c r="OKN416" s="245" t="s">
        <v>68</v>
      </c>
      <c r="OKO416" s="1715" t="s">
        <v>0</v>
      </c>
      <c r="OKP416" s="1716"/>
      <c r="OKQ416" s="1716"/>
      <c r="OKR416" s="1716"/>
      <c r="OKS416" s="1716"/>
      <c r="OKT416" s="244"/>
      <c r="OKU416" s="244" t="s">
        <v>68</v>
      </c>
      <c r="OKV416" s="245" t="s">
        <v>68</v>
      </c>
      <c r="OKW416" s="1715" t="s">
        <v>0</v>
      </c>
      <c r="OKX416" s="1716"/>
      <c r="OKY416" s="1716"/>
      <c r="OKZ416" s="1716"/>
      <c r="OLA416" s="1716"/>
      <c r="OLB416" s="244"/>
      <c r="OLC416" s="244" t="s">
        <v>68</v>
      </c>
      <c r="OLD416" s="245" t="s">
        <v>68</v>
      </c>
      <c r="OLE416" s="1715" t="s">
        <v>0</v>
      </c>
      <c r="OLF416" s="1716"/>
      <c r="OLG416" s="1716"/>
      <c r="OLH416" s="1716"/>
      <c r="OLI416" s="1716"/>
      <c r="OLJ416" s="244"/>
      <c r="OLK416" s="244" t="s">
        <v>68</v>
      </c>
      <c r="OLL416" s="245" t="s">
        <v>68</v>
      </c>
      <c r="OLM416" s="1715" t="s">
        <v>0</v>
      </c>
      <c r="OLN416" s="1716"/>
      <c r="OLO416" s="1716"/>
      <c r="OLP416" s="1716"/>
      <c r="OLQ416" s="1716"/>
      <c r="OLR416" s="244"/>
      <c r="OLS416" s="244" t="s">
        <v>68</v>
      </c>
      <c r="OLT416" s="245" t="s">
        <v>68</v>
      </c>
      <c r="OLU416" s="1715" t="s">
        <v>0</v>
      </c>
      <c r="OLV416" s="1716"/>
      <c r="OLW416" s="1716"/>
      <c r="OLX416" s="1716"/>
      <c r="OLY416" s="1716"/>
      <c r="OLZ416" s="244"/>
      <c r="OMA416" s="244" t="s">
        <v>68</v>
      </c>
      <c r="OMB416" s="245" t="s">
        <v>68</v>
      </c>
      <c r="OMC416" s="1715" t="s">
        <v>0</v>
      </c>
      <c r="OMD416" s="1716"/>
      <c r="OME416" s="1716"/>
      <c r="OMF416" s="1716"/>
      <c r="OMG416" s="1716"/>
      <c r="OMH416" s="244"/>
      <c r="OMI416" s="244" t="s">
        <v>68</v>
      </c>
      <c r="OMJ416" s="245" t="s">
        <v>68</v>
      </c>
      <c r="OMK416" s="1715" t="s">
        <v>0</v>
      </c>
      <c r="OML416" s="1716"/>
      <c r="OMM416" s="1716"/>
      <c r="OMN416" s="1716"/>
      <c r="OMO416" s="1716"/>
      <c r="OMP416" s="244"/>
      <c r="OMQ416" s="244" t="s">
        <v>68</v>
      </c>
      <c r="OMR416" s="245" t="s">
        <v>68</v>
      </c>
      <c r="OMS416" s="1715" t="s">
        <v>0</v>
      </c>
      <c r="OMT416" s="1716"/>
      <c r="OMU416" s="1716"/>
      <c r="OMV416" s="1716"/>
      <c r="OMW416" s="1716"/>
      <c r="OMX416" s="244"/>
      <c r="OMY416" s="244" t="s">
        <v>68</v>
      </c>
      <c r="OMZ416" s="245" t="s">
        <v>68</v>
      </c>
      <c r="ONA416" s="1715" t="s">
        <v>0</v>
      </c>
      <c r="ONB416" s="1716"/>
      <c r="ONC416" s="1716"/>
      <c r="OND416" s="1716"/>
      <c r="ONE416" s="1716"/>
      <c r="ONF416" s="244"/>
      <c r="ONG416" s="244" t="s">
        <v>68</v>
      </c>
      <c r="ONH416" s="245" t="s">
        <v>68</v>
      </c>
      <c r="ONI416" s="1715" t="s">
        <v>0</v>
      </c>
      <c r="ONJ416" s="1716"/>
      <c r="ONK416" s="1716"/>
      <c r="ONL416" s="1716"/>
      <c r="ONM416" s="1716"/>
      <c r="ONN416" s="244"/>
      <c r="ONO416" s="244" t="s">
        <v>68</v>
      </c>
      <c r="ONP416" s="245" t="s">
        <v>68</v>
      </c>
      <c r="ONQ416" s="1715" t="s">
        <v>0</v>
      </c>
      <c r="ONR416" s="1716"/>
      <c r="ONS416" s="1716"/>
      <c r="ONT416" s="1716"/>
      <c r="ONU416" s="1716"/>
      <c r="ONV416" s="244"/>
      <c r="ONW416" s="244" t="s">
        <v>68</v>
      </c>
      <c r="ONX416" s="245" t="s">
        <v>68</v>
      </c>
      <c r="ONY416" s="1715" t="s">
        <v>0</v>
      </c>
      <c r="ONZ416" s="1716"/>
      <c r="OOA416" s="1716"/>
      <c r="OOB416" s="1716"/>
      <c r="OOC416" s="1716"/>
      <c r="OOD416" s="244"/>
      <c r="OOE416" s="244" t="s">
        <v>68</v>
      </c>
      <c r="OOF416" s="245" t="s">
        <v>68</v>
      </c>
      <c r="OOG416" s="1715" t="s">
        <v>0</v>
      </c>
      <c r="OOH416" s="1716"/>
      <c r="OOI416" s="1716"/>
      <c r="OOJ416" s="1716"/>
      <c r="OOK416" s="1716"/>
      <c r="OOL416" s="244"/>
      <c r="OOM416" s="244" t="s">
        <v>68</v>
      </c>
      <c r="OON416" s="245" t="s">
        <v>68</v>
      </c>
      <c r="OOO416" s="1715" t="s">
        <v>0</v>
      </c>
      <c r="OOP416" s="1716"/>
      <c r="OOQ416" s="1716"/>
      <c r="OOR416" s="1716"/>
      <c r="OOS416" s="1716"/>
      <c r="OOT416" s="244"/>
      <c r="OOU416" s="244" t="s">
        <v>68</v>
      </c>
      <c r="OOV416" s="245" t="s">
        <v>68</v>
      </c>
      <c r="OOW416" s="1715" t="s">
        <v>0</v>
      </c>
      <c r="OOX416" s="1716"/>
      <c r="OOY416" s="1716"/>
      <c r="OOZ416" s="1716"/>
      <c r="OPA416" s="1716"/>
      <c r="OPB416" s="244"/>
      <c r="OPC416" s="244" t="s">
        <v>68</v>
      </c>
      <c r="OPD416" s="245" t="s">
        <v>68</v>
      </c>
      <c r="OPE416" s="1715" t="s">
        <v>0</v>
      </c>
      <c r="OPF416" s="1716"/>
      <c r="OPG416" s="1716"/>
      <c r="OPH416" s="1716"/>
      <c r="OPI416" s="1716"/>
      <c r="OPJ416" s="244"/>
      <c r="OPK416" s="244" t="s">
        <v>68</v>
      </c>
      <c r="OPL416" s="245" t="s">
        <v>68</v>
      </c>
      <c r="OPM416" s="1715" t="s">
        <v>0</v>
      </c>
      <c r="OPN416" s="1716"/>
      <c r="OPO416" s="1716"/>
      <c r="OPP416" s="1716"/>
      <c r="OPQ416" s="1716"/>
      <c r="OPR416" s="244"/>
      <c r="OPS416" s="244" t="s">
        <v>68</v>
      </c>
      <c r="OPT416" s="245" t="s">
        <v>68</v>
      </c>
      <c r="OPU416" s="1715" t="s">
        <v>0</v>
      </c>
      <c r="OPV416" s="1716"/>
      <c r="OPW416" s="1716"/>
      <c r="OPX416" s="1716"/>
      <c r="OPY416" s="1716"/>
      <c r="OPZ416" s="244"/>
      <c r="OQA416" s="244" t="s">
        <v>68</v>
      </c>
      <c r="OQB416" s="245" t="s">
        <v>68</v>
      </c>
      <c r="OQC416" s="1715" t="s">
        <v>0</v>
      </c>
      <c r="OQD416" s="1716"/>
      <c r="OQE416" s="1716"/>
      <c r="OQF416" s="1716"/>
      <c r="OQG416" s="1716"/>
      <c r="OQH416" s="244"/>
      <c r="OQI416" s="244" t="s">
        <v>68</v>
      </c>
      <c r="OQJ416" s="245" t="s">
        <v>68</v>
      </c>
      <c r="OQK416" s="1715" t="s">
        <v>0</v>
      </c>
      <c r="OQL416" s="1716"/>
      <c r="OQM416" s="1716"/>
      <c r="OQN416" s="1716"/>
      <c r="OQO416" s="1716"/>
      <c r="OQP416" s="244"/>
      <c r="OQQ416" s="244" t="s">
        <v>68</v>
      </c>
      <c r="OQR416" s="245" t="s">
        <v>68</v>
      </c>
      <c r="OQS416" s="1715" t="s">
        <v>0</v>
      </c>
      <c r="OQT416" s="1716"/>
      <c r="OQU416" s="1716"/>
      <c r="OQV416" s="1716"/>
      <c r="OQW416" s="1716"/>
      <c r="OQX416" s="244"/>
      <c r="OQY416" s="244" t="s">
        <v>68</v>
      </c>
      <c r="OQZ416" s="245" t="s">
        <v>68</v>
      </c>
      <c r="ORA416" s="1715" t="s">
        <v>0</v>
      </c>
      <c r="ORB416" s="1716"/>
      <c r="ORC416" s="1716"/>
      <c r="ORD416" s="1716"/>
      <c r="ORE416" s="1716"/>
      <c r="ORF416" s="244"/>
      <c r="ORG416" s="244" t="s">
        <v>68</v>
      </c>
      <c r="ORH416" s="245" t="s">
        <v>68</v>
      </c>
      <c r="ORI416" s="1715" t="s">
        <v>0</v>
      </c>
      <c r="ORJ416" s="1716"/>
      <c r="ORK416" s="1716"/>
      <c r="ORL416" s="1716"/>
      <c r="ORM416" s="1716"/>
      <c r="ORN416" s="244"/>
      <c r="ORO416" s="244" t="s">
        <v>68</v>
      </c>
      <c r="ORP416" s="245" t="s">
        <v>68</v>
      </c>
      <c r="ORQ416" s="1715" t="s">
        <v>0</v>
      </c>
      <c r="ORR416" s="1716"/>
      <c r="ORS416" s="1716"/>
      <c r="ORT416" s="1716"/>
      <c r="ORU416" s="1716"/>
      <c r="ORV416" s="244"/>
      <c r="ORW416" s="244" t="s">
        <v>68</v>
      </c>
      <c r="ORX416" s="245" t="s">
        <v>68</v>
      </c>
      <c r="ORY416" s="1715" t="s">
        <v>0</v>
      </c>
      <c r="ORZ416" s="1716"/>
      <c r="OSA416" s="1716"/>
      <c r="OSB416" s="1716"/>
      <c r="OSC416" s="1716"/>
      <c r="OSD416" s="244"/>
      <c r="OSE416" s="244" t="s">
        <v>68</v>
      </c>
      <c r="OSF416" s="245" t="s">
        <v>68</v>
      </c>
      <c r="OSG416" s="1715" t="s">
        <v>0</v>
      </c>
      <c r="OSH416" s="1716"/>
      <c r="OSI416" s="1716"/>
      <c r="OSJ416" s="1716"/>
      <c r="OSK416" s="1716"/>
      <c r="OSL416" s="244"/>
      <c r="OSM416" s="244" t="s">
        <v>68</v>
      </c>
      <c r="OSN416" s="245" t="s">
        <v>68</v>
      </c>
      <c r="OSO416" s="1715" t="s">
        <v>0</v>
      </c>
      <c r="OSP416" s="1716"/>
      <c r="OSQ416" s="1716"/>
      <c r="OSR416" s="1716"/>
      <c r="OSS416" s="1716"/>
      <c r="OST416" s="244"/>
      <c r="OSU416" s="244" t="s">
        <v>68</v>
      </c>
      <c r="OSV416" s="245" t="s">
        <v>68</v>
      </c>
      <c r="OSW416" s="1715" t="s">
        <v>0</v>
      </c>
      <c r="OSX416" s="1716"/>
      <c r="OSY416" s="1716"/>
      <c r="OSZ416" s="1716"/>
      <c r="OTA416" s="1716"/>
      <c r="OTB416" s="244"/>
      <c r="OTC416" s="244" t="s">
        <v>68</v>
      </c>
      <c r="OTD416" s="245" t="s">
        <v>68</v>
      </c>
      <c r="OTE416" s="1715" t="s">
        <v>0</v>
      </c>
      <c r="OTF416" s="1716"/>
      <c r="OTG416" s="1716"/>
      <c r="OTH416" s="1716"/>
      <c r="OTI416" s="1716"/>
      <c r="OTJ416" s="244"/>
      <c r="OTK416" s="244" t="s">
        <v>68</v>
      </c>
      <c r="OTL416" s="245" t="s">
        <v>68</v>
      </c>
      <c r="OTM416" s="1715" t="s">
        <v>0</v>
      </c>
      <c r="OTN416" s="1716"/>
      <c r="OTO416" s="1716"/>
      <c r="OTP416" s="1716"/>
      <c r="OTQ416" s="1716"/>
      <c r="OTR416" s="244"/>
      <c r="OTS416" s="244" t="s">
        <v>68</v>
      </c>
      <c r="OTT416" s="245" t="s">
        <v>68</v>
      </c>
      <c r="OTU416" s="1715" t="s">
        <v>0</v>
      </c>
      <c r="OTV416" s="1716"/>
      <c r="OTW416" s="1716"/>
      <c r="OTX416" s="1716"/>
      <c r="OTY416" s="1716"/>
      <c r="OTZ416" s="244"/>
      <c r="OUA416" s="244" t="s">
        <v>68</v>
      </c>
      <c r="OUB416" s="245" t="s">
        <v>68</v>
      </c>
      <c r="OUC416" s="1715" t="s">
        <v>0</v>
      </c>
      <c r="OUD416" s="1716"/>
      <c r="OUE416" s="1716"/>
      <c r="OUF416" s="1716"/>
      <c r="OUG416" s="1716"/>
      <c r="OUH416" s="244"/>
      <c r="OUI416" s="244" t="s">
        <v>68</v>
      </c>
      <c r="OUJ416" s="245" t="s">
        <v>68</v>
      </c>
      <c r="OUK416" s="1715" t="s">
        <v>0</v>
      </c>
      <c r="OUL416" s="1716"/>
      <c r="OUM416" s="1716"/>
      <c r="OUN416" s="1716"/>
      <c r="OUO416" s="1716"/>
      <c r="OUP416" s="244"/>
      <c r="OUQ416" s="244" t="s">
        <v>68</v>
      </c>
      <c r="OUR416" s="245" t="s">
        <v>68</v>
      </c>
      <c r="OUS416" s="1715" t="s">
        <v>0</v>
      </c>
      <c r="OUT416" s="1716"/>
      <c r="OUU416" s="1716"/>
      <c r="OUV416" s="1716"/>
      <c r="OUW416" s="1716"/>
      <c r="OUX416" s="244"/>
      <c r="OUY416" s="244" t="s">
        <v>68</v>
      </c>
      <c r="OUZ416" s="245" t="s">
        <v>68</v>
      </c>
      <c r="OVA416" s="1715" t="s">
        <v>0</v>
      </c>
      <c r="OVB416" s="1716"/>
      <c r="OVC416" s="1716"/>
      <c r="OVD416" s="1716"/>
      <c r="OVE416" s="1716"/>
      <c r="OVF416" s="244"/>
      <c r="OVG416" s="244" t="s">
        <v>68</v>
      </c>
      <c r="OVH416" s="245" t="s">
        <v>68</v>
      </c>
      <c r="OVI416" s="1715" t="s">
        <v>0</v>
      </c>
      <c r="OVJ416" s="1716"/>
      <c r="OVK416" s="1716"/>
      <c r="OVL416" s="1716"/>
      <c r="OVM416" s="1716"/>
      <c r="OVN416" s="244"/>
      <c r="OVO416" s="244" t="s">
        <v>68</v>
      </c>
      <c r="OVP416" s="245" t="s">
        <v>68</v>
      </c>
      <c r="OVQ416" s="1715" t="s">
        <v>0</v>
      </c>
      <c r="OVR416" s="1716"/>
      <c r="OVS416" s="1716"/>
      <c r="OVT416" s="1716"/>
      <c r="OVU416" s="1716"/>
      <c r="OVV416" s="244"/>
      <c r="OVW416" s="244" t="s">
        <v>68</v>
      </c>
      <c r="OVX416" s="245" t="s">
        <v>68</v>
      </c>
      <c r="OVY416" s="1715" t="s">
        <v>0</v>
      </c>
      <c r="OVZ416" s="1716"/>
      <c r="OWA416" s="1716"/>
      <c r="OWB416" s="1716"/>
      <c r="OWC416" s="1716"/>
      <c r="OWD416" s="244"/>
      <c r="OWE416" s="244" t="s">
        <v>68</v>
      </c>
      <c r="OWF416" s="245" t="s">
        <v>68</v>
      </c>
      <c r="OWG416" s="1715" t="s">
        <v>0</v>
      </c>
      <c r="OWH416" s="1716"/>
      <c r="OWI416" s="1716"/>
      <c r="OWJ416" s="1716"/>
      <c r="OWK416" s="1716"/>
      <c r="OWL416" s="244"/>
      <c r="OWM416" s="244" t="s">
        <v>68</v>
      </c>
      <c r="OWN416" s="245" t="s">
        <v>68</v>
      </c>
      <c r="OWO416" s="1715" t="s">
        <v>0</v>
      </c>
      <c r="OWP416" s="1716"/>
      <c r="OWQ416" s="1716"/>
      <c r="OWR416" s="1716"/>
      <c r="OWS416" s="1716"/>
      <c r="OWT416" s="244"/>
      <c r="OWU416" s="244" t="s">
        <v>68</v>
      </c>
      <c r="OWV416" s="245" t="s">
        <v>68</v>
      </c>
      <c r="OWW416" s="1715" t="s">
        <v>0</v>
      </c>
      <c r="OWX416" s="1716"/>
      <c r="OWY416" s="1716"/>
      <c r="OWZ416" s="1716"/>
      <c r="OXA416" s="1716"/>
      <c r="OXB416" s="244"/>
      <c r="OXC416" s="244" t="s">
        <v>68</v>
      </c>
      <c r="OXD416" s="245" t="s">
        <v>68</v>
      </c>
      <c r="OXE416" s="1715" t="s">
        <v>0</v>
      </c>
      <c r="OXF416" s="1716"/>
      <c r="OXG416" s="1716"/>
      <c r="OXH416" s="1716"/>
      <c r="OXI416" s="1716"/>
      <c r="OXJ416" s="244"/>
      <c r="OXK416" s="244" t="s">
        <v>68</v>
      </c>
      <c r="OXL416" s="245" t="s">
        <v>68</v>
      </c>
      <c r="OXM416" s="1715" t="s">
        <v>0</v>
      </c>
      <c r="OXN416" s="1716"/>
      <c r="OXO416" s="1716"/>
      <c r="OXP416" s="1716"/>
      <c r="OXQ416" s="1716"/>
      <c r="OXR416" s="244"/>
      <c r="OXS416" s="244" t="s">
        <v>68</v>
      </c>
      <c r="OXT416" s="245" t="s">
        <v>68</v>
      </c>
      <c r="OXU416" s="1715" t="s">
        <v>0</v>
      </c>
      <c r="OXV416" s="1716"/>
      <c r="OXW416" s="1716"/>
      <c r="OXX416" s="1716"/>
      <c r="OXY416" s="1716"/>
      <c r="OXZ416" s="244"/>
      <c r="OYA416" s="244" t="s">
        <v>68</v>
      </c>
      <c r="OYB416" s="245" t="s">
        <v>68</v>
      </c>
      <c r="OYC416" s="1715" t="s">
        <v>0</v>
      </c>
      <c r="OYD416" s="1716"/>
      <c r="OYE416" s="1716"/>
      <c r="OYF416" s="1716"/>
      <c r="OYG416" s="1716"/>
      <c r="OYH416" s="244"/>
      <c r="OYI416" s="244" t="s">
        <v>68</v>
      </c>
      <c r="OYJ416" s="245" t="s">
        <v>68</v>
      </c>
      <c r="OYK416" s="1715" t="s">
        <v>0</v>
      </c>
      <c r="OYL416" s="1716"/>
      <c r="OYM416" s="1716"/>
      <c r="OYN416" s="1716"/>
      <c r="OYO416" s="1716"/>
      <c r="OYP416" s="244"/>
      <c r="OYQ416" s="244" t="s">
        <v>68</v>
      </c>
      <c r="OYR416" s="245" t="s">
        <v>68</v>
      </c>
      <c r="OYS416" s="1715" t="s">
        <v>0</v>
      </c>
      <c r="OYT416" s="1716"/>
      <c r="OYU416" s="1716"/>
      <c r="OYV416" s="1716"/>
      <c r="OYW416" s="1716"/>
      <c r="OYX416" s="244"/>
      <c r="OYY416" s="244" t="s">
        <v>68</v>
      </c>
      <c r="OYZ416" s="245" t="s">
        <v>68</v>
      </c>
      <c r="OZA416" s="1715" t="s">
        <v>0</v>
      </c>
      <c r="OZB416" s="1716"/>
      <c r="OZC416" s="1716"/>
      <c r="OZD416" s="1716"/>
      <c r="OZE416" s="1716"/>
      <c r="OZF416" s="244"/>
      <c r="OZG416" s="244" t="s">
        <v>68</v>
      </c>
      <c r="OZH416" s="245" t="s">
        <v>68</v>
      </c>
      <c r="OZI416" s="1715" t="s">
        <v>0</v>
      </c>
      <c r="OZJ416" s="1716"/>
      <c r="OZK416" s="1716"/>
      <c r="OZL416" s="1716"/>
      <c r="OZM416" s="1716"/>
      <c r="OZN416" s="244"/>
      <c r="OZO416" s="244" t="s">
        <v>68</v>
      </c>
      <c r="OZP416" s="245" t="s">
        <v>68</v>
      </c>
      <c r="OZQ416" s="1715" t="s">
        <v>0</v>
      </c>
      <c r="OZR416" s="1716"/>
      <c r="OZS416" s="1716"/>
      <c r="OZT416" s="1716"/>
      <c r="OZU416" s="1716"/>
      <c r="OZV416" s="244"/>
      <c r="OZW416" s="244" t="s">
        <v>68</v>
      </c>
      <c r="OZX416" s="245" t="s">
        <v>68</v>
      </c>
      <c r="OZY416" s="1715" t="s">
        <v>0</v>
      </c>
      <c r="OZZ416" s="1716"/>
      <c r="PAA416" s="1716"/>
      <c r="PAB416" s="1716"/>
      <c r="PAC416" s="1716"/>
      <c r="PAD416" s="244"/>
      <c r="PAE416" s="244" t="s">
        <v>68</v>
      </c>
      <c r="PAF416" s="245" t="s">
        <v>68</v>
      </c>
      <c r="PAG416" s="1715" t="s">
        <v>0</v>
      </c>
      <c r="PAH416" s="1716"/>
      <c r="PAI416" s="1716"/>
      <c r="PAJ416" s="1716"/>
      <c r="PAK416" s="1716"/>
      <c r="PAL416" s="244"/>
      <c r="PAM416" s="244" t="s">
        <v>68</v>
      </c>
      <c r="PAN416" s="245" t="s">
        <v>68</v>
      </c>
      <c r="PAO416" s="1715" t="s">
        <v>0</v>
      </c>
      <c r="PAP416" s="1716"/>
      <c r="PAQ416" s="1716"/>
      <c r="PAR416" s="1716"/>
      <c r="PAS416" s="1716"/>
      <c r="PAT416" s="244"/>
      <c r="PAU416" s="244" t="s">
        <v>68</v>
      </c>
      <c r="PAV416" s="245" t="s">
        <v>68</v>
      </c>
      <c r="PAW416" s="1715" t="s">
        <v>0</v>
      </c>
      <c r="PAX416" s="1716"/>
      <c r="PAY416" s="1716"/>
      <c r="PAZ416" s="1716"/>
      <c r="PBA416" s="1716"/>
      <c r="PBB416" s="244"/>
      <c r="PBC416" s="244" t="s">
        <v>68</v>
      </c>
      <c r="PBD416" s="245" t="s">
        <v>68</v>
      </c>
      <c r="PBE416" s="1715" t="s">
        <v>0</v>
      </c>
      <c r="PBF416" s="1716"/>
      <c r="PBG416" s="1716"/>
      <c r="PBH416" s="1716"/>
      <c r="PBI416" s="1716"/>
      <c r="PBJ416" s="244"/>
      <c r="PBK416" s="244" t="s">
        <v>68</v>
      </c>
      <c r="PBL416" s="245" t="s">
        <v>68</v>
      </c>
      <c r="PBM416" s="1715" t="s">
        <v>0</v>
      </c>
      <c r="PBN416" s="1716"/>
      <c r="PBO416" s="1716"/>
      <c r="PBP416" s="1716"/>
      <c r="PBQ416" s="1716"/>
      <c r="PBR416" s="244"/>
      <c r="PBS416" s="244" t="s">
        <v>68</v>
      </c>
      <c r="PBT416" s="245" t="s">
        <v>68</v>
      </c>
      <c r="PBU416" s="1715" t="s">
        <v>0</v>
      </c>
      <c r="PBV416" s="1716"/>
      <c r="PBW416" s="1716"/>
      <c r="PBX416" s="1716"/>
      <c r="PBY416" s="1716"/>
      <c r="PBZ416" s="244"/>
      <c r="PCA416" s="244" t="s">
        <v>68</v>
      </c>
      <c r="PCB416" s="245" t="s">
        <v>68</v>
      </c>
      <c r="PCC416" s="1715" t="s">
        <v>0</v>
      </c>
      <c r="PCD416" s="1716"/>
      <c r="PCE416" s="1716"/>
      <c r="PCF416" s="1716"/>
      <c r="PCG416" s="1716"/>
      <c r="PCH416" s="244"/>
      <c r="PCI416" s="244" t="s">
        <v>68</v>
      </c>
      <c r="PCJ416" s="245" t="s">
        <v>68</v>
      </c>
      <c r="PCK416" s="1715" t="s">
        <v>0</v>
      </c>
      <c r="PCL416" s="1716"/>
      <c r="PCM416" s="1716"/>
      <c r="PCN416" s="1716"/>
      <c r="PCO416" s="1716"/>
      <c r="PCP416" s="244"/>
      <c r="PCQ416" s="244" t="s">
        <v>68</v>
      </c>
      <c r="PCR416" s="245" t="s">
        <v>68</v>
      </c>
      <c r="PCS416" s="1715" t="s">
        <v>0</v>
      </c>
      <c r="PCT416" s="1716"/>
      <c r="PCU416" s="1716"/>
      <c r="PCV416" s="1716"/>
      <c r="PCW416" s="1716"/>
      <c r="PCX416" s="244"/>
      <c r="PCY416" s="244" t="s">
        <v>68</v>
      </c>
      <c r="PCZ416" s="245" t="s">
        <v>68</v>
      </c>
      <c r="PDA416" s="1715" t="s">
        <v>0</v>
      </c>
      <c r="PDB416" s="1716"/>
      <c r="PDC416" s="1716"/>
      <c r="PDD416" s="1716"/>
      <c r="PDE416" s="1716"/>
      <c r="PDF416" s="244"/>
      <c r="PDG416" s="244" t="s">
        <v>68</v>
      </c>
      <c r="PDH416" s="245" t="s">
        <v>68</v>
      </c>
      <c r="PDI416" s="1715" t="s">
        <v>0</v>
      </c>
      <c r="PDJ416" s="1716"/>
      <c r="PDK416" s="1716"/>
      <c r="PDL416" s="1716"/>
      <c r="PDM416" s="1716"/>
      <c r="PDN416" s="244"/>
      <c r="PDO416" s="244" t="s">
        <v>68</v>
      </c>
      <c r="PDP416" s="245" t="s">
        <v>68</v>
      </c>
      <c r="PDQ416" s="1715" t="s">
        <v>0</v>
      </c>
      <c r="PDR416" s="1716"/>
      <c r="PDS416" s="1716"/>
      <c r="PDT416" s="1716"/>
      <c r="PDU416" s="1716"/>
      <c r="PDV416" s="244"/>
      <c r="PDW416" s="244" t="s">
        <v>68</v>
      </c>
      <c r="PDX416" s="245" t="s">
        <v>68</v>
      </c>
      <c r="PDY416" s="1715" t="s">
        <v>0</v>
      </c>
      <c r="PDZ416" s="1716"/>
      <c r="PEA416" s="1716"/>
      <c r="PEB416" s="1716"/>
      <c r="PEC416" s="1716"/>
      <c r="PED416" s="244"/>
      <c r="PEE416" s="244" t="s">
        <v>68</v>
      </c>
      <c r="PEF416" s="245" t="s">
        <v>68</v>
      </c>
      <c r="PEG416" s="1715" t="s">
        <v>0</v>
      </c>
      <c r="PEH416" s="1716"/>
      <c r="PEI416" s="1716"/>
      <c r="PEJ416" s="1716"/>
      <c r="PEK416" s="1716"/>
      <c r="PEL416" s="244"/>
      <c r="PEM416" s="244" t="s">
        <v>68</v>
      </c>
      <c r="PEN416" s="245" t="s">
        <v>68</v>
      </c>
      <c r="PEO416" s="1715" t="s">
        <v>0</v>
      </c>
      <c r="PEP416" s="1716"/>
      <c r="PEQ416" s="1716"/>
      <c r="PER416" s="1716"/>
      <c r="PES416" s="1716"/>
      <c r="PET416" s="244"/>
      <c r="PEU416" s="244" t="s">
        <v>68</v>
      </c>
      <c r="PEV416" s="245" t="s">
        <v>68</v>
      </c>
      <c r="PEW416" s="1715" t="s">
        <v>0</v>
      </c>
      <c r="PEX416" s="1716"/>
      <c r="PEY416" s="1716"/>
      <c r="PEZ416" s="1716"/>
      <c r="PFA416" s="1716"/>
      <c r="PFB416" s="244"/>
      <c r="PFC416" s="244" t="s">
        <v>68</v>
      </c>
      <c r="PFD416" s="245" t="s">
        <v>68</v>
      </c>
      <c r="PFE416" s="1715" t="s">
        <v>0</v>
      </c>
      <c r="PFF416" s="1716"/>
      <c r="PFG416" s="1716"/>
      <c r="PFH416" s="1716"/>
      <c r="PFI416" s="1716"/>
      <c r="PFJ416" s="244"/>
      <c r="PFK416" s="244" t="s">
        <v>68</v>
      </c>
      <c r="PFL416" s="245" t="s">
        <v>68</v>
      </c>
      <c r="PFM416" s="1715" t="s">
        <v>0</v>
      </c>
      <c r="PFN416" s="1716"/>
      <c r="PFO416" s="1716"/>
      <c r="PFP416" s="1716"/>
      <c r="PFQ416" s="1716"/>
      <c r="PFR416" s="244"/>
      <c r="PFS416" s="244" t="s">
        <v>68</v>
      </c>
      <c r="PFT416" s="245" t="s">
        <v>68</v>
      </c>
      <c r="PFU416" s="1715" t="s">
        <v>0</v>
      </c>
      <c r="PFV416" s="1716"/>
      <c r="PFW416" s="1716"/>
      <c r="PFX416" s="1716"/>
      <c r="PFY416" s="1716"/>
      <c r="PFZ416" s="244"/>
      <c r="PGA416" s="244" t="s">
        <v>68</v>
      </c>
      <c r="PGB416" s="245" t="s">
        <v>68</v>
      </c>
      <c r="PGC416" s="1715" t="s">
        <v>0</v>
      </c>
      <c r="PGD416" s="1716"/>
      <c r="PGE416" s="1716"/>
      <c r="PGF416" s="1716"/>
      <c r="PGG416" s="1716"/>
      <c r="PGH416" s="244"/>
      <c r="PGI416" s="244" t="s">
        <v>68</v>
      </c>
      <c r="PGJ416" s="245" t="s">
        <v>68</v>
      </c>
      <c r="PGK416" s="1715" t="s">
        <v>0</v>
      </c>
      <c r="PGL416" s="1716"/>
      <c r="PGM416" s="1716"/>
      <c r="PGN416" s="1716"/>
      <c r="PGO416" s="1716"/>
      <c r="PGP416" s="244"/>
      <c r="PGQ416" s="244" t="s">
        <v>68</v>
      </c>
      <c r="PGR416" s="245" t="s">
        <v>68</v>
      </c>
      <c r="PGS416" s="1715" t="s">
        <v>0</v>
      </c>
      <c r="PGT416" s="1716"/>
      <c r="PGU416" s="1716"/>
      <c r="PGV416" s="1716"/>
      <c r="PGW416" s="1716"/>
      <c r="PGX416" s="244"/>
      <c r="PGY416" s="244" t="s">
        <v>68</v>
      </c>
      <c r="PGZ416" s="245" t="s">
        <v>68</v>
      </c>
      <c r="PHA416" s="1715" t="s">
        <v>0</v>
      </c>
      <c r="PHB416" s="1716"/>
      <c r="PHC416" s="1716"/>
      <c r="PHD416" s="1716"/>
      <c r="PHE416" s="1716"/>
      <c r="PHF416" s="244"/>
      <c r="PHG416" s="244" t="s">
        <v>68</v>
      </c>
      <c r="PHH416" s="245" t="s">
        <v>68</v>
      </c>
      <c r="PHI416" s="1715" t="s">
        <v>0</v>
      </c>
      <c r="PHJ416" s="1716"/>
      <c r="PHK416" s="1716"/>
      <c r="PHL416" s="1716"/>
      <c r="PHM416" s="1716"/>
      <c r="PHN416" s="244"/>
      <c r="PHO416" s="244" t="s">
        <v>68</v>
      </c>
      <c r="PHP416" s="245" t="s">
        <v>68</v>
      </c>
      <c r="PHQ416" s="1715" t="s">
        <v>0</v>
      </c>
      <c r="PHR416" s="1716"/>
      <c r="PHS416" s="1716"/>
      <c r="PHT416" s="1716"/>
      <c r="PHU416" s="1716"/>
      <c r="PHV416" s="244"/>
      <c r="PHW416" s="244" t="s">
        <v>68</v>
      </c>
      <c r="PHX416" s="245" t="s">
        <v>68</v>
      </c>
      <c r="PHY416" s="1715" t="s">
        <v>0</v>
      </c>
      <c r="PHZ416" s="1716"/>
      <c r="PIA416" s="1716"/>
      <c r="PIB416" s="1716"/>
      <c r="PIC416" s="1716"/>
      <c r="PID416" s="244"/>
      <c r="PIE416" s="244" t="s">
        <v>68</v>
      </c>
      <c r="PIF416" s="245" t="s">
        <v>68</v>
      </c>
      <c r="PIG416" s="1715" t="s">
        <v>0</v>
      </c>
      <c r="PIH416" s="1716"/>
      <c r="PII416" s="1716"/>
      <c r="PIJ416" s="1716"/>
      <c r="PIK416" s="1716"/>
      <c r="PIL416" s="244"/>
      <c r="PIM416" s="244" t="s">
        <v>68</v>
      </c>
      <c r="PIN416" s="245" t="s">
        <v>68</v>
      </c>
      <c r="PIO416" s="1715" t="s">
        <v>0</v>
      </c>
      <c r="PIP416" s="1716"/>
      <c r="PIQ416" s="1716"/>
      <c r="PIR416" s="1716"/>
      <c r="PIS416" s="1716"/>
      <c r="PIT416" s="244"/>
      <c r="PIU416" s="244" t="s">
        <v>68</v>
      </c>
      <c r="PIV416" s="245" t="s">
        <v>68</v>
      </c>
      <c r="PIW416" s="1715" t="s">
        <v>0</v>
      </c>
      <c r="PIX416" s="1716"/>
      <c r="PIY416" s="1716"/>
      <c r="PIZ416" s="1716"/>
      <c r="PJA416" s="1716"/>
      <c r="PJB416" s="244"/>
      <c r="PJC416" s="244" t="s">
        <v>68</v>
      </c>
      <c r="PJD416" s="245" t="s">
        <v>68</v>
      </c>
      <c r="PJE416" s="1715" t="s">
        <v>0</v>
      </c>
      <c r="PJF416" s="1716"/>
      <c r="PJG416" s="1716"/>
      <c r="PJH416" s="1716"/>
      <c r="PJI416" s="1716"/>
      <c r="PJJ416" s="244"/>
      <c r="PJK416" s="244" t="s">
        <v>68</v>
      </c>
      <c r="PJL416" s="245" t="s">
        <v>68</v>
      </c>
      <c r="PJM416" s="1715" t="s">
        <v>0</v>
      </c>
      <c r="PJN416" s="1716"/>
      <c r="PJO416" s="1716"/>
      <c r="PJP416" s="1716"/>
      <c r="PJQ416" s="1716"/>
      <c r="PJR416" s="244"/>
      <c r="PJS416" s="244" t="s">
        <v>68</v>
      </c>
      <c r="PJT416" s="245" t="s">
        <v>68</v>
      </c>
      <c r="PJU416" s="1715" t="s">
        <v>0</v>
      </c>
      <c r="PJV416" s="1716"/>
      <c r="PJW416" s="1716"/>
      <c r="PJX416" s="1716"/>
      <c r="PJY416" s="1716"/>
      <c r="PJZ416" s="244"/>
      <c r="PKA416" s="244" t="s">
        <v>68</v>
      </c>
      <c r="PKB416" s="245" t="s">
        <v>68</v>
      </c>
      <c r="PKC416" s="1715" t="s">
        <v>0</v>
      </c>
      <c r="PKD416" s="1716"/>
      <c r="PKE416" s="1716"/>
      <c r="PKF416" s="1716"/>
      <c r="PKG416" s="1716"/>
      <c r="PKH416" s="244"/>
      <c r="PKI416" s="244" t="s">
        <v>68</v>
      </c>
      <c r="PKJ416" s="245" t="s">
        <v>68</v>
      </c>
      <c r="PKK416" s="1715" t="s">
        <v>0</v>
      </c>
      <c r="PKL416" s="1716"/>
      <c r="PKM416" s="1716"/>
      <c r="PKN416" s="1716"/>
      <c r="PKO416" s="1716"/>
      <c r="PKP416" s="244"/>
      <c r="PKQ416" s="244" t="s">
        <v>68</v>
      </c>
      <c r="PKR416" s="245" t="s">
        <v>68</v>
      </c>
      <c r="PKS416" s="1715" t="s">
        <v>0</v>
      </c>
      <c r="PKT416" s="1716"/>
      <c r="PKU416" s="1716"/>
      <c r="PKV416" s="1716"/>
      <c r="PKW416" s="1716"/>
      <c r="PKX416" s="244"/>
      <c r="PKY416" s="244" t="s">
        <v>68</v>
      </c>
      <c r="PKZ416" s="245" t="s">
        <v>68</v>
      </c>
      <c r="PLA416" s="1715" t="s">
        <v>0</v>
      </c>
      <c r="PLB416" s="1716"/>
      <c r="PLC416" s="1716"/>
      <c r="PLD416" s="1716"/>
      <c r="PLE416" s="1716"/>
      <c r="PLF416" s="244"/>
      <c r="PLG416" s="244" t="s">
        <v>68</v>
      </c>
      <c r="PLH416" s="245" t="s">
        <v>68</v>
      </c>
      <c r="PLI416" s="1715" t="s">
        <v>0</v>
      </c>
      <c r="PLJ416" s="1716"/>
      <c r="PLK416" s="1716"/>
      <c r="PLL416" s="1716"/>
      <c r="PLM416" s="1716"/>
      <c r="PLN416" s="244"/>
      <c r="PLO416" s="244" t="s">
        <v>68</v>
      </c>
      <c r="PLP416" s="245" t="s">
        <v>68</v>
      </c>
      <c r="PLQ416" s="1715" t="s">
        <v>0</v>
      </c>
      <c r="PLR416" s="1716"/>
      <c r="PLS416" s="1716"/>
      <c r="PLT416" s="1716"/>
      <c r="PLU416" s="1716"/>
      <c r="PLV416" s="244"/>
      <c r="PLW416" s="244" t="s">
        <v>68</v>
      </c>
      <c r="PLX416" s="245" t="s">
        <v>68</v>
      </c>
      <c r="PLY416" s="1715" t="s">
        <v>0</v>
      </c>
      <c r="PLZ416" s="1716"/>
      <c r="PMA416" s="1716"/>
      <c r="PMB416" s="1716"/>
      <c r="PMC416" s="1716"/>
      <c r="PMD416" s="244"/>
      <c r="PME416" s="244" t="s">
        <v>68</v>
      </c>
      <c r="PMF416" s="245" t="s">
        <v>68</v>
      </c>
      <c r="PMG416" s="1715" t="s">
        <v>0</v>
      </c>
      <c r="PMH416" s="1716"/>
      <c r="PMI416" s="1716"/>
      <c r="PMJ416" s="1716"/>
      <c r="PMK416" s="1716"/>
      <c r="PML416" s="244"/>
      <c r="PMM416" s="244" t="s">
        <v>68</v>
      </c>
      <c r="PMN416" s="245" t="s">
        <v>68</v>
      </c>
      <c r="PMO416" s="1715" t="s">
        <v>0</v>
      </c>
      <c r="PMP416" s="1716"/>
      <c r="PMQ416" s="1716"/>
      <c r="PMR416" s="1716"/>
      <c r="PMS416" s="1716"/>
      <c r="PMT416" s="244"/>
      <c r="PMU416" s="244" t="s">
        <v>68</v>
      </c>
      <c r="PMV416" s="245" t="s">
        <v>68</v>
      </c>
      <c r="PMW416" s="1715" t="s">
        <v>0</v>
      </c>
      <c r="PMX416" s="1716"/>
      <c r="PMY416" s="1716"/>
      <c r="PMZ416" s="1716"/>
      <c r="PNA416" s="1716"/>
      <c r="PNB416" s="244"/>
      <c r="PNC416" s="244" t="s">
        <v>68</v>
      </c>
      <c r="PND416" s="245" t="s">
        <v>68</v>
      </c>
      <c r="PNE416" s="1715" t="s">
        <v>0</v>
      </c>
      <c r="PNF416" s="1716"/>
      <c r="PNG416" s="1716"/>
      <c r="PNH416" s="1716"/>
      <c r="PNI416" s="1716"/>
      <c r="PNJ416" s="244"/>
      <c r="PNK416" s="244" t="s">
        <v>68</v>
      </c>
      <c r="PNL416" s="245" t="s">
        <v>68</v>
      </c>
      <c r="PNM416" s="1715" t="s">
        <v>0</v>
      </c>
      <c r="PNN416" s="1716"/>
      <c r="PNO416" s="1716"/>
      <c r="PNP416" s="1716"/>
      <c r="PNQ416" s="1716"/>
      <c r="PNR416" s="244"/>
      <c r="PNS416" s="244" t="s">
        <v>68</v>
      </c>
      <c r="PNT416" s="245" t="s">
        <v>68</v>
      </c>
      <c r="PNU416" s="1715" t="s">
        <v>0</v>
      </c>
      <c r="PNV416" s="1716"/>
      <c r="PNW416" s="1716"/>
      <c r="PNX416" s="1716"/>
      <c r="PNY416" s="1716"/>
      <c r="PNZ416" s="244"/>
      <c r="POA416" s="244" t="s">
        <v>68</v>
      </c>
      <c r="POB416" s="245" t="s">
        <v>68</v>
      </c>
      <c r="POC416" s="1715" t="s">
        <v>0</v>
      </c>
      <c r="POD416" s="1716"/>
      <c r="POE416" s="1716"/>
      <c r="POF416" s="1716"/>
      <c r="POG416" s="1716"/>
      <c r="POH416" s="244"/>
      <c r="POI416" s="244" t="s">
        <v>68</v>
      </c>
      <c r="POJ416" s="245" t="s">
        <v>68</v>
      </c>
      <c r="POK416" s="1715" t="s">
        <v>0</v>
      </c>
      <c r="POL416" s="1716"/>
      <c r="POM416" s="1716"/>
      <c r="PON416" s="1716"/>
      <c r="POO416" s="1716"/>
      <c r="POP416" s="244"/>
      <c r="POQ416" s="244" t="s">
        <v>68</v>
      </c>
      <c r="POR416" s="245" t="s">
        <v>68</v>
      </c>
      <c r="POS416" s="1715" t="s">
        <v>0</v>
      </c>
      <c r="POT416" s="1716"/>
      <c r="POU416" s="1716"/>
      <c r="POV416" s="1716"/>
      <c r="POW416" s="1716"/>
      <c r="POX416" s="244"/>
      <c r="POY416" s="244" t="s">
        <v>68</v>
      </c>
      <c r="POZ416" s="245" t="s">
        <v>68</v>
      </c>
      <c r="PPA416" s="1715" t="s">
        <v>0</v>
      </c>
      <c r="PPB416" s="1716"/>
      <c r="PPC416" s="1716"/>
      <c r="PPD416" s="1716"/>
      <c r="PPE416" s="1716"/>
      <c r="PPF416" s="244"/>
      <c r="PPG416" s="244" t="s">
        <v>68</v>
      </c>
      <c r="PPH416" s="245" t="s">
        <v>68</v>
      </c>
      <c r="PPI416" s="1715" t="s">
        <v>0</v>
      </c>
      <c r="PPJ416" s="1716"/>
      <c r="PPK416" s="1716"/>
      <c r="PPL416" s="1716"/>
      <c r="PPM416" s="1716"/>
      <c r="PPN416" s="244"/>
      <c r="PPO416" s="244" t="s">
        <v>68</v>
      </c>
      <c r="PPP416" s="245" t="s">
        <v>68</v>
      </c>
      <c r="PPQ416" s="1715" t="s">
        <v>0</v>
      </c>
      <c r="PPR416" s="1716"/>
      <c r="PPS416" s="1716"/>
      <c r="PPT416" s="1716"/>
      <c r="PPU416" s="1716"/>
      <c r="PPV416" s="244"/>
      <c r="PPW416" s="244" t="s">
        <v>68</v>
      </c>
      <c r="PPX416" s="245" t="s">
        <v>68</v>
      </c>
      <c r="PPY416" s="1715" t="s">
        <v>0</v>
      </c>
      <c r="PPZ416" s="1716"/>
      <c r="PQA416" s="1716"/>
      <c r="PQB416" s="1716"/>
      <c r="PQC416" s="1716"/>
      <c r="PQD416" s="244"/>
      <c r="PQE416" s="244" t="s">
        <v>68</v>
      </c>
      <c r="PQF416" s="245" t="s">
        <v>68</v>
      </c>
      <c r="PQG416" s="1715" t="s">
        <v>0</v>
      </c>
      <c r="PQH416" s="1716"/>
      <c r="PQI416" s="1716"/>
      <c r="PQJ416" s="1716"/>
      <c r="PQK416" s="1716"/>
      <c r="PQL416" s="244"/>
      <c r="PQM416" s="244" t="s">
        <v>68</v>
      </c>
      <c r="PQN416" s="245" t="s">
        <v>68</v>
      </c>
      <c r="PQO416" s="1715" t="s">
        <v>0</v>
      </c>
      <c r="PQP416" s="1716"/>
      <c r="PQQ416" s="1716"/>
      <c r="PQR416" s="1716"/>
      <c r="PQS416" s="1716"/>
      <c r="PQT416" s="244"/>
      <c r="PQU416" s="244" t="s">
        <v>68</v>
      </c>
      <c r="PQV416" s="245" t="s">
        <v>68</v>
      </c>
      <c r="PQW416" s="1715" t="s">
        <v>0</v>
      </c>
      <c r="PQX416" s="1716"/>
      <c r="PQY416" s="1716"/>
      <c r="PQZ416" s="1716"/>
      <c r="PRA416" s="1716"/>
      <c r="PRB416" s="244"/>
      <c r="PRC416" s="244" t="s">
        <v>68</v>
      </c>
      <c r="PRD416" s="245" t="s">
        <v>68</v>
      </c>
      <c r="PRE416" s="1715" t="s">
        <v>0</v>
      </c>
      <c r="PRF416" s="1716"/>
      <c r="PRG416" s="1716"/>
      <c r="PRH416" s="1716"/>
      <c r="PRI416" s="1716"/>
      <c r="PRJ416" s="244"/>
      <c r="PRK416" s="244" t="s">
        <v>68</v>
      </c>
      <c r="PRL416" s="245" t="s">
        <v>68</v>
      </c>
      <c r="PRM416" s="1715" t="s">
        <v>0</v>
      </c>
      <c r="PRN416" s="1716"/>
      <c r="PRO416" s="1716"/>
      <c r="PRP416" s="1716"/>
      <c r="PRQ416" s="1716"/>
      <c r="PRR416" s="244"/>
      <c r="PRS416" s="244" t="s">
        <v>68</v>
      </c>
      <c r="PRT416" s="245" t="s">
        <v>68</v>
      </c>
      <c r="PRU416" s="1715" t="s">
        <v>0</v>
      </c>
      <c r="PRV416" s="1716"/>
      <c r="PRW416" s="1716"/>
      <c r="PRX416" s="1716"/>
      <c r="PRY416" s="1716"/>
      <c r="PRZ416" s="244"/>
      <c r="PSA416" s="244" t="s">
        <v>68</v>
      </c>
      <c r="PSB416" s="245" t="s">
        <v>68</v>
      </c>
      <c r="PSC416" s="1715" t="s">
        <v>0</v>
      </c>
      <c r="PSD416" s="1716"/>
      <c r="PSE416" s="1716"/>
      <c r="PSF416" s="1716"/>
      <c r="PSG416" s="1716"/>
      <c r="PSH416" s="244"/>
      <c r="PSI416" s="244" t="s">
        <v>68</v>
      </c>
      <c r="PSJ416" s="245" t="s">
        <v>68</v>
      </c>
      <c r="PSK416" s="1715" t="s">
        <v>0</v>
      </c>
      <c r="PSL416" s="1716"/>
      <c r="PSM416" s="1716"/>
      <c r="PSN416" s="1716"/>
      <c r="PSO416" s="1716"/>
      <c r="PSP416" s="244"/>
      <c r="PSQ416" s="244" t="s">
        <v>68</v>
      </c>
      <c r="PSR416" s="245" t="s">
        <v>68</v>
      </c>
      <c r="PSS416" s="1715" t="s">
        <v>0</v>
      </c>
      <c r="PST416" s="1716"/>
      <c r="PSU416" s="1716"/>
      <c r="PSV416" s="1716"/>
      <c r="PSW416" s="1716"/>
      <c r="PSX416" s="244"/>
      <c r="PSY416" s="244" t="s">
        <v>68</v>
      </c>
      <c r="PSZ416" s="245" t="s">
        <v>68</v>
      </c>
      <c r="PTA416" s="1715" t="s">
        <v>0</v>
      </c>
      <c r="PTB416" s="1716"/>
      <c r="PTC416" s="1716"/>
      <c r="PTD416" s="1716"/>
      <c r="PTE416" s="1716"/>
      <c r="PTF416" s="244"/>
      <c r="PTG416" s="244" t="s">
        <v>68</v>
      </c>
      <c r="PTH416" s="245" t="s">
        <v>68</v>
      </c>
      <c r="PTI416" s="1715" t="s">
        <v>0</v>
      </c>
      <c r="PTJ416" s="1716"/>
      <c r="PTK416" s="1716"/>
      <c r="PTL416" s="1716"/>
      <c r="PTM416" s="1716"/>
      <c r="PTN416" s="244"/>
      <c r="PTO416" s="244" t="s">
        <v>68</v>
      </c>
      <c r="PTP416" s="245" t="s">
        <v>68</v>
      </c>
      <c r="PTQ416" s="1715" t="s">
        <v>0</v>
      </c>
      <c r="PTR416" s="1716"/>
      <c r="PTS416" s="1716"/>
      <c r="PTT416" s="1716"/>
      <c r="PTU416" s="1716"/>
      <c r="PTV416" s="244"/>
      <c r="PTW416" s="244" t="s">
        <v>68</v>
      </c>
      <c r="PTX416" s="245" t="s">
        <v>68</v>
      </c>
      <c r="PTY416" s="1715" t="s">
        <v>0</v>
      </c>
      <c r="PTZ416" s="1716"/>
      <c r="PUA416" s="1716"/>
      <c r="PUB416" s="1716"/>
      <c r="PUC416" s="1716"/>
      <c r="PUD416" s="244"/>
      <c r="PUE416" s="244" t="s">
        <v>68</v>
      </c>
      <c r="PUF416" s="245" t="s">
        <v>68</v>
      </c>
      <c r="PUG416" s="1715" t="s">
        <v>0</v>
      </c>
      <c r="PUH416" s="1716"/>
      <c r="PUI416" s="1716"/>
      <c r="PUJ416" s="1716"/>
      <c r="PUK416" s="1716"/>
      <c r="PUL416" s="244"/>
      <c r="PUM416" s="244" t="s">
        <v>68</v>
      </c>
      <c r="PUN416" s="245" t="s">
        <v>68</v>
      </c>
      <c r="PUO416" s="1715" t="s">
        <v>0</v>
      </c>
      <c r="PUP416" s="1716"/>
      <c r="PUQ416" s="1716"/>
      <c r="PUR416" s="1716"/>
      <c r="PUS416" s="1716"/>
      <c r="PUT416" s="244"/>
      <c r="PUU416" s="244" t="s">
        <v>68</v>
      </c>
      <c r="PUV416" s="245" t="s">
        <v>68</v>
      </c>
      <c r="PUW416" s="1715" t="s">
        <v>0</v>
      </c>
      <c r="PUX416" s="1716"/>
      <c r="PUY416" s="1716"/>
      <c r="PUZ416" s="1716"/>
      <c r="PVA416" s="1716"/>
      <c r="PVB416" s="244"/>
      <c r="PVC416" s="244" t="s">
        <v>68</v>
      </c>
      <c r="PVD416" s="245" t="s">
        <v>68</v>
      </c>
      <c r="PVE416" s="1715" t="s">
        <v>0</v>
      </c>
      <c r="PVF416" s="1716"/>
      <c r="PVG416" s="1716"/>
      <c r="PVH416" s="1716"/>
      <c r="PVI416" s="1716"/>
      <c r="PVJ416" s="244"/>
      <c r="PVK416" s="244" t="s">
        <v>68</v>
      </c>
      <c r="PVL416" s="245" t="s">
        <v>68</v>
      </c>
      <c r="PVM416" s="1715" t="s">
        <v>0</v>
      </c>
      <c r="PVN416" s="1716"/>
      <c r="PVO416" s="1716"/>
      <c r="PVP416" s="1716"/>
      <c r="PVQ416" s="1716"/>
      <c r="PVR416" s="244"/>
      <c r="PVS416" s="244" t="s">
        <v>68</v>
      </c>
      <c r="PVT416" s="245" t="s">
        <v>68</v>
      </c>
      <c r="PVU416" s="1715" t="s">
        <v>0</v>
      </c>
      <c r="PVV416" s="1716"/>
      <c r="PVW416" s="1716"/>
      <c r="PVX416" s="1716"/>
      <c r="PVY416" s="1716"/>
      <c r="PVZ416" s="244"/>
      <c r="PWA416" s="244" t="s">
        <v>68</v>
      </c>
      <c r="PWB416" s="245" t="s">
        <v>68</v>
      </c>
      <c r="PWC416" s="1715" t="s">
        <v>0</v>
      </c>
      <c r="PWD416" s="1716"/>
      <c r="PWE416" s="1716"/>
      <c r="PWF416" s="1716"/>
      <c r="PWG416" s="1716"/>
      <c r="PWH416" s="244"/>
      <c r="PWI416" s="244" t="s">
        <v>68</v>
      </c>
      <c r="PWJ416" s="245" t="s">
        <v>68</v>
      </c>
      <c r="PWK416" s="1715" t="s">
        <v>0</v>
      </c>
      <c r="PWL416" s="1716"/>
      <c r="PWM416" s="1716"/>
      <c r="PWN416" s="1716"/>
      <c r="PWO416" s="1716"/>
      <c r="PWP416" s="244"/>
      <c r="PWQ416" s="244" t="s">
        <v>68</v>
      </c>
      <c r="PWR416" s="245" t="s">
        <v>68</v>
      </c>
      <c r="PWS416" s="1715" t="s">
        <v>0</v>
      </c>
      <c r="PWT416" s="1716"/>
      <c r="PWU416" s="1716"/>
      <c r="PWV416" s="1716"/>
      <c r="PWW416" s="1716"/>
      <c r="PWX416" s="244"/>
      <c r="PWY416" s="244" t="s">
        <v>68</v>
      </c>
      <c r="PWZ416" s="245" t="s">
        <v>68</v>
      </c>
      <c r="PXA416" s="1715" t="s">
        <v>0</v>
      </c>
      <c r="PXB416" s="1716"/>
      <c r="PXC416" s="1716"/>
      <c r="PXD416" s="1716"/>
      <c r="PXE416" s="1716"/>
      <c r="PXF416" s="244"/>
      <c r="PXG416" s="244" t="s">
        <v>68</v>
      </c>
      <c r="PXH416" s="245" t="s">
        <v>68</v>
      </c>
      <c r="PXI416" s="1715" t="s">
        <v>0</v>
      </c>
      <c r="PXJ416" s="1716"/>
      <c r="PXK416" s="1716"/>
      <c r="PXL416" s="1716"/>
      <c r="PXM416" s="1716"/>
      <c r="PXN416" s="244"/>
      <c r="PXO416" s="244" t="s">
        <v>68</v>
      </c>
      <c r="PXP416" s="245" t="s">
        <v>68</v>
      </c>
      <c r="PXQ416" s="1715" t="s">
        <v>0</v>
      </c>
      <c r="PXR416" s="1716"/>
      <c r="PXS416" s="1716"/>
      <c r="PXT416" s="1716"/>
      <c r="PXU416" s="1716"/>
      <c r="PXV416" s="244"/>
      <c r="PXW416" s="244" t="s">
        <v>68</v>
      </c>
      <c r="PXX416" s="245" t="s">
        <v>68</v>
      </c>
      <c r="PXY416" s="1715" t="s">
        <v>0</v>
      </c>
      <c r="PXZ416" s="1716"/>
      <c r="PYA416" s="1716"/>
      <c r="PYB416" s="1716"/>
      <c r="PYC416" s="1716"/>
      <c r="PYD416" s="244"/>
      <c r="PYE416" s="244" t="s">
        <v>68</v>
      </c>
      <c r="PYF416" s="245" t="s">
        <v>68</v>
      </c>
      <c r="PYG416" s="1715" t="s">
        <v>0</v>
      </c>
      <c r="PYH416" s="1716"/>
      <c r="PYI416" s="1716"/>
      <c r="PYJ416" s="1716"/>
      <c r="PYK416" s="1716"/>
      <c r="PYL416" s="244"/>
      <c r="PYM416" s="244" t="s">
        <v>68</v>
      </c>
      <c r="PYN416" s="245" t="s">
        <v>68</v>
      </c>
      <c r="PYO416" s="1715" t="s">
        <v>0</v>
      </c>
      <c r="PYP416" s="1716"/>
      <c r="PYQ416" s="1716"/>
      <c r="PYR416" s="1716"/>
      <c r="PYS416" s="1716"/>
      <c r="PYT416" s="244"/>
      <c r="PYU416" s="244" t="s">
        <v>68</v>
      </c>
      <c r="PYV416" s="245" t="s">
        <v>68</v>
      </c>
      <c r="PYW416" s="1715" t="s">
        <v>0</v>
      </c>
      <c r="PYX416" s="1716"/>
      <c r="PYY416" s="1716"/>
      <c r="PYZ416" s="1716"/>
      <c r="PZA416" s="1716"/>
      <c r="PZB416" s="244"/>
      <c r="PZC416" s="244" t="s">
        <v>68</v>
      </c>
      <c r="PZD416" s="245" t="s">
        <v>68</v>
      </c>
      <c r="PZE416" s="1715" t="s">
        <v>0</v>
      </c>
      <c r="PZF416" s="1716"/>
      <c r="PZG416" s="1716"/>
      <c r="PZH416" s="1716"/>
      <c r="PZI416" s="1716"/>
      <c r="PZJ416" s="244"/>
      <c r="PZK416" s="244" t="s">
        <v>68</v>
      </c>
      <c r="PZL416" s="245" t="s">
        <v>68</v>
      </c>
      <c r="PZM416" s="1715" t="s">
        <v>0</v>
      </c>
      <c r="PZN416" s="1716"/>
      <c r="PZO416" s="1716"/>
      <c r="PZP416" s="1716"/>
      <c r="PZQ416" s="1716"/>
      <c r="PZR416" s="244"/>
      <c r="PZS416" s="244" t="s">
        <v>68</v>
      </c>
      <c r="PZT416" s="245" t="s">
        <v>68</v>
      </c>
      <c r="PZU416" s="1715" t="s">
        <v>0</v>
      </c>
      <c r="PZV416" s="1716"/>
      <c r="PZW416" s="1716"/>
      <c r="PZX416" s="1716"/>
      <c r="PZY416" s="1716"/>
      <c r="PZZ416" s="244"/>
      <c r="QAA416" s="244" t="s">
        <v>68</v>
      </c>
      <c r="QAB416" s="245" t="s">
        <v>68</v>
      </c>
      <c r="QAC416" s="1715" t="s">
        <v>0</v>
      </c>
      <c r="QAD416" s="1716"/>
      <c r="QAE416" s="1716"/>
      <c r="QAF416" s="1716"/>
      <c r="QAG416" s="1716"/>
      <c r="QAH416" s="244"/>
      <c r="QAI416" s="244" t="s">
        <v>68</v>
      </c>
      <c r="QAJ416" s="245" t="s">
        <v>68</v>
      </c>
      <c r="QAK416" s="1715" t="s">
        <v>0</v>
      </c>
      <c r="QAL416" s="1716"/>
      <c r="QAM416" s="1716"/>
      <c r="QAN416" s="1716"/>
      <c r="QAO416" s="1716"/>
      <c r="QAP416" s="244"/>
      <c r="QAQ416" s="244" t="s">
        <v>68</v>
      </c>
      <c r="QAR416" s="245" t="s">
        <v>68</v>
      </c>
      <c r="QAS416" s="1715" t="s">
        <v>0</v>
      </c>
      <c r="QAT416" s="1716"/>
      <c r="QAU416" s="1716"/>
      <c r="QAV416" s="1716"/>
      <c r="QAW416" s="1716"/>
      <c r="QAX416" s="244"/>
      <c r="QAY416" s="244" t="s">
        <v>68</v>
      </c>
      <c r="QAZ416" s="245" t="s">
        <v>68</v>
      </c>
      <c r="QBA416" s="1715" t="s">
        <v>0</v>
      </c>
      <c r="QBB416" s="1716"/>
      <c r="QBC416" s="1716"/>
      <c r="QBD416" s="1716"/>
      <c r="QBE416" s="1716"/>
      <c r="QBF416" s="244"/>
      <c r="QBG416" s="244" t="s">
        <v>68</v>
      </c>
      <c r="QBH416" s="245" t="s">
        <v>68</v>
      </c>
      <c r="QBI416" s="1715" t="s">
        <v>0</v>
      </c>
      <c r="QBJ416" s="1716"/>
      <c r="QBK416" s="1716"/>
      <c r="QBL416" s="1716"/>
      <c r="QBM416" s="1716"/>
      <c r="QBN416" s="244"/>
      <c r="QBO416" s="244" t="s">
        <v>68</v>
      </c>
      <c r="QBP416" s="245" t="s">
        <v>68</v>
      </c>
      <c r="QBQ416" s="1715" t="s">
        <v>0</v>
      </c>
      <c r="QBR416" s="1716"/>
      <c r="QBS416" s="1716"/>
      <c r="QBT416" s="1716"/>
      <c r="QBU416" s="1716"/>
      <c r="QBV416" s="244"/>
      <c r="QBW416" s="244" t="s">
        <v>68</v>
      </c>
      <c r="QBX416" s="245" t="s">
        <v>68</v>
      </c>
      <c r="QBY416" s="1715" t="s">
        <v>0</v>
      </c>
      <c r="QBZ416" s="1716"/>
      <c r="QCA416" s="1716"/>
      <c r="QCB416" s="1716"/>
      <c r="QCC416" s="1716"/>
      <c r="QCD416" s="244"/>
      <c r="QCE416" s="244" t="s">
        <v>68</v>
      </c>
      <c r="QCF416" s="245" t="s">
        <v>68</v>
      </c>
      <c r="QCG416" s="1715" t="s">
        <v>0</v>
      </c>
      <c r="QCH416" s="1716"/>
      <c r="QCI416" s="1716"/>
      <c r="QCJ416" s="1716"/>
      <c r="QCK416" s="1716"/>
      <c r="QCL416" s="244"/>
      <c r="QCM416" s="244" t="s">
        <v>68</v>
      </c>
      <c r="QCN416" s="245" t="s">
        <v>68</v>
      </c>
      <c r="QCO416" s="1715" t="s">
        <v>0</v>
      </c>
      <c r="QCP416" s="1716"/>
      <c r="QCQ416" s="1716"/>
      <c r="QCR416" s="1716"/>
      <c r="QCS416" s="1716"/>
      <c r="QCT416" s="244"/>
      <c r="QCU416" s="244" t="s">
        <v>68</v>
      </c>
      <c r="QCV416" s="245" t="s">
        <v>68</v>
      </c>
      <c r="QCW416" s="1715" t="s">
        <v>0</v>
      </c>
      <c r="QCX416" s="1716"/>
      <c r="QCY416" s="1716"/>
      <c r="QCZ416" s="1716"/>
      <c r="QDA416" s="1716"/>
      <c r="QDB416" s="244"/>
      <c r="QDC416" s="244" t="s">
        <v>68</v>
      </c>
      <c r="QDD416" s="245" t="s">
        <v>68</v>
      </c>
      <c r="QDE416" s="1715" t="s">
        <v>0</v>
      </c>
      <c r="QDF416" s="1716"/>
      <c r="QDG416" s="1716"/>
      <c r="QDH416" s="1716"/>
      <c r="QDI416" s="1716"/>
      <c r="QDJ416" s="244"/>
      <c r="QDK416" s="244" t="s">
        <v>68</v>
      </c>
      <c r="QDL416" s="245" t="s">
        <v>68</v>
      </c>
      <c r="QDM416" s="1715" t="s">
        <v>0</v>
      </c>
      <c r="QDN416" s="1716"/>
      <c r="QDO416" s="1716"/>
      <c r="QDP416" s="1716"/>
      <c r="QDQ416" s="1716"/>
      <c r="QDR416" s="244"/>
      <c r="QDS416" s="244" t="s">
        <v>68</v>
      </c>
      <c r="QDT416" s="245" t="s">
        <v>68</v>
      </c>
      <c r="QDU416" s="1715" t="s">
        <v>0</v>
      </c>
      <c r="QDV416" s="1716"/>
      <c r="QDW416" s="1716"/>
      <c r="QDX416" s="1716"/>
      <c r="QDY416" s="1716"/>
      <c r="QDZ416" s="244"/>
      <c r="QEA416" s="244" t="s">
        <v>68</v>
      </c>
      <c r="QEB416" s="245" t="s">
        <v>68</v>
      </c>
      <c r="QEC416" s="1715" t="s">
        <v>0</v>
      </c>
      <c r="QED416" s="1716"/>
      <c r="QEE416" s="1716"/>
      <c r="QEF416" s="1716"/>
      <c r="QEG416" s="1716"/>
      <c r="QEH416" s="244"/>
      <c r="QEI416" s="244" t="s">
        <v>68</v>
      </c>
      <c r="QEJ416" s="245" t="s">
        <v>68</v>
      </c>
      <c r="QEK416" s="1715" t="s">
        <v>0</v>
      </c>
      <c r="QEL416" s="1716"/>
      <c r="QEM416" s="1716"/>
      <c r="QEN416" s="1716"/>
      <c r="QEO416" s="1716"/>
      <c r="QEP416" s="244"/>
      <c r="QEQ416" s="244" t="s">
        <v>68</v>
      </c>
      <c r="QER416" s="245" t="s">
        <v>68</v>
      </c>
      <c r="QES416" s="1715" t="s">
        <v>0</v>
      </c>
      <c r="QET416" s="1716"/>
      <c r="QEU416" s="1716"/>
      <c r="QEV416" s="1716"/>
      <c r="QEW416" s="1716"/>
      <c r="QEX416" s="244"/>
      <c r="QEY416" s="244" t="s">
        <v>68</v>
      </c>
      <c r="QEZ416" s="245" t="s">
        <v>68</v>
      </c>
      <c r="QFA416" s="1715" t="s">
        <v>0</v>
      </c>
      <c r="QFB416" s="1716"/>
      <c r="QFC416" s="1716"/>
      <c r="QFD416" s="1716"/>
      <c r="QFE416" s="1716"/>
      <c r="QFF416" s="244"/>
      <c r="QFG416" s="244" t="s">
        <v>68</v>
      </c>
      <c r="QFH416" s="245" t="s">
        <v>68</v>
      </c>
      <c r="QFI416" s="1715" t="s">
        <v>0</v>
      </c>
      <c r="QFJ416" s="1716"/>
      <c r="QFK416" s="1716"/>
      <c r="QFL416" s="1716"/>
      <c r="QFM416" s="1716"/>
      <c r="QFN416" s="244"/>
      <c r="QFO416" s="244" t="s">
        <v>68</v>
      </c>
      <c r="QFP416" s="245" t="s">
        <v>68</v>
      </c>
      <c r="QFQ416" s="1715" t="s">
        <v>0</v>
      </c>
      <c r="QFR416" s="1716"/>
      <c r="QFS416" s="1716"/>
      <c r="QFT416" s="1716"/>
      <c r="QFU416" s="1716"/>
      <c r="QFV416" s="244"/>
      <c r="QFW416" s="244" t="s">
        <v>68</v>
      </c>
      <c r="QFX416" s="245" t="s">
        <v>68</v>
      </c>
      <c r="QFY416" s="1715" t="s">
        <v>0</v>
      </c>
      <c r="QFZ416" s="1716"/>
      <c r="QGA416" s="1716"/>
      <c r="QGB416" s="1716"/>
      <c r="QGC416" s="1716"/>
      <c r="QGD416" s="244"/>
      <c r="QGE416" s="244" t="s">
        <v>68</v>
      </c>
      <c r="QGF416" s="245" t="s">
        <v>68</v>
      </c>
      <c r="QGG416" s="1715" t="s">
        <v>0</v>
      </c>
      <c r="QGH416" s="1716"/>
      <c r="QGI416" s="1716"/>
      <c r="QGJ416" s="1716"/>
      <c r="QGK416" s="1716"/>
      <c r="QGL416" s="244"/>
      <c r="QGM416" s="244" t="s">
        <v>68</v>
      </c>
      <c r="QGN416" s="245" t="s">
        <v>68</v>
      </c>
      <c r="QGO416" s="1715" t="s">
        <v>0</v>
      </c>
      <c r="QGP416" s="1716"/>
      <c r="QGQ416" s="1716"/>
      <c r="QGR416" s="1716"/>
      <c r="QGS416" s="1716"/>
      <c r="QGT416" s="244"/>
      <c r="QGU416" s="244" t="s">
        <v>68</v>
      </c>
      <c r="QGV416" s="245" t="s">
        <v>68</v>
      </c>
      <c r="QGW416" s="1715" t="s">
        <v>0</v>
      </c>
      <c r="QGX416" s="1716"/>
      <c r="QGY416" s="1716"/>
      <c r="QGZ416" s="1716"/>
      <c r="QHA416" s="1716"/>
      <c r="QHB416" s="244"/>
      <c r="QHC416" s="244" t="s">
        <v>68</v>
      </c>
      <c r="QHD416" s="245" t="s">
        <v>68</v>
      </c>
      <c r="QHE416" s="1715" t="s">
        <v>0</v>
      </c>
      <c r="QHF416" s="1716"/>
      <c r="QHG416" s="1716"/>
      <c r="QHH416" s="1716"/>
      <c r="QHI416" s="1716"/>
      <c r="QHJ416" s="244"/>
      <c r="QHK416" s="244" t="s">
        <v>68</v>
      </c>
      <c r="QHL416" s="245" t="s">
        <v>68</v>
      </c>
      <c r="QHM416" s="1715" t="s">
        <v>0</v>
      </c>
      <c r="QHN416" s="1716"/>
      <c r="QHO416" s="1716"/>
      <c r="QHP416" s="1716"/>
      <c r="QHQ416" s="1716"/>
      <c r="QHR416" s="244"/>
      <c r="QHS416" s="244" t="s">
        <v>68</v>
      </c>
      <c r="QHT416" s="245" t="s">
        <v>68</v>
      </c>
      <c r="QHU416" s="1715" t="s">
        <v>0</v>
      </c>
      <c r="QHV416" s="1716"/>
      <c r="QHW416" s="1716"/>
      <c r="QHX416" s="1716"/>
      <c r="QHY416" s="1716"/>
      <c r="QHZ416" s="244"/>
      <c r="QIA416" s="244" t="s">
        <v>68</v>
      </c>
      <c r="QIB416" s="245" t="s">
        <v>68</v>
      </c>
      <c r="QIC416" s="1715" t="s">
        <v>0</v>
      </c>
      <c r="QID416" s="1716"/>
      <c r="QIE416" s="1716"/>
      <c r="QIF416" s="1716"/>
      <c r="QIG416" s="1716"/>
      <c r="QIH416" s="244"/>
      <c r="QII416" s="244" t="s">
        <v>68</v>
      </c>
      <c r="QIJ416" s="245" t="s">
        <v>68</v>
      </c>
      <c r="QIK416" s="1715" t="s">
        <v>0</v>
      </c>
      <c r="QIL416" s="1716"/>
      <c r="QIM416" s="1716"/>
      <c r="QIN416" s="1716"/>
      <c r="QIO416" s="1716"/>
      <c r="QIP416" s="244"/>
      <c r="QIQ416" s="244" t="s">
        <v>68</v>
      </c>
      <c r="QIR416" s="245" t="s">
        <v>68</v>
      </c>
      <c r="QIS416" s="1715" t="s">
        <v>0</v>
      </c>
      <c r="QIT416" s="1716"/>
      <c r="QIU416" s="1716"/>
      <c r="QIV416" s="1716"/>
      <c r="QIW416" s="1716"/>
      <c r="QIX416" s="244"/>
      <c r="QIY416" s="244" t="s">
        <v>68</v>
      </c>
      <c r="QIZ416" s="245" t="s">
        <v>68</v>
      </c>
      <c r="QJA416" s="1715" t="s">
        <v>0</v>
      </c>
      <c r="QJB416" s="1716"/>
      <c r="QJC416" s="1716"/>
      <c r="QJD416" s="1716"/>
      <c r="QJE416" s="1716"/>
      <c r="QJF416" s="244"/>
      <c r="QJG416" s="244" t="s">
        <v>68</v>
      </c>
      <c r="QJH416" s="245" t="s">
        <v>68</v>
      </c>
      <c r="QJI416" s="1715" t="s">
        <v>0</v>
      </c>
      <c r="QJJ416" s="1716"/>
      <c r="QJK416" s="1716"/>
      <c r="QJL416" s="1716"/>
      <c r="QJM416" s="1716"/>
      <c r="QJN416" s="244"/>
      <c r="QJO416" s="244" t="s">
        <v>68</v>
      </c>
      <c r="QJP416" s="245" t="s">
        <v>68</v>
      </c>
      <c r="QJQ416" s="1715" t="s">
        <v>0</v>
      </c>
      <c r="QJR416" s="1716"/>
      <c r="QJS416" s="1716"/>
      <c r="QJT416" s="1716"/>
      <c r="QJU416" s="1716"/>
      <c r="QJV416" s="244"/>
      <c r="QJW416" s="244" t="s">
        <v>68</v>
      </c>
      <c r="QJX416" s="245" t="s">
        <v>68</v>
      </c>
      <c r="QJY416" s="1715" t="s">
        <v>0</v>
      </c>
      <c r="QJZ416" s="1716"/>
      <c r="QKA416" s="1716"/>
      <c r="QKB416" s="1716"/>
      <c r="QKC416" s="1716"/>
      <c r="QKD416" s="244"/>
      <c r="QKE416" s="244" t="s">
        <v>68</v>
      </c>
      <c r="QKF416" s="245" t="s">
        <v>68</v>
      </c>
      <c r="QKG416" s="1715" t="s">
        <v>0</v>
      </c>
      <c r="QKH416" s="1716"/>
      <c r="QKI416" s="1716"/>
      <c r="QKJ416" s="1716"/>
      <c r="QKK416" s="1716"/>
      <c r="QKL416" s="244"/>
      <c r="QKM416" s="244" t="s">
        <v>68</v>
      </c>
      <c r="QKN416" s="245" t="s">
        <v>68</v>
      </c>
      <c r="QKO416" s="1715" t="s">
        <v>0</v>
      </c>
      <c r="QKP416" s="1716"/>
      <c r="QKQ416" s="1716"/>
      <c r="QKR416" s="1716"/>
      <c r="QKS416" s="1716"/>
      <c r="QKT416" s="244"/>
      <c r="QKU416" s="244" t="s">
        <v>68</v>
      </c>
      <c r="QKV416" s="245" t="s">
        <v>68</v>
      </c>
      <c r="QKW416" s="1715" t="s">
        <v>0</v>
      </c>
      <c r="QKX416" s="1716"/>
      <c r="QKY416" s="1716"/>
      <c r="QKZ416" s="1716"/>
      <c r="QLA416" s="1716"/>
      <c r="QLB416" s="244"/>
      <c r="QLC416" s="244" t="s">
        <v>68</v>
      </c>
      <c r="QLD416" s="245" t="s">
        <v>68</v>
      </c>
      <c r="QLE416" s="1715" t="s">
        <v>0</v>
      </c>
      <c r="QLF416" s="1716"/>
      <c r="QLG416" s="1716"/>
      <c r="QLH416" s="1716"/>
      <c r="QLI416" s="1716"/>
      <c r="QLJ416" s="244"/>
      <c r="QLK416" s="244" t="s">
        <v>68</v>
      </c>
      <c r="QLL416" s="245" t="s">
        <v>68</v>
      </c>
      <c r="QLM416" s="1715" t="s">
        <v>0</v>
      </c>
      <c r="QLN416" s="1716"/>
      <c r="QLO416" s="1716"/>
      <c r="QLP416" s="1716"/>
      <c r="QLQ416" s="1716"/>
      <c r="QLR416" s="244"/>
      <c r="QLS416" s="244" t="s">
        <v>68</v>
      </c>
      <c r="QLT416" s="245" t="s">
        <v>68</v>
      </c>
      <c r="QLU416" s="1715" t="s">
        <v>0</v>
      </c>
      <c r="QLV416" s="1716"/>
      <c r="QLW416" s="1716"/>
      <c r="QLX416" s="1716"/>
      <c r="QLY416" s="1716"/>
      <c r="QLZ416" s="244"/>
      <c r="QMA416" s="244" t="s">
        <v>68</v>
      </c>
      <c r="QMB416" s="245" t="s">
        <v>68</v>
      </c>
      <c r="QMC416" s="1715" t="s">
        <v>0</v>
      </c>
      <c r="QMD416" s="1716"/>
      <c r="QME416" s="1716"/>
      <c r="QMF416" s="1716"/>
      <c r="QMG416" s="1716"/>
      <c r="QMH416" s="244"/>
      <c r="QMI416" s="244" t="s">
        <v>68</v>
      </c>
      <c r="QMJ416" s="245" t="s">
        <v>68</v>
      </c>
      <c r="QMK416" s="1715" t="s">
        <v>0</v>
      </c>
      <c r="QML416" s="1716"/>
      <c r="QMM416" s="1716"/>
      <c r="QMN416" s="1716"/>
      <c r="QMO416" s="1716"/>
      <c r="QMP416" s="244"/>
      <c r="QMQ416" s="244" t="s">
        <v>68</v>
      </c>
      <c r="QMR416" s="245" t="s">
        <v>68</v>
      </c>
      <c r="QMS416" s="1715" t="s">
        <v>0</v>
      </c>
      <c r="QMT416" s="1716"/>
      <c r="QMU416" s="1716"/>
      <c r="QMV416" s="1716"/>
      <c r="QMW416" s="1716"/>
      <c r="QMX416" s="244"/>
      <c r="QMY416" s="244" t="s">
        <v>68</v>
      </c>
      <c r="QMZ416" s="245" t="s">
        <v>68</v>
      </c>
      <c r="QNA416" s="1715" t="s">
        <v>0</v>
      </c>
      <c r="QNB416" s="1716"/>
      <c r="QNC416" s="1716"/>
      <c r="QND416" s="1716"/>
      <c r="QNE416" s="1716"/>
      <c r="QNF416" s="244"/>
      <c r="QNG416" s="244" t="s">
        <v>68</v>
      </c>
      <c r="QNH416" s="245" t="s">
        <v>68</v>
      </c>
      <c r="QNI416" s="1715" t="s">
        <v>0</v>
      </c>
      <c r="QNJ416" s="1716"/>
      <c r="QNK416" s="1716"/>
      <c r="QNL416" s="1716"/>
      <c r="QNM416" s="1716"/>
      <c r="QNN416" s="244"/>
      <c r="QNO416" s="244" t="s">
        <v>68</v>
      </c>
      <c r="QNP416" s="245" t="s">
        <v>68</v>
      </c>
      <c r="QNQ416" s="1715" t="s">
        <v>0</v>
      </c>
      <c r="QNR416" s="1716"/>
      <c r="QNS416" s="1716"/>
      <c r="QNT416" s="1716"/>
      <c r="QNU416" s="1716"/>
      <c r="QNV416" s="244"/>
      <c r="QNW416" s="244" t="s">
        <v>68</v>
      </c>
      <c r="QNX416" s="245" t="s">
        <v>68</v>
      </c>
      <c r="QNY416" s="1715" t="s">
        <v>0</v>
      </c>
      <c r="QNZ416" s="1716"/>
      <c r="QOA416" s="1716"/>
      <c r="QOB416" s="1716"/>
      <c r="QOC416" s="1716"/>
      <c r="QOD416" s="244"/>
      <c r="QOE416" s="244" t="s">
        <v>68</v>
      </c>
      <c r="QOF416" s="245" t="s">
        <v>68</v>
      </c>
      <c r="QOG416" s="1715" t="s">
        <v>0</v>
      </c>
      <c r="QOH416" s="1716"/>
      <c r="QOI416" s="1716"/>
      <c r="QOJ416" s="1716"/>
      <c r="QOK416" s="1716"/>
      <c r="QOL416" s="244"/>
      <c r="QOM416" s="244" t="s">
        <v>68</v>
      </c>
      <c r="QON416" s="245" t="s">
        <v>68</v>
      </c>
      <c r="QOO416" s="1715" t="s">
        <v>0</v>
      </c>
      <c r="QOP416" s="1716"/>
      <c r="QOQ416" s="1716"/>
      <c r="QOR416" s="1716"/>
      <c r="QOS416" s="1716"/>
      <c r="QOT416" s="244"/>
      <c r="QOU416" s="244" t="s">
        <v>68</v>
      </c>
      <c r="QOV416" s="245" t="s">
        <v>68</v>
      </c>
      <c r="QOW416" s="1715" t="s">
        <v>0</v>
      </c>
      <c r="QOX416" s="1716"/>
      <c r="QOY416" s="1716"/>
      <c r="QOZ416" s="1716"/>
      <c r="QPA416" s="1716"/>
      <c r="QPB416" s="244"/>
      <c r="QPC416" s="244" t="s">
        <v>68</v>
      </c>
      <c r="QPD416" s="245" t="s">
        <v>68</v>
      </c>
      <c r="QPE416" s="1715" t="s">
        <v>0</v>
      </c>
      <c r="QPF416" s="1716"/>
      <c r="QPG416" s="1716"/>
      <c r="QPH416" s="1716"/>
      <c r="QPI416" s="1716"/>
      <c r="QPJ416" s="244"/>
      <c r="QPK416" s="244" t="s">
        <v>68</v>
      </c>
      <c r="QPL416" s="245" t="s">
        <v>68</v>
      </c>
      <c r="QPM416" s="1715" t="s">
        <v>0</v>
      </c>
      <c r="QPN416" s="1716"/>
      <c r="QPO416" s="1716"/>
      <c r="QPP416" s="1716"/>
      <c r="QPQ416" s="1716"/>
      <c r="QPR416" s="244"/>
      <c r="QPS416" s="244" t="s">
        <v>68</v>
      </c>
      <c r="QPT416" s="245" t="s">
        <v>68</v>
      </c>
      <c r="QPU416" s="1715" t="s">
        <v>0</v>
      </c>
      <c r="QPV416" s="1716"/>
      <c r="QPW416" s="1716"/>
      <c r="QPX416" s="1716"/>
      <c r="QPY416" s="1716"/>
      <c r="QPZ416" s="244"/>
      <c r="QQA416" s="244" t="s">
        <v>68</v>
      </c>
      <c r="QQB416" s="245" t="s">
        <v>68</v>
      </c>
      <c r="QQC416" s="1715" t="s">
        <v>0</v>
      </c>
      <c r="QQD416" s="1716"/>
      <c r="QQE416" s="1716"/>
      <c r="QQF416" s="1716"/>
      <c r="QQG416" s="1716"/>
      <c r="QQH416" s="244"/>
      <c r="QQI416" s="244" t="s">
        <v>68</v>
      </c>
      <c r="QQJ416" s="245" t="s">
        <v>68</v>
      </c>
      <c r="QQK416" s="1715" t="s">
        <v>0</v>
      </c>
      <c r="QQL416" s="1716"/>
      <c r="QQM416" s="1716"/>
      <c r="QQN416" s="1716"/>
      <c r="QQO416" s="1716"/>
      <c r="QQP416" s="244"/>
      <c r="QQQ416" s="244" t="s">
        <v>68</v>
      </c>
      <c r="QQR416" s="245" t="s">
        <v>68</v>
      </c>
      <c r="QQS416" s="1715" t="s">
        <v>0</v>
      </c>
      <c r="QQT416" s="1716"/>
      <c r="QQU416" s="1716"/>
      <c r="QQV416" s="1716"/>
      <c r="QQW416" s="1716"/>
      <c r="QQX416" s="244"/>
      <c r="QQY416" s="244" t="s">
        <v>68</v>
      </c>
      <c r="QQZ416" s="245" t="s">
        <v>68</v>
      </c>
      <c r="QRA416" s="1715" t="s">
        <v>0</v>
      </c>
      <c r="QRB416" s="1716"/>
      <c r="QRC416" s="1716"/>
      <c r="QRD416" s="1716"/>
      <c r="QRE416" s="1716"/>
      <c r="QRF416" s="244"/>
      <c r="QRG416" s="244" t="s">
        <v>68</v>
      </c>
      <c r="QRH416" s="245" t="s">
        <v>68</v>
      </c>
      <c r="QRI416" s="1715" t="s">
        <v>0</v>
      </c>
      <c r="QRJ416" s="1716"/>
      <c r="QRK416" s="1716"/>
      <c r="QRL416" s="1716"/>
      <c r="QRM416" s="1716"/>
      <c r="QRN416" s="244"/>
      <c r="QRO416" s="244" t="s">
        <v>68</v>
      </c>
      <c r="QRP416" s="245" t="s">
        <v>68</v>
      </c>
      <c r="QRQ416" s="1715" t="s">
        <v>0</v>
      </c>
      <c r="QRR416" s="1716"/>
      <c r="QRS416" s="1716"/>
      <c r="QRT416" s="1716"/>
      <c r="QRU416" s="1716"/>
      <c r="QRV416" s="244"/>
      <c r="QRW416" s="244" t="s">
        <v>68</v>
      </c>
      <c r="QRX416" s="245" t="s">
        <v>68</v>
      </c>
      <c r="QRY416" s="1715" t="s">
        <v>0</v>
      </c>
      <c r="QRZ416" s="1716"/>
      <c r="QSA416" s="1716"/>
      <c r="QSB416" s="1716"/>
      <c r="QSC416" s="1716"/>
      <c r="QSD416" s="244"/>
      <c r="QSE416" s="244" t="s">
        <v>68</v>
      </c>
      <c r="QSF416" s="245" t="s">
        <v>68</v>
      </c>
      <c r="QSG416" s="1715" t="s">
        <v>0</v>
      </c>
      <c r="QSH416" s="1716"/>
      <c r="QSI416" s="1716"/>
      <c r="QSJ416" s="1716"/>
      <c r="QSK416" s="1716"/>
      <c r="QSL416" s="244"/>
      <c r="QSM416" s="244" t="s">
        <v>68</v>
      </c>
      <c r="QSN416" s="245" t="s">
        <v>68</v>
      </c>
      <c r="QSO416" s="1715" t="s">
        <v>0</v>
      </c>
      <c r="QSP416" s="1716"/>
      <c r="QSQ416" s="1716"/>
      <c r="QSR416" s="1716"/>
      <c r="QSS416" s="1716"/>
      <c r="QST416" s="244"/>
      <c r="QSU416" s="244" t="s">
        <v>68</v>
      </c>
      <c r="QSV416" s="245" t="s">
        <v>68</v>
      </c>
      <c r="QSW416" s="1715" t="s">
        <v>0</v>
      </c>
      <c r="QSX416" s="1716"/>
      <c r="QSY416" s="1716"/>
      <c r="QSZ416" s="1716"/>
      <c r="QTA416" s="1716"/>
      <c r="QTB416" s="244"/>
      <c r="QTC416" s="244" t="s">
        <v>68</v>
      </c>
      <c r="QTD416" s="245" t="s">
        <v>68</v>
      </c>
      <c r="QTE416" s="1715" t="s">
        <v>0</v>
      </c>
      <c r="QTF416" s="1716"/>
      <c r="QTG416" s="1716"/>
      <c r="QTH416" s="1716"/>
      <c r="QTI416" s="1716"/>
      <c r="QTJ416" s="244"/>
      <c r="QTK416" s="244" t="s">
        <v>68</v>
      </c>
      <c r="QTL416" s="245" t="s">
        <v>68</v>
      </c>
      <c r="QTM416" s="1715" t="s">
        <v>0</v>
      </c>
      <c r="QTN416" s="1716"/>
      <c r="QTO416" s="1716"/>
      <c r="QTP416" s="1716"/>
      <c r="QTQ416" s="1716"/>
      <c r="QTR416" s="244"/>
      <c r="QTS416" s="244" t="s">
        <v>68</v>
      </c>
      <c r="QTT416" s="245" t="s">
        <v>68</v>
      </c>
      <c r="QTU416" s="1715" t="s">
        <v>0</v>
      </c>
      <c r="QTV416" s="1716"/>
      <c r="QTW416" s="1716"/>
      <c r="QTX416" s="1716"/>
      <c r="QTY416" s="1716"/>
      <c r="QTZ416" s="244"/>
      <c r="QUA416" s="244" t="s">
        <v>68</v>
      </c>
      <c r="QUB416" s="245" t="s">
        <v>68</v>
      </c>
      <c r="QUC416" s="1715" t="s">
        <v>0</v>
      </c>
      <c r="QUD416" s="1716"/>
      <c r="QUE416" s="1716"/>
      <c r="QUF416" s="1716"/>
      <c r="QUG416" s="1716"/>
      <c r="QUH416" s="244"/>
      <c r="QUI416" s="244" t="s">
        <v>68</v>
      </c>
      <c r="QUJ416" s="245" t="s">
        <v>68</v>
      </c>
      <c r="QUK416" s="1715" t="s">
        <v>0</v>
      </c>
      <c r="QUL416" s="1716"/>
      <c r="QUM416" s="1716"/>
      <c r="QUN416" s="1716"/>
      <c r="QUO416" s="1716"/>
      <c r="QUP416" s="244"/>
      <c r="QUQ416" s="244" t="s">
        <v>68</v>
      </c>
      <c r="QUR416" s="245" t="s">
        <v>68</v>
      </c>
      <c r="QUS416" s="1715" t="s">
        <v>0</v>
      </c>
      <c r="QUT416" s="1716"/>
      <c r="QUU416" s="1716"/>
      <c r="QUV416" s="1716"/>
      <c r="QUW416" s="1716"/>
      <c r="QUX416" s="244"/>
      <c r="QUY416" s="244" t="s">
        <v>68</v>
      </c>
      <c r="QUZ416" s="245" t="s">
        <v>68</v>
      </c>
      <c r="QVA416" s="1715" t="s">
        <v>0</v>
      </c>
      <c r="QVB416" s="1716"/>
      <c r="QVC416" s="1716"/>
      <c r="QVD416" s="1716"/>
      <c r="QVE416" s="1716"/>
      <c r="QVF416" s="244"/>
      <c r="QVG416" s="244" t="s">
        <v>68</v>
      </c>
      <c r="QVH416" s="245" t="s">
        <v>68</v>
      </c>
      <c r="QVI416" s="1715" t="s">
        <v>0</v>
      </c>
      <c r="QVJ416" s="1716"/>
      <c r="QVK416" s="1716"/>
      <c r="QVL416" s="1716"/>
      <c r="QVM416" s="1716"/>
      <c r="QVN416" s="244"/>
      <c r="QVO416" s="244" t="s">
        <v>68</v>
      </c>
      <c r="QVP416" s="245" t="s">
        <v>68</v>
      </c>
      <c r="QVQ416" s="1715" t="s">
        <v>0</v>
      </c>
      <c r="QVR416" s="1716"/>
      <c r="QVS416" s="1716"/>
      <c r="QVT416" s="1716"/>
      <c r="QVU416" s="1716"/>
      <c r="QVV416" s="244"/>
      <c r="QVW416" s="244" t="s">
        <v>68</v>
      </c>
      <c r="QVX416" s="245" t="s">
        <v>68</v>
      </c>
      <c r="QVY416" s="1715" t="s">
        <v>0</v>
      </c>
      <c r="QVZ416" s="1716"/>
      <c r="QWA416" s="1716"/>
      <c r="QWB416" s="1716"/>
      <c r="QWC416" s="1716"/>
      <c r="QWD416" s="244"/>
      <c r="QWE416" s="244" t="s">
        <v>68</v>
      </c>
      <c r="QWF416" s="245" t="s">
        <v>68</v>
      </c>
      <c r="QWG416" s="1715" t="s">
        <v>0</v>
      </c>
      <c r="QWH416" s="1716"/>
      <c r="QWI416" s="1716"/>
      <c r="QWJ416" s="1716"/>
      <c r="QWK416" s="1716"/>
      <c r="QWL416" s="244"/>
      <c r="QWM416" s="244" t="s">
        <v>68</v>
      </c>
      <c r="QWN416" s="245" t="s">
        <v>68</v>
      </c>
      <c r="QWO416" s="1715" t="s">
        <v>0</v>
      </c>
      <c r="QWP416" s="1716"/>
      <c r="QWQ416" s="1716"/>
      <c r="QWR416" s="1716"/>
      <c r="QWS416" s="1716"/>
      <c r="QWT416" s="244"/>
      <c r="QWU416" s="244" t="s">
        <v>68</v>
      </c>
      <c r="QWV416" s="245" t="s">
        <v>68</v>
      </c>
      <c r="QWW416" s="1715" t="s">
        <v>0</v>
      </c>
      <c r="QWX416" s="1716"/>
      <c r="QWY416" s="1716"/>
      <c r="QWZ416" s="1716"/>
      <c r="QXA416" s="1716"/>
      <c r="QXB416" s="244"/>
      <c r="QXC416" s="244" t="s">
        <v>68</v>
      </c>
      <c r="QXD416" s="245" t="s">
        <v>68</v>
      </c>
      <c r="QXE416" s="1715" t="s">
        <v>0</v>
      </c>
      <c r="QXF416" s="1716"/>
      <c r="QXG416" s="1716"/>
      <c r="QXH416" s="1716"/>
      <c r="QXI416" s="1716"/>
      <c r="QXJ416" s="244"/>
      <c r="QXK416" s="244" t="s">
        <v>68</v>
      </c>
      <c r="QXL416" s="245" t="s">
        <v>68</v>
      </c>
      <c r="QXM416" s="1715" t="s">
        <v>0</v>
      </c>
      <c r="QXN416" s="1716"/>
      <c r="QXO416" s="1716"/>
      <c r="QXP416" s="1716"/>
      <c r="QXQ416" s="1716"/>
      <c r="QXR416" s="244"/>
      <c r="QXS416" s="244" t="s">
        <v>68</v>
      </c>
      <c r="QXT416" s="245" t="s">
        <v>68</v>
      </c>
      <c r="QXU416" s="1715" t="s">
        <v>0</v>
      </c>
      <c r="QXV416" s="1716"/>
      <c r="QXW416" s="1716"/>
      <c r="QXX416" s="1716"/>
      <c r="QXY416" s="1716"/>
      <c r="QXZ416" s="244"/>
      <c r="QYA416" s="244" t="s">
        <v>68</v>
      </c>
      <c r="QYB416" s="245" t="s">
        <v>68</v>
      </c>
      <c r="QYC416" s="1715" t="s">
        <v>0</v>
      </c>
      <c r="QYD416" s="1716"/>
      <c r="QYE416" s="1716"/>
      <c r="QYF416" s="1716"/>
      <c r="QYG416" s="1716"/>
      <c r="QYH416" s="244"/>
      <c r="QYI416" s="244" t="s">
        <v>68</v>
      </c>
      <c r="QYJ416" s="245" t="s">
        <v>68</v>
      </c>
      <c r="QYK416" s="1715" t="s">
        <v>0</v>
      </c>
      <c r="QYL416" s="1716"/>
      <c r="QYM416" s="1716"/>
      <c r="QYN416" s="1716"/>
      <c r="QYO416" s="1716"/>
      <c r="QYP416" s="244"/>
      <c r="QYQ416" s="244" t="s">
        <v>68</v>
      </c>
      <c r="QYR416" s="245" t="s">
        <v>68</v>
      </c>
      <c r="QYS416" s="1715" t="s">
        <v>0</v>
      </c>
      <c r="QYT416" s="1716"/>
      <c r="QYU416" s="1716"/>
      <c r="QYV416" s="1716"/>
      <c r="QYW416" s="1716"/>
      <c r="QYX416" s="244"/>
      <c r="QYY416" s="244" t="s">
        <v>68</v>
      </c>
      <c r="QYZ416" s="245" t="s">
        <v>68</v>
      </c>
      <c r="QZA416" s="1715" t="s">
        <v>0</v>
      </c>
      <c r="QZB416" s="1716"/>
      <c r="QZC416" s="1716"/>
      <c r="QZD416" s="1716"/>
      <c r="QZE416" s="1716"/>
      <c r="QZF416" s="244"/>
      <c r="QZG416" s="244" t="s">
        <v>68</v>
      </c>
      <c r="QZH416" s="245" t="s">
        <v>68</v>
      </c>
      <c r="QZI416" s="1715" t="s">
        <v>0</v>
      </c>
      <c r="QZJ416" s="1716"/>
      <c r="QZK416" s="1716"/>
      <c r="QZL416" s="1716"/>
      <c r="QZM416" s="1716"/>
      <c r="QZN416" s="244"/>
      <c r="QZO416" s="244" t="s">
        <v>68</v>
      </c>
      <c r="QZP416" s="245" t="s">
        <v>68</v>
      </c>
      <c r="QZQ416" s="1715" t="s">
        <v>0</v>
      </c>
      <c r="QZR416" s="1716"/>
      <c r="QZS416" s="1716"/>
      <c r="QZT416" s="1716"/>
      <c r="QZU416" s="1716"/>
      <c r="QZV416" s="244"/>
      <c r="QZW416" s="244" t="s">
        <v>68</v>
      </c>
      <c r="QZX416" s="245" t="s">
        <v>68</v>
      </c>
      <c r="QZY416" s="1715" t="s">
        <v>0</v>
      </c>
      <c r="QZZ416" s="1716"/>
      <c r="RAA416" s="1716"/>
      <c r="RAB416" s="1716"/>
      <c r="RAC416" s="1716"/>
      <c r="RAD416" s="244"/>
      <c r="RAE416" s="244" t="s">
        <v>68</v>
      </c>
      <c r="RAF416" s="245" t="s">
        <v>68</v>
      </c>
      <c r="RAG416" s="1715" t="s">
        <v>0</v>
      </c>
      <c r="RAH416" s="1716"/>
      <c r="RAI416" s="1716"/>
      <c r="RAJ416" s="1716"/>
      <c r="RAK416" s="1716"/>
      <c r="RAL416" s="244"/>
      <c r="RAM416" s="244" t="s">
        <v>68</v>
      </c>
      <c r="RAN416" s="245" t="s">
        <v>68</v>
      </c>
      <c r="RAO416" s="1715" t="s">
        <v>0</v>
      </c>
      <c r="RAP416" s="1716"/>
      <c r="RAQ416" s="1716"/>
      <c r="RAR416" s="1716"/>
      <c r="RAS416" s="1716"/>
      <c r="RAT416" s="244"/>
      <c r="RAU416" s="244" t="s">
        <v>68</v>
      </c>
      <c r="RAV416" s="245" t="s">
        <v>68</v>
      </c>
      <c r="RAW416" s="1715" t="s">
        <v>0</v>
      </c>
      <c r="RAX416" s="1716"/>
      <c r="RAY416" s="1716"/>
      <c r="RAZ416" s="1716"/>
      <c r="RBA416" s="1716"/>
      <c r="RBB416" s="244"/>
      <c r="RBC416" s="244" t="s">
        <v>68</v>
      </c>
      <c r="RBD416" s="245" t="s">
        <v>68</v>
      </c>
      <c r="RBE416" s="1715" t="s">
        <v>0</v>
      </c>
      <c r="RBF416" s="1716"/>
      <c r="RBG416" s="1716"/>
      <c r="RBH416" s="1716"/>
      <c r="RBI416" s="1716"/>
      <c r="RBJ416" s="244"/>
      <c r="RBK416" s="244" t="s">
        <v>68</v>
      </c>
      <c r="RBL416" s="245" t="s">
        <v>68</v>
      </c>
      <c r="RBM416" s="1715" t="s">
        <v>0</v>
      </c>
      <c r="RBN416" s="1716"/>
      <c r="RBO416" s="1716"/>
      <c r="RBP416" s="1716"/>
      <c r="RBQ416" s="1716"/>
      <c r="RBR416" s="244"/>
      <c r="RBS416" s="244" t="s">
        <v>68</v>
      </c>
      <c r="RBT416" s="245" t="s">
        <v>68</v>
      </c>
      <c r="RBU416" s="1715" t="s">
        <v>0</v>
      </c>
      <c r="RBV416" s="1716"/>
      <c r="RBW416" s="1716"/>
      <c r="RBX416" s="1716"/>
      <c r="RBY416" s="1716"/>
      <c r="RBZ416" s="244"/>
      <c r="RCA416" s="244" t="s">
        <v>68</v>
      </c>
      <c r="RCB416" s="245" t="s">
        <v>68</v>
      </c>
      <c r="RCC416" s="1715" t="s">
        <v>0</v>
      </c>
      <c r="RCD416" s="1716"/>
      <c r="RCE416" s="1716"/>
      <c r="RCF416" s="1716"/>
      <c r="RCG416" s="1716"/>
      <c r="RCH416" s="244"/>
      <c r="RCI416" s="244" t="s">
        <v>68</v>
      </c>
      <c r="RCJ416" s="245" t="s">
        <v>68</v>
      </c>
      <c r="RCK416" s="1715" t="s">
        <v>0</v>
      </c>
      <c r="RCL416" s="1716"/>
      <c r="RCM416" s="1716"/>
      <c r="RCN416" s="1716"/>
      <c r="RCO416" s="1716"/>
      <c r="RCP416" s="244"/>
      <c r="RCQ416" s="244" t="s">
        <v>68</v>
      </c>
      <c r="RCR416" s="245" t="s">
        <v>68</v>
      </c>
      <c r="RCS416" s="1715" t="s">
        <v>0</v>
      </c>
      <c r="RCT416" s="1716"/>
      <c r="RCU416" s="1716"/>
      <c r="RCV416" s="1716"/>
      <c r="RCW416" s="1716"/>
      <c r="RCX416" s="244"/>
      <c r="RCY416" s="244" t="s">
        <v>68</v>
      </c>
      <c r="RCZ416" s="245" t="s">
        <v>68</v>
      </c>
      <c r="RDA416" s="1715" t="s">
        <v>0</v>
      </c>
      <c r="RDB416" s="1716"/>
      <c r="RDC416" s="1716"/>
      <c r="RDD416" s="1716"/>
      <c r="RDE416" s="1716"/>
      <c r="RDF416" s="244"/>
      <c r="RDG416" s="244" t="s">
        <v>68</v>
      </c>
      <c r="RDH416" s="245" t="s">
        <v>68</v>
      </c>
      <c r="RDI416" s="1715" t="s">
        <v>0</v>
      </c>
      <c r="RDJ416" s="1716"/>
      <c r="RDK416" s="1716"/>
      <c r="RDL416" s="1716"/>
      <c r="RDM416" s="1716"/>
      <c r="RDN416" s="244"/>
      <c r="RDO416" s="244" t="s">
        <v>68</v>
      </c>
      <c r="RDP416" s="245" t="s">
        <v>68</v>
      </c>
      <c r="RDQ416" s="1715" t="s">
        <v>0</v>
      </c>
      <c r="RDR416" s="1716"/>
      <c r="RDS416" s="1716"/>
      <c r="RDT416" s="1716"/>
      <c r="RDU416" s="1716"/>
      <c r="RDV416" s="244"/>
      <c r="RDW416" s="244" t="s">
        <v>68</v>
      </c>
      <c r="RDX416" s="245" t="s">
        <v>68</v>
      </c>
      <c r="RDY416" s="1715" t="s">
        <v>0</v>
      </c>
      <c r="RDZ416" s="1716"/>
      <c r="REA416" s="1716"/>
      <c r="REB416" s="1716"/>
      <c r="REC416" s="1716"/>
      <c r="RED416" s="244"/>
      <c r="REE416" s="244" t="s">
        <v>68</v>
      </c>
      <c r="REF416" s="245" t="s">
        <v>68</v>
      </c>
      <c r="REG416" s="1715" t="s">
        <v>0</v>
      </c>
      <c r="REH416" s="1716"/>
      <c r="REI416" s="1716"/>
      <c r="REJ416" s="1716"/>
      <c r="REK416" s="1716"/>
      <c r="REL416" s="244"/>
      <c r="REM416" s="244" t="s">
        <v>68</v>
      </c>
      <c r="REN416" s="245" t="s">
        <v>68</v>
      </c>
      <c r="REO416" s="1715" t="s">
        <v>0</v>
      </c>
      <c r="REP416" s="1716"/>
      <c r="REQ416" s="1716"/>
      <c r="RER416" s="1716"/>
      <c r="RES416" s="1716"/>
      <c r="RET416" s="244"/>
      <c r="REU416" s="244" t="s">
        <v>68</v>
      </c>
      <c r="REV416" s="245" t="s">
        <v>68</v>
      </c>
      <c r="REW416" s="1715" t="s">
        <v>0</v>
      </c>
      <c r="REX416" s="1716"/>
      <c r="REY416" s="1716"/>
      <c r="REZ416" s="1716"/>
      <c r="RFA416" s="1716"/>
      <c r="RFB416" s="244"/>
      <c r="RFC416" s="244" t="s">
        <v>68</v>
      </c>
      <c r="RFD416" s="245" t="s">
        <v>68</v>
      </c>
      <c r="RFE416" s="1715" t="s">
        <v>0</v>
      </c>
      <c r="RFF416" s="1716"/>
      <c r="RFG416" s="1716"/>
      <c r="RFH416" s="1716"/>
      <c r="RFI416" s="1716"/>
      <c r="RFJ416" s="244"/>
      <c r="RFK416" s="244" t="s">
        <v>68</v>
      </c>
      <c r="RFL416" s="245" t="s">
        <v>68</v>
      </c>
      <c r="RFM416" s="1715" t="s">
        <v>0</v>
      </c>
      <c r="RFN416" s="1716"/>
      <c r="RFO416" s="1716"/>
      <c r="RFP416" s="1716"/>
      <c r="RFQ416" s="1716"/>
      <c r="RFR416" s="244"/>
      <c r="RFS416" s="244" t="s">
        <v>68</v>
      </c>
      <c r="RFT416" s="245" t="s">
        <v>68</v>
      </c>
      <c r="RFU416" s="1715" t="s">
        <v>0</v>
      </c>
      <c r="RFV416" s="1716"/>
      <c r="RFW416" s="1716"/>
      <c r="RFX416" s="1716"/>
      <c r="RFY416" s="1716"/>
      <c r="RFZ416" s="244"/>
      <c r="RGA416" s="244" t="s">
        <v>68</v>
      </c>
      <c r="RGB416" s="245" t="s">
        <v>68</v>
      </c>
      <c r="RGC416" s="1715" t="s">
        <v>0</v>
      </c>
      <c r="RGD416" s="1716"/>
      <c r="RGE416" s="1716"/>
      <c r="RGF416" s="1716"/>
      <c r="RGG416" s="1716"/>
      <c r="RGH416" s="244"/>
      <c r="RGI416" s="244" t="s">
        <v>68</v>
      </c>
      <c r="RGJ416" s="245" t="s">
        <v>68</v>
      </c>
      <c r="RGK416" s="1715" t="s">
        <v>0</v>
      </c>
      <c r="RGL416" s="1716"/>
      <c r="RGM416" s="1716"/>
      <c r="RGN416" s="1716"/>
      <c r="RGO416" s="1716"/>
      <c r="RGP416" s="244"/>
      <c r="RGQ416" s="244" t="s">
        <v>68</v>
      </c>
      <c r="RGR416" s="245" t="s">
        <v>68</v>
      </c>
      <c r="RGS416" s="1715" t="s">
        <v>0</v>
      </c>
      <c r="RGT416" s="1716"/>
      <c r="RGU416" s="1716"/>
      <c r="RGV416" s="1716"/>
      <c r="RGW416" s="1716"/>
      <c r="RGX416" s="244"/>
      <c r="RGY416" s="244" t="s">
        <v>68</v>
      </c>
      <c r="RGZ416" s="245" t="s">
        <v>68</v>
      </c>
      <c r="RHA416" s="1715" t="s">
        <v>0</v>
      </c>
      <c r="RHB416" s="1716"/>
      <c r="RHC416" s="1716"/>
      <c r="RHD416" s="1716"/>
      <c r="RHE416" s="1716"/>
      <c r="RHF416" s="244"/>
      <c r="RHG416" s="244" t="s">
        <v>68</v>
      </c>
      <c r="RHH416" s="245" t="s">
        <v>68</v>
      </c>
      <c r="RHI416" s="1715" t="s">
        <v>0</v>
      </c>
      <c r="RHJ416" s="1716"/>
      <c r="RHK416" s="1716"/>
      <c r="RHL416" s="1716"/>
      <c r="RHM416" s="1716"/>
      <c r="RHN416" s="244"/>
      <c r="RHO416" s="244" t="s">
        <v>68</v>
      </c>
      <c r="RHP416" s="245" t="s">
        <v>68</v>
      </c>
      <c r="RHQ416" s="1715" t="s">
        <v>0</v>
      </c>
      <c r="RHR416" s="1716"/>
      <c r="RHS416" s="1716"/>
      <c r="RHT416" s="1716"/>
      <c r="RHU416" s="1716"/>
      <c r="RHV416" s="244"/>
      <c r="RHW416" s="244" t="s">
        <v>68</v>
      </c>
      <c r="RHX416" s="245" t="s">
        <v>68</v>
      </c>
      <c r="RHY416" s="1715" t="s">
        <v>0</v>
      </c>
      <c r="RHZ416" s="1716"/>
      <c r="RIA416" s="1716"/>
      <c r="RIB416" s="1716"/>
      <c r="RIC416" s="1716"/>
      <c r="RID416" s="244"/>
      <c r="RIE416" s="244" t="s">
        <v>68</v>
      </c>
      <c r="RIF416" s="245" t="s">
        <v>68</v>
      </c>
      <c r="RIG416" s="1715" t="s">
        <v>0</v>
      </c>
      <c r="RIH416" s="1716"/>
      <c r="RII416" s="1716"/>
      <c r="RIJ416" s="1716"/>
      <c r="RIK416" s="1716"/>
      <c r="RIL416" s="244"/>
      <c r="RIM416" s="244" t="s">
        <v>68</v>
      </c>
      <c r="RIN416" s="245" t="s">
        <v>68</v>
      </c>
      <c r="RIO416" s="1715" t="s">
        <v>0</v>
      </c>
      <c r="RIP416" s="1716"/>
      <c r="RIQ416" s="1716"/>
      <c r="RIR416" s="1716"/>
      <c r="RIS416" s="1716"/>
      <c r="RIT416" s="244"/>
      <c r="RIU416" s="244" t="s">
        <v>68</v>
      </c>
      <c r="RIV416" s="245" t="s">
        <v>68</v>
      </c>
      <c r="RIW416" s="1715" t="s">
        <v>0</v>
      </c>
      <c r="RIX416" s="1716"/>
      <c r="RIY416" s="1716"/>
      <c r="RIZ416" s="1716"/>
      <c r="RJA416" s="1716"/>
      <c r="RJB416" s="244"/>
      <c r="RJC416" s="244" t="s">
        <v>68</v>
      </c>
      <c r="RJD416" s="245" t="s">
        <v>68</v>
      </c>
      <c r="RJE416" s="1715" t="s">
        <v>0</v>
      </c>
      <c r="RJF416" s="1716"/>
      <c r="RJG416" s="1716"/>
      <c r="RJH416" s="1716"/>
      <c r="RJI416" s="1716"/>
      <c r="RJJ416" s="244"/>
      <c r="RJK416" s="244" t="s">
        <v>68</v>
      </c>
      <c r="RJL416" s="245" t="s">
        <v>68</v>
      </c>
      <c r="RJM416" s="1715" t="s">
        <v>0</v>
      </c>
      <c r="RJN416" s="1716"/>
      <c r="RJO416" s="1716"/>
      <c r="RJP416" s="1716"/>
      <c r="RJQ416" s="1716"/>
      <c r="RJR416" s="244"/>
      <c r="RJS416" s="244" t="s">
        <v>68</v>
      </c>
      <c r="RJT416" s="245" t="s">
        <v>68</v>
      </c>
      <c r="RJU416" s="1715" t="s">
        <v>0</v>
      </c>
      <c r="RJV416" s="1716"/>
      <c r="RJW416" s="1716"/>
      <c r="RJX416" s="1716"/>
      <c r="RJY416" s="1716"/>
      <c r="RJZ416" s="244"/>
      <c r="RKA416" s="244" t="s">
        <v>68</v>
      </c>
      <c r="RKB416" s="245" t="s">
        <v>68</v>
      </c>
      <c r="RKC416" s="1715" t="s">
        <v>0</v>
      </c>
      <c r="RKD416" s="1716"/>
      <c r="RKE416" s="1716"/>
      <c r="RKF416" s="1716"/>
      <c r="RKG416" s="1716"/>
      <c r="RKH416" s="244"/>
      <c r="RKI416" s="244" t="s">
        <v>68</v>
      </c>
      <c r="RKJ416" s="245" t="s">
        <v>68</v>
      </c>
      <c r="RKK416" s="1715" t="s">
        <v>0</v>
      </c>
      <c r="RKL416" s="1716"/>
      <c r="RKM416" s="1716"/>
      <c r="RKN416" s="1716"/>
      <c r="RKO416" s="1716"/>
      <c r="RKP416" s="244"/>
      <c r="RKQ416" s="244" t="s">
        <v>68</v>
      </c>
      <c r="RKR416" s="245" t="s">
        <v>68</v>
      </c>
      <c r="RKS416" s="1715" t="s">
        <v>0</v>
      </c>
      <c r="RKT416" s="1716"/>
      <c r="RKU416" s="1716"/>
      <c r="RKV416" s="1716"/>
      <c r="RKW416" s="1716"/>
      <c r="RKX416" s="244"/>
      <c r="RKY416" s="244" t="s">
        <v>68</v>
      </c>
      <c r="RKZ416" s="245" t="s">
        <v>68</v>
      </c>
      <c r="RLA416" s="1715" t="s">
        <v>0</v>
      </c>
      <c r="RLB416" s="1716"/>
      <c r="RLC416" s="1716"/>
      <c r="RLD416" s="1716"/>
      <c r="RLE416" s="1716"/>
      <c r="RLF416" s="244"/>
      <c r="RLG416" s="244" t="s">
        <v>68</v>
      </c>
      <c r="RLH416" s="245" t="s">
        <v>68</v>
      </c>
      <c r="RLI416" s="1715" t="s">
        <v>0</v>
      </c>
      <c r="RLJ416" s="1716"/>
      <c r="RLK416" s="1716"/>
      <c r="RLL416" s="1716"/>
      <c r="RLM416" s="1716"/>
      <c r="RLN416" s="244"/>
      <c r="RLO416" s="244" t="s">
        <v>68</v>
      </c>
      <c r="RLP416" s="245" t="s">
        <v>68</v>
      </c>
      <c r="RLQ416" s="1715" t="s">
        <v>0</v>
      </c>
      <c r="RLR416" s="1716"/>
      <c r="RLS416" s="1716"/>
      <c r="RLT416" s="1716"/>
      <c r="RLU416" s="1716"/>
      <c r="RLV416" s="244"/>
      <c r="RLW416" s="244" t="s">
        <v>68</v>
      </c>
      <c r="RLX416" s="245" t="s">
        <v>68</v>
      </c>
      <c r="RLY416" s="1715" t="s">
        <v>0</v>
      </c>
      <c r="RLZ416" s="1716"/>
      <c r="RMA416" s="1716"/>
      <c r="RMB416" s="1716"/>
      <c r="RMC416" s="1716"/>
      <c r="RMD416" s="244"/>
      <c r="RME416" s="244" t="s">
        <v>68</v>
      </c>
      <c r="RMF416" s="245" t="s">
        <v>68</v>
      </c>
      <c r="RMG416" s="1715" t="s">
        <v>0</v>
      </c>
      <c r="RMH416" s="1716"/>
      <c r="RMI416" s="1716"/>
      <c r="RMJ416" s="1716"/>
      <c r="RMK416" s="1716"/>
      <c r="RML416" s="244"/>
      <c r="RMM416" s="244" t="s">
        <v>68</v>
      </c>
      <c r="RMN416" s="245" t="s">
        <v>68</v>
      </c>
      <c r="RMO416" s="1715" t="s">
        <v>0</v>
      </c>
      <c r="RMP416" s="1716"/>
      <c r="RMQ416" s="1716"/>
      <c r="RMR416" s="1716"/>
      <c r="RMS416" s="1716"/>
      <c r="RMT416" s="244"/>
      <c r="RMU416" s="244" t="s">
        <v>68</v>
      </c>
      <c r="RMV416" s="245" t="s">
        <v>68</v>
      </c>
      <c r="RMW416" s="1715" t="s">
        <v>0</v>
      </c>
      <c r="RMX416" s="1716"/>
      <c r="RMY416" s="1716"/>
      <c r="RMZ416" s="1716"/>
      <c r="RNA416" s="1716"/>
      <c r="RNB416" s="244"/>
      <c r="RNC416" s="244" t="s">
        <v>68</v>
      </c>
      <c r="RND416" s="245" t="s">
        <v>68</v>
      </c>
      <c r="RNE416" s="1715" t="s">
        <v>0</v>
      </c>
      <c r="RNF416" s="1716"/>
      <c r="RNG416" s="1716"/>
      <c r="RNH416" s="1716"/>
      <c r="RNI416" s="1716"/>
      <c r="RNJ416" s="244"/>
      <c r="RNK416" s="244" t="s">
        <v>68</v>
      </c>
      <c r="RNL416" s="245" t="s">
        <v>68</v>
      </c>
      <c r="RNM416" s="1715" t="s">
        <v>0</v>
      </c>
      <c r="RNN416" s="1716"/>
      <c r="RNO416" s="1716"/>
      <c r="RNP416" s="1716"/>
      <c r="RNQ416" s="1716"/>
      <c r="RNR416" s="244"/>
      <c r="RNS416" s="244" t="s">
        <v>68</v>
      </c>
      <c r="RNT416" s="245" t="s">
        <v>68</v>
      </c>
      <c r="RNU416" s="1715" t="s">
        <v>0</v>
      </c>
      <c r="RNV416" s="1716"/>
      <c r="RNW416" s="1716"/>
      <c r="RNX416" s="1716"/>
      <c r="RNY416" s="1716"/>
      <c r="RNZ416" s="244"/>
      <c r="ROA416" s="244" t="s">
        <v>68</v>
      </c>
      <c r="ROB416" s="245" t="s">
        <v>68</v>
      </c>
      <c r="ROC416" s="1715" t="s">
        <v>0</v>
      </c>
      <c r="ROD416" s="1716"/>
      <c r="ROE416" s="1716"/>
      <c r="ROF416" s="1716"/>
      <c r="ROG416" s="1716"/>
      <c r="ROH416" s="244"/>
      <c r="ROI416" s="244" t="s">
        <v>68</v>
      </c>
      <c r="ROJ416" s="245" t="s">
        <v>68</v>
      </c>
      <c r="ROK416" s="1715" t="s">
        <v>0</v>
      </c>
      <c r="ROL416" s="1716"/>
      <c r="ROM416" s="1716"/>
      <c r="RON416" s="1716"/>
      <c r="ROO416" s="1716"/>
      <c r="ROP416" s="244"/>
      <c r="ROQ416" s="244" t="s">
        <v>68</v>
      </c>
      <c r="ROR416" s="245" t="s">
        <v>68</v>
      </c>
      <c r="ROS416" s="1715" t="s">
        <v>0</v>
      </c>
      <c r="ROT416" s="1716"/>
      <c r="ROU416" s="1716"/>
      <c r="ROV416" s="1716"/>
      <c r="ROW416" s="1716"/>
      <c r="ROX416" s="244"/>
      <c r="ROY416" s="244" t="s">
        <v>68</v>
      </c>
      <c r="ROZ416" s="245" t="s">
        <v>68</v>
      </c>
      <c r="RPA416" s="1715" t="s">
        <v>0</v>
      </c>
      <c r="RPB416" s="1716"/>
      <c r="RPC416" s="1716"/>
      <c r="RPD416" s="1716"/>
      <c r="RPE416" s="1716"/>
      <c r="RPF416" s="244"/>
      <c r="RPG416" s="244" t="s">
        <v>68</v>
      </c>
      <c r="RPH416" s="245" t="s">
        <v>68</v>
      </c>
      <c r="RPI416" s="1715" t="s">
        <v>0</v>
      </c>
      <c r="RPJ416" s="1716"/>
      <c r="RPK416" s="1716"/>
      <c r="RPL416" s="1716"/>
      <c r="RPM416" s="1716"/>
      <c r="RPN416" s="244"/>
      <c r="RPO416" s="244" t="s">
        <v>68</v>
      </c>
      <c r="RPP416" s="245" t="s">
        <v>68</v>
      </c>
      <c r="RPQ416" s="1715" t="s">
        <v>0</v>
      </c>
      <c r="RPR416" s="1716"/>
      <c r="RPS416" s="1716"/>
      <c r="RPT416" s="1716"/>
      <c r="RPU416" s="1716"/>
      <c r="RPV416" s="244"/>
      <c r="RPW416" s="244" t="s">
        <v>68</v>
      </c>
      <c r="RPX416" s="245" t="s">
        <v>68</v>
      </c>
      <c r="RPY416" s="1715" t="s">
        <v>0</v>
      </c>
      <c r="RPZ416" s="1716"/>
      <c r="RQA416" s="1716"/>
      <c r="RQB416" s="1716"/>
      <c r="RQC416" s="1716"/>
      <c r="RQD416" s="244"/>
      <c r="RQE416" s="244" t="s">
        <v>68</v>
      </c>
      <c r="RQF416" s="245" t="s">
        <v>68</v>
      </c>
      <c r="RQG416" s="1715" t="s">
        <v>0</v>
      </c>
      <c r="RQH416" s="1716"/>
      <c r="RQI416" s="1716"/>
      <c r="RQJ416" s="1716"/>
      <c r="RQK416" s="1716"/>
      <c r="RQL416" s="244"/>
      <c r="RQM416" s="244" t="s">
        <v>68</v>
      </c>
      <c r="RQN416" s="245" t="s">
        <v>68</v>
      </c>
      <c r="RQO416" s="1715" t="s">
        <v>0</v>
      </c>
      <c r="RQP416" s="1716"/>
      <c r="RQQ416" s="1716"/>
      <c r="RQR416" s="1716"/>
      <c r="RQS416" s="1716"/>
      <c r="RQT416" s="244"/>
      <c r="RQU416" s="244" t="s">
        <v>68</v>
      </c>
      <c r="RQV416" s="245" t="s">
        <v>68</v>
      </c>
      <c r="RQW416" s="1715" t="s">
        <v>0</v>
      </c>
      <c r="RQX416" s="1716"/>
      <c r="RQY416" s="1716"/>
      <c r="RQZ416" s="1716"/>
      <c r="RRA416" s="1716"/>
      <c r="RRB416" s="244"/>
      <c r="RRC416" s="244" t="s">
        <v>68</v>
      </c>
      <c r="RRD416" s="245" t="s">
        <v>68</v>
      </c>
      <c r="RRE416" s="1715" t="s">
        <v>0</v>
      </c>
      <c r="RRF416" s="1716"/>
      <c r="RRG416" s="1716"/>
      <c r="RRH416" s="1716"/>
      <c r="RRI416" s="1716"/>
      <c r="RRJ416" s="244"/>
      <c r="RRK416" s="244" t="s">
        <v>68</v>
      </c>
      <c r="RRL416" s="245" t="s">
        <v>68</v>
      </c>
      <c r="RRM416" s="1715" t="s">
        <v>0</v>
      </c>
      <c r="RRN416" s="1716"/>
      <c r="RRO416" s="1716"/>
      <c r="RRP416" s="1716"/>
      <c r="RRQ416" s="1716"/>
      <c r="RRR416" s="244"/>
      <c r="RRS416" s="244" t="s">
        <v>68</v>
      </c>
      <c r="RRT416" s="245" t="s">
        <v>68</v>
      </c>
      <c r="RRU416" s="1715" t="s">
        <v>0</v>
      </c>
      <c r="RRV416" s="1716"/>
      <c r="RRW416" s="1716"/>
      <c r="RRX416" s="1716"/>
      <c r="RRY416" s="1716"/>
      <c r="RRZ416" s="244"/>
      <c r="RSA416" s="244" t="s">
        <v>68</v>
      </c>
      <c r="RSB416" s="245" t="s">
        <v>68</v>
      </c>
      <c r="RSC416" s="1715" t="s">
        <v>0</v>
      </c>
      <c r="RSD416" s="1716"/>
      <c r="RSE416" s="1716"/>
      <c r="RSF416" s="1716"/>
      <c r="RSG416" s="1716"/>
      <c r="RSH416" s="244"/>
      <c r="RSI416" s="244" t="s">
        <v>68</v>
      </c>
      <c r="RSJ416" s="245" t="s">
        <v>68</v>
      </c>
      <c r="RSK416" s="1715" t="s">
        <v>0</v>
      </c>
      <c r="RSL416" s="1716"/>
      <c r="RSM416" s="1716"/>
      <c r="RSN416" s="1716"/>
      <c r="RSO416" s="1716"/>
      <c r="RSP416" s="244"/>
      <c r="RSQ416" s="244" t="s">
        <v>68</v>
      </c>
      <c r="RSR416" s="245" t="s">
        <v>68</v>
      </c>
      <c r="RSS416" s="1715" t="s">
        <v>0</v>
      </c>
      <c r="RST416" s="1716"/>
      <c r="RSU416" s="1716"/>
      <c r="RSV416" s="1716"/>
      <c r="RSW416" s="1716"/>
      <c r="RSX416" s="244"/>
      <c r="RSY416" s="244" t="s">
        <v>68</v>
      </c>
      <c r="RSZ416" s="245" t="s">
        <v>68</v>
      </c>
      <c r="RTA416" s="1715" t="s">
        <v>0</v>
      </c>
      <c r="RTB416" s="1716"/>
      <c r="RTC416" s="1716"/>
      <c r="RTD416" s="1716"/>
      <c r="RTE416" s="1716"/>
      <c r="RTF416" s="244"/>
      <c r="RTG416" s="244" t="s">
        <v>68</v>
      </c>
      <c r="RTH416" s="245" t="s">
        <v>68</v>
      </c>
      <c r="RTI416" s="1715" t="s">
        <v>0</v>
      </c>
      <c r="RTJ416" s="1716"/>
      <c r="RTK416" s="1716"/>
      <c r="RTL416" s="1716"/>
      <c r="RTM416" s="1716"/>
      <c r="RTN416" s="244"/>
      <c r="RTO416" s="244" t="s">
        <v>68</v>
      </c>
      <c r="RTP416" s="245" t="s">
        <v>68</v>
      </c>
      <c r="RTQ416" s="1715" t="s">
        <v>0</v>
      </c>
      <c r="RTR416" s="1716"/>
      <c r="RTS416" s="1716"/>
      <c r="RTT416" s="1716"/>
      <c r="RTU416" s="1716"/>
      <c r="RTV416" s="244"/>
      <c r="RTW416" s="244" t="s">
        <v>68</v>
      </c>
      <c r="RTX416" s="245" t="s">
        <v>68</v>
      </c>
      <c r="RTY416" s="1715" t="s">
        <v>0</v>
      </c>
      <c r="RTZ416" s="1716"/>
      <c r="RUA416" s="1716"/>
      <c r="RUB416" s="1716"/>
      <c r="RUC416" s="1716"/>
      <c r="RUD416" s="244"/>
      <c r="RUE416" s="244" t="s">
        <v>68</v>
      </c>
      <c r="RUF416" s="245" t="s">
        <v>68</v>
      </c>
      <c r="RUG416" s="1715" t="s">
        <v>0</v>
      </c>
      <c r="RUH416" s="1716"/>
      <c r="RUI416" s="1716"/>
      <c r="RUJ416" s="1716"/>
      <c r="RUK416" s="1716"/>
      <c r="RUL416" s="244"/>
      <c r="RUM416" s="244" t="s">
        <v>68</v>
      </c>
      <c r="RUN416" s="245" t="s">
        <v>68</v>
      </c>
      <c r="RUO416" s="1715" t="s">
        <v>0</v>
      </c>
      <c r="RUP416" s="1716"/>
      <c r="RUQ416" s="1716"/>
      <c r="RUR416" s="1716"/>
      <c r="RUS416" s="1716"/>
      <c r="RUT416" s="244"/>
      <c r="RUU416" s="244" t="s">
        <v>68</v>
      </c>
      <c r="RUV416" s="245" t="s">
        <v>68</v>
      </c>
      <c r="RUW416" s="1715" t="s">
        <v>0</v>
      </c>
      <c r="RUX416" s="1716"/>
      <c r="RUY416" s="1716"/>
      <c r="RUZ416" s="1716"/>
      <c r="RVA416" s="1716"/>
      <c r="RVB416" s="244"/>
      <c r="RVC416" s="244" t="s">
        <v>68</v>
      </c>
      <c r="RVD416" s="245" t="s">
        <v>68</v>
      </c>
      <c r="RVE416" s="1715" t="s">
        <v>0</v>
      </c>
      <c r="RVF416" s="1716"/>
      <c r="RVG416" s="1716"/>
      <c r="RVH416" s="1716"/>
      <c r="RVI416" s="1716"/>
      <c r="RVJ416" s="244"/>
      <c r="RVK416" s="244" t="s">
        <v>68</v>
      </c>
      <c r="RVL416" s="245" t="s">
        <v>68</v>
      </c>
      <c r="RVM416" s="1715" t="s">
        <v>0</v>
      </c>
      <c r="RVN416" s="1716"/>
      <c r="RVO416" s="1716"/>
      <c r="RVP416" s="1716"/>
      <c r="RVQ416" s="1716"/>
      <c r="RVR416" s="244"/>
      <c r="RVS416" s="244" t="s">
        <v>68</v>
      </c>
      <c r="RVT416" s="245" t="s">
        <v>68</v>
      </c>
      <c r="RVU416" s="1715" t="s">
        <v>0</v>
      </c>
      <c r="RVV416" s="1716"/>
      <c r="RVW416" s="1716"/>
      <c r="RVX416" s="1716"/>
      <c r="RVY416" s="1716"/>
      <c r="RVZ416" s="244"/>
      <c r="RWA416" s="244" t="s">
        <v>68</v>
      </c>
      <c r="RWB416" s="245" t="s">
        <v>68</v>
      </c>
      <c r="RWC416" s="1715" t="s">
        <v>0</v>
      </c>
      <c r="RWD416" s="1716"/>
      <c r="RWE416" s="1716"/>
      <c r="RWF416" s="1716"/>
      <c r="RWG416" s="1716"/>
      <c r="RWH416" s="244"/>
      <c r="RWI416" s="244" t="s">
        <v>68</v>
      </c>
      <c r="RWJ416" s="245" t="s">
        <v>68</v>
      </c>
      <c r="RWK416" s="1715" t="s">
        <v>0</v>
      </c>
      <c r="RWL416" s="1716"/>
      <c r="RWM416" s="1716"/>
      <c r="RWN416" s="1716"/>
      <c r="RWO416" s="1716"/>
      <c r="RWP416" s="244"/>
      <c r="RWQ416" s="244" t="s">
        <v>68</v>
      </c>
      <c r="RWR416" s="245" t="s">
        <v>68</v>
      </c>
      <c r="RWS416" s="1715" t="s">
        <v>0</v>
      </c>
      <c r="RWT416" s="1716"/>
      <c r="RWU416" s="1716"/>
      <c r="RWV416" s="1716"/>
      <c r="RWW416" s="1716"/>
      <c r="RWX416" s="244"/>
      <c r="RWY416" s="244" t="s">
        <v>68</v>
      </c>
      <c r="RWZ416" s="245" t="s">
        <v>68</v>
      </c>
      <c r="RXA416" s="1715" t="s">
        <v>0</v>
      </c>
      <c r="RXB416" s="1716"/>
      <c r="RXC416" s="1716"/>
      <c r="RXD416" s="1716"/>
      <c r="RXE416" s="1716"/>
      <c r="RXF416" s="244"/>
      <c r="RXG416" s="244" t="s">
        <v>68</v>
      </c>
      <c r="RXH416" s="245" t="s">
        <v>68</v>
      </c>
      <c r="RXI416" s="1715" t="s">
        <v>0</v>
      </c>
      <c r="RXJ416" s="1716"/>
      <c r="RXK416" s="1716"/>
      <c r="RXL416" s="1716"/>
      <c r="RXM416" s="1716"/>
      <c r="RXN416" s="244"/>
      <c r="RXO416" s="244" t="s">
        <v>68</v>
      </c>
      <c r="RXP416" s="245" t="s">
        <v>68</v>
      </c>
      <c r="RXQ416" s="1715" t="s">
        <v>0</v>
      </c>
      <c r="RXR416" s="1716"/>
      <c r="RXS416" s="1716"/>
      <c r="RXT416" s="1716"/>
      <c r="RXU416" s="1716"/>
      <c r="RXV416" s="244"/>
      <c r="RXW416" s="244" t="s">
        <v>68</v>
      </c>
      <c r="RXX416" s="245" t="s">
        <v>68</v>
      </c>
      <c r="RXY416" s="1715" t="s">
        <v>0</v>
      </c>
      <c r="RXZ416" s="1716"/>
      <c r="RYA416" s="1716"/>
      <c r="RYB416" s="1716"/>
      <c r="RYC416" s="1716"/>
      <c r="RYD416" s="244"/>
      <c r="RYE416" s="244" t="s">
        <v>68</v>
      </c>
      <c r="RYF416" s="245" t="s">
        <v>68</v>
      </c>
      <c r="RYG416" s="1715" t="s">
        <v>0</v>
      </c>
      <c r="RYH416" s="1716"/>
      <c r="RYI416" s="1716"/>
      <c r="RYJ416" s="1716"/>
      <c r="RYK416" s="1716"/>
      <c r="RYL416" s="244"/>
      <c r="RYM416" s="244" t="s">
        <v>68</v>
      </c>
      <c r="RYN416" s="245" t="s">
        <v>68</v>
      </c>
      <c r="RYO416" s="1715" t="s">
        <v>0</v>
      </c>
      <c r="RYP416" s="1716"/>
      <c r="RYQ416" s="1716"/>
      <c r="RYR416" s="1716"/>
      <c r="RYS416" s="1716"/>
      <c r="RYT416" s="244"/>
      <c r="RYU416" s="244" t="s">
        <v>68</v>
      </c>
      <c r="RYV416" s="245" t="s">
        <v>68</v>
      </c>
      <c r="RYW416" s="1715" t="s">
        <v>0</v>
      </c>
      <c r="RYX416" s="1716"/>
      <c r="RYY416" s="1716"/>
      <c r="RYZ416" s="1716"/>
      <c r="RZA416" s="1716"/>
      <c r="RZB416" s="244"/>
      <c r="RZC416" s="244" t="s">
        <v>68</v>
      </c>
      <c r="RZD416" s="245" t="s">
        <v>68</v>
      </c>
      <c r="RZE416" s="1715" t="s">
        <v>0</v>
      </c>
      <c r="RZF416" s="1716"/>
      <c r="RZG416" s="1716"/>
      <c r="RZH416" s="1716"/>
      <c r="RZI416" s="1716"/>
      <c r="RZJ416" s="244"/>
      <c r="RZK416" s="244" t="s">
        <v>68</v>
      </c>
      <c r="RZL416" s="245" t="s">
        <v>68</v>
      </c>
      <c r="RZM416" s="1715" t="s">
        <v>0</v>
      </c>
      <c r="RZN416" s="1716"/>
      <c r="RZO416" s="1716"/>
      <c r="RZP416" s="1716"/>
      <c r="RZQ416" s="1716"/>
      <c r="RZR416" s="244"/>
      <c r="RZS416" s="244" t="s">
        <v>68</v>
      </c>
      <c r="RZT416" s="245" t="s">
        <v>68</v>
      </c>
      <c r="RZU416" s="1715" t="s">
        <v>0</v>
      </c>
      <c r="RZV416" s="1716"/>
      <c r="RZW416" s="1716"/>
      <c r="RZX416" s="1716"/>
      <c r="RZY416" s="1716"/>
      <c r="RZZ416" s="244"/>
      <c r="SAA416" s="244" t="s">
        <v>68</v>
      </c>
      <c r="SAB416" s="245" t="s">
        <v>68</v>
      </c>
      <c r="SAC416" s="1715" t="s">
        <v>0</v>
      </c>
      <c r="SAD416" s="1716"/>
      <c r="SAE416" s="1716"/>
      <c r="SAF416" s="1716"/>
      <c r="SAG416" s="1716"/>
      <c r="SAH416" s="244"/>
      <c r="SAI416" s="244" t="s">
        <v>68</v>
      </c>
      <c r="SAJ416" s="245" t="s">
        <v>68</v>
      </c>
      <c r="SAK416" s="1715" t="s">
        <v>0</v>
      </c>
      <c r="SAL416" s="1716"/>
      <c r="SAM416" s="1716"/>
      <c r="SAN416" s="1716"/>
      <c r="SAO416" s="1716"/>
      <c r="SAP416" s="244"/>
      <c r="SAQ416" s="244" t="s">
        <v>68</v>
      </c>
      <c r="SAR416" s="245" t="s">
        <v>68</v>
      </c>
      <c r="SAS416" s="1715" t="s">
        <v>0</v>
      </c>
      <c r="SAT416" s="1716"/>
      <c r="SAU416" s="1716"/>
      <c r="SAV416" s="1716"/>
      <c r="SAW416" s="1716"/>
      <c r="SAX416" s="244"/>
      <c r="SAY416" s="244" t="s">
        <v>68</v>
      </c>
      <c r="SAZ416" s="245" t="s">
        <v>68</v>
      </c>
      <c r="SBA416" s="1715" t="s">
        <v>0</v>
      </c>
      <c r="SBB416" s="1716"/>
      <c r="SBC416" s="1716"/>
      <c r="SBD416" s="1716"/>
      <c r="SBE416" s="1716"/>
      <c r="SBF416" s="244"/>
      <c r="SBG416" s="244" t="s">
        <v>68</v>
      </c>
      <c r="SBH416" s="245" t="s">
        <v>68</v>
      </c>
      <c r="SBI416" s="1715" t="s">
        <v>0</v>
      </c>
      <c r="SBJ416" s="1716"/>
      <c r="SBK416" s="1716"/>
      <c r="SBL416" s="1716"/>
      <c r="SBM416" s="1716"/>
      <c r="SBN416" s="244"/>
      <c r="SBO416" s="244" t="s">
        <v>68</v>
      </c>
      <c r="SBP416" s="245" t="s">
        <v>68</v>
      </c>
      <c r="SBQ416" s="1715" t="s">
        <v>0</v>
      </c>
      <c r="SBR416" s="1716"/>
      <c r="SBS416" s="1716"/>
      <c r="SBT416" s="1716"/>
      <c r="SBU416" s="1716"/>
      <c r="SBV416" s="244"/>
      <c r="SBW416" s="244" t="s">
        <v>68</v>
      </c>
      <c r="SBX416" s="245" t="s">
        <v>68</v>
      </c>
      <c r="SBY416" s="1715" t="s">
        <v>0</v>
      </c>
      <c r="SBZ416" s="1716"/>
      <c r="SCA416" s="1716"/>
      <c r="SCB416" s="1716"/>
      <c r="SCC416" s="1716"/>
      <c r="SCD416" s="244"/>
      <c r="SCE416" s="244" t="s">
        <v>68</v>
      </c>
      <c r="SCF416" s="245" t="s">
        <v>68</v>
      </c>
      <c r="SCG416" s="1715" t="s">
        <v>0</v>
      </c>
      <c r="SCH416" s="1716"/>
      <c r="SCI416" s="1716"/>
      <c r="SCJ416" s="1716"/>
      <c r="SCK416" s="1716"/>
      <c r="SCL416" s="244"/>
      <c r="SCM416" s="244" t="s">
        <v>68</v>
      </c>
      <c r="SCN416" s="245" t="s">
        <v>68</v>
      </c>
      <c r="SCO416" s="1715" t="s">
        <v>0</v>
      </c>
      <c r="SCP416" s="1716"/>
      <c r="SCQ416" s="1716"/>
      <c r="SCR416" s="1716"/>
      <c r="SCS416" s="1716"/>
      <c r="SCT416" s="244"/>
      <c r="SCU416" s="244" t="s">
        <v>68</v>
      </c>
      <c r="SCV416" s="245" t="s">
        <v>68</v>
      </c>
      <c r="SCW416" s="1715" t="s">
        <v>0</v>
      </c>
      <c r="SCX416" s="1716"/>
      <c r="SCY416" s="1716"/>
      <c r="SCZ416" s="1716"/>
      <c r="SDA416" s="1716"/>
      <c r="SDB416" s="244"/>
      <c r="SDC416" s="244" t="s">
        <v>68</v>
      </c>
      <c r="SDD416" s="245" t="s">
        <v>68</v>
      </c>
      <c r="SDE416" s="1715" t="s">
        <v>0</v>
      </c>
      <c r="SDF416" s="1716"/>
      <c r="SDG416" s="1716"/>
      <c r="SDH416" s="1716"/>
      <c r="SDI416" s="1716"/>
      <c r="SDJ416" s="244"/>
      <c r="SDK416" s="244" t="s">
        <v>68</v>
      </c>
      <c r="SDL416" s="245" t="s">
        <v>68</v>
      </c>
      <c r="SDM416" s="1715" t="s">
        <v>0</v>
      </c>
      <c r="SDN416" s="1716"/>
      <c r="SDO416" s="1716"/>
      <c r="SDP416" s="1716"/>
      <c r="SDQ416" s="1716"/>
      <c r="SDR416" s="244"/>
      <c r="SDS416" s="244" t="s">
        <v>68</v>
      </c>
      <c r="SDT416" s="245" t="s">
        <v>68</v>
      </c>
      <c r="SDU416" s="1715" t="s">
        <v>0</v>
      </c>
      <c r="SDV416" s="1716"/>
      <c r="SDW416" s="1716"/>
      <c r="SDX416" s="1716"/>
      <c r="SDY416" s="1716"/>
      <c r="SDZ416" s="244"/>
      <c r="SEA416" s="244" t="s">
        <v>68</v>
      </c>
      <c r="SEB416" s="245" t="s">
        <v>68</v>
      </c>
      <c r="SEC416" s="1715" t="s">
        <v>0</v>
      </c>
      <c r="SED416" s="1716"/>
      <c r="SEE416" s="1716"/>
      <c r="SEF416" s="1716"/>
      <c r="SEG416" s="1716"/>
      <c r="SEH416" s="244"/>
      <c r="SEI416" s="244" t="s">
        <v>68</v>
      </c>
      <c r="SEJ416" s="245" t="s">
        <v>68</v>
      </c>
      <c r="SEK416" s="1715" t="s">
        <v>0</v>
      </c>
      <c r="SEL416" s="1716"/>
      <c r="SEM416" s="1716"/>
      <c r="SEN416" s="1716"/>
      <c r="SEO416" s="1716"/>
      <c r="SEP416" s="244"/>
      <c r="SEQ416" s="244" t="s">
        <v>68</v>
      </c>
      <c r="SER416" s="245" t="s">
        <v>68</v>
      </c>
      <c r="SES416" s="1715" t="s">
        <v>0</v>
      </c>
      <c r="SET416" s="1716"/>
      <c r="SEU416" s="1716"/>
      <c r="SEV416" s="1716"/>
      <c r="SEW416" s="1716"/>
      <c r="SEX416" s="244"/>
      <c r="SEY416" s="244" t="s">
        <v>68</v>
      </c>
      <c r="SEZ416" s="245" t="s">
        <v>68</v>
      </c>
      <c r="SFA416" s="1715" t="s">
        <v>0</v>
      </c>
      <c r="SFB416" s="1716"/>
      <c r="SFC416" s="1716"/>
      <c r="SFD416" s="1716"/>
      <c r="SFE416" s="1716"/>
      <c r="SFF416" s="244"/>
      <c r="SFG416" s="244" t="s">
        <v>68</v>
      </c>
      <c r="SFH416" s="245" t="s">
        <v>68</v>
      </c>
      <c r="SFI416" s="1715" t="s">
        <v>0</v>
      </c>
      <c r="SFJ416" s="1716"/>
      <c r="SFK416" s="1716"/>
      <c r="SFL416" s="1716"/>
      <c r="SFM416" s="1716"/>
      <c r="SFN416" s="244"/>
      <c r="SFO416" s="244" t="s">
        <v>68</v>
      </c>
      <c r="SFP416" s="245" t="s">
        <v>68</v>
      </c>
      <c r="SFQ416" s="1715" t="s">
        <v>0</v>
      </c>
      <c r="SFR416" s="1716"/>
      <c r="SFS416" s="1716"/>
      <c r="SFT416" s="1716"/>
      <c r="SFU416" s="1716"/>
      <c r="SFV416" s="244"/>
      <c r="SFW416" s="244" t="s">
        <v>68</v>
      </c>
      <c r="SFX416" s="245" t="s">
        <v>68</v>
      </c>
      <c r="SFY416" s="1715" t="s">
        <v>0</v>
      </c>
      <c r="SFZ416" s="1716"/>
      <c r="SGA416" s="1716"/>
      <c r="SGB416" s="1716"/>
      <c r="SGC416" s="1716"/>
      <c r="SGD416" s="244"/>
      <c r="SGE416" s="244" t="s">
        <v>68</v>
      </c>
      <c r="SGF416" s="245" t="s">
        <v>68</v>
      </c>
      <c r="SGG416" s="1715" t="s">
        <v>0</v>
      </c>
      <c r="SGH416" s="1716"/>
      <c r="SGI416" s="1716"/>
      <c r="SGJ416" s="1716"/>
      <c r="SGK416" s="1716"/>
      <c r="SGL416" s="244"/>
      <c r="SGM416" s="244" t="s">
        <v>68</v>
      </c>
      <c r="SGN416" s="245" t="s">
        <v>68</v>
      </c>
      <c r="SGO416" s="1715" t="s">
        <v>0</v>
      </c>
      <c r="SGP416" s="1716"/>
      <c r="SGQ416" s="1716"/>
      <c r="SGR416" s="1716"/>
      <c r="SGS416" s="1716"/>
      <c r="SGT416" s="244"/>
      <c r="SGU416" s="244" t="s">
        <v>68</v>
      </c>
      <c r="SGV416" s="245" t="s">
        <v>68</v>
      </c>
      <c r="SGW416" s="1715" t="s">
        <v>0</v>
      </c>
      <c r="SGX416" s="1716"/>
      <c r="SGY416" s="1716"/>
      <c r="SGZ416" s="1716"/>
      <c r="SHA416" s="1716"/>
      <c r="SHB416" s="244"/>
      <c r="SHC416" s="244" t="s">
        <v>68</v>
      </c>
      <c r="SHD416" s="245" t="s">
        <v>68</v>
      </c>
      <c r="SHE416" s="1715" t="s">
        <v>0</v>
      </c>
      <c r="SHF416" s="1716"/>
      <c r="SHG416" s="1716"/>
      <c r="SHH416" s="1716"/>
      <c r="SHI416" s="1716"/>
      <c r="SHJ416" s="244"/>
      <c r="SHK416" s="244" t="s">
        <v>68</v>
      </c>
      <c r="SHL416" s="245" t="s">
        <v>68</v>
      </c>
      <c r="SHM416" s="1715" t="s">
        <v>0</v>
      </c>
      <c r="SHN416" s="1716"/>
      <c r="SHO416" s="1716"/>
      <c r="SHP416" s="1716"/>
      <c r="SHQ416" s="1716"/>
      <c r="SHR416" s="244"/>
      <c r="SHS416" s="244" t="s">
        <v>68</v>
      </c>
      <c r="SHT416" s="245" t="s">
        <v>68</v>
      </c>
      <c r="SHU416" s="1715" t="s">
        <v>0</v>
      </c>
      <c r="SHV416" s="1716"/>
      <c r="SHW416" s="1716"/>
      <c r="SHX416" s="1716"/>
      <c r="SHY416" s="1716"/>
      <c r="SHZ416" s="244"/>
      <c r="SIA416" s="244" t="s">
        <v>68</v>
      </c>
      <c r="SIB416" s="245" t="s">
        <v>68</v>
      </c>
      <c r="SIC416" s="1715" t="s">
        <v>0</v>
      </c>
      <c r="SID416" s="1716"/>
      <c r="SIE416" s="1716"/>
      <c r="SIF416" s="1716"/>
      <c r="SIG416" s="1716"/>
      <c r="SIH416" s="244"/>
      <c r="SII416" s="244" t="s">
        <v>68</v>
      </c>
      <c r="SIJ416" s="245" t="s">
        <v>68</v>
      </c>
      <c r="SIK416" s="1715" t="s">
        <v>0</v>
      </c>
      <c r="SIL416" s="1716"/>
      <c r="SIM416" s="1716"/>
      <c r="SIN416" s="1716"/>
      <c r="SIO416" s="1716"/>
      <c r="SIP416" s="244"/>
      <c r="SIQ416" s="244" t="s">
        <v>68</v>
      </c>
      <c r="SIR416" s="245" t="s">
        <v>68</v>
      </c>
      <c r="SIS416" s="1715" t="s">
        <v>0</v>
      </c>
      <c r="SIT416" s="1716"/>
      <c r="SIU416" s="1716"/>
      <c r="SIV416" s="1716"/>
      <c r="SIW416" s="1716"/>
      <c r="SIX416" s="244"/>
      <c r="SIY416" s="244" t="s">
        <v>68</v>
      </c>
      <c r="SIZ416" s="245" t="s">
        <v>68</v>
      </c>
      <c r="SJA416" s="1715" t="s">
        <v>0</v>
      </c>
      <c r="SJB416" s="1716"/>
      <c r="SJC416" s="1716"/>
      <c r="SJD416" s="1716"/>
      <c r="SJE416" s="1716"/>
      <c r="SJF416" s="244"/>
      <c r="SJG416" s="244" t="s">
        <v>68</v>
      </c>
      <c r="SJH416" s="245" t="s">
        <v>68</v>
      </c>
      <c r="SJI416" s="1715" t="s">
        <v>0</v>
      </c>
      <c r="SJJ416" s="1716"/>
      <c r="SJK416" s="1716"/>
      <c r="SJL416" s="1716"/>
      <c r="SJM416" s="1716"/>
      <c r="SJN416" s="244"/>
      <c r="SJO416" s="244" t="s">
        <v>68</v>
      </c>
      <c r="SJP416" s="245" t="s">
        <v>68</v>
      </c>
      <c r="SJQ416" s="1715" t="s">
        <v>0</v>
      </c>
      <c r="SJR416" s="1716"/>
      <c r="SJS416" s="1716"/>
      <c r="SJT416" s="1716"/>
      <c r="SJU416" s="1716"/>
      <c r="SJV416" s="244"/>
      <c r="SJW416" s="244" t="s">
        <v>68</v>
      </c>
      <c r="SJX416" s="245" t="s">
        <v>68</v>
      </c>
      <c r="SJY416" s="1715" t="s">
        <v>0</v>
      </c>
      <c r="SJZ416" s="1716"/>
      <c r="SKA416" s="1716"/>
      <c r="SKB416" s="1716"/>
      <c r="SKC416" s="1716"/>
      <c r="SKD416" s="244"/>
      <c r="SKE416" s="244" t="s">
        <v>68</v>
      </c>
      <c r="SKF416" s="245" t="s">
        <v>68</v>
      </c>
      <c r="SKG416" s="1715" t="s">
        <v>0</v>
      </c>
      <c r="SKH416" s="1716"/>
      <c r="SKI416" s="1716"/>
      <c r="SKJ416" s="1716"/>
      <c r="SKK416" s="1716"/>
      <c r="SKL416" s="244"/>
      <c r="SKM416" s="244" t="s">
        <v>68</v>
      </c>
      <c r="SKN416" s="245" t="s">
        <v>68</v>
      </c>
      <c r="SKO416" s="1715" t="s">
        <v>0</v>
      </c>
      <c r="SKP416" s="1716"/>
      <c r="SKQ416" s="1716"/>
      <c r="SKR416" s="1716"/>
      <c r="SKS416" s="1716"/>
      <c r="SKT416" s="244"/>
      <c r="SKU416" s="244" t="s">
        <v>68</v>
      </c>
      <c r="SKV416" s="245" t="s">
        <v>68</v>
      </c>
      <c r="SKW416" s="1715" t="s">
        <v>0</v>
      </c>
      <c r="SKX416" s="1716"/>
      <c r="SKY416" s="1716"/>
      <c r="SKZ416" s="1716"/>
      <c r="SLA416" s="1716"/>
      <c r="SLB416" s="244"/>
      <c r="SLC416" s="244" t="s">
        <v>68</v>
      </c>
      <c r="SLD416" s="245" t="s">
        <v>68</v>
      </c>
      <c r="SLE416" s="1715" t="s">
        <v>0</v>
      </c>
      <c r="SLF416" s="1716"/>
      <c r="SLG416" s="1716"/>
      <c r="SLH416" s="1716"/>
      <c r="SLI416" s="1716"/>
      <c r="SLJ416" s="244"/>
      <c r="SLK416" s="244" t="s">
        <v>68</v>
      </c>
      <c r="SLL416" s="245" t="s">
        <v>68</v>
      </c>
      <c r="SLM416" s="1715" t="s">
        <v>0</v>
      </c>
      <c r="SLN416" s="1716"/>
      <c r="SLO416" s="1716"/>
      <c r="SLP416" s="1716"/>
      <c r="SLQ416" s="1716"/>
      <c r="SLR416" s="244"/>
      <c r="SLS416" s="244" t="s">
        <v>68</v>
      </c>
      <c r="SLT416" s="245" t="s">
        <v>68</v>
      </c>
      <c r="SLU416" s="1715" t="s">
        <v>0</v>
      </c>
      <c r="SLV416" s="1716"/>
      <c r="SLW416" s="1716"/>
      <c r="SLX416" s="1716"/>
      <c r="SLY416" s="1716"/>
      <c r="SLZ416" s="244"/>
      <c r="SMA416" s="244" t="s">
        <v>68</v>
      </c>
      <c r="SMB416" s="245" t="s">
        <v>68</v>
      </c>
      <c r="SMC416" s="1715" t="s">
        <v>0</v>
      </c>
      <c r="SMD416" s="1716"/>
      <c r="SME416" s="1716"/>
      <c r="SMF416" s="1716"/>
      <c r="SMG416" s="1716"/>
      <c r="SMH416" s="244"/>
      <c r="SMI416" s="244" t="s">
        <v>68</v>
      </c>
      <c r="SMJ416" s="245" t="s">
        <v>68</v>
      </c>
      <c r="SMK416" s="1715" t="s">
        <v>0</v>
      </c>
      <c r="SML416" s="1716"/>
      <c r="SMM416" s="1716"/>
      <c r="SMN416" s="1716"/>
      <c r="SMO416" s="1716"/>
      <c r="SMP416" s="244"/>
      <c r="SMQ416" s="244" t="s">
        <v>68</v>
      </c>
      <c r="SMR416" s="245" t="s">
        <v>68</v>
      </c>
      <c r="SMS416" s="1715" t="s">
        <v>0</v>
      </c>
      <c r="SMT416" s="1716"/>
      <c r="SMU416" s="1716"/>
      <c r="SMV416" s="1716"/>
      <c r="SMW416" s="1716"/>
      <c r="SMX416" s="244"/>
      <c r="SMY416" s="244" t="s">
        <v>68</v>
      </c>
      <c r="SMZ416" s="245" t="s">
        <v>68</v>
      </c>
      <c r="SNA416" s="1715" t="s">
        <v>0</v>
      </c>
      <c r="SNB416" s="1716"/>
      <c r="SNC416" s="1716"/>
      <c r="SND416" s="1716"/>
      <c r="SNE416" s="1716"/>
      <c r="SNF416" s="244"/>
      <c r="SNG416" s="244" t="s">
        <v>68</v>
      </c>
      <c r="SNH416" s="245" t="s">
        <v>68</v>
      </c>
      <c r="SNI416" s="1715" t="s">
        <v>0</v>
      </c>
      <c r="SNJ416" s="1716"/>
      <c r="SNK416" s="1716"/>
      <c r="SNL416" s="1716"/>
      <c r="SNM416" s="1716"/>
      <c r="SNN416" s="244"/>
      <c r="SNO416" s="244" t="s">
        <v>68</v>
      </c>
      <c r="SNP416" s="245" t="s">
        <v>68</v>
      </c>
      <c r="SNQ416" s="1715" t="s">
        <v>0</v>
      </c>
      <c r="SNR416" s="1716"/>
      <c r="SNS416" s="1716"/>
      <c r="SNT416" s="1716"/>
      <c r="SNU416" s="1716"/>
      <c r="SNV416" s="244"/>
      <c r="SNW416" s="244" t="s">
        <v>68</v>
      </c>
      <c r="SNX416" s="245" t="s">
        <v>68</v>
      </c>
      <c r="SNY416" s="1715" t="s">
        <v>0</v>
      </c>
      <c r="SNZ416" s="1716"/>
      <c r="SOA416" s="1716"/>
      <c r="SOB416" s="1716"/>
      <c r="SOC416" s="1716"/>
      <c r="SOD416" s="244"/>
      <c r="SOE416" s="244" t="s">
        <v>68</v>
      </c>
      <c r="SOF416" s="245" t="s">
        <v>68</v>
      </c>
      <c r="SOG416" s="1715" t="s">
        <v>0</v>
      </c>
      <c r="SOH416" s="1716"/>
      <c r="SOI416" s="1716"/>
      <c r="SOJ416" s="1716"/>
      <c r="SOK416" s="1716"/>
      <c r="SOL416" s="244"/>
      <c r="SOM416" s="244" t="s">
        <v>68</v>
      </c>
      <c r="SON416" s="245" t="s">
        <v>68</v>
      </c>
      <c r="SOO416" s="1715" t="s">
        <v>0</v>
      </c>
      <c r="SOP416" s="1716"/>
      <c r="SOQ416" s="1716"/>
      <c r="SOR416" s="1716"/>
      <c r="SOS416" s="1716"/>
      <c r="SOT416" s="244"/>
      <c r="SOU416" s="244" t="s">
        <v>68</v>
      </c>
      <c r="SOV416" s="245" t="s">
        <v>68</v>
      </c>
      <c r="SOW416" s="1715" t="s">
        <v>0</v>
      </c>
      <c r="SOX416" s="1716"/>
      <c r="SOY416" s="1716"/>
      <c r="SOZ416" s="1716"/>
      <c r="SPA416" s="1716"/>
      <c r="SPB416" s="244"/>
      <c r="SPC416" s="244" t="s">
        <v>68</v>
      </c>
      <c r="SPD416" s="245" t="s">
        <v>68</v>
      </c>
      <c r="SPE416" s="1715" t="s">
        <v>0</v>
      </c>
      <c r="SPF416" s="1716"/>
      <c r="SPG416" s="1716"/>
      <c r="SPH416" s="1716"/>
      <c r="SPI416" s="1716"/>
      <c r="SPJ416" s="244"/>
      <c r="SPK416" s="244" t="s">
        <v>68</v>
      </c>
      <c r="SPL416" s="245" t="s">
        <v>68</v>
      </c>
      <c r="SPM416" s="1715" t="s">
        <v>0</v>
      </c>
      <c r="SPN416" s="1716"/>
      <c r="SPO416" s="1716"/>
      <c r="SPP416" s="1716"/>
      <c r="SPQ416" s="1716"/>
      <c r="SPR416" s="244"/>
      <c r="SPS416" s="244" t="s">
        <v>68</v>
      </c>
      <c r="SPT416" s="245" t="s">
        <v>68</v>
      </c>
      <c r="SPU416" s="1715" t="s">
        <v>0</v>
      </c>
      <c r="SPV416" s="1716"/>
      <c r="SPW416" s="1716"/>
      <c r="SPX416" s="1716"/>
      <c r="SPY416" s="1716"/>
      <c r="SPZ416" s="244"/>
      <c r="SQA416" s="244" t="s">
        <v>68</v>
      </c>
      <c r="SQB416" s="245" t="s">
        <v>68</v>
      </c>
      <c r="SQC416" s="1715" t="s">
        <v>0</v>
      </c>
      <c r="SQD416" s="1716"/>
      <c r="SQE416" s="1716"/>
      <c r="SQF416" s="1716"/>
      <c r="SQG416" s="1716"/>
      <c r="SQH416" s="244"/>
      <c r="SQI416" s="244" t="s">
        <v>68</v>
      </c>
      <c r="SQJ416" s="245" t="s">
        <v>68</v>
      </c>
      <c r="SQK416" s="1715" t="s">
        <v>0</v>
      </c>
      <c r="SQL416" s="1716"/>
      <c r="SQM416" s="1716"/>
      <c r="SQN416" s="1716"/>
      <c r="SQO416" s="1716"/>
      <c r="SQP416" s="244"/>
      <c r="SQQ416" s="244" t="s">
        <v>68</v>
      </c>
      <c r="SQR416" s="245" t="s">
        <v>68</v>
      </c>
      <c r="SQS416" s="1715" t="s">
        <v>0</v>
      </c>
      <c r="SQT416" s="1716"/>
      <c r="SQU416" s="1716"/>
      <c r="SQV416" s="1716"/>
      <c r="SQW416" s="1716"/>
      <c r="SQX416" s="244"/>
      <c r="SQY416" s="244" t="s">
        <v>68</v>
      </c>
      <c r="SQZ416" s="245" t="s">
        <v>68</v>
      </c>
      <c r="SRA416" s="1715" t="s">
        <v>0</v>
      </c>
      <c r="SRB416" s="1716"/>
      <c r="SRC416" s="1716"/>
      <c r="SRD416" s="1716"/>
      <c r="SRE416" s="1716"/>
      <c r="SRF416" s="244"/>
      <c r="SRG416" s="244" t="s">
        <v>68</v>
      </c>
      <c r="SRH416" s="245" t="s">
        <v>68</v>
      </c>
      <c r="SRI416" s="1715" t="s">
        <v>0</v>
      </c>
      <c r="SRJ416" s="1716"/>
      <c r="SRK416" s="1716"/>
      <c r="SRL416" s="1716"/>
      <c r="SRM416" s="1716"/>
      <c r="SRN416" s="244"/>
      <c r="SRO416" s="244" t="s">
        <v>68</v>
      </c>
      <c r="SRP416" s="245" t="s">
        <v>68</v>
      </c>
      <c r="SRQ416" s="1715" t="s">
        <v>0</v>
      </c>
      <c r="SRR416" s="1716"/>
      <c r="SRS416" s="1716"/>
      <c r="SRT416" s="1716"/>
      <c r="SRU416" s="1716"/>
      <c r="SRV416" s="244"/>
      <c r="SRW416" s="244" t="s">
        <v>68</v>
      </c>
      <c r="SRX416" s="245" t="s">
        <v>68</v>
      </c>
      <c r="SRY416" s="1715" t="s">
        <v>0</v>
      </c>
      <c r="SRZ416" s="1716"/>
      <c r="SSA416" s="1716"/>
      <c r="SSB416" s="1716"/>
      <c r="SSC416" s="1716"/>
      <c r="SSD416" s="244"/>
      <c r="SSE416" s="244" t="s">
        <v>68</v>
      </c>
      <c r="SSF416" s="245" t="s">
        <v>68</v>
      </c>
      <c r="SSG416" s="1715" t="s">
        <v>0</v>
      </c>
      <c r="SSH416" s="1716"/>
      <c r="SSI416" s="1716"/>
      <c r="SSJ416" s="1716"/>
      <c r="SSK416" s="1716"/>
      <c r="SSL416" s="244"/>
      <c r="SSM416" s="244" t="s">
        <v>68</v>
      </c>
      <c r="SSN416" s="245" t="s">
        <v>68</v>
      </c>
      <c r="SSO416" s="1715" t="s">
        <v>0</v>
      </c>
      <c r="SSP416" s="1716"/>
      <c r="SSQ416" s="1716"/>
      <c r="SSR416" s="1716"/>
      <c r="SSS416" s="1716"/>
      <c r="SST416" s="244"/>
      <c r="SSU416" s="244" t="s">
        <v>68</v>
      </c>
      <c r="SSV416" s="245" t="s">
        <v>68</v>
      </c>
      <c r="SSW416" s="1715" t="s">
        <v>0</v>
      </c>
      <c r="SSX416" s="1716"/>
      <c r="SSY416" s="1716"/>
      <c r="SSZ416" s="1716"/>
      <c r="STA416" s="1716"/>
      <c r="STB416" s="244"/>
      <c r="STC416" s="244" t="s">
        <v>68</v>
      </c>
      <c r="STD416" s="245" t="s">
        <v>68</v>
      </c>
      <c r="STE416" s="1715" t="s">
        <v>0</v>
      </c>
      <c r="STF416" s="1716"/>
      <c r="STG416" s="1716"/>
      <c r="STH416" s="1716"/>
      <c r="STI416" s="1716"/>
      <c r="STJ416" s="244"/>
      <c r="STK416" s="244" t="s">
        <v>68</v>
      </c>
      <c r="STL416" s="245" t="s">
        <v>68</v>
      </c>
      <c r="STM416" s="1715" t="s">
        <v>0</v>
      </c>
      <c r="STN416" s="1716"/>
      <c r="STO416" s="1716"/>
      <c r="STP416" s="1716"/>
      <c r="STQ416" s="1716"/>
      <c r="STR416" s="244"/>
      <c r="STS416" s="244" t="s">
        <v>68</v>
      </c>
      <c r="STT416" s="245" t="s">
        <v>68</v>
      </c>
      <c r="STU416" s="1715" t="s">
        <v>0</v>
      </c>
      <c r="STV416" s="1716"/>
      <c r="STW416" s="1716"/>
      <c r="STX416" s="1716"/>
      <c r="STY416" s="1716"/>
      <c r="STZ416" s="244"/>
      <c r="SUA416" s="244" t="s">
        <v>68</v>
      </c>
      <c r="SUB416" s="245" t="s">
        <v>68</v>
      </c>
      <c r="SUC416" s="1715" t="s">
        <v>0</v>
      </c>
      <c r="SUD416" s="1716"/>
      <c r="SUE416" s="1716"/>
      <c r="SUF416" s="1716"/>
      <c r="SUG416" s="1716"/>
      <c r="SUH416" s="244"/>
      <c r="SUI416" s="244" t="s">
        <v>68</v>
      </c>
      <c r="SUJ416" s="245" t="s">
        <v>68</v>
      </c>
      <c r="SUK416" s="1715" t="s">
        <v>0</v>
      </c>
      <c r="SUL416" s="1716"/>
      <c r="SUM416" s="1716"/>
      <c r="SUN416" s="1716"/>
      <c r="SUO416" s="1716"/>
      <c r="SUP416" s="244"/>
      <c r="SUQ416" s="244" t="s">
        <v>68</v>
      </c>
      <c r="SUR416" s="245" t="s">
        <v>68</v>
      </c>
      <c r="SUS416" s="1715" t="s">
        <v>0</v>
      </c>
      <c r="SUT416" s="1716"/>
      <c r="SUU416" s="1716"/>
      <c r="SUV416" s="1716"/>
      <c r="SUW416" s="1716"/>
      <c r="SUX416" s="244"/>
      <c r="SUY416" s="244" t="s">
        <v>68</v>
      </c>
      <c r="SUZ416" s="245" t="s">
        <v>68</v>
      </c>
      <c r="SVA416" s="1715" t="s">
        <v>0</v>
      </c>
      <c r="SVB416" s="1716"/>
      <c r="SVC416" s="1716"/>
      <c r="SVD416" s="1716"/>
      <c r="SVE416" s="1716"/>
      <c r="SVF416" s="244"/>
      <c r="SVG416" s="244" t="s">
        <v>68</v>
      </c>
      <c r="SVH416" s="245" t="s">
        <v>68</v>
      </c>
      <c r="SVI416" s="1715" t="s">
        <v>0</v>
      </c>
      <c r="SVJ416" s="1716"/>
      <c r="SVK416" s="1716"/>
      <c r="SVL416" s="1716"/>
      <c r="SVM416" s="1716"/>
      <c r="SVN416" s="244"/>
      <c r="SVO416" s="244" t="s">
        <v>68</v>
      </c>
      <c r="SVP416" s="245" t="s">
        <v>68</v>
      </c>
      <c r="SVQ416" s="1715" t="s">
        <v>0</v>
      </c>
      <c r="SVR416" s="1716"/>
      <c r="SVS416" s="1716"/>
      <c r="SVT416" s="1716"/>
      <c r="SVU416" s="1716"/>
      <c r="SVV416" s="244"/>
      <c r="SVW416" s="244" t="s">
        <v>68</v>
      </c>
      <c r="SVX416" s="245" t="s">
        <v>68</v>
      </c>
      <c r="SVY416" s="1715" t="s">
        <v>0</v>
      </c>
      <c r="SVZ416" s="1716"/>
      <c r="SWA416" s="1716"/>
      <c r="SWB416" s="1716"/>
      <c r="SWC416" s="1716"/>
      <c r="SWD416" s="244"/>
      <c r="SWE416" s="244" t="s">
        <v>68</v>
      </c>
      <c r="SWF416" s="245" t="s">
        <v>68</v>
      </c>
      <c r="SWG416" s="1715" t="s">
        <v>0</v>
      </c>
      <c r="SWH416" s="1716"/>
      <c r="SWI416" s="1716"/>
      <c r="SWJ416" s="1716"/>
      <c r="SWK416" s="1716"/>
      <c r="SWL416" s="244"/>
      <c r="SWM416" s="244" t="s">
        <v>68</v>
      </c>
      <c r="SWN416" s="245" t="s">
        <v>68</v>
      </c>
      <c r="SWO416" s="1715" t="s">
        <v>0</v>
      </c>
      <c r="SWP416" s="1716"/>
      <c r="SWQ416" s="1716"/>
      <c r="SWR416" s="1716"/>
      <c r="SWS416" s="1716"/>
      <c r="SWT416" s="244"/>
      <c r="SWU416" s="244" t="s">
        <v>68</v>
      </c>
      <c r="SWV416" s="245" t="s">
        <v>68</v>
      </c>
      <c r="SWW416" s="1715" t="s">
        <v>0</v>
      </c>
      <c r="SWX416" s="1716"/>
      <c r="SWY416" s="1716"/>
      <c r="SWZ416" s="1716"/>
      <c r="SXA416" s="1716"/>
      <c r="SXB416" s="244"/>
      <c r="SXC416" s="244" t="s">
        <v>68</v>
      </c>
      <c r="SXD416" s="245" t="s">
        <v>68</v>
      </c>
      <c r="SXE416" s="1715" t="s">
        <v>0</v>
      </c>
      <c r="SXF416" s="1716"/>
      <c r="SXG416" s="1716"/>
      <c r="SXH416" s="1716"/>
      <c r="SXI416" s="1716"/>
      <c r="SXJ416" s="244"/>
      <c r="SXK416" s="244" t="s">
        <v>68</v>
      </c>
      <c r="SXL416" s="245" t="s">
        <v>68</v>
      </c>
      <c r="SXM416" s="1715" t="s">
        <v>0</v>
      </c>
      <c r="SXN416" s="1716"/>
      <c r="SXO416" s="1716"/>
      <c r="SXP416" s="1716"/>
      <c r="SXQ416" s="1716"/>
      <c r="SXR416" s="244"/>
      <c r="SXS416" s="244" t="s">
        <v>68</v>
      </c>
      <c r="SXT416" s="245" t="s">
        <v>68</v>
      </c>
      <c r="SXU416" s="1715" t="s">
        <v>0</v>
      </c>
      <c r="SXV416" s="1716"/>
      <c r="SXW416" s="1716"/>
      <c r="SXX416" s="1716"/>
      <c r="SXY416" s="1716"/>
      <c r="SXZ416" s="244"/>
      <c r="SYA416" s="244" t="s">
        <v>68</v>
      </c>
      <c r="SYB416" s="245" t="s">
        <v>68</v>
      </c>
      <c r="SYC416" s="1715" t="s">
        <v>0</v>
      </c>
      <c r="SYD416" s="1716"/>
      <c r="SYE416" s="1716"/>
      <c r="SYF416" s="1716"/>
      <c r="SYG416" s="1716"/>
      <c r="SYH416" s="244"/>
      <c r="SYI416" s="244" t="s">
        <v>68</v>
      </c>
      <c r="SYJ416" s="245" t="s">
        <v>68</v>
      </c>
      <c r="SYK416" s="1715" t="s">
        <v>0</v>
      </c>
      <c r="SYL416" s="1716"/>
      <c r="SYM416" s="1716"/>
      <c r="SYN416" s="1716"/>
      <c r="SYO416" s="1716"/>
      <c r="SYP416" s="244"/>
      <c r="SYQ416" s="244" t="s">
        <v>68</v>
      </c>
      <c r="SYR416" s="245" t="s">
        <v>68</v>
      </c>
      <c r="SYS416" s="1715" t="s">
        <v>0</v>
      </c>
      <c r="SYT416" s="1716"/>
      <c r="SYU416" s="1716"/>
      <c r="SYV416" s="1716"/>
      <c r="SYW416" s="1716"/>
      <c r="SYX416" s="244"/>
      <c r="SYY416" s="244" t="s">
        <v>68</v>
      </c>
      <c r="SYZ416" s="245" t="s">
        <v>68</v>
      </c>
      <c r="SZA416" s="1715" t="s">
        <v>0</v>
      </c>
      <c r="SZB416" s="1716"/>
      <c r="SZC416" s="1716"/>
      <c r="SZD416" s="1716"/>
      <c r="SZE416" s="1716"/>
      <c r="SZF416" s="244"/>
      <c r="SZG416" s="244" t="s">
        <v>68</v>
      </c>
      <c r="SZH416" s="245" t="s">
        <v>68</v>
      </c>
      <c r="SZI416" s="1715" t="s">
        <v>0</v>
      </c>
      <c r="SZJ416" s="1716"/>
      <c r="SZK416" s="1716"/>
      <c r="SZL416" s="1716"/>
      <c r="SZM416" s="1716"/>
      <c r="SZN416" s="244"/>
      <c r="SZO416" s="244" t="s">
        <v>68</v>
      </c>
      <c r="SZP416" s="245" t="s">
        <v>68</v>
      </c>
      <c r="SZQ416" s="1715" t="s">
        <v>0</v>
      </c>
      <c r="SZR416" s="1716"/>
      <c r="SZS416" s="1716"/>
      <c r="SZT416" s="1716"/>
      <c r="SZU416" s="1716"/>
      <c r="SZV416" s="244"/>
      <c r="SZW416" s="244" t="s">
        <v>68</v>
      </c>
      <c r="SZX416" s="245" t="s">
        <v>68</v>
      </c>
      <c r="SZY416" s="1715" t="s">
        <v>0</v>
      </c>
      <c r="SZZ416" s="1716"/>
      <c r="TAA416" s="1716"/>
      <c r="TAB416" s="1716"/>
      <c r="TAC416" s="1716"/>
      <c r="TAD416" s="244"/>
      <c r="TAE416" s="244" t="s">
        <v>68</v>
      </c>
      <c r="TAF416" s="245" t="s">
        <v>68</v>
      </c>
      <c r="TAG416" s="1715" t="s">
        <v>0</v>
      </c>
      <c r="TAH416" s="1716"/>
      <c r="TAI416" s="1716"/>
      <c r="TAJ416" s="1716"/>
      <c r="TAK416" s="1716"/>
      <c r="TAL416" s="244"/>
      <c r="TAM416" s="244" t="s">
        <v>68</v>
      </c>
      <c r="TAN416" s="245" t="s">
        <v>68</v>
      </c>
      <c r="TAO416" s="1715" t="s">
        <v>0</v>
      </c>
      <c r="TAP416" s="1716"/>
      <c r="TAQ416" s="1716"/>
      <c r="TAR416" s="1716"/>
      <c r="TAS416" s="1716"/>
      <c r="TAT416" s="244"/>
      <c r="TAU416" s="244" t="s">
        <v>68</v>
      </c>
      <c r="TAV416" s="245" t="s">
        <v>68</v>
      </c>
      <c r="TAW416" s="1715" t="s">
        <v>0</v>
      </c>
      <c r="TAX416" s="1716"/>
      <c r="TAY416" s="1716"/>
      <c r="TAZ416" s="1716"/>
      <c r="TBA416" s="1716"/>
      <c r="TBB416" s="244"/>
      <c r="TBC416" s="244" t="s">
        <v>68</v>
      </c>
      <c r="TBD416" s="245" t="s">
        <v>68</v>
      </c>
      <c r="TBE416" s="1715" t="s">
        <v>0</v>
      </c>
      <c r="TBF416" s="1716"/>
      <c r="TBG416" s="1716"/>
      <c r="TBH416" s="1716"/>
      <c r="TBI416" s="1716"/>
      <c r="TBJ416" s="244"/>
      <c r="TBK416" s="244" t="s">
        <v>68</v>
      </c>
      <c r="TBL416" s="245" t="s">
        <v>68</v>
      </c>
      <c r="TBM416" s="1715" t="s">
        <v>0</v>
      </c>
      <c r="TBN416" s="1716"/>
      <c r="TBO416" s="1716"/>
      <c r="TBP416" s="1716"/>
      <c r="TBQ416" s="1716"/>
      <c r="TBR416" s="244"/>
      <c r="TBS416" s="244" t="s">
        <v>68</v>
      </c>
      <c r="TBT416" s="245" t="s">
        <v>68</v>
      </c>
      <c r="TBU416" s="1715" t="s">
        <v>0</v>
      </c>
      <c r="TBV416" s="1716"/>
      <c r="TBW416" s="1716"/>
      <c r="TBX416" s="1716"/>
      <c r="TBY416" s="1716"/>
      <c r="TBZ416" s="244"/>
      <c r="TCA416" s="244" t="s">
        <v>68</v>
      </c>
      <c r="TCB416" s="245" t="s">
        <v>68</v>
      </c>
      <c r="TCC416" s="1715" t="s">
        <v>0</v>
      </c>
      <c r="TCD416" s="1716"/>
      <c r="TCE416" s="1716"/>
      <c r="TCF416" s="1716"/>
      <c r="TCG416" s="1716"/>
      <c r="TCH416" s="244"/>
      <c r="TCI416" s="244" t="s">
        <v>68</v>
      </c>
      <c r="TCJ416" s="245" t="s">
        <v>68</v>
      </c>
      <c r="TCK416" s="1715" t="s">
        <v>0</v>
      </c>
      <c r="TCL416" s="1716"/>
      <c r="TCM416" s="1716"/>
      <c r="TCN416" s="1716"/>
      <c r="TCO416" s="1716"/>
      <c r="TCP416" s="244"/>
      <c r="TCQ416" s="244" t="s">
        <v>68</v>
      </c>
      <c r="TCR416" s="245" t="s">
        <v>68</v>
      </c>
      <c r="TCS416" s="1715" t="s">
        <v>0</v>
      </c>
      <c r="TCT416" s="1716"/>
      <c r="TCU416" s="1716"/>
      <c r="TCV416" s="1716"/>
      <c r="TCW416" s="1716"/>
      <c r="TCX416" s="244"/>
      <c r="TCY416" s="244" t="s">
        <v>68</v>
      </c>
      <c r="TCZ416" s="245" t="s">
        <v>68</v>
      </c>
      <c r="TDA416" s="1715" t="s">
        <v>0</v>
      </c>
      <c r="TDB416" s="1716"/>
      <c r="TDC416" s="1716"/>
      <c r="TDD416" s="1716"/>
      <c r="TDE416" s="1716"/>
      <c r="TDF416" s="244"/>
      <c r="TDG416" s="244" t="s">
        <v>68</v>
      </c>
      <c r="TDH416" s="245" t="s">
        <v>68</v>
      </c>
      <c r="TDI416" s="1715" t="s">
        <v>0</v>
      </c>
      <c r="TDJ416" s="1716"/>
      <c r="TDK416" s="1716"/>
      <c r="TDL416" s="1716"/>
      <c r="TDM416" s="1716"/>
      <c r="TDN416" s="244"/>
      <c r="TDO416" s="244" t="s">
        <v>68</v>
      </c>
      <c r="TDP416" s="245" t="s">
        <v>68</v>
      </c>
      <c r="TDQ416" s="1715" t="s">
        <v>0</v>
      </c>
      <c r="TDR416" s="1716"/>
      <c r="TDS416" s="1716"/>
      <c r="TDT416" s="1716"/>
      <c r="TDU416" s="1716"/>
      <c r="TDV416" s="244"/>
      <c r="TDW416" s="244" t="s">
        <v>68</v>
      </c>
      <c r="TDX416" s="245" t="s">
        <v>68</v>
      </c>
      <c r="TDY416" s="1715" t="s">
        <v>0</v>
      </c>
      <c r="TDZ416" s="1716"/>
      <c r="TEA416" s="1716"/>
      <c r="TEB416" s="1716"/>
      <c r="TEC416" s="1716"/>
      <c r="TED416" s="244"/>
      <c r="TEE416" s="244" t="s">
        <v>68</v>
      </c>
      <c r="TEF416" s="245" t="s">
        <v>68</v>
      </c>
      <c r="TEG416" s="1715" t="s">
        <v>0</v>
      </c>
      <c r="TEH416" s="1716"/>
      <c r="TEI416" s="1716"/>
      <c r="TEJ416" s="1716"/>
      <c r="TEK416" s="1716"/>
      <c r="TEL416" s="244"/>
      <c r="TEM416" s="244" t="s">
        <v>68</v>
      </c>
      <c r="TEN416" s="245" t="s">
        <v>68</v>
      </c>
      <c r="TEO416" s="1715" t="s">
        <v>0</v>
      </c>
      <c r="TEP416" s="1716"/>
      <c r="TEQ416" s="1716"/>
      <c r="TER416" s="1716"/>
      <c r="TES416" s="1716"/>
      <c r="TET416" s="244"/>
      <c r="TEU416" s="244" t="s">
        <v>68</v>
      </c>
      <c r="TEV416" s="245" t="s">
        <v>68</v>
      </c>
      <c r="TEW416" s="1715" t="s">
        <v>0</v>
      </c>
      <c r="TEX416" s="1716"/>
      <c r="TEY416" s="1716"/>
      <c r="TEZ416" s="1716"/>
      <c r="TFA416" s="1716"/>
      <c r="TFB416" s="244"/>
      <c r="TFC416" s="244" t="s">
        <v>68</v>
      </c>
      <c r="TFD416" s="245" t="s">
        <v>68</v>
      </c>
      <c r="TFE416" s="1715" t="s">
        <v>0</v>
      </c>
      <c r="TFF416" s="1716"/>
      <c r="TFG416" s="1716"/>
      <c r="TFH416" s="1716"/>
      <c r="TFI416" s="1716"/>
      <c r="TFJ416" s="244"/>
      <c r="TFK416" s="244" t="s">
        <v>68</v>
      </c>
      <c r="TFL416" s="245" t="s">
        <v>68</v>
      </c>
      <c r="TFM416" s="1715" t="s">
        <v>0</v>
      </c>
      <c r="TFN416" s="1716"/>
      <c r="TFO416" s="1716"/>
      <c r="TFP416" s="1716"/>
      <c r="TFQ416" s="1716"/>
      <c r="TFR416" s="244"/>
      <c r="TFS416" s="244" t="s">
        <v>68</v>
      </c>
      <c r="TFT416" s="245" t="s">
        <v>68</v>
      </c>
      <c r="TFU416" s="1715" t="s">
        <v>0</v>
      </c>
      <c r="TFV416" s="1716"/>
      <c r="TFW416" s="1716"/>
      <c r="TFX416" s="1716"/>
      <c r="TFY416" s="1716"/>
      <c r="TFZ416" s="244"/>
      <c r="TGA416" s="244" t="s">
        <v>68</v>
      </c>
      <c r="TGB416" s="245" t="s">
        <v>68</v>
      </c>
      <c r="TGC416" s="1715" t="s">
        <v>0</v>
      </c>
      <c r="TGD416" s="1716"/>
      <c r="TGE416" s="1716"/>
      <c r="TGF416" s="1716"/>
      <c r="TGG416" s="1716"/>
      <c r="TGH416" s="244"/>
      <c r="TGI416" s="244" t="s">
        <v>68</v>
      </c>
      <c r="TGJ416" s="245" t="s">
        <v>68</v>
      </c>
      <c r="TGK416" s="1715" t="s">
        <v>0</v>
      </c>
      <c r="TGL416" s="1716"/>
      <c r="TGM416" s="1716"/>
      <c r="TGN416" s="1716"/>
      <c r="TGO416" s="1716"/>
      <c r="TGP416" s="244"/>
      <c r="TGQ416" s="244" t="s">
        <v>68</v>
      </c>
      <c r="TGR416" s="245" t="s">
        <v>68</v>
      </c>
      <c r="TGS416" s="1715" t="s">
        <v>0</v>
      </c>
      <c r="TGT416" s="1716"/>
      <c r="TGU416" s="1716"/>
      <c r="TGV416" s="1716"/>
      <c r="TGW416" s="1716"/>
      <c r="TGX416" s="244"/>
      <c r="TGY416" s="244" t="s">
        <v>68</v>
      </c>
      <c r="TGZ416" s="245" t="s">
        <v>68</v>
      </c>
      <c r="THA416" s="1715" t="s">
        <v>0</v>
      </c>
      <c r="THB416" s="1716"/>
      <c r="THC416" s="1716"/>
      <c r="THD416" s="1716"/>
      <c r="THE416" s="1716"/>
      <c r="THF416" s="244"/>
      <c r="THG416" s="244" t="s">
        <v>68</v>
      </c>
      <c r="THH416" s="245" t="s">
        <v>68</v>
      </c>
      <c r="THI416" s="1715" t="s">
        <v>0</v>
      </c>
      <c r="THJ416" s="1716"/>
      <c r="THK416" s="1716"/>
      <c r="THL416" s="1716"/>
      <c r="THM416" s="1716"/>
      <c r="THN416" s="244"/>
      <c r="THO416" s="244" t="s">
        <v>68</v>
      </c>
      <c r="THP416" s="245" t="s">
        <v>68</v>
      </c>
      <c r="THQ416" s="1715" t="s">
        <v>0</v>
      </c>
      <c r="THR416" s="1716"/>
      <c r="THS416" s="1716"/>
      <c r="THT416" s="1716"/>
      <c r="THU416" s="1716"/>
      <c r="THV416" s="244"/>
      <c r="THW416" s="244" t="s">
        <v>68</v>
      </c>
      <c r="THX416" s="245" t="s">
        <v>68</v>
      </c>
      <c r="THY416" s="1715" t="s">
        <v>0</v>
      </c>
      <c r="THZ416" s="1716"/>
      <c r="TIA416" s="1716"/>
      <c r="TIB416" s="1716"/>
      <c r="TIC416" s="1716"/>
      <c r="TID416" s="244"/>
      <c r="TIE416" s="244" t="s">
        <v>68</v>
      </c>
      <c r="TIF416" s="245" t="s">
        <v>68</v>
      </c>
      <c r="TIG416" s="1715" t="s">
        <v>0</v>
      </c>
      <c r="TIH416" s="1716"/>
      <c r="TII416" s="1716"/>
      <c r="TIJ416" s="1716"/>
      <c r="TIK416" s="1716"/>
      <c r="TIL416" s="244"/>
      <c r="TIM416" s="244" t="s">
        <v>68</v>
      </c>
      <c r="TIN416" s="245" t="s">
        <v>68</v>
      </c>
      <c r="TIO416" s="1715" t="s">
        <v>0</v>
      </c>
      <c r="TIP416" s="1716"/>
      <c r="TIQ416" s="1716"/>
      <c r="TIR416" s="1716"/>
      <c r="TIS416" s="1716"/>
      <c r="TIT416" s="244"/>
      <c r="TIU416" s="244" t="s">
        <v>68</v>
      </c>
      <c r="TIV416" s="245" t="s">
        <v>68</v>
      </c>
      <c r="TIW416" s="1715" t="s">
        <v>0</v>
      </c>
      <c r="TIX416" s="1716"/>
      <c r="TIY416" s="1716"/>
      <c r="TIZ416" s="1716"/>
      <c r="TJA416" s="1716"/>
      <c r="TJB416" s="244"/>
      <c r="TJC416" s="244" t="s">
        <v>68</v>
      </c>
      <c r="TJD416" s="245" t="s">
        <v>68</v>
      </c>
      <c r="TJE416" s="1715" t="s">
        <v>0</v>
      </c>
      <c r="TJF416" s="1716"/>
      <c r="TJG416" s="1716"/>
      <c r="TJH416" s="1716"/>
      <c r="TJI416" s="1716"/>
      <c r="TJJ416" s="244"/>
      <c r="TJK416" s="244" t="s">
        <v>68</v>
      </c>
      <c r="TJL416" s="245" t="s">
        <v>68</v>
      </c>
      <c r="TJM416" s="1715" t="s">
        <v>0</v>
      </c>
      <c r="TJN416" s="1716"/>
      <c r="TJO416" s="1716"/>
      <c r="TJP416" s="1716"/>
      <c r="TJQ416" s="1716"/>
      <c r="TJR416" s="244"/>
      <c r="TJS416" s="244" t="s">
        <v>68</v>
      </c>
      <c r="TJT416" s="245" t="s">
        <v>68</v>
      </c>
      <c r="TJU416" s="1715" t="s">
        <v>0</v>
      </c>
      <c r="TJV416" s="1716"/>
      <c r="TJW416" s="1716"/>
      <c r="TJX416" s="1716"/>
      <c r="TJY416" s="1716"/>
      <c r="TJZ416" s="244"/>
      <c r="TKA416" s="244" t="s">
        <v>68</v>
      </c>
      <c r="TKB416" s="245" t="s">
        <v>68</v>
      </c>
      <c r="TKC416" s="1715" t="s">
        <v>0</v>
      </c>
      <c r="TKD416" s="1716"/>
      <c r="TKE416" s="1716"/>
      <c r="TKF416" s="1716"/>
      <c r="TKG416" s="1716"/>
      <c r="TKH416" s="244"/>
      <c r="TKI416" s="244" t="s">
        <v>68</v>
      </c>
      <c r="TKJ416" s="245" t="s">
        <v>68</v>
      </c>
      <c r="TKK416" s="1715" t="s">
        <v>0</v>
      </c>
      <c r="TKL416" s="1716"/>
      <c r="TKM416" s="1716"/>
      <c r="TKN416" s="1716"/>
      <c r="TKO416" s="1716"/>
      <c r="TKP416" s="244"/>
      <c r="TKQ416" s="244" t="s">
        <v>68</v>
      </c>
      <c r="TKR416" s="245" t="s">
        <v>68</v>
      </c>
      <c r="TKS416" s="1715" t="s">
        <v>0</v>
      </c>
      <c r="TKT416" s="1716"/>
      <c r="TKU416" s="1716"/>
      <c r="TKV416" s="1716"/>
      <c r="TKW416" s="1716"/>
      <c r="TKX416" s="244"/>
      <c r="TKY416" s="244" t="s">
        <v>68</v>
      </c>
      <c r="TKZ416" s="245" t="s">
        <v>68</v>
      </c>
      <c r="TLA416" s="1715" t="s">
        <v>0</v>
      </c>
      <c r="TLB416" s="1716"/>
      <c r="TLC416" s="1716"/>
      <c r="TLD416" s="1716"/>
      <c r="TLE416" s="1716"/>
      <c r="TLF416" s="244"/>
      <c r="TLG416" s="244" t="s">
        <v>68</v>
      </c>
      <c r="TLH416" s="245" t="s">
        <v>68</v>
      </c>
      <c r="TLI416" s="1715" t="s">
        <v>0</v>
      </c>
      <c r="TLJ416" s="1716"/>
      <c r="TLK416" s="1716"/>
      <c r="TLL416" s="1716"/>
      <c r="TLM416" s="1716"/>
      <c r="TLN416" s="244"/>
      <c r="TLO416" s="244" t="s">
        <v>68</v>
      </c>
      <c r="TLP416" s="245" t="s">
        <v>68</v>
      </c>
      <c r="TLQ416" s="1715" t="s">
        <v>0</v>
      </c>
      <c r="TLR416" s="1716"/>
      <c r="TLS416" s="1716"/>
      <c r="TLT416" s="1716"/>
      <c r="TLU416" s="1716"/>
      <c r="TLV416" s="244"/>
      <c r="TLW416" s="244" t="s">
        <v>68</v>
      </c>
      <c r="TLX416" s="245" t="s">
        <v>68</v>
      </c>
      <c r="TLY416" s="1715" t="s">
        <v>0</v>
      </c>
      <c r="TLZ416" s="1716"/>
      <c r="TMA416" s="1716"/>
      <c r="TMB416" s="1716"/>
      <c r="TMC416" s="1716"/>
      <c r="TMD416" s="244"/>
      <c r="TME416" s="244" t="s">
        <v>68</v>
      </c>
      <c r="TMF416" s="245" t="s">
        <v>68</v>
      </c>
      <c r="TMG416" s="1715" t="s">
        <v>0</v>
      </c>
      <c r="TMH416" s="1716"/>
      <c r="TMI416" s="1716"/>
      <c r="TMJ416" s="1716"/>
      <c r="TMK416" s="1716"/>
      <c r="TML416" s="244"/>
      <c r="TMM416" s="244" t="s">
        <v>68</v>
      </c>
      <c r="TMN416" s="245" t="s">
        <v>68</v>
      </c>
      <c r="TMO416" s="1715" t="s">
        <v>0</v>
      </c>
      <c r="TMP416" s="1716"/>
      <c r="TMQ416" s="1716"/>
      <c r="TMR416" s="1716"/>
      <c r="TMS416" s="1716"/>
      <c r="TMT416" s="244"/>
      <c r="TMU416" s="244" t="s">
        <v>68</v>
      </c>
      <c r="TMV416" s="245" t="s">
        <v>68</v>
      </c>
      <c r="TMW416" s="1715" t="s">
        <v>0</v>
      </c>
      <c r="TMX416" s="1716"/>
      <c r="TMY416" s="1716"/>
      <c r="TMZ416" s="1716"/>
      <c r="TNA416" s="1716"/>
      <c r="TNB416" s="244"/>
      <c r="TNC416" s="244" t="s">
        <v>68</v>
      </c>
      <c r="TND416" s="245" t="s">
        <v>68</v>
      </c>
      <c r="TNE416" s="1715" t="s">
        <v>0</v>
      </c>
      <c r="TNF416" s="1716"/>
      <c r="TNG416" s="1716"/>
      <c r="TNH416" s="1716"/>
      <c r="TNI416" s="1716"/>
      <c r="TNJ416" s="244"/>
      <c r="TNK416" s="244" t="s">
        <v>68</v>
      </c>
      <c r="TNL416" s="245" t="s">
        <v>68</v>
      </c>
      <c r="TNM416" s="1715" t="s">
        <v>0</v>
      </c>
      <c r="TNN416" s="1716"/>
      <c r="TNO416" s="1716"/>
      <c r="TNP416" s="1716"/>
      <c r="TNQ416" s="1716"/>
      <c r="TNR416" s="244"/>
      <c r="TNS416" s="244" t="s">
        <v>68</v>
      </c>
      <c r="TNT416" s="245" t="s">
        <v>68</v>
      </c>
      <c r="TNU416" s="1715" t="s">
        <v>0</v>
      </c>
      <c r="TNV416" s="1716"/>
      <c r="TNW416" s="1716"/>
      <c r="TNX416" s="1716"/>
      <c r="TNY416" s="1716"/>
      <c r="TNZ416" s="244"/>
      <c r="TOA416" s="244" t="s">
        <v>68</v>
      </c>
      <c r="TOB416" s="245" t="s">
        <v>68</v>
      </c>
      <c r="TOC416" s="1715" t="s">
        <v>0</v>
      </c>
      <c r="TOD416" s="1716"/>
      <c r="TOE416" s="1716"/>
      <c r="TOF416" s="1716"/>
      <c r="TOG416" s="1716"/>
      <c r="TOH416" s="244"/>
      <c r="TOI416" s="244" t="s">
        <v>68</v>
      </c>
      <c r="TOJ416" s="245" t="s">
        <v>68</v>
      </c>
      <c r="TOK416" s="1715" t="s">
        <v>0</v>
      </c>
      <c r="TOL416" s="1716"/>
      <c r="TOM416" s="1716"/>
      <c r="TON416" s="1716"/>
      <c r="TOO416" s="1716"/>
      <c r="TOP416" s="244"/>
      <c r="TOQ416" s="244" t="s">
        <v>68</v>
      </c>
      <c r="TOR416" s="245" t="s">
        <v>68</v>
      </c>
      <c r="TOS416" s="1715" t="s">
        <v>0</v>
      </c>
      <c r="TOT416" s="1716"/>
      <c r="TOU416" s="1716"/>
      <c r="TOV416" s="1716"/>
      <c r="TOW416" s="1716"/>
      <c r="TOX416" s="244"/>
      <c r="TOY416" s="244" t="s">
        <v>68</v>
      </c>
      <c r="TOZ416" s="245" t="s">
        <v>68</v>
      </c>
      <c r="TPA416" s="1715" t="s">
        <v>0</v>
      </c>
      <c r="TPB416" s="1716"/>
      <c r="TPC416" s="1716"/>
      <c r="TPD416" s="1716"/>
      <c r="TPE416" s="1716"/>
      <c r="TPF416" s="244"/>
      <c r="TPG416" s="244" t="s">
        <v>68</v>
      </c>
      <c r="TPH416" s="245" t="s">
        <v>68</v>
      </c>
      <c r="TPI416" s="1715" t="s">
        <v>0</v>
      </c>
      <c r="TPJ416" s="1716"/>
      <c r="TPK416" s="1716"/>
      <c r="TPL416" s="1716"/>
      <c r="TPM416" s="1716"/>
      <c r="TPN416" s="244"/>
      <c r="TPO416" s="244" t="s">
        <v>68</v>
      </c>
      <c r="TPP416" s="245" t="s">
        <v>68</v>
      </c>
      <c r="TPQ416" s="1715" t="s">
        <v>0</v>
      </c>
      <c r="TPR416" s="1716"/>
      <c r="TPS416" s="1716"/>
      <c r="TPT416" s="1716"/>
      <c r="TPU416" s="1716"/>
      <c r="TPV416" s="244"/>
      <c r="TPW416" s="244" t="s">
        <v>68</v>
      </c>
      <c r="TPX416" s="245" t="s">
        <v>68</v>
      </c>
      <c r="TPY416" s="1715" t="s">
        <v>0</v>
      </c>
      <c r="TPZ416" s="1716"/>
      <c r="TQA416" s="1716"/>
      <c r="TQB416" s="1716"/>
      <c r="TQC416" s="1716"/>
      <c r="TQD416" s="244"/>
      <c r="TQE416" s="244" t="s">
        <v>68</v>
      </c>
      <c r="TQF416" s="245" t="s">
        <v>68</v>
      </c>
      <c r="TQG416" s="1715" t="s">
        <v>0</v>
      </c>
      <c r="TQH416" s="1716"/>
      <c r="TQI416" s="1716"/>
      <c r="TQJ416" s="1716"/>
      <c r="TQK416" s="1716"/>
      <c r="TQL416" s="244"/>
      <c r="TQM416" s="244" t="s">
        <v>68</v>
      </c>
      <c r="TQN416" s="245" t="s">
        <v>68</v>
      </c>
      <c r="TQO416" s="1715" t="s">
        <v>0</v>
      </c>
      <c r="TQP416" s="1716"/>
      <c r="TQQ416" s="1716"/>
      <c r="TQR416" s="1716"/>
      <c r="TQS416" s="1716"/>
      <c r="TQT416" s="244"/>
      <c r="TQU416" s="244" t="s">
        <v>68</v>
      </c>
      <c r="TQV416" s="245" t="s">
        <v>68</v>
      </c>
      <c r="TQW416" s="1715" t="s">
        <v>0</v>
      </c>
      <c r="TQX416" s="1716"/>
      <c r="TQY416" s="1716"/>
      <c r="TQZ416" s="1716"/>
      <c r="TRA416" s="1716"/>
      <c r="TRB416" s="244"/>
      <c r="TRC416" s="244" t="s">
        <v>68</v>
      </c>
      <c r="TRD416" s="245" t="s">
        <v>68</v>
      </c>
      <c r="TRE416" s="1715" t="s">
        <v>0</v>
      </c>
      <c r="TRF416" s="1716"/>
      <c r="TRG416" s="1716"/>
      <c r="TRH416" s="1716"/>
      <c r="TRI416" s="1716"/>
      <c r="TRJ416" s="244"/>
      <c r="TRK416" s="244" t="s">
        <v>68</v>
      </c>
      <c r="TRL416" s="245" t="s">
        <v>68</v>
      </c>
      <c r="TRM416" s="1715" t="s">
        <v>0</v>
      </c>
      <c r="TRN416" s="1716"/>
      <c r="TRO416" s="1716"/>
      <c r="TRP416" s="1716"/>
      <c r="TRQ416" s="1716"/>
      <c r="TRR416" s="244"/>
      <c r="TRS416" s="244" t="s">
        <v>68</v>
      </c>
      <c r="TRT416" s="245" t="s">
        <v>68</v>
      </c>
      <c r="TRU416" s="1715" t="s">
        <v>0</v>
      </c>
      <c r="TRV416" s="1716"/>
      <c r="TRW416" s="1716"/>
      <c r="TRX416" s="1716"/>
      <c r="TRY416" s="1716"/>
      <c r="TRZ416" s="244"/>
      <c r="TSA416" s="244" t="s">
        <v>68</v>
      </c>
      <c r="TSB416" s="245" t="s">
        <v>68</v>
      </c>
      <c r="TSC416" s="1715" t="s">
        <v>0</v>
      </c>
      <c r="TSD416" s="1716"/>
      <c r="TSE416" s="1716"/>
      <c r="TSF416" s="1716"/>
      <c r="TSG416" s="1716"/>
      <c r="TSH416" s="244"/>
      <c r="TSI416" s="244" t="s">
        <v>68</v>
      </c>
      <c r="TSJ416" s="245" t="s">
        <v>68</v>
      </c>
      <c r="TSK416" s="1715" t="s">
        <v>0</v>
      </c>
      <c r="TSL416" s="1716"/>
      <c r="TSM416" s="1716"/>
      <c r="TSN416" s="1716"/>
      <c r="TSO416" s="1716"/>
      <c r="TSP416" s="244"/>
      <c r="TSQ416" s="244" t="s">
        <v>68</v>
      </c>
      <c r="TSR416" s="245" t="s">
        <v>68</v>
      </c>
      <c r="TSS416" s="1715" t="s">
        <v>0</v>
      </c>
      <c r="TST416" s="1716"/>
      <c r="TSU416" s="1716"/>
      <c r="TSV416" s="1716"/>
      <c r="TSW416" s="1716"/>
      <c r="TSX416" s="244"/>
      <c r="TSY416" s="244" t="s">
        <v>68</v>
      </c>
      <c r="TSZ416" s="245" t="s">
        <v>68</v>
      </c>
      <c r="TTA416" s="1715" t="s">
        <v>0</v>
      </c>
      <c r="TTB416" s="1716"/>
      <c r="TTC416" s="1716"/>
      <c r="TTD416" s="1716"/>
      <c r="TTE416" s="1716"/>
      <c r="TTF416" s="244"/>
      <c r="TTG416" s="244" t="s">
        <v>68</v>
      </c>
      <c r="TTH416" s="245" t="s">
        <v>68</v>
      </c>
      <c r="TTI416" s="1715" t="s">
        <v>0</v>
      </c>
      <c r="TTJ416" s="1716"/>
      <c r="TTK416" s="1716"/>
      <c r="TTL416" s="1716"/>
      <c r="TTM416" s="1716"/>
      <c r="TTN416" s="244"/>
      <c r="TTO416" s="244" t="s">
        <v>68</v>
      </c>
      <c r="TTP416" s="245" t="s">
        <v>68</v>
      </c>
      <c r="TTQ416" s="1715" t="s">
        <v>0</v>
      </c>
      <c r="TTR416" s="1716"/>
      <c r="TTS416" s="1716"/>
      <c r="TTT416" s="1716"/>
      <c r="TTU416" s="1716"/>
      <c r="TTV416" s="244"/>
      <c r="TTW416" s="244" t="s">
        <v>68</v>
      </c>
      <c r="TTX416" s="245" t="s">
        <v>68</v>
      </c>
      <c r="TTY416" s="1715" t="s">
        <v>0</v>
      </c>
      <c r="TTZ416" s="1716"/>
      <c r="TUA416" s="1716"/>
      <c r="TUB416" s="1716"/>
      <c r="TUC416" s="1716"/>
      <c r="TUD416" s="244"/>
      <c r="TUE416" s="244" t="s">
        <v>68</v>
      </c>
      <c r="TUF416" s="245" t="s">
        <v>68</v>
      </c>
      <c r="TUG416" s="1715" t="s">
        <v>0</v>
      </c>
      <c r="TUH416" s="1716"/>
      <c r="TUI416" s="1716"/>
      <c r="TUJ416" s="1716"/>
      <c r="TUK416" s="1716"/>
      <c r="TUL416" s="244"/>
      <c r="TUM416" s="244" t="s">
        <v>68</v>
      </c>
      <c r="TUN416" s="245" t="s">
        <v>68</v>
      </c>
      <c r="TUO416" s="1715" t="s">
        <v>0</v>
      </c>
      <c r="TUP416" s="1716"/>
      <c r="TUQ416" s="1716"/>
      <c r="TUR416" s="1716"/>
      <c r="TUS416" s="1716"/>
      <c r="TUT416" s="244"/>
      <c r="TUU416" s="244" t="s">
        <v>68</v>
      </c>
      <c r="TUV416" s="245" t="s">
        <v>68</v>
      </c>
      <c r="TUW416" s="1715" t="s">
        <v>0</v>
      </c>
      <c r="TUX416" s="1716"/>
      <c r="TUY416" s="1716"/>
      <c r="TUZ416" s="1716"/>
      <c r="TVA416" s="1716"/>
      <c r="TVB416" s="244"/>
      <c r="TVC416" s="244" t="s">
        <v>68</v>
      </c>
      <c r="TVD416" s="245" t="s">
        <v>68</v>
      </c>
      <c r="TVE416" s="1715" t="s">
        <v>0</v>
      </c>
      <c r="TVF416" s="1716"/>
      <c r="TVG416" s="1716"/>
      <c r="TVH416" s="1716"/>
      <c r="TVI416" s="1716"/>
      <c r="TVJ416" s="244"/>
      <c r="TVK416" s="244" t="s">
        <v>68</v>
      </c>
      <c r="TVL416" s="245" t="s">
        <v>68</v>
      </c>
      <c r="TVM416" s="1715" t="s">
        <v>0</v>
      </c>
      <c r="TVN416" s="1716"/>
      <c r="TVO416" s="1716"/>
      <c r="TVP416" s="1716"/>
      <c r="TVQ416" s="1716"/>
      <c r="TVR416" s="244"/>
      <c r="TVS416" s="244" t="s">
        <v>68</v>
      </c>
      <c r="TVT416" s="245" t="s">
        <v>68</v>
      </c>
      <c r="TVU416" s="1715" t="s">
        <v>0</v>
      </c>
      <c r="TVV416" s="1716"/>
      <c r="TVW416" s="1716"/>
      <c r="TVX416" s="1716"/>
      <c r="TVY416" s="1716"/>
      <c r="TVZ416" s="244"/>
      <c r="TWA416" s="244" t="s">
        <v>68</v>
      </c>
      <c r="TWB416" s="245" t="s">
        <v>68</v>
      </c>
      <c r="TWC416" s="1715" t="s">
        <v>0</v>
      </c>
      <c r="TWD416" s="1716"/>
      <c r="TWE416" s="1716"/>
      <c r="TWF416" s="1716"/>
      <c r="TWG416" s="1716"/>
      <c r="TWH416" s="244"/>
      <c r="TWI416" s="244" t="s">
        <v>68</v>
      </c>
      <c r="TWJ416" s="245" t="s">
        <v>68</v>
      </c>
      <c r="TWK416" s="1715" t="s">
        <v>0</v>
      </c>
      <c r="TWL416" s="1716"/>
      <c r="TWM416" s="1716"/>
      <c r="TWN416" s="1716"/>
      <c r="TWO416" s="1716"/>
      <c r="TWP416" s="244"/>
      <c r="TWQ416" s="244" t="s">
        <v>68</v>
      </c>
      <c r="TWR416" s="245" t="s">
        <v>68</v>
      </c>
      <c r="TWS416" s="1715" t="s">
        <v>0</v>
      </c>
      <c r="TWT416" s="1716"/>
      <c r="TWU416" s="1716"/>
      <c r="TWV416" s="1716"/>
      <c r="TWW416" s="1716"/>
      <c r="TWX416" s="244"/>
      <c r="TWY416" s="244" t="s">
        <v>68</v>
      </c>
      <c r="TWZ416" s="245" t="s">
        <v>68</v>
      </c>
      <c r="TXA416" s="1715" t="s">
        <v>0</v>
      </c>
      <c r="TXB416" s="1716"/>
      <c r="TXC416" s="1716"/>
      <c r="TXD416" s="1716"/>
      <c r="TXE416" s="1716"/>
      <c r="TXF416" s="244"/>
      <c r="TXG416" s="244" t="s">
        <v>68</v>
      </c>
      <c r="TXH416" s="245" t="s">
        <v>68</v>
      </c>
      <c r="TXI416" s="1715" t="s">
        <v>0</v>
      </c>
      <c r="TXJ416" s="1716"/>
      <c r="TXK416" s="1716"/>
      <c r="TXL416" s="1716"/>
      <c r="TXM416" s="1716"/>
      <c r="TXN416" s="244"/>
      <c r="TXO416" s="244" t="s">
        <v>68</v>
      </c>
      <c r="TXP416" s="245" t="s">
        <v>68</v>
      </c>
      <c r="TXQ416" s="1715" t="s">
        <v>0</v>
      </c>
      <c r="TXR416" s="1716"/>
      <c r="TXS416" s="1716"/>
      <c r="TXT416" s="1716"/>
      <c r="TXU416" s="1716"/>
      <c r="TXV416" s="244"/>
      <c r="TXW416" s="244" t="s">
        <v>68</v>
      </c>
      <c r="TXX416" s="245" t="s">
        <v>68</v>
      </c>
      <c r="TXY416" s="1715" t="s">
        <v>0</v>
      </c>
      <c r="TXZ416" s="1716"/>
      <c r="TYA416" s="1716"/>
      <c r="TYB416" s="1716"/>
      <c r="TYC416" s="1716"/>
      <c r="TYD416" s="244"/>
      <c r="TYE416" s="244" t="s">
        <v>68</v>
      </c>
      <c r="TYF416" s="245" t="s">
        <v>68</v>
      </c>
      <c r="TYG416" s="1715" t="s">
        <v>0</v>
      </c>
      <c r="TYH416" s="1716"/>
      <c r="TYI416" s="1716"/>
      <c r="TYJ416" s="1716"/>
      <c r="TYK416" s="1716"/>
      <c r="TYL416" s="244"/>
      <c r="TYM416" s="244" t="s">
        <v>68</v>
      </c>
      <c r="TYN416" s="245" t="s">
        <v>68</v>
      </c>
      <c r="TYO416" s="1715" t="s">
        <v>0</v>
      </c>
      <c r="TYP416" s="1716"/>
      <c r="TYQ416" s="1716"/>
      <c r="TYR416" s="1716"/>
      <c r="TYS416" s="1716"/>
      <c r="TYT416" s="244"/>
      <c r="TYU416" s="244" t="s">
        <v>68</v>
      </c>
      <c r="TYV416" s="245" t="s">
        <v>68</v>
      </c>
      <c r="TYW416" s="1715" t="s">
        <v>0</v>
      </c>
      <c r="TYX416" s="1716"/>
      <c r="TYY416" s="1716"/>
      <c r="TYZ416" s="1716"/>
      <c r="TZA416" s="1716"/>
      <c r="TZB416" s="244"/>
      <c r="TZC416" s="244" t="s">
        <v>68</v>
      </c>
      <c r="TZD416" s="245" t="s">
        <v>68</v>
      </c>
      <c r="TZE416" s="1715" t="s">
        <v>0</v>
      </c>
      <c r="TZF416" s="1716"/>
      <c r="TZG416" s="1716"/>
      <c r="TZH416" s="1716"/>
      <c r="TZI416" s="1716"/>
      <c r="TZJ416" s="244"/>
      <c r="TZK416" s="244" t="s">
        <v>68</v>
      </c>
      <c r="TZL416" s="245" t="s">
        <v>68</v>
      </c>
      <c r="TZM416" s="1715" t="s">
        <v>0</v>
      </c>
      <c r="TZN416" s="1716"/>
      <c r="TZO416" s="1716"/>
      <c r="TZP416" s="1716"/>
      <c r="TZQ416" s="1716"/>
      <c r="TZR416" s="244"/>
      <c r="TZS416" s="244" t="s">
        <v>68</v>
      </c>
      <c r="TZT416" s="245" t="s">
        <v>68</v>
      </c>
      <c r="TZU416" s="1715" t="s">
        <v>0</v>
      </c>
      <c r="TZV416" s="1716"/>
      <c r="TZW416" s="1716"/>
      <c r="TZX416" s="1716"/>
      <c r="TZY416" s="1716"/>
      <c r="TZZ416" s="244"/>
      <c r="UAA416" s="244" t="s">
        <v>68</v>
      </c>
      <c r="UAB416" s="245" t="s">
        <v>68</v>
      </c>
      <c r="UAC416" s="1715" t="s">
        <v>0</v>
      </c>
      <c r="UAD416" s="1716"/>
      <c r="UAE416" s="1716"/>
      <c r="UAF416" s="1716"/>
      <c r="UAG416" s="1716"/>
      <c r="UAH416" s="244"/>
      <c r="UAI416" s="244" t="s">
        <v>68</v>
      </c>
      <c r="UAJ416" s="245" t="s">
        <v>68</v>
      </c>
      <c r="UAK416" s="1715" t="s">
        <v>0</v>
      </c>
      <c r="UAL416" s="1716"/>
      <c r="UAM416" s="1716"/>
      <c r="UAN416" s="1716"/>
      <c r="UAO416" s="1716"/>
      <c r="UAP416" s="244"/>
      <c r="UAQ416" s="244" t="s">
        <v>68</v>
      </c>
      <c r="UAR416" s="245" t="s">
        <v>68</v>
      </c>
      <c r="UAS416" s="1715" t="s">
        <v>0</v>
      </c>
      <c r="UAT416" s="1716"/>
      <c r="UAU416" s="1716"/>
      <c r="UAV416" s="1716"/>
      <c r="UAW416" s="1716"/>
      <c r="UAX416" s="244"/>
      <c r="UAY416" s="244" t="s">
        <v>68</v>
      </c>
      <c r="UAZ416" s="245" t="s">
        <v>68</v>
      </c>
      <c r="UBA416" s="1715" t="s">
        <v>0</v>
      </c>
      <c r="UBB416" s="1716"/>
      <c r="UBC416" s="1716"/>
      <c r="UBD416" s="1716"/>
      <c r="UBE416" s="1716"/>
      <c r="UBF416" s="244"/>
      <c r="UBG416" s="244" t="s">
        <v>68</v>
      </c>
      <c r="UBH416" s="245" t="s">
        <v>68</v>
      </c>
      <c r="UBI416" s="1715" t="s">
        <v>0</v>
      </c>
      <c r="UBJ416" s="1716"/>
      <c r="UBK416" s="1716"/>
      <c r="UBL416" s="1716"/>
      <c r="UBM416" s="1716"/>
      <c r="UBN416" s="244"/>
      <c r="UBO416" s="244" t="s">
        <v>68</v>
      </c>
      <c r="UBP416" s="245" t="s">
        <v>68</v>
      </c>
      <c r="UBQ416" s="1715" t="s">
        <v>0</v>
      </c>
      <c r="UBR416" s="1716"/>
      <c r="UBS416" s="1716"/>
      <c r="UBT416" s="1716"/>
      <c r="UBU416" s="1716"/>
      <c r="UBV416" s="244"/>
      <c r="UBW416" s="244" t="s">
        <v>68</v>
      </c>
      <c r="UBX416" s="245" t="s">
        <v>68</v>
      </c>
      <c r="UBY416" s="1715" t="s">
        <v>0</v>
      </c>
      <c r="UBZ416" s="1716"/>
      <c r="UCA416" s="1716"/>
      <c r="UCB416" s="1716"/>
      <c r="UCC416" s="1716"/>
      <c r="UCD416" s="244"/>
      <c r="UCE416" s="244" t="s">
        <v>68</v>
      </c>
      <c r="UCF416" s="245" t="s">
        <v>68</v>
      </c>
      <c r="UCG416" s="1715" t="s">
        <v>0</v>
      </c>
      <c r="UCH416" s="1716"/>
      <c r="UCI416" s="1716"/>
      <c r="UCJ416" s="1716"/>
      <c r="UCK416" s="1716"/>
      <c r="UCL416" s="244"/>
      <c r="UCM416" s="244" t="s">
        <v>68</v>
      </c>
      <c r="UCN416" s="245" t="s">
        <v>68</v>
      </c>
      <c r="UCO416" s="1715" t="s">
        <v>0</v>
      </c>
      <c r="UCP416" s="1716"/>
      <c r="UCQ416" s="1716"/>
      <c r="UCR416" s="1716"/>
      <c r="UCS416" s="1716"/>
      <c r="UCT416" s="244"/>
      <c r="UCU416" s="244" t="s">
        <v>68</v>
      </c>
      <c r="UCV416" s="245" t="s">
        <v>68</v>
      </c>
      <c r="UCW416" s="1715" t="s">
        <v>0</v>
      </c>
      <c r="UCX416" s="1716"/>
      <c r="UCY416" s="1716"/>
      <c r="UCZ416" s="1716"/>
      <c r="UDA416" s="1716"/>
      <c r="UDB416" s="244"/>
      <c r="UDC416" s="244" t="s">
        <v>68</v>
      </c>
      <c r="UDD416" s="245" t="s">
        <v>68</v>
      </c>
      <c r="UDE416" s="1715" t="s">
        <v>0</v>
      </c>
      <c r="UDF416" s="1716"/>
      <c r="UDG416" s="1716"/>
      <c r="UDH416" s="1716"/>
      <c r="UDI416" s="1716"/>
      <c r="UDJ416" s="244"/>
      <c r="UDK416" s="244" t="s">
        <v>68</v>
      </c>
      <c r="UDL416" s="245" t="s">
        <v>68</v>
      </c>
      <c r="UDM416" s="1715" t="s">
        <v>0</v>
      </c>
      <c r="UDN416" s="1716"/>
      <c r="UDO416" s="1716"/>
      <c r="UDP416" s="1716"/>
      <c r="UDQ416" s="1716"/>
      <c r="UDR416" s="244"/>
      <c r="UDS416" s="244" t="s">
        <v>68</v>
      </c>
      <c r="UDT416" s="245" t="s">
        <v>68</v>
      </c>
      <c r="UDU416" s="1715" t="s">
        <v>0</v>
      </c>
      <c r="UDV416" s="1716"/>
      <c r="UDW416" s="1716"/>
      <c r="UDX416" s="1716"/>
      <c r="UDY416" s="1716"/>
      <c r="UDZ416" s="244"/>
      <c r="UEA416" s="244" t="s">
        <v>68</v>
      </c>
      <c r="UEB416" s="245" t="s">
        <v>68</v>
      </c>
      <c r="UEC416" s="1715" t="s">
        <v>0</v>
      </c>
      <c r="UED416" s="1716"/>
      <c r="UEE416" s="1716"/>
      <c r="UEF416" s="1716"/>
      <c r="UEG416" s="1716"/>
      <c r="UEH416" s="244"/>
      <c r="UEI416" s="244" t="s">
        <v>68</v>
      </c>
      <c r="UEJ416" s="245" t="s">
        <v>68</v>
      </c>
      <c r="UEK416" s="1715" t="s">
        <v>0</v>
      </c>
      <c r="UEL416" s="1716"/>
      <c r="UEM416" s="1716"/>
      <c r="UEN416" s="1716"/>
      <c r="UEO416" s="1716"/>
      <c r="UEP416" s="244"/>
      <c r="UEQ416" s="244" t="s">
        <v>68</v>
      </c>
      <c r="UER416" s="245" t="s">
        <v>68</v>
      </c>
      <c r="UES416" s="1715" t="s">
        <v>0</v>
      </c>
      <c r="UET416" s="1716"/>
      <c r="UEU416" s="1716"/>
      <c r="UEV416" s="1716"/>
      <c r="UEW416" s="1716"/>
      <c r="UEX416" s="244"/>
      <c r="UEY416" s="244" t="s">
        <v>68</v>
      </c>
      <c r="UEZ416" s="245" t="s">
        <v>68</v>
      </c>
      <c r="UFA416" s="1715" t="s">
        <v>0</v>
      </c>
      <c r="UFB416" s="1716"/>
      <c r="UFC416" s="1716"/>
      <c r="UFD416" s="1716"/>
      <c r="UFE416" s="1716"/>
      <c r="UFF416" s="244"/>
      <c r="UFG416" s="244" t="s">
        <v>68</v>
      </c>
      <c r="UFH416" s="245" t="s">
        <v>68</v>
      </c>
      <c r="UFI416" s="1715" t="s">
        <v>0</v>
      </c>
      <c r="UFJ416" s="1716"/>
      <c r="UFK416" s="1716"/>
      <c r="UFL416" s="1716"/>
      <c r="UFM416" s="1716"/>
      <c r="UFN416" s="244"/>
      <c r="UFO416" s="244" t="s">
        <v>68</v>
      </c>
      <c r="UFP416" s="245" t="s">
        <v>68</v>
      </c>
      <c r="UFQ416" s="1715" t="s">
        <v>0</v>
      </c>
      <c r="UFR416" s="1716"/>
      <c r="UFS416" s="1716"/>
      <c r="UFT416" s="1716"/>
      <c r="UFU416" s="1716"/>
      <c r="UFV416" s="244"/>
      <c r="UFW416" s="244" t="s">
        <v>68</v>
      </c>
      <c r="UFX416" s="245" t="s">
        <v>68</v>
      </c>
      <c r="UFY416" s="1715" t="s">
        <v>0</v>
      </c>
      <c r="UFZ416" s="1716"/>
      <c r="UGA416" s="1716"/>
      <c r="UGB416" s="1716"/>
      <c r="UGC416" s="1716"/>
      <c r="UGD416" s="244"/>
      <c r="UGE416" s="244" t="s">
        <v>68</v>
      </c>
      <c r="UGF416" s="245" t="s">
        <v>68</v>
      </c>
      <c r="UGG416" s="1715" t="s">
        <v>0</v>
      </c>
      <c r="UGH416" s="1716"/>
      <c r="UGI416" s="1716"/>
      <c r="UGJ416" s="1716"/>
      <c r="UGK416" s="1716"/>
      <c r="UGL416" s="244"/>
      <c r="UGM416" s="244" t="s">
        <v>68</v>
      </c>
      <c r="UGN416" s="245" t="s">
        <v>68</v>
      </c>
      <c r="UGO416" s="1715" t="s">
        <v>0</v>
      </c>
      <c r="UGP416" s="1716"/>
      <c r="UGQ416" s="1716"/>
      <c r="UGR416" s="1716"/>
      <c r="UGS416" s="1716"/>
      <c r="UGT416" s="244"/>
      <c r="UGU416" s="244" t="s">
        <v>68</v>
      </c>
      <c r="UGV416" s="245" t="s">
        <v>68</v>
      </c>
      <c r="UGW416" s="1715" t="s">
        <v>0</v>
      </c>
      <c r="UGX416" s="1716"/>
      <c r="UGY416" s="1716"/>
      <c r="UGZ416" s="1716"/>
      <c r="UHA416" s="1716"/>
      <c r="UHB416" s="244"/>
      <c r="UHC416" s="244" t="s">
        <v>68</v>
      </c>
      <c r="UHD416" s="245" t="s">
        <v>68</v>
      </c>
      <c r="UHE416" s="1715" t="s">
        <v>0</v>
      </c>
      <c r="UHF416" s="1716"/>
      <c r="UHG416" s="1716"/>
      <c r="UHH416" s="1716"/>
      <c r="UHI416" s="1716"/>
      <c r="UHJ416" s="244"/>
      <c r="UHK416" s="244" t="s">
        <v>68</v>
      </c>
      <c r="UHL416" s="245" t="s">
        <v>68</v>
      </c>
      <c r="UHM416" s="1715" t="s">
        <v>0</v>
      </c>
      <c r="UHN416" s="1716"/>
      <c r="UHO416" s="1716"/>
      <c r="UHP416" s="1716"/>
      <c r="UHQ416" s="1716"/>
      <c r="UHR416" s="244"/>
      <c r="UHS416" s="244" t="s">
        <v>68</v>
      </c>
      <c r="UHT416" s="245" t="s">
        <v>68</v>
      </c>
      <c r="UHU416" s="1715" t="s">
        <v>0</v>
      </c>
      <c r="UHV416" s="1716"/>
      <c r="UHW416" s="1716"/>
      <c r="UHX416" s="1716"/>
      <c r="UHY416" s="1716"/>
      <c r="UHZ416" s="244"/>
      <c r="UIA416" s="244" t="s">
        <v>68</v>
      </c>
      <c r="UIB416" s="245" t="s">
        <v>68</v>
      </c>
      <c r="UIC416" s="1715" t="s">
        <v>0</v>
      </c>
      <c r="UID416" s="1716"/>
      <c r="UIE416" s="1716"/>
      <c r="UIF416" s="1716"/>
      <c r="UIG416" s="1716"/>
      <c r="UIH416" s="244"/>
      <c r="UII416" s="244" t="s">
        <v>68</v>
      </c>
      <c r="UIJ416" s="245" t="s">
        <v>68</v>
      </c>
      <c r="UIK416" s="1715" t="s">
        <v>0</v>
      </c>
      <c r="UIL416" s="1716"/>
      <c r="UIM416" s="1716"/>
      <c r="UIN416" s="1716"/>
      <c r="UIO416" s="1716"/>
      <c r="UIP416" s="244"/>
      <c r="UIQ416" s="244" t="s">
        <v>68</v>
      </c>
      <c r="UIR416" s="245" t="s">
        <v>68</v>
      </c>
      <c r="UIS416" s="1715" t="s">
        <v>0</v>
      </c>
      <c r="UIT416" s="1716"/>
      <c r="UIU416" s="1716"/>
      <c r="UIV416" s="1716"/>
      <c r="UIW416" s="1716"/>
      <c r="UIX416" s="244"/>
      <c r="UIY416" s="244" t="s">
        <v>68</v>
      </c>
      <c r="UIZ416" s="245" t="s">
        <v>68</v>
      </c>
      <c r="UJA416" s="1715" t="s">
        <v>0</v>
      </c>
      <c r="UJB416" s="1716"/>
      <c r="UJC416" s="1716"/>
      <c r="UJD416" s="1716"/>
      <c r="UJE416" s="1716"/>
      <c r="UJF416" s="244"/>
      <c r="UJG416" s="244" t="s">
        <v>68</v>
      </c>
      <c r="UJH416" s="245" t="s">
        <v>68</v>
      </c>
      <c r="UJI416" s="1715" t="s">
        <v>0</v>
      </c>
      <c r="UJJ416" s="1716"/>
      <c r="UJK416" s="1716"/>
      <c r="UJL416" s="1716"/>
      <c r="UJM416" s="1716"/>
      <c r="UJN416" s="244"/>
      <c r="UJO416" s="244" t="s">
        <v>68</v>
      </c>
      <c r="UJP416" s="245" t="s">
        <v>68</v>
      </c>
      <c r="UJQ416" s="1715" t="s">
        <v>0</v>
      </c>
      <c r="UJR416" s="1716"/>
      <c r="UJS416" s="1716"/>
      <c r="UJT416" s="1716"/>
      <c r="UJU416" s="1716"/>
      <c r="UJV416" s="244"/>
      <c r="UJW416" s="244" t="s">
        <v>68</v>
      </c>
      <c r="UJX416" s="245" t="s">
        <v>68</v>
      </c>
      <c r="UJY416" s="1715" t="s">
        <v>0</v>
      </c>
      <c r="UJZ416" s="1716"/>
      <c r="UKA416" s="1716"/>
      <c r="UKB416" s="1716"/>
      <c r="UKC416" s="1716"/>
      <c r="UKD416" s="244"/>
      <c r="UKE416" s="244" t="s">
        <v>68</v>
      </c>
      <c r="UKF416" s="245" t="s">
        <v>68</v>
      </c>
      <c r="UKG416" s="1715" t="s">
        <v>0</v>
      </c>
      <c r="UKH416" s="1716"/>
      <c r="UKI416" s="1716"/>
      <c r="UKJ416" s="1716"/>
      <c r="UKK416" s="1716"/>
      <c r="UKL416" s="244"/>
      <c r="UKM416" s="244" t="s">
        <v>68</v>
      </c>
      <c r="UKN416" s="245" t="s">
        <v>68</v>
      </c>
      <c r="UKO416" s="1715" t="s">
        <v>0</v>
      </c>
      <c r="UKP416" s="1716"/>
      <c r="UKQ416" s="1716"/>
      <c r="UKR416" s="1716"/>
      <c r="UKS416" s="1716"/>
      <c r="UKT416" s="244"/>
      <c r="UKU416" s="244" t="s">
        <v>68</v>
      </c>
      <c r="UKV416" s="245" t="s">
        <v>68</v>
      </c>
      <c r="UKW416" s="1715" t="s">
        <v>0</v>
      </c>
      <c r="UKX416" s="1716"/>
      <c r="UKY416" s="1716"/>
      <c r="UKZ416" s="1716"/>
      <c r="ULA416" s="1716"/>
      <c r="ULB416" s="244"/>
      <c r="ULC416" s="244" t="s">
        <v>68</v>
      </c>
      <c r="ULD416" s="245" t="s">
        <v>68</v>
      </c>
      <c r="ULE416" s="1715" t="s">
        <v>0</v>
      </c>
      <c r="ULF416" s="1716"/>
      <c r="ULG416" s="1716"/>
      <c r="ULH416" s="1716"/>
      <c r="ULI416" s="1716"/>
      <c r="ULJ416" s="244"/>
      <c r="ULK416" s="244" t="s">
        <v>68</v>
      </c>
      <c r="ULL416" s="245" t="s">
        <v>68</v>
      </c>
      <c r="ULM416" s="1715" t="s">
        <v>0</v>
      </c>
      <c r="ULN416" s="1716"/>
      <c r="ULO416" s="1716"/>
      <c r="ULP416" s="1716"/>
      <c r="ULQ416" s="1716"/>
      <c r="ULR416" s="244"/>
      <c r="ULS416" s="244" t="s">
        <v>68</v>
      </c>
      <c r="ULT416" s="245" t="s">
        <v>68</v>
      </c>
      <c r="ULU416" s="1715" t="s">
        <v>0</v>
      </c>
      <c r="ULV416" s="1716"/>
      <c r="ULW416" s="1716"/>
      <c r="ULX416" s="1716"/>
      <c r="ULY416" s="1716"/>
      <c r="ULZ416" s="244"/>
      <c r="UMA416" s="244" t="s">
        <v>68</v>
      </c>
      <c r="UMB416" s="245" t="s">
        <v>68</v>
      </c>
      <c r="UMC416" s="1715" t="s">
        <v>0</v>
      </c>
      <c r="UMD416" s="1716"/>
      <c r="UME416" s="1716"/>
      <c r="UMF416" s="1716"/>
      <c r="UMG416" s="1716"/>
      <c r="UMH416" s="244"/>
      <c r="UMI416" s="244" t="s">
        <v>68</v>
      </c>
      <c r="UMJ416" s="245" t="s">
        <v>68</v>
      </c>
      <c r="UMK416" s="1715" t="s">
        <v>0</v>
      </c>
      <c r="UML416" s="1716"/>
      <c r="UMM416" s="1716"/>
      <c r="UMN416" s="1716"/>
      <c r="UMO416" s="1716"/>
      <c r="UMP416" s="244"/>
      <c r="UMQ416" s="244" t="s">
        <v>68</v>
      </c>
      <c r="UMR416" s="245" t="s">
        <v>68</v>
      </c>
      <c r="UMS416" s="1715" t="s">
        <v>0</v>
      </c>
      <c r="UMT416" s="1716"/>
      <c r="UMU416" s="1716"/>
      <c r="UMV416" s="1716"/>
      <c r="UMW416" s="1716"/>
      <c r="UMX416" s="244"/>
      <c r="UMY416" s="244" t="s">
        <v>68</v>
      </c>
      <c r="UMZ416" s="245" t="s">
        <v>68</v>
      </c>
      <c r="UNA416" s="1715" t="s">
        <v>0</v>
      </c>
      <c r="UNB416" s="1716"/>
      <c r="UNC416" s="1716"/>
      <c r="UND416" s="1716"/>
      <c r="UNE416" s="1716"/>
      <c r="UNF416" s="244"/>
      <c r="UNG416" s="244" t="s">
        <v>68</v>
      </c>
      <c r="UNH416" s="245" t="s">
        <v>68</v>
      </c>
      <c r="UNI416" s="1715" t="s">
        <v>0</v>
      </c>
      <c r="UNJ416" s="1716"/>
      <c r="UNK416" s="1716"/>
      <c r="UNL416" s="1716"/>
      <c r="UNM416" s="1716"/>
      <c r="UNN416" s="244"/>
      <c r="UNO416" s="244" t="s">
        <v>68</v>
      </c>
      <c r="UNP416" s="245" t="s">
        <v>68</v>
      </c>
      <c r="UNQ416" s="1715" t="s">
        <v>0</v>
      </c>
      <c r="UNR416" s="1716"/>
      <c r="UNS416" s="1716"/>
      <c r="UNT416" s="1716"/>
      <c r="UNU416" s="1716"/>
      <c r="UNV416" s="244"/>
      <c r="UNW416" s="244" t="s">
        <v>68</v>
      </c>
      <c r="UNX416" s="245" t="s">
        <v>68</v>
      </c>
      <c r="UNY416" s="1715" t="s">
        <v>0</v>
      </c>
      <c r="UNZ416" s="1716"/>
      <c r="UOA416" s="1716"/>
      <c r="UOB416" s="1716"/>
      <c r="UOC416" s="1716"/>
      <c r="UOD416" s="244"/>
      <c r="UOE416" s="244" t="s">
        <v>68</v>
      </c>
      <c r="UOF416" s="245" t="s">
        <v>68</v>
      </c>
      <c r="UOG416" s="1715" t="s">
        <v>0</v>
      </c>
      <c r="UOH416" s="1716"/>
      <c r="UOI416" s="1716"/>
      <c r="UOJ416" s="1716"/>
      <c r="UOK416" s="1716"/>
      <c r="UOL416" s="244"/>
      <c r="UOM416" s="244" t="s">
        <v>68</v>
      </c>
      <c r="UON416" s="245" t="s">
        <v>68</v>
      </c>
      <c r="UOO416" s="1715" t="s">
        <v>0</v>
      </c>
      <c r="UOP416" s="1716"/>
      <c r="UOQ416" s="1716"/>
      <c r="UOR416" s="1716"/>
      <c r="UOS416" s="1716"/>
      <c r="UOT416" s="244"/>
      <c r="UOU416" s="244" t="s">
        <v>68</v>
      </c>
      <c r="UOV416" s="245" t="s">
        <v>68</v>
      </c>
      <c r="UOW416" s="1715" t="s">
        <v>0</v>
      </c>
      <c r="UOX416" s="1716"/>
      <c r="UOY416" s="1716"/>
      <c r="UOZ416" s="1716"/>
      <c r="UPA416" s="1716"/>
      <c r="UPB416" s="244"/>
      <c r="UPC416" s="244" t="s">
        <v>68</v>
      </c>
      <c r="UPD416" s="245" t="s">
        <v>68</v>
      </c>
      <c r="UPE416" s="1715" t="s">
        <v>0</v>
      </c>
      <c r="UPF416" s="1716"/>
      <c r="UPG416" s="1716"/>
      <c r="UPH416" s="1716"/>
      <c r="UPI416" s="1716"/>
      <c r="UPJ416" s="244"/>
      <c r="UPK416" s="244" t="s">
        <v>68</v>
      </c>
      <c r="UPL416" s="245" t="s">
        <v>68</v>
      </c>
      <c r="UPM416" s="1715" t="s">
        <v>0</v>
      </c>
      <c r="UPN416" s="1716"/>
      <c r="UPO416" s="1716"/>
      <c r="UPP416" s="1716"/>
      <c r="UPQ416" s="1716"/>
      <c r="UPR416" s="244"/>
      <c r="UPS416" s="244" t="s">
        <v>68</v>
      </c>
      <c r="UPT416" s="245" t="s">
        <v>68</v>
      </c>
      <c r="UPU416" s="1715" t="s">
        <v>0</v>
      </c>
      <c r="UPV416" s="1716"/>
      <c r="UPW416" s="1716"/>
      <c r="UPX416" s="1716"/>
      <c r="UPY416" s="1716"/>
      <c r="UPZ416" s="244"/>
      <c r="UQA416" s="244" t="s">
        <v>68</v>
      </c>
      <c r="UQB416" s="245" t="s">
        <v>68</v>
      </c>
      <c r="UQC416" s="1715" t="s">
        <v>0</v>
      </c>
      <c r="UQD416" s="1716"/>
      <c r="UQE416" s="1716"/>
      <c r="UQF416" s="1716"/>
      <c r="UQG416" s="1716"/>
      <c r="UQH416" s="244"/>
      <c r="UQI416" s="244" t="s">
        <v>68</v>
      </c>
      <c r="UQJ416" s="245" t="s">
        <v>68</v>
      </c>
      <c r="UQK416" s="1715" t="s">
        <v>0</v>
      </c>
      <c r="UQL416" s="1716"/>
      <c r="UQM416" s="1716"/>
      <c r="UQN416" s="1716"/>
      <c r="UQO416" s="1716"/>
      <c r="UQP416" s="244"/>
      <c r="UQQ416" s="244" t="s">
        <v>68</v>
      </c>
      <c r="UQR416" s="245" t="s">
        <v>68</v>
      </c>
      <c r="UQS416" s="1715" t="s">
        <v>0</v>
      </c>
      <c r="UQT416" s="1716"/>
      <c r="UQU416" s="1716"/>
      <c r="UQV416" s="1716"/>
      <c r="UQW416" s="1716"/>
      <c r="UQX416" s="244"/>
      <c r="UQY416" s="244" t="s">
        <v>68</v>
      </c>
      <c r="UQZ416" s="245" t="s">
        <v>68</v>
      </c>
      <c r="URA416" s="1715" t="s">
        <v>0</v>
      </c>
      <c r="URB416" s="1716"/>
      <c r="URC416" s="1716"/>
      <c r="URD416" s="1716"/>
      <c r="URE416" s="1716"/>
      <c r="URF416" s="244"/>
      <c r="URG416" s="244" t="s">
        <v>68</v>
      </c>
      <c r="URH416" s="245" t="s">
        <v>68</v>
      </c>
      <c r="URI416" s="1715" t="s">
        <v>0</v>
      </c>
      <c r="URJ416" s="1716"/>
      <c r="URK416" s="1716"/>
      <c r="URL416" s="1716"/>
      <c r="URM416" s="1716"/>
      <c r="URN416" s="244"/>
      <c r="URO416" s="244" t="s">
        <v>68</v>
      </c>
      <c r="URP416" s="245" t="s">
        <v>68</v>
      </c>
      <c r="URQ416" s="1715" t="s">
        <v>0</v>
      </c>
      <c r="URR416" s="1716"/>
      <c r="URS416" s="1716"/>
      <c r="URT416" s="1716"/>
      <c r="URU416" s="1716"/>
      <c r="URV416" s="244"/>
      <c r="URW416" s="244" t="s">
        <v>68</v>
      </c>
      <c r="URX416" s="245" t="s">
        <v>68</v>
      </c>
      <c r="URY416" s="1715" t="s">
        <v>0</v>
      </c>
      <c r="URZ416" s="1716"/>
      <c r="USA416" s="1716"/>
      <c r="USB416" s="1716"/>
      <c r="USC416" s="1716"/>
      <c r="USD416" s="244"/>
      <c r="USE416" s="244" t="s">
        <v>68</v>
      </c>
      <c r="USF416" s="245" t="s">
        <v>68</v>
      </c>
      <c r="USG416" s="1715" t="s">
        <v>0</v>
      </c>
      <c r="USH416" s="1716"/>
      <c r="USI416" s="1716"/>
      <c r="USJ416" s="1716"/>
      <c r="USK416" s="1716"/>
      <c r="USL416" s="244"/>
      <c r="USM416" s="244" t="s">
        <v>68</v>
      </c>
      <c r="USN416" s="245" t="s">
        <v>68</v>
      </c>
      <c r="USO416" s="1715" t="s">
        <v>0</v>
      </c>
      <c r="USP416" s="1716"/>
      <c r="USQ416" s="1716"/>
      <c r="USR416" s="1716"/>
      <c r="USS416" s="1716"/>
      <c r="UST416" s="244"/>
      <c r="USU416" s="244" t="s">
        <v>68</v>
      </c>
      <c r="USV416" s="245" t="s">
        <v>68</v>
      </c>
      <c r="USW416" s="1715" t="s">
        <v>0</v>
      </c>
      <c r="USX416" s="1716"/>
      <c r="USY416" s="1716"/>
      <c r="USZ416" s="1716"/>
      <c r="UTA416" s="1716"/>
      <c r="UTB416" s="244"/>
      <c r="UTC416" s="244" t="s">
        <v>68</v>
      </c>
      <c r="UTD416" s="245" t="s">
        <v>68</v>
      </c>
      <c r="UTE416" s="1715" t="s">
        <v>0</v>
      </c>
      <c r="UTF416" s="1716"/>
      <c r="UTG416" s="1716"/>
      <c r="UTH416" s="1716"/>
      <c r="UTI416" s="1716"/>
      <c r="UTJ416" s="244"/>
      <c r="UTK416" s="244" t="s">
        <v>68</v>
      </c>
      <c r="UTL416" s="245" t="s">
        <v>68</v>
      </c>
      <c r="UTM416" s="1715" t="s">
        <v>0</v>
      </c>
      <c r="UTN416" s="1716"/>
      <c r="UTO416" s="1716"/>
      <c r="UTP416" s="1716"/>
      <c r="UTQ416" s="1716"/>
      <c r="UTR416" s="244"/>
      <c r="UTS416" s="244" t="s">
        <v>68</v>
      </c>
      <c r="UTT416" s="245" t="s">
        <v>68</v>
      </c>
      <c r="UTU416" s="1715" t="s">
        <v>0</v>
      </c>
      <c r="UTV416" s="1716"/>
      <c r="UTW416" s="1716"/>
      <c r="UTX416" s="1716"/>
      <c r="UTY416" s="1716"/>
      <c r="UTZ416" s="244"/>
      <c r="UUA416" s="244" t="s">
        <v>68</v>
      </c>
      <c r="UUB416" s="245" t="s">
        <v>68</v>
      </c>
      <c r="UUC416" s="1715" t="s">
        <v>0</v>
      </c>
      <c r="UUD416" s="1716"/>
      <c r="UUE416" s="1716"/>
      <c r="UUF416" s="1716"/>
      <c r="UUG416" s="1716"/>
      <c r="UUH416" s="244"/>
      <c r="UUI416" s="244" t="s">
        <v>68</v>
      </c>
      <c r="UUJ416" s="245" t="s">
        <v>68</v>
      </c>
      <c r="UUK416" s="1715" t="s">
        <v>0</v>
      </c>
      <c r="UUL416" s="1716"/>
      <c r="UUM416" s="1716"/>
      <c r="UUN416" s="1716"/>
      <c r="UUO416" s="1716"/>
      <c r="UUP416" s="244"/>
      <c r="UUQ416" s="244" t="s">
        <v>68</v>
      </c>
      <c r="UUR416" s="245" t="s">
        <v>68</v>
      </c>
      <c r="UUS416" s="1715" t="s">
        <v>0</v>
      </c>
      <c r="UUT416" s="1716"/>
      <c r="UUU416" s="1716"/>
      <c r="UUV416" s="1716"/>
      <c r="UUW416" s="1716"/>
      <c r="UUX416" s="244"/>
      <c r="UUY416" s="244" t="s">
        <v>68</v>
      </c>
      <c r="UUZ416" s="245" t="s">
        <v>68</v>
      </c>
      <c r="UVA416" s="1715" t="s">
        <v>0</v>
      </c>
      <c r="UVB416" s="1716"/>
      <c r="UVC416" s="1716"/>
      <c r="UVD416" s="1716"/>
      <c r="UVE416" s="1716"/>
      <c r="UVF416" s="244"/>
      <c r="UVG416" s="244" t="s">
        <v>68</v>
      </c>
      <c r="UVH416" s="245" t="s">
        <v>68</v>
      </c>
      <c r="UVI416" s="1715" t="s">
        <v>0</v>
      </c>
      <c r="UVJ416" s="1716"/>
      <c r="UVK416" s="1716"/>
      <c r="UVL416" s="1716"/>
      <c r="UVM416" s="1716"/>
      <c r="UVN416" s="244"/>
      <c r="UVO416" s="244" t="s">
        <v>68</v>
      </c>
      <c r="UVP416" s="245" t="s">
        <v>68</v>
      </c>
      <c r="UVQ416" s="1715" t="s">
        <v>0</v>
      </c>
      <c r="UVR416" s="1716"/>
      <c r="UVS416" s="1716"/>
      <c r="UVT416" s="1716"/>
      <c r="UVU416" s="1716"/>
      <c r="UVV416" s="244"/>
      <c r="UVW416" s="244" t="s">
        <v>68</v>
      </c>
      <c r="UVX416" s="245" t="s">
        <v>68</v>
      </c>
      <c r="UVY416" s="1715" t="s">
        <v>0</v>
      </c>
      <c r="UVZ416" s="1716"/>
      <c r="UWA416" s="1716"/>
      <c r="UWB416" s="1716"/>
      <c r="UWC416" s="1716"/>
      <c r="UWD416" s="244"/>
      <c r="UWE416" s="244" t="s">
        <v>68</v>
      </c>
      <c r="UWF416" s="245" t="s">
        <v>68</v>
      </c>
      <c r="UWG416" s="1715" t="s">
        <v>0</v>
      </c>
      <c r="UWH416" s="1716"/>
      <c r="UWI416" s="1716"/>
      <c r="UWJ416" s="1716"/>
      <c r="UWK416" s="1716"/>
      <c r="UWL416" s="244"/>
      <c r="UWM416" s="244" t="s">
        <v>68</v>
      </c>
      <c r="UWN416" s="245" t="s">
        <v>68</v>
      </c>
      <c r="UWO416" s="1715" t="s">
        <v>0</v>
      </c>
      <c r="UWP416" s="1716"/>
      <c r="UWQ416" s="1716"/>
      <c r="UWR416" s="1716"/>
      <c r="UWS416" s="1716"/>
      <c r="UWT416" s="244"/>
      <c r="UWU416" s="244" t="s">
        <v>68</v>
      </c>
      <c r="UWV416" s="245" t="s">
        <v>68</v>
      </c>
      <c r="UWW416" s="1715" t="s">
        <v>0</v>
      </c>
      <c r="UWX416" s="1716"/>
      <c r="UWY416" s="1716"/>
      <c r="UWZ416" s="1716"/>
      <c r="UXA416" s="1716"/>
      <c r="UXB416" s="244"/>
      <c r="UXC416" s="244" t="s">
        <v>68</v>
      </c>
      <c r="UXD416" s="245" t="s">
        <v>68</v>
      </c>
      <c r="UXE416" s="1715" t="s">
        <v>0</v>
      </c>
      <c r="UXF416" s="1716"/>
      <c r="UXG416" s="1716"/>
      <c r="UXH416" s="1716"/>
      <c r="UXI416" s="1716"/>
      <c r="UXJ416" s="244"/>
      <c r="UXK416" s="244" t="s">
        <v>68</v>
      </c>
      <c r="UXL416" s="245" t="s">
        <v>68</v>
      </c>
      <c r="UXM416" s="1715" t="s">
        <v>0</v>
      </c>
      <c r="UXN416" s="1716"/>
      <c r="UXO416" s="1716"/>
      <c r="UXP416" s="1716"/>
      <c r="UXQ416" s="1716"/>
      <c r="UXR416" s="244"/>
      <c r="UXS416" s="244" t="s">
        <v>68</v>
      </c>
      <c r="UXT416" s="245" t="s">
        <v>68</v>
      </c>
      <c r="UXU416" s="1715" t="s">
        <v>0</v>
      </c>
      <c r="UXV416" s="1716"/>
      <c r="UXW416" s="1716"/>
      <c r="UXX416" s="1716"/>
      <c r="UXY416" s="1716"/>
      <c r="UXZ416" s="244"/>
      <c r="UYA416" s="244" t="s">
        <v>68</v>
      </c>
      <c r="UYB416" s="245" t="s">
        <v>68</v>
      </c>
      <c r="UYC416" s="1715" t="s">
        <v>0</v>
      </c>
      <c r="UYD416" s="1716"/>
      <c r="UYE416" s="1716"/>
      <c r="UYF416" s="1716"/>
      <c r="UYG416" s="1716"/>
      <c r="UYH416" s="244"/>
      <c r="UYI416" s="244" t="s">
        <v>68</v>
      </c>
      <c r="UYJ416" s="245" t="s">
        <v>68</v>
      </c>
      <c r="UYK416" s="1715" t="s">
        <v>0</v>
      </c>
      <c r="UYL416" s="1716"/>
      <c r="UYM416" s="1716"/>
      <c r="UYN416" s="1716"/>
      <c r="UYO416" s="1716"/>
      <c r="UYP416" s="244"/>
      <c r="UYQ416" s="244" t="s">
        <v>68</v>
      </c>
      <c r="UYR416" s="245" t="s">
        <v>68</v>
      </c>
      <c r="UYS416" s="1715" t="s">
        <v>0</v>
      </c>
      <c r="UYT416" s="1716"/>
      <c r="UYU416" s="1716"/>
      <c r="UYV416" s="1716"/>
      <c r="UYW416" s="1716"/>
      <c r="UYX416" s="244"/>
      <c r="UYY416" s="244" t="s">
        <v>68</v>
      </c>
      <c r="UYZ416" s="245" t="s">
        <v>68</v>
      </c>
      <c r="UZA416" s="1715" t="s">
        <v>0</v>
      </c>
      <c r="UZB416" s="1716"/>
      <c r="UZC416" s="1716"/>
      <c r="UZD416" s="1716"/>
      <c r="UZE416" s="1716"/>
      <c r="UZF416" s="244"/>
      <c r="UZG416" s="244" t="s">
        <v>68</v>
      </c>
      <c r="UZH416" s="245" t="s">
        <v>68</v>
      </c>
      <c r="UZI416" s="1715" t="s">
        <v>0</v>
      </c>
      <c r="UZJ416" s="1716"/>
      <c r="UZK416" s="1716"/>
      <c r="UZL416" s="1716"/>
      <c r="UZM416" s="1716"/>
      <c r="UZN416" s="244"/>
      <c r="UZO416" s="244" t="s">
        <v>68</v>
      </c>
      <c r="UZP416" s="245" t="s">
        <v>68</v>
      </c>
      <c r="UZQ416" s="1715" t="s">
        <v>0</v>
      </c>
      <c r="UZR416" s="1716"/>
      <c r="UZS416" s="1716"/>
      <c r="UZT416" s="1716"/>
      <c r="UZU416" s="1716"/>
      <c r="UZV416" s="244"/>
      <c r="UZW416" s="244" t="s">
        <v>68</v>
      </c>
      <c r="UZX416" s="245" t="s">
        <v>68</v>
      </c>
      <c r="UZY416" s="1715" t="s">
        <v>0</v>
      </c>
      <c r="UZZ416" s="1716"/>
      <c r="VAA416" s="1716"/>
      <c r="VAB416" s="1716"/>
      <c r="VAC416" s="1716"/>
      <c r="VAD416" s="244"/>
      <c r="VAE416" s="244" t="s">
        <v>68</v>
      </c>
      <c r="VAF416" s="245" t="s">
        <v>68</v>
      </c>
      <c r="VAG416" s="1715" t="s">
        <v>0</v>
      </c>
      <c r="VAH416" s="1716"/>
      <c r="VAI416" s="1716"/>
      <c r="VAJ416" s="1716"/>
      <c r="VAK416" s="1716"/>
      <c r="VAL416" s="244"/>
      <c r="VAM416" s="244" t="s">
        <v>68</v>
      </c>
      <c r="VAN416" s="245" t="s">
        <v>68</v>
      </c>
      <c r="VAO416" s="1715" t="s">
        <v>0</v>
      </c>
      <c r="VAP416" s="1716"/>
      <c r="VAQ416" s="1716"/>
      <c r="VAR416" s="1716"/>
      <c r="VAS416" s="1716"/>
      <c r="VAT416" s="244"/>
      <c r="VAU416" s="244" t="s">
        <v>68</v>
      </c>
      <c r="VAV416" s="245" t="s">
        <v>68</v>
      </c>
      <c r="VAW416" s="1715" t="s">
        <v>0</v>
      </c>
      <c r="VAX416" s="1716"/>
      <c r="VAY416" s="1716"/>
      <c r="VAZ416" s="1716"/>
      <c r="VBA416" s="1716"/>
      <c r="VBB416" s="244"/>
      <c r="VBC416" s="244" t="s">
        <v>68</v>
      </c>
      <c r="VBD416" s="245" t="s">
        <v>68</v>
      </c>
      <c r="VBE416" s="1715" t="s">
        <v>0</v>
      </c>
      <c r="VBF416" s="1716"/>
      <c r="VBG416" s="1716"/>
      <c r="VBH416" s="1716"/>
      <c r="VBI416" s="1716"/>
      <c r="VBJ416" s="244"/>
      <c r="VBK416" s="244" t="s">
        <v>68</v>
      </c>
      <c r="VBL416" s="245" t="s">
        <v>68</v>
      </c>
      <c r="VBM416" s="1715" t="s">
        <v>0</v>
      </c>
      <c r="VBN416" s="1716"/>
      <c r="VBO416" s="1716"/>
      <c r="VBP416" s="1716"/>
      <c r="VBQ416" s="1716"/>
      <c r="VBR416" s="244"/>
      <c r="VBS416" s="244" t="s">
        <v>68</v>
      </c>
      <c r="VBT416" s="245" t="s">
        <v>68</v>
      </c>
      <c r="VBU416" s="1715" t="s">
        <v>0</v>
      </c>
      <c r="VBV416" s="1716"/>
      <c r="VBW416" s="1716"/>
      <c r="VBX416" s="1716"/>
      <c r="VBY416" s="1716"/>
      <c r="VBZ416" s="244"/>
      <c r="VCA416" s="244" t="s">
        <v>68</v>
      </c>
      <c r="VCB416" s="245" t="s">
        <v>68</v>
      </c>
      <c r="VCC416" s="1715" t="s">
        <v>0</v>
      </c>
      <c r="VCD416" s="1716"/>
      <c r="VCE416" s="1716"/>
      <c r="VCF416" s="1716"/>
      <c r="VCG416" s="1716"/>
      <c r="VCH416" s="244"/>
      <c r="VCI416" s="244" t="s">
        <v>68</v>
      </c>
      <c r="VCJ416" s="245" t="s">
        <v>68</v>
      </c>
      <c r="VCK416" s="1715" t="s">
        <v>0</v>
      </c>
      <c r="VCL416" s="1716"/>
      <c r="VCM416" s="1716"/>
      <c r="VCN416" s="1716"/>
      <c r="VCO416" s="1716"/>
      <c r="VCP416" s="244"/>
      <c r="VCQ416" s="244" t="s">
        <v>68</v>
      </c>
      <c r="VCR416" s="245" t="s">
        <v>68</v>
      </c>
      <c r="VCS416" s="1715" t="s">
        <v>0</v>
      </c>
      <c r="VCT416" s="1716"/>
      <c r="VCU416" s="1716"/>
      <c r="VCV416" s="1716"/>
      <c r="VCW416" s="1716"/>
      <c r="VCX416" s="244"/>
      <c r="VCY416" s="244" t="s">
        <v>68</v>
      </c>
      <c r="VCZ416" s="245" t="s">
        <v>68</v>
      </c>
      <c r="VDA416" s="1715" t="s">
        <v>0</v>
      </c>
      <c r="VDB416" s="1716"/>
      <c r="VDC416" s="1716"/>
      <c r="VDD416" s="1716"/>
      <c r="VDE416" s="1716"/>
      <c r="VDF416" s="244"/>
      <c r="VDG416" s="244" t="s">
        <v>68</v>
      </c>
      <c r="VDH416" s="245" t="s">
        <v>68</v>
      </c>
      <c r="VDI416" s="1715" t="s">
        <v>0</v>
      </c>
      <c r="VDJ416" s="1716"/>
      <c r="VDK416" s="1716"/>
      <c r="VDL416" s="1716"/>
      <c r="VDM416" s="1716"/>
      <c r="VDN416" s="244"/>
      <c r="VDO416" s="244" t="s">
        <v>68</v>
      </c>
      <c r="VDP416" s="245" t="s">
        <v>68</v>
      </c>
      <c r="VDQ416" s="1715" t="s">
        <v>0</v>
      </c>
      <c r="VDR416" s="1716"/>
      <c r="VDS416" s="1716"/>
      <c r="VDT416" s="1716"/>
      <c r="VDU416" s="1716"/>
      <c r="VDV416" s="244"/>
      <c r="VDW416" s="244" t="s">
        <v>68</v>
      </c>
      <c r="VDX416" s="245" t="s">
        <v>68</v>
      </c>
      <c r="VDY416" s="1715" t="s">
        <v>0</v>
      </c>
      <c r="VDZ416" s="1716"/>
      <c r="VEA416" s="1716"/>
      <c r="VEB416" s="1716"/>
      <c r="VEC416" s="1716"/>
      <c r="VED416" s="244"/>
      <c r="VEE416" s="244" t="s">
        <v>68</v>
      </c>
      <c r="VEF416" s="245" t="s">
        <v>68</v>
      </c>
      <c r="VEG416" s="1715" t="s">
        <v>0</v>
      </c>
      <c r="VEH416" s="1716"/>
      <c r="VEI416" s="1716"/>
      <c r="VEJ416" s="1716"/>
      <c r="VEK416" s="1716"/>
      <c r="VEL416" s="244"/>
      <c r="VEM416" s="244" t="s">
        <v>68</v>
      </c>
      <c r="VEN416" s="245" t="s">
        <v>68</v>
      </c>
      <c r="VEO416" s="1715" t="s">
        <v>0</v>
      </c>
      <c r="VEP416" s="1716"/>
      <c r="VEQ416" s="1716"/>
      <c r="VER416" s="1716"/>
      <c r="VES416" s="1716"/>
      <c r="VET416" s="244"/>
      <c r="VEU416" s="244" t="s">
        <v>68</v>
      </c>
      <c r="VEV416" s="245" t="s">
        <v>68</v>
      </c>
      <c r="VEW416" s="1715" t="s">
        <v>0</v>
      </c>
      <c r="VEX416" s="1716"/>
      <c r="VEY416" s="1716"/>
      <c r="VEZ416" s="1716"/>
      <c r="VFA416" s="1716"/>
      <c r="VFB416" s="244"/>
      <c r="VFC416" s="244" t="s">
        <v>68</v>
      </c>
      <c r="VFD416" s="245" t="s">
        <v>68</v>
      </c>
      <c r="VFE416" s="1715" t="s">
        <v>0</v>
      </c>
      <c r="VFF416" s="1716"/>
      <c r="VFG416" s="1716"/>
      <c r="VFH416" s="1716"/>
      <c r="VFI416" s="1716"/>
      <c r="VFJ416" s="244"/>
      <c r="VFK416" s="244" t="s">
        <v>68</v>
      </c>
      <c r="VFL416" s="245" t="s">
        <v>68</v>
      </c>
      <c r="VFM416" s="1715" t="s">
        <v>0</v>
      </c>
      <c r="VFN416" s="1716"/>
      <c r="VFO416" s="1716"/>
      <c r="VFP416" s="1716"/>
      <c r="VFQ416" s="1716"/>
      <c r="VFR416" s="244"/>
      <c r="VFS416" s="244" t="s">
        <v>68</v>
      </c>
      <c r="VFT416" s="245" t="s">
        <v>68</v>
      </c>
      <c r="VFU416" s="1715" t="s">
        <v>0</v>
      </c>
      <c r="VFV416" s="1716"/>
      <c r="VFW416" s="1716"/>
      <c r="VFX416" s="1716"/>
      <c r="VFY416" s="1716"/>
      <c r="VFZ416" s="244"/>
      <c r="VGA416" s="244" t="s">
        <v>68</v>
      </c>
      <c r="VGB416" s="245" t="s">
        <v>68</v>
      </c>
      <c r="VGC416" s="1715" t="s">
        <v>0</v>
      </c>
      <c r="VGD416" s="1716"/>
      <c r="VGE416" s="1716"/>
      <c r="VGF416" s="1716"/>
      <c r="VGG416" s="1716"/>
      <c r="VGH416" s="244"/>
      <c r="VGI416" s="244" t="s">
        <v>68</v>
      </c>
      <c r="VGJ416" s="245" t="s">
        <v>68</v>
      </c>
      <c r="VGK416" s="1715" t="s">
        <v>0</v>
      </c>
      <c r="VGL416" s="1716"/>
      <c r="VGM416" s="1716"/>
      <c r="VGN416" s="1716"/>
      <c r="VGO416" s="1716"/>
      <c r="VGP416" s="244"/>
      <c r="VGQ416" s="244" t="s">
        <v>68</v>
      </c>
      <c r="VGR416" s="245" t="s">
        <v>68</v>
      </c>
      <c r="VGS416" s="1715" t="s">
        <v>0</v>
      </c>
      <c r="VGT416" s="1716"/>
      <c r="VGU416" s="1716"/>
      <c r="VGV416" s="1716"/>
      <c r="VGW416" s="1716"/>
      <c r="VGX416" s="244"/>
      <c r="VGY416" s="244" t="s">
        <v>68</v>
      </c>
      <c r="VGZ416" s="245" t="s">
        <v>68</v>
      </c>
      <c r="VHA416" s="1715" t="s">
        <v>0</v>
      </c>
      <c r="VHB416" s="1716"/>
      <c r="VHC416" s="1716"/>
      <c r="VHD416" s="1716"/>
      <c r="VHE416" s="1716"/>
      <c r="VHF416" s="244"/>
      <c r="VHG416" s="244" t="s">
        <v>68</v>
      </c>
      <c r="VHH416" s="245" t="s">
        <v>68</v>
      </c>
      <c r="VHI416" s="1715" t="s">
        <v>0</v>
      </c>
      <c r="VHJ416" s="1716"/>
      <c r="VHK416" s="1716"/>
      <c r="VHL416" s="1716"/>
      <c r="VHM416" s="1716"/>
      <c r="VHN416" s="244"/>
      <c r="VHO416" s="244" t="s">
        <v>68</v>
      </c>
      <c r="VHP416" s="245" t="s">
        <v>68</v>
      </c>
      <c r="VHQ416" s="1715" t="s">
        <v>0</v>
      </c>
      <c r="VHR416" s="1716"/>
      <c r="VHS416" s="1716"/>
      <c r="VHT416" s="1716"/>
      <c r="VHU416" s="1716"/>
      <c r="VHV416" s="244"/>
      <c r="VHW416" s="244" t="s">
        <v>68</v>
      </c>
      <c r="VHX416" s="245" t="s">
        <v>68</v>
      </c>
      <c r="VHY416" s="1715" t="s">
        <v>0</v>
      </c>
      <c r="VHZ416" s="1716"/>
      <c r="VIA416" s="1716"/>
      <c r="VIB416" s="1716"/>
      <c r="VIC416" s="1716"/>
      <c r="VID416" s="244"/>
      <c r="VIE416" s="244" t="s">
        <v>68</v>
      </c>
      <c r="VIF416" s="245" t="s">
        <v>68</v>
      </c>
      <c r="VIG416" s="1715" t="s">
        <v>0</v>
      </c>
      <c r="VIH416" s="1716"/>
      <c r="VII416" s="1716"/>
      <c r="VIJ416" s="1716"/>
      <c r="VIK416" s="1716"/>
      <c r="VIL416" s="244"/>
      <c r="VIM416" s="244" t="s">
        <v>68</v>
      </c>
      <c r="VIN416" s="245" t="s">
        <v>68</v>
      </c>
      <c r="VIO416" s="1715" t="s">
        <v>0</v>
      </c>
      <c r="VIP416" s="1716"/>
      <c r="VIQ416" s="1716"/>
      <c r="VIR416" s="1716"/>
      <c r="VIS416" s="1716"/>
      <c r="VIT416" s="244"/>
      <c r="VIU416" s="244" t="s">
        <v>68</v>
      </c>
      <c r="VIV416" s="245" t="s">
        <v>68</v>
      </c>
      <c r="VIW416" s="1715" t="s">
        <v>0</v>
      </c>
      <c r="VIX416" s="1716"/>
      <c r="VIY416" s="1716"/>
      <c r="VIZ416" s="1716"/>
      <c r="VJA416" s="1716"/>
      <c r="VJB416" s="244"/>
      <c r="VJC416" s="244" t="s">
        <v>68</v>
      </c>
      <c r="VJD416" s="245" t="s">
        <v>68</v>
      </c>
      <c r="VJE416" s="1715" t="s">
        <v>0</v>
      </c>
      <c r="VJF416" s="1716"/>
      <c r="VJG416" s="1716"/>
      <c r="VJH416" s="1716"/>
      <c r="VJI416" s="1716"/>
      <c r="VJJ416" s="244"/>
      <c r="VJK416" s="244" t="s">
        <v>68</v>
      </c>
      <c r="VJL416" s="245" t="s">
        <v>68</v>
      </c>
      <c r="VJM416" s="1715" t="s">
        <v>0</v>
      </c>
      <c r="VJN416" s="1716"/>
      <c r="VJO416" s="1716"/>
      <c r="VJP416" s="1716"/>
      <c r="VJQ416" s="1716"/>
      <c r="VJR416" s="244"/>
      <c r="VJS416" s="244" t="s">
        <v>68</v>
      </c>
      <c r="VJT416" s="245" t="s">
        <v>68</v>
      </c>
      <c r="VJU416" s="1715" t="s">
        <v>0</v>
      </c>
      <c r="VJV416" s="1716"/>
      <c r="VJW416" s="1716"/>
      <c r="VJX416" s="1716"/>
      <c r="VJY416" s="1716"/>
      <c r="VJZ416" s="244"/>
      <c r="VKA416" s="244" t="s">
        <v>68</v>
      </c>
      <c r="VKB416" s="245" t="s">
        <v>68</v>
      </c>
      <c r="VKC416" s="1715" t="s">
        <v>0</v>
      </c>
      <c r="VKD416" s="1716"/>
      <c r="VKE416" s="1716"/>
      <c r="VKF416" s="1716"/>
      <c r="VKG416" s="1716"/>
      <c r="VKH416" s="244"/>
      <c r="VKI416" s="244" t="s">
        <v>68</v>
      </c>
      <c r="VKJ416" s="245" t="s">
        <v>68</v>
      </c>
      <c r="VKK416" s="1715" t="s">
        <v>0</v>
      </c>
      <c r="VKL416" s="1716"/>
      <c r="VKM416" s="1716"/>
      <c r="VKN416" s="1716"/>
      <c r="VKO416" s="1716"/>
      <c r="VKP416" s="244"/>
      <c r="VKQ416" s="244" t="s">
        <v>68</v>
      </c>
      <c r="VKR416" s="245" t="s">
        <v>68</v>
      </c>
      <c r="VKS416" s="1715" t="s">
        <v>0</v>
      </c>
      <c r="VKT416" s="1716"/>
      <c r="VKU416" s="1716"/>
      <c r="VKV416" s="1716"/>
      <c r="VKW416" s="1716"/>
      <c r="VKX416" s="244"/>
      <c r="VKY416" s="244" t="s">
        <v>68</v>
      </c>
      <c r="VKZ416" s="245" t="s">
        <v>68</v>
      </c>
      <c r="VLA416" s="1715" t="s">
        <v>0</v>
      </c>
      <c r="VLB416" s="1716"/>
      <c r="VLC416" s="1716"/>
      <c r="VLD416" s="1716"/>
      <c r="VLE416" s="1716"/>
      <c r="VLF416" s="244"/>
      <c r="VLG416" s="244" t="s">
        <v>68</v>
      </c>
      <c r="VLH416" s="245" t="s">
        <v>68</v>
      </c>
      <c r="VLI416" s="1715" t="s">
        <v>0</v>
      </c>
      <c r="VLJ416" s="1716"/>
      <c r="VLK416" s="1716"/>
      <c r="VLL416" s="1716"/>
      <c r="VLM416" s="1716"/>
      <c r="VLN416" s="244"/>
      <c r="VLO416" s="244" t="s">
        <v>68</v>
      </c>
      <c r="VLP416" s="245" t="s">
        <v>68</v>
      </c>
      <c r="VLQ416" s="1715" t="s">
        <v>0</v>
      </c>
      <c r="VLR416" s="1716"/>
      <c r="VLS416" s="1716"/>
      <c r="VLT416" s="1716"/>
      <c r="VLU416" s="1716"/>
      <c r="VLV416" s="244"/>
      <c r="VLW416" s="244" t="s">
        <v>68</v>
      </c>
      <c r="VLX416" s="245" t="s">
        <v>68</v>
      </c>
      <c r="VLY416" s="1715" t="s">
        <v>0</v>
      </c>
      <c r="VLZ416" s="1716"/>
      <c r="VMA416" s="1716"/>
      <c r="VMB416" s="1716"/>
      <c r="VMC416" s="1716"/>
      <c r="VMD416" s="244"/>
      <c r="VME416" s="244" t="s">
        <v>68</v>
      </c>
      <c r="VMF416" s="245" t="s">
        <v>68</v>
      </c>
      <c r="VMG416" s="1715" t="s">
        <v>0</v>
      </c>
      <c r="VMH416" s="1716"/>
      <c r="VMI416" s="1716"/>
      <c r="VMJ416" s="1716"/>
      <c r="VMK416" s="1716"/>
      <c r="VML416" s="244"/>
      <c r="VMM416" s="244" t="s">
        <v>68</v>
      </c>
      <c r="VMN416" s="245" t="s">
        <v>68</v>
      </c>
      <c r="VMO416" s="1715" t="s">
        <v>0</v>
      </c>
      <c r="VMP416" s="1716"/>
      <c r="VMQ416" s="1716"/>
      <c r="VMR416" s="1716"/>
      <c r="VMS416" s="1716"/>
      <c r="VMT416" s="244"/>
      <c r="VMU416" s="244" t="s">
        <v>68</v>
      </c>
      <c r="VMV416" s="245" t="s">
        <v>68</v>
      </c>
      <c r="VMW416" s="1715" t="s">
        <v>0</v>
      </c>
      <c r="VMX416" s="1716"/>
      <c r="VMY416" s="1716"/>
      <c r="VMZ416" s="1716"/>
      <c r="VNA416" s="1716"/>
      <c r="VNB416" s="244"/>
      <c r="VNC416" s="244" t="s">
        <v>68</v>
      </c>
      <c r="VND416" s="245" t="s">
        <v>68</v>
      </c>
      <c r="VNE416" s="1715" t="s">
        <v>0</v>
      </c>
      <c r="VNF416" s="1716"/>
      <c r="VNG416" s="1716"/>
      <c r="VNH416" s="1716"/>
      <c r="VNI416" s="1716"/>
      <c r="VNJ416" s="244"/>
      <c r="VNK416" s="244" t="s">
        <v>68</v>
      </c>
      <c r="VNL416" s="245" t="s">
        <v>68</v>
      </c>
      <c r="VNM416" s="1715" t="s">
        <v>0</v>
      </c>
      <c r="VNN416" s="1716"/>
      <c r="VNO416" s="1716"/>
      <c r="VNP416" s="1716"/>
      <c r="VNQ416" s="1716"/>
      <c r="VNR416" s="244"/>
      <c r="VNS416" s="244" t="s">
        <v>68</v>
      </c>
      <c r="VNT416" s="245" t="s">
        <v>68</v>
      </c>
      <c r="VNU416" s="1715" t="s">
        <v>0</v>
      </c>
      <c r="VNV416" s="1716"/>
      <c r="VNW416" s="1716"/>
      <c r="VNX416" s="1716"/>
      <c r="VNY416" s="1716"/>
      <c r="VNZ416" s="244"/>
      <c r="VOA416" s="244" t="s">
        <v>68</v>
      </c>
      <c r="VOB416" s="245" t="s">
        <v>68</v>
      </c>
      <c r="VOC416" s="1715" t="s">
        <v>0</v>
      </c>
      <c r="VOD416" s="1716"/>
      <c r="VOE416" s="1716"/>
      <c r="VOF416" s="1716"/>
      <c r="VOG416" s="1716"/>
      <c r="VOH416" s="244"/>
      <c r="VOI416" s="244" t="s">
        <v>68</v>
      </c>
      <c r="VOJ416" s="245" t="s">
        <v>68</v>
      </c>
      <c r="VOK416" s="1715" t="s">
        <v>0</v>
      </c>
      <c r="VOL416" s="1716"/>
      <c r="VOM416" s="1716"/>
      <c r="VON416" s="1716"/>
      <c r="VOO416" s="1716"/>
      <c r="VOP416" s="244"/>
      <c r="VOQ416" s="244" t="s">
        <v>68</v>
      </c>
      <c r="VOR416" s="245" t="s">
        <v>68</v>
      </c>
      <c r="VOS416" s="1715" t="s">
        <v>0</v>
      </c>
      <c r="VOT416" s="1716"/>
      <c r="VOU416" s="1716"/>
      <c r="VOV416" s="1716"/>
      <c r="VOW416" s="1716"/>
      <c r="VOX416" s="244"/>
      <c r="VOY416" s="244" t="s">
        <v>68</v>
      </c>
      <c r="VOZ416" s="245" t="s">
        <v>68</v>
      </c>
      <c r="VPA416" s="1715" t="s">
        <v>0</v>
      </c>
      <c r="VPB416" s="1716"/>
      <c r="VPC416" s="1716"/>
      <c r="VPD416" s="1716"/>
      <c r="VPE416" s="1716"/>
      <c r="VPF416" s="244"/>
      <c r="VPG416" s="244" t="s">
        <v>68</v>
      </c>
      <c r="VPH416" s="245" t="s">
        <v>68</v>
      </c>
      <c r="VPI416" s="1715" t="s">
        <v>0</v>
      </c>
      <c r="VPJ416" s="1716"/>
      <c r="VPK416" s="1716"/>
      <c r="VPL416" s="1716"/>
      <c r="VPM416" s="1716"/>
      <c r="VPN416" s="244"/>
      <c r="VPO416" s="244" t="s">
        <v>68</v>
      </c>
      <c r="VPP416" s="245" t="s">
        <v>68</v>
      </c>
      <c r="VPQ416" s="1715" t="s">
        <v>0</v>
      </c>
      <c r="VPR416" s="1716"/>
      <c r="VPS416" s="1716"/>
      <c r="VPT416" s="1716"/>
      <c r="VPU416" s="1716"/>
      <c r="VPV416" s="244"/>
      <c r="VPW416" s="244" t="s">
        <v>68</v>
      </c>
      <c r="VPX416" s="245" t="s">
        <v>68</v>
      </c>
      <c r="VPY416" s="1715" t="s">
        <v>0</v>
      </c>
      <c r="VPZ416" s="1716"/>
      <c r="VQA416" s="1716"/>
      <c r="VQB416" s="1716"/>
      <c r="VQC416" s="1716"/>
      <c r="VQD416" s="244"/>
      <c r="VQE416" s="244" t="s">
        <v>68</v>
      </c>
      <c r="VQF416" s="245" t="s">
        <v>68</v>
      </c>
      <c r="VQG416" s="1715" t="s">
        <v>0</v>
      </c>
      <c r="VQH416" s="1716"/>
      <c r="VQI416" s="1716"/>
      <c r="VQJ416" s="1716"/>
      <c r="VQK416" s="1716"/>
      <c r="VQL416" s="244"/>
      <c r="VQM416" s="244" t="s">
        <v>68</v>
      </c>
      <c r="VQN416" s="245" t="s">
        <v>68</v>
      </c>
      <c r="VQO416" s="1715" t="s">
        <v>0</v>
      </c>
      <c r="VQP416" s="1716"/>
      <c r="VQQ416" s="1716"/>
      <c r="VQR416" s="1716"/>
      <c r="VQS416" s="1716"/>
      <c r="VQT416" s="244"/>
      <c r="VQU416" s="244" t="s">
        <v>68</v>
      </c>
      <c r="VQV416" s="245" t="s">
        <v>68</v>
      </c>
      <c r="VQW416" s="1715" t="s">
        <v>0</v>
      </c>
      <c r="VQX416" s="1716"/>
      <c r="VQY416" s="1716"/>
      <c r="VQZ416" s="1716"/>
      <c r="VRA416" s="1716"/>
      <c r="VRB416" s="244"/>
      <c r="VRC416" s="244" t="s">
        <v>68</v>
      </c>
      <c r="VRD416" s="245" t="s">
        <v>68</v>
      </c>
      <c r="VRE416" s="1715" t="s">
        <v>0</v>
      </c>
      <c r="VRF416" s="1716"/>
      <c r="VRG416" s="1716"/>
      <c r="VRH416" s="1716"/>
      <c r="VRI416" s="1716"/>
      <c r="VRJ416" s="244"/>
      <c r="VRK416" s="244" t="s">
        <v>68</v>
      </c>
      <c r="VRL416" s="245" t="s">
        <v>68</v>
      </c>
      <c r="VRM416" s="1715" t="s">
        <v>0</v>
      </c>
      <c r="VRN416" s="1716"/>
      <c r="VRO416" s="1716"/>
      <c r="VRP416" s="1716"/>
      <c r="VRQ416" s="1716"/>
      <c r="VRR416" s="244"/>
      <c r="VRS416" s="244" t="s">
        <v>68</v>
      </c>
      <c r="VRT416" s="245" t="s">
        <v>68</v>
      </c>
      <c r="VRU416" s="1715" t="s">
        <v>0</v>
      </c>
      <c r="VRV416" s="1716"/>
      <c r="VRW416" s="1716"/>
      <c r="VRX416" s="1716"/>
      <c r="VRY416" s="1716"/>
      <c r="VRZ416" s="244"/>
      <c r="VSA416" s="244" t="s">
        <v>68</v>
      </c>
      <c r="VSB416" s="245" t="s">
        <v>68</v>
      </c>
      <c r="VSC416" s="1715" t="s">
        <v>0</v>
      </c>
      <c r="VSD416" s="1716"/>
      <c r="VSE416" s="1716"/>
      <c r="VSF416" s="1716"/>
      <c r="VSG416" s="1716"/>
      <c r="VSH416" s="244"/>
      <c r="VSI416" s="244" t="s">
        <v>68</v>
      </c>
      <c r="VSJ416" s="245" t="s">
        <v>68</v>
      </c>
      <c r="VSK416" s="1715" t="s">
        <v>0</v>
      </c>
      <c r="VSL416" s="1716"/>
      <c r="VSM416" s="1716"/>
      <c r="VSN416" s="1716"/>
      <c r="VSO416" s="1716"/>
      <c r="VSP416" s="244"/>
      <c r="VSQ416" s="244" t="s">
        <v>68</v>
      </c>
      <c r="VSR416" s="245" t="s">
        <v>68</v>
      </c>
      <c r="VSS416" s="1715" t="s">
        <v>0</v>
      </c>
      <c r="VST416" s="1716"/>
      <c r="VSU416" s="1716"/>
      <c r="VSV416" s="1716"/>
      <c r="VSW416" s="1716"/>
      <c r="VSX416" s="244"/>
      <c r="VSY416" s="244" t="s">
        <v>68</v>
      </c>
      <c r="VSZ416" s="245" t="s">
        <v>68</v>
      </c>
      <c r="VTA416" s="1715" t="s">
        <v>0</v>
      </c>
      <c r="VTB416" s="1716"/>
      <c r="VTC416" s="1716"/>
      <c r="VTD416" s="1716"/>
      <c r="VTE416" s="1716"/>
      <c r="VTF416" s="244"/>
      <c r="VTG416" s="244" t="s">
        <v>68</v>
      </c>
      <c r="VTH416" s="245" t="s">
        <v>68</v>
      </c>
      <c r="VTI416" s="1715" t="s">
        <v>0</v>
      </c>
      <c r="VTJ416" s="1716"/>
      <c r="VTK416" s="1716"/>
      <c r="VTL416" s="1716"/>
      <c r="VTM416" s="1716"/>
      <c r="VTN416" s="244"/>
      <c r="VTO416" s="244" t="s">
        <v>68</v>
      </c>
      <c r="VTP416" s="245" t="s">
        <v>68</v>
      </c>
      <c r="VTQ416" s="1715" t="s">
        <v>0</v>
      </c>
      <c r="VTR416" s="1716"/>
      <c r="VTS416" s="1716"/>
      <c r="VTT416" s="1716"/>
      <c r="VTU416" s="1716"/>
      <c r="VTV416" s="244"/>
      <c r="VTW416" s="244" t="s">
        <v>68</v>
      </c>
      <c r="VTX416" s="245" t="s">
        <v>68</v>
      </c>
      <c r="VTY416" s="1715" t="s">
        <v>0</v>
      </c>
      <c r="VTZ416" s="1716"/>
      <c r="VUA416" s="1716"/>
      <c r="VUB416" s="1716"/>
      <c r="VUC416" s="1716"/>
      <c r="VUD416" s="244"/>
      <c r="VUE416" s="244" t="s">
        <v>68</v>
      </c>
      <c r="VUF416" s="245" t="s">
        <v>68</v>
      </c>
      <c r="VUG416" s="1715" t="s">
        <v>0</v>
      </c>
      <c r="VUH416" s="1716"/>
      <c r="VUI416" s="1716"/>
      <c r="VUJ416" s="1716"/>
      <c r="VUK416" s="1716"/>
      <c r="VUL416" s="244"/>
      <c r="VUM416" s="244" t="s">
        <v>68</v>
      </c>
      <c r="VUN416" s="245" t="s">
        <v>68</v>
      </c>
      <c r="VUO416" s="1715" t="s">
        <v>0</v>
      </c>
      <c r="VUP416" s="1716"/>
      <c r="VUQ416" s="1716"/>
      <c r="VUR416" s="1716"/>
      <c r="VUS416" s="1716"/>
      <c r="VUT416" s="244"/>
      <c r="VUU416" s="244" t="s">
        <v>68</v>
      </c>
      <c r="VUV416" s="245" t="s">
        <v>68</v>
      </c>
      <c r="VUW416" s="1715" t="s">
        <v>0</v>
      </c>
      <c r="VUX416" s="1716"/>
      <c r="VUY416" s="1716"/>
      <c r="VUZ416" s="1716"/>
      <c r="VVA416" s="1716"/>
      <c r="VVB416" s="244"/>
      <c r="VVC416" s="244" t="s">
        <v>68</v>
      </c>
      <c r="VVD416" s="245" t="s">
        <v>68</v>
      </c>
      <c r="VVE416" s="1715" t="s">
        <v>0</v>
      </c>
      <c r="VVF416" s="1716"/>
      <c r="VVG416" s="1716"/>
      <c r="VVH416" s="1716"/>
      <c r="VVI416" s="1716"/>
      <c r="VVJ416" s="244"/>
      <c r="VVK416" s="244" t="s">
        <v>68</v>
      </c>
      <c r="VVL416" s="245" t="s">
        <v>68</v>
      </c>
      <c r="VVM416" s="1715" t="s">
        <v>0</v>
      </c>
      <c r="VVN416" s="1716"/>
      <c r="VVO416" s="1716"/>
      <c r="VVP416" s="1716"/>
      <c r="VVQ416" s="1716"/>
      <c r="VVR416" s="244"/>
      <c r="VVS416" s="244" t="s">
        <v>68</v>
      </c>
      <c r="VVT416" s="245" t="s">
        <v>68</v>
      </c>
      <c r="VVU416" s="1715" t="s">
        <v>0</v>
      </c>
      <c r="VVV416" s="1716"/>
      <c r="VVW416" s="1716"/>
      <c r="VVX416" s="1716"/>
      <c r="VVY416" s="1716"/>
      <c r="VVZ416" s="244"/>
      <c r="VWA416" s="244" t="s">
        <v>68</v>
      </c>
      <c r="VWB416" s="245" t="s">
        <v>68</v>
      </c>
      <c r="VWC416" s="1715" t="s">
        <v>0</v>
      </c>
      <c r="VWD416" s="1716"/>
      <c r="VWE416" s="1716"/>
      <c r="VWF416" s="1716"/>
      <c r="VWG416" s="1716"/>
      <c r="VWH416" s="244"/>
      <c r="VWI416" s="244" t="s">
        <v>68</v>
      </c>
      <c r="VWJ416" s="245" t="s">
        <v>68</v>
      </c>
      <c r="VWK416" s="1715" t="s">
        <v>0</v>
      </c>
      <c r="VWL416" s="1716"/>
      <c r="VWM416" s="1716"/>
      <c r="VWN416" s="1716"/>
      <c r="VWO416" s="1716"/>
      <c r="VWP416" s="244"/>
      <c r="VWQ416" s="244" t="s">
        <v>68</v>
      </c>
      <c r="VWR416" s="245" t="s">
        <v>68</v>
      </c>
      <c r="VWS416" s="1715" t="s">
        <v>0</v>
      </c>
      <c r="VWT416" s="1716"/>
      <c r="VWU416" s="1716"/>
      <c r="VWV416" s="1716"/>
      <c r="VWW416" s="1716"/>
      <c r="VWX416" s="244"/>
      <c r="VWY416" s="244" t="s">
        <v>68</v>
      </c>
      <c r="VWZ416" s="245" t="s">
        <v>68</v>
      </c>
      <c r="VXA416" s="1715" t="s">
        <v>0</v>
      </c>
      <c r="VXB416" s="1716"/>
      <c r="VXC416" s="1716"/>
      <c r="VXD416" s="1716"/>
      <c r="VXE416" s="1716"/>
      <c r="VXF416" s="244"/>
      <c r="VXG416" s="244" t="s">
        <v>68</v>
      </c>
      <c r="VXH416" s="245" t="s">
        <v>68</v>
      </c>
      <c r="VXI416" s="1715" t="s">
        <v>0</v>
      </c>
      <c r="VXJ416" s="1716"/>
      <c r="VXK416" s="1716"/>
      <c r="VXL416" s="1716"/>
      <c r="VXM416" s="1716"/>
      <c r="VXN416" s="244"/>
      <c r="VXO416" s="244" t="s">
        <v>68</v>
      </c>
      <c r="VXP416" s="245" t="s">
        <v>68</v>
      </c>
      <c r="VXQ416" s="1715" t="s">
        <v>0</v>
      </c>
      <c r="VXR416" s="1716"/>
      <c r="VXS416" s="1716"/>
      <c r="VXT416" s="1716"/>
      <c r="VXU416" s="1716"/>
      <c r="VXV416" s="244"/>
      <c r="VXW416" s="244" t="s">
        <v>68</v>
      </c>
      <c r="VXX416" s="245" t="s">
        <v>68</v>
      </c>
      <c r="VXY416" s="1715" t="s">
        <v>0</v>
      </c>
      <c r="VXZ416" s="1716"/>
      <c r="VYA416" s="1716"/>
      <c r="VYB416" s="1716"/>
      <c r="VYC416" s="1716"/>
      <c r="VYD416" s="244"/>
      <c r="VYE416" s="244" t="s">
        <v>68</v>
      </c>
      <c r="VYF416" s="245" t="s">
        <v>68</v>
      </c>
      <c r="VYG416" s="1715" t="s">
        <v>0</v>
      </c>
      <c r="VYH416" s="1716"/>
      <c r="VYI416" s="1716"/>
      <c r="VYJ416" s="1716"/>
      <c r="VYK416" s="1716"/>
      <c r="VYL416" s="244"/>
      <c r="VYM416" s="244" t="s">
        <v>68</v>
      </c>
      <c r="VYN416" s="245" t="s">
        <v>68</v>
      </c>
      <c r="VYO416" s="1715" t="s">
        <v>0</v>
      </c>
      <c r="VYP416" s="1716"/>
      <c r="VYQ416" s="1716"/>
      <c r="VYR416" s="1716"/>
      <c r="VYS416" s="1716"/>
      <c r="VYT416" s="244"/>
      <c r="VYU416" s="244" t="s">
        <v>68</v>
      </c>
      <c r="VYV416" s="245" t="s">
        <v>68</v>
      </c>
      <c r="VYW416" s="1715" t="s">
        <v>0</v>
      </c>
      <c r="VYX416" s="1716"/>
      <c r="VYY416" s="1716"/>
      <c r="VYZ416" s="1716"/>
      <c r="VZA416" s="1716"/>
      <c r="VZB416" s="244"/>
      <c r="VZC416" s="244" t="s">
        <v>68</v>
      </c>
      <c r="VZD416" s="245" t="s">
        <v>68</v>
      </c>
      <c r="VZE416" s="1715" t="s">
        <v>0</v>
      </c>
      <c r="VZF416" s="1716"/>
      <c r="VZG416" s="1716"/>
      <c r="VZH416" s="1716"/>
      <c r="VZI416" s="1716"/>
      <c r="VZJ416" s="244"/>
      <c r="VZK416" s="244" t="s">
        <v>68</v>
      </c>
      <c r="VZL416" s="245" t="s">
        <v>68</v>
      </c>
      <c r="VZM416" s="1715" t="s">
        <v>0</v>
      </c>
      <c r="VZN416" s="1716"/>
      <c r="VZO416" s="1716"/>
      <c r="VZP416" s="1716"/>
      <c r="VZQ416" s="1716"/>
      <c r="VZR416" s="244"/>
      <c r="VZS416" s="244" t="s">
        <v>68</v>
      </c>
      <c r="VZT416" s="245" t="s">
        <v>68</v>
      </c>
      <c r="VZU416" s="1715" t="s">
        <v>0</v>
      </c>
      <c r="VZV416" s="1716"/>
      <c r="VZW416" s="1716"/>
      <c r="VZX416" s="1716"/>
      <c r="VZY416" s="1716"/>
      <c r="VZZ416" s="244"/>
      <c r="WAA416" s="244" t="s">
        <v>68</v>
      </c>
      <c r="WAB416" s="245" t="s">
        <v>68</v>
      </c>
      <c r="WAC416" s="1715" t="s">
        <v>0</v>
      </c>
      <c r="WAD416" s="1716"/>
      <c r="WAE416" s="1716"/>
      <c r="WAF416" s="1716"/>
      <c r="WAG416" s="1716"/>
      <c r="WAH416" s="244"/>
      <c r="WAI416" s="244" t="s">
        <v>68</v>
      </c>
      <c r="WAJ416" s="245" t="s">
        <v>68</v>
      </c>
      <c r="WAK416" s="1715" t="s">
        <v>0</v>
      </c>
      <c r="WAL416" s="1716"/>
      <c r="WAM416" s="1716"/>
      <c r="WAN416" s="1716"/>
      <c r="WAO416" s="1716"/>
      <c r="WAP416" s="244"/>
      <c r="WAQ416" s="244" t="s">
        <v>68</v>
      </c>
      <c r="WAR416" s="245" t="s">
        <v>68</v>
      </c>
      <c r="WAS416" s="1715" t="s">
        <v>0</v>
      </c>
      <c r="WAT416" s="1716"/>
      <c r="WAU416" s="1716"/>
      <c r="WAV416" s="1716"/>
      <c r="WAW416" s="1716"/>
      <c r="WAX416" s="244"/>
      <c r="WAY416" s="244" t="s">
        <v>68</v>
      </c>
      <c r="WAZ416" s="245" t="s">
        <v>68</v>
      </c>
      <c r="WBA416" s="1715" t="s">
        <v>0</v>
      </c>
      <c r="WBB416" s="1716"/>
      <c r="WBC416" s="1716"/>
      <c r="WBD416" s="1716"/>
      <c r="WBE416" s="1716"/>
      <c r="WBF416" s="244"/>
      <c r="WBG416" s="244" t="s">
        <v>68</v>
      </c>
      <c r="WBH416" s="245" t="s">
        <v>68</v>
      </c>
      <c r="WBI416" s="1715" t="s">
        <v>0</v>
      </c>
      <c r="WBJ416" s="1716"/>
      <c r="WBK416" s="1716"/>
      <c r="WBL416" s="1716"/>
      <c r="WBM416" s="1716"/>
      <c r="WBN416" s="244"/>
      <c r="WBO416" s="244" t="s">
        <v>68</v>
      </c>
      <c r="WBP416" s="245" t="s">
        <v>68</v>
      </c>
      <c r="WBQ416" s="1715" t="s">
        <v>0</v>
      </c>
      <c r="WBR416" s="1716"/>
      <c r="WBS416" s="1716"/>
      <c r="WBT416" s="1716"/>
      <c r="WBU416" s="1716"/>
      <c r="WBV416" s="244"/>
      <c r="WBW416" s="244" t="s">
        <v>68</v>
      </c>
      <c r="WBX416" s="245" t="s">
        <v>68</v>
      </c>
      <c r="WBY416" s="1715" t="s">
        <v>0</v>
      </c>
      <c r="WBZ416" s="1716"/>
      <c r="WCA416" s="1716"/>
      <c r="WCB416" s="1716"/>
      <c r="WCC416" s="1716"/>
      <c r="WCD416" s="244"/>
      <c r="WCE416" s="244" t="s">
        <v>68</v>
      </c>
      <c r="WCF416" s="245" t="s">
        <v>68</v>
      </c>
      <c r="WCG416" s="1715" t="s">
        <v>0</v>
      </c>
      <c r="WCH416" s="1716"/>
      <c r="WCI416" s="1716"/>
      <c r="WCJ416" s="1716"/>
      <c r="WCK416" s="1716"/>
      <c r="WCL416" s="244"/>
      <c r="WCM416" s="244" t="s">
        <v>68</v>
      </c>
      <c r="WCN416" s="245" t="s">
        <v>68</v>
      </c>
      <c r="WCO416" s="1715" t="s">
        <v>0</v>
      </c>
      <c r="WCP416" s="1716"/>
      <c r="WCQ416" s="1716"/>
      <c r="WCR416" s="1716"/>
      <c r="WCS416" s="1716"/>
      <c r="WCT416" s="244"/>
      <c r="WCU416" s="244" t="s">
        <v>68</v>
      </c>
      <c r="WCV416" s="245" t="s">
        <v>68</v>
      </c>
      <c r="WCW416" s="1715" t="s">
        <v>0</v>
      </c>
      <c r="WCX416" s="1716"/>
      <c r="WCY416" s="1716"/>
      <c r="WCZ416" s="1716"/>
      <c r="WDA416" s="1716"/>
      <c r="WDB416" s="244"/>
      <c r="WDC416" s="244" t="s">
        <v>68</v>
      </c>
      <c r="WDD416" s="245" t="s">
        <v>68</v>
      </c>
      <c r="WDE416" s="1715" t="s">
        <v>0</v>
      </c>
      <c r="WDF416" s="1716"/>
      <c r="WDG416" s="1716"/>
      <c r="WDH416" s="1716"/>
      <c r="WDI416" s="1716"/>
      <c r="WDJ416" s="244"/>
      <c r="WDK416" s="244" t="s">
        <v>68</v>
      </c>
      <c r="WDL416" s="245" t="s">
        <v>68</v>
      </c>
      <c r="WDM416" s="1715" t="s">
        <v>0</v>
      </c>
      <c r="WDN416" s="1716"/>
      <c r="WDO416" s="1716"/>
      <c r="WDP416" s="1716"/>
      <c r="WDQ416" s="1716"/>
      <c r="WDR416" s="244"/>
      <c r="WDS416" s="244" t="s">
        <v>68</v>
      </c>
      <c r="WDT416" s="245" t="s">
        <v>68</v>
      </c>
      <c r="WDU416" s="1715" t="s">
        <v>0</v>
      </c>
      <c r="WDV416" s="1716"/>
      <c r="WDW416" s="1716"/>
      <c r="WDX416" s="1716"/>
      <c r="WDY416" s="1716"/>
      <c r="WDZ416" s="244"/>
      <c r="WEA416" s="244" t="s">
        <v>68</v>
      </c>
      <c r="WEB416" s="245" t="s">
        <v>68</v>
      </c>
      <c r="WEC416" s="1715" t="s">
        <v>0</v>
      </c>
      <c r="WED416" s="1716"/>
      <c r="WEE416" s="1716"/>
      <c r="WEF416" s="1716"/>
      <c r="WEG416" s="1716"/>
      <c r="WEH416" s="244"/>
      <c r="WEI416" s="244" t="s">
        <v>68</v>
      </c>
      <c r="WEJ416" s="245" t="s">
        <v>68</v>
      </c>
      <c r="WEK416" s="1715" t="s">
        <v>0</v>
      </c>
      <c r="WEL416" s="1716"/>
      <c r="WEM416" s="1716"/>
      <c r="WEN416" s="1716"/>
      <c r="WEO416" s="1716"/>
      <c r="WEP416" s="244"/>
      <c r="WEQ416" s="244" t="s">
        <v>68</v>
      </c>
      <c r="WER416" s="245" t="s">
        <v>68</v>
      </c>
      <c r="WES416" s="1715" t="s">
        <v>0</v>
      </c>
      <c r="WET416" s="1716"/>
      <c r="WEU416" s="1716"/>
      <c r="WEV416" s="1716"/>
      <c r="WEW416" s="1716"/>
      <c r="WEX416" s="244"/>
      <c r="WEY416" s="244" t="s">
        <v>68</v>
      </c>
      <c r="WEZ416" s="245" t="s">
        <v>68</v>
      </c>
      <c r="WFA416" s="1715" t="s">
        <v>0</v>
      </c>
      <c r="WFB416" s="1716"/>
      <c r="WFC416" s="1716"/>
      <c r="WFD416" s="1716"/>
      <c r="WFE416" s="1716"/>
      <c r="WFF416" s="244"/>
      <c r="WFG416" s="244" t="s">
        <v>68</v>
      </c>
      <c r="WFH416" s="245" t="s">
        <v>68</v>
      </c>
      <c r="WFI416" s="1715" t="s">
        <v>0</v>
      </c>
      <c r="WFJ416" s="1716"/>
      <c r="WFK416" s="1716"/>
      <c r="WFL416" s="1716"/>
      <c r="WFM416" s="1716"/>
      <c r="WFN416" s="244"/>
      <c r="WFO416" s="244" t="s">
        <v>68</v>
      </c>
      <c r="WFP416" s="245" t="s">
        <v>68</v>
      </c>
      <c r="WFQ416" s="1715" t="s">
        <v>0</v>
      </c>
      <c r="WFR416" s="1716"/>
      <c r="WFS416" s="1716"/>
      <c r="WFT416" s="1716"/>
      <c r="WFU416" s="1716"/>
      <c r="WFV416" s="244"/>
      <c r="WFW416" s="244" t="s">
        <v>68</v>
      </c>
      <c r="WFX416" s="245" t="s">
        <v>68</v>
      </c>
      <c r="WFY416" s="1715" t="s">
        <v>0</v>
      </c>
      <c r="WFZ416" s="1716"/>
      <c r="WGA416" s="1716"/>
      <c r="WGB416" s="1716"/>
      <c r="WGC416" s="1716"/>
      <c r="WGD416" s="244"/>
      <c r="WGE416" s="244" t="s">
        <v>68</v>
      </c>
      <c r="WGF416" s="245" t="s">
        <v>68</v>
      </c>
      <c r="WGG416" s="1715" t="s">
        <v>0</v>
      </c>
      <c r="WGH416" s="1716"/>
      <c r="WGI416" s="1716"/>
      <c r="WGJ416" s="1716"/>
      <c r="WGK416" s="1716"/>
      <c r="WGL416" s="244"/>
      <c r="WGM416" s="244" t="s">
        <v>68</v>
      </c>
      <c r="WGN416" s="245" t="s">
        <v>68</v>
      </c>
      <c r="WGO416" s="1715" t="s">
        <v>0</v>
      </c>
      <c r="WGP416" s="1716"/>
      <c r="WGQ416" s="1716"/>
      <c r="WGR416" s="1716"/>
      <c r="WGS416" s="1716"/>
      <c r="WGT416" s="244"/>
      <c r="WGU416" s="244" t="s">
        <v>68</v>
      </c>
      <c r="WGV416" s="245" t="s">
        <v>68</v>
      </c>
      <c r="WGW416" s="1715" t="s">
        <v>0</v>
      </c>
      <c r="WGX416" s="1716"/>
      <c r="WGY416" s="1716"/>
      <c r="WGZ416" s="1716"/>
      <c r="WHA416" s="1716"/>
      <c r="WHB416" s="244"/>
      <c r="WHC416" s="244" t="s">
        <v>68</v>
      </c>
      <c r="WHD416" s="245" t="s">
        <v>68</v>
      </c>
      <c r="WHE416" s="1715" t="s">
        <v>0</v>
      </c>
      <c r="WHF416" s="1716"/>
      <c r="WHG416" s="1716"/>
      <c r="WHH416" s="1716"/>
      <c r="WHI416" s="1716"/>
      <c r="WHJ416" s="244"/>
      <c r="WHK416" s="244" t="s">
        <v>68</v>
      </c>
      <c r="WHL416" s="245" t="s">
        <v>68</v>
      </c>
      <c r="WHM416" s="1715" t="s">
        <v>0</v>
      </c>
      <c r="WHN416" s="1716"/>
      <c r="WHO416" s="1716"/>
      <c r="WHP416" s="1716"/>
      <c r="WHQ416" s="1716"/>
      <c r="WHR416" s="244"/>
      <c r="WHS416" s="244" t="s">
        <v>68</v>
      </c>
      <c r="WHT416" s="245" t="s">
        <v>68</v>
      </c>
      <c r="WHU416" s="1715" t="s">
        <v>0</v>
      </c>
      <c r="WHV416" s="1716"/>
      <c r="WHW416" s="1716"/>
      <c r="WHX416" s="1716"/>
      <c r="WHY416" s="1716"/>
      <c r="WHZ416" s="244"/>
      <c r="WIA416" s="244" t="s">
        <v>68</v>
      </c>
      <c r="WIB416" s="245" t="s">
        <v>68</v>
      </c>
      <c r="WIC416" s="1715" t="s">
        <v>0</v>
      </c>
      <c r="WID416" s="1716"/>
      <c r="WIE416" s="1716"/>
      <c r="WIF416" s="1716"/>
      <c r="WIG416" s="1716"/>
      <c r="WIH416" s="244"/>
      <c r="WII416" s="244" t="s">
        <v>68</v>
      </c>
      <c r="WIJ416" s="245" t="s">
        <v>68</v>
      </c>
      <c r="WIK416" s="1715" t="s">
        <v>0</v>
      </c>
      <c r="WIL416" s="1716"/>
      <c r="WIM416" s="1716"/>
      <c r="WIN416" s="1716"/>
      <c r="WIO416" s="1716"/>
      <c r="WIP416" s="244"/>
      <c r="WIQ416" s="244" t="s">
        <v>68</v>
      </c>
      <c r="WIR416" s="245" t="s">
        <v>68</v>
      </c>
      <c r="WIS416" s="1715" t="s">
        <v>0</v>
      </c>
      <c r="WIT416" s="1716"/>
      <c r="WIU416" s="1716"/>
      <c r="WIV416" s="1716"/>
      <c r="WIW416" s="1716"/>
      <c r="WIX416" s="244"/>
      <c r="WIY416" s="244" t="s">
        <v>68</v>
      </c>
      <c r="WIZ416" s="245" t="s">
        <v>68</v>
      </c>
      <c r="WJA416" s="1715" t="s">
        <v>0</v>
      </c>
      <c r="WJB416" s="1716"/>
      <c r="WJC416" s="1716"/>
      <c r="WJD416" s="1716"/>
      <c r="WJE416" s="1716"/>
      <c r="WJF416" s="244"/>
      <c r="WJG416" s="244" t="s">
        <v>68</v>
      </c>
      <c r="WJH416" s="245" t="s">
        <v>68</v>
      </c>
      <c r="WJI416" s="1715" t="s">
        <v>0</v>
      </c>
      <c r="WJJ416" s="1716"/>
      <c r="WJK416" s="1716"/>
      <c r="WJL416" s="1716"/>
      <c r="WJM416" s="1716"/>
      <c r="WJN416" s="244"/>
      <c r="WJO416" s="244" t="s">
        <v>68</v>
      </c>
      <c r="WJP416" s="245" t="s">
        <v>68</v>
      </c>
      <c r="WJQ416" s="1715" t="s">
        <v>0</v>
      </c>
      <c r="WJR416" s="1716"/>
      <c r="WJS416" s="1716"/>
      <c r="WJT416" s="1716"/>
      <c r="WJU416" s="1716"/>
      <c r="WJV416" s="244"/>
      <c r="WJW416" s="244" t="s">
        <v>68</v>
      </c>
      <c r="WJX416" s="245" t="s">
        <v>68</v>
      </c>
      <c r="WJY416" s="1715" t="s">
        <v>0</v>
      </c>
      <c r="WJZ416" s="1716"/>
      <c r="WKA416" s="1716"/>
      <c r="WKB416" s="1716"/>
      <c r="WKC416" s="1716"/>
      <c r="WKD416" s="244"/>
      <c r="WKE416" s="244" t="s">
        <v>68</v>
      </c>
      <c r="WKF416" s="245" t="s">
        <v>68</v>
      </c>
      <c r="WKG416" s="1715" t="s">
        <v>0</v>
      </c>
      <c r="WKH416" s="1716"/>
      <c r="WKI416" s="1716"/>
      <c r="WKJ416" s="1716"/>
      <c r="WKK416" s="1716"/>
      <c r="WKL416" s="244"/>
      <c r="WKM416" s="244" t="s">
        <v>68</v>
      </c>
      <c r="WKN416" s="245" t="s">
        <v>68</v>
      </c>
      <c r="WKO416" s="1715" t="s">
        <v>0</v>
      </c>
      <c r="WKP416" s="1716"/>
      <c r="WKQ416" s="1716"/>
      <c r="WKR416" s="1716"/>
      <c r="WKS416" s="1716"/>
      <c r="WKT416" s="244"/>
      <c r="WKU416" s="244" t="s">
        <v>68</v>
      </c>
      <c r="WKV416" s="245" t="s">
        <v>68</v>
      </c>
      <c r="WKW416" s="1715" t="s">
        <v>0</v>
      </c>
      <c r="WKX416" s="1716"/>
      <c r="WKY416" s="1716"/>
      <c r="WKZ416" s="1716"/>
      <c r="WLA416" s="1716"/>
      <c r="WLB416" s="244"/>
      <c r="WLC416" s="244" t="s">
        <v>68</v>
      </c>
      <c r="WLD416" s="245" t="s">
        <v>68</v>
      </c>
      <c r="WLE416" s="1715" t="s">
        <v>0</v>
      </c>
      <c r="WLF416" s="1716"/>
      <c r="WLG416" s="1716"/>
      <c r="WLH416" s="1716"/>
      <c r="WLI416" s="1716"/>
      <c r="WLJ416" s="244"/>
      <c r="WLK416" s="244" t="s">
        <v>68</v>
      </c>
      <c r="WLL416" s="245" t="s">
        <v>68</v>
      </c>
      <c r="WLM416" s="1715" t="s">
        <v>0</v>
      </c>
      <c r="WLN416" s="1716"/>
      <c r="WLO416" s="1716"/>
      <c r="WLP416" s="1716"/>
      <c r="WLQ416" s="1716"/>
      <c r="WLR416" s="244"/>
      <c r="WLS416" s="244" t="s">
        <v>68</v>
      </c>
      <c r="WLT416" s="245" t="s">
        <v>68</v>
      </c>
      <c r="WLU416" s="1715" t="s">
        <v>0</v>
      </c>
      <c r="WLV416" s="1716"/>
      <c r="WLW416" s="1716"/>
      <c r="WLX416" s="1716"/>
      <c r="WLY416" s="1716"/>
      <c r="WLZ416" s="244"/>
      <c r="WMA416" s="244" t="s">
        <v>68</v>
      </c>
      <c r="WMB416" s="245" t="s">
        <v>68</v>
      </c>
      <c r="WMC416" s="1715" t="s">
        <v>0</v>
      </c>
      <c r="WMD416" s="1716"/>
      <c r="WME416" s="1716"/>
      <c r="WMF416" s="1716"/>
      <c r="WMG416" s="1716"/>
      <c r="WMH416" s="244"/>
      <c r="WMI416" s="244" t="s">
        <v>68</v>
      </c>
      <c r="WMJ416" s="245" t="s">
        <v>68</v>
      </c>
      <c r="WMK416" s="1715" t="s">
        <v>0</v>
      </c>
      <c r="WML416" s="1716"/>
      <c r="WMM416" s="1716"/>
      <c r="WMN416" s="1716"/>
      <c r="WMO416" s="1716"/>
      <c r="WMP416" s="244"/>
      <c r="WMQ416" s="244" t="s">
        <v>68</v>
      </c>
      <c r="WMR416" s="245" t="s">
        <v>68</v>
      </c>
      <c r="WMS416" s="1715" t="s">
        <v>0</v>
      </c>
      <c r="WMT416" s="1716"/>
      <c r="WMU416" s="1716"/>
      <c r="WMV416" s="1716"/>
      <c r="WMW416" s="1716"/>
      <c r="WMX416" s="244"/>
      <c r="WMY416" s="244" t="s">
        <v>68</v>
      </c>
      <c r="WMZ416" s="245" t="s">
        <v>68</v>
      </c>
      <c r="WNA416" s="1715" t="s">
        <v>0</v>
      </c>
      <c r="WNB416" s="1716"/>
      <c r="WNC416" s="1716"/>
      <c r="WND416" s="1716"/>
      <c r="WNE416" s="1716"/>
      <c r="WNF416" s="244"/>
      <c r="WNG416" s="244" t="s">
        <v>68</v>
      </c>
      <c r="WNH416" s="245" t="s">
        <v>68</v>
      </c>
      <c r="WNI416" s="1715" t="s">
        <v>0</v>
      </c>
      <c r="WNJ416" s="1716"/>
      <c r="WNK416" s="1716"/>
      <c r="WNL416" s="1716"/>
      <c r="WNM416" s="1716"/>
      <c r="WNN416" s="244"/>
      <c r="WNO416" s="244" t="s">
        <v>68</v>
      </c>
      <c r="WNP416" s="245" t="s">
        <v>68</v>
      </c>
      <c r="WNQ416" s="1715" t="s">
        <v>0</v>
      </c>
      <c r="WNR416" s="1716"/>
      <c r="WNS416" s="1716"/>
      <c r="WNT416" s="1716"/>
      <c r="WNU416" s="1716"/>
      <c r="WNV416" s="244"/>
      <c r="WNW416" s="244" t="s">
        <v>68</v>
      </c>
      <c r="WNX416" s="245" t="s">
        <v>68</v>
      </c>
      <c r="WNY416" s="1715" t="s">
        <v>0</v>
      </c>
      <c r="WNZ416" s="1716"/>
      <c r="WOA416" s="1716"/>
      <c r="WOB416" s="1716"/>
      <c r="WOC416" s="1716"/>
      <c r="WOD416" s="244"/>
      <c r="WOE416" s="244" t="s">
        <v>68</v>
      </c>
      <c r="WOF416" s="245" t="s">
        <v>68</v>
      </c>
      <c r="WOG416" s="1715" t="s">
        <v>0</v>
      </c>
      <c r="WOH416" s="1716"/>
      <c r="WOI416" s="1716"/>
      <c r="WOJ416" s="1716"/>
      <c r="WOK416" s="1716"/>
      <c r="WOL416" s="244"/>
      <c r="WOM416" s="244" t="s">
        <v>68</v>
      </c>
      <c r="WON416" s="245" t="s">
        <v>68</v>
      </c>
      <c r="WOO416" s="1715" t="s">
        <v>0</v>
      </c>
      <c r="WOP416" s="1716"/>
      <c r="WOQ416" s="1716"/>
      <c r="WOR416" s="1716"/>
      <c r="WOS416" s="1716"/>
      <c r="WOT416" s="244"/>
      <c r="WOU416" s="244" t="s">
        <v>68</v>
      </c>
      <c r="WOV416" s="245" t="s">
        <v>68</v>
      </c>
      <c r="WOW416" s="1715" t="s">
        <v>0</v>
      </c>
      <c r="WOX416" s="1716"/>
      <c r="WOY416" s="1716"/>
      <c r="WOZ416" s="1716"/>
      <c r="WPA416" s="1716"/>
      <c r="WPB416" s="244"/>
      <c r="WPC416" s="244" t="s">
        <v>68</v>
      </c>
      <c r="WPD416" s="245" t="s">
        <v>68</v>
      </c>
      <c r="WPE416" s="1715" t="s">
        <v>0</v>
      </c>
      <c r="WPF416" s="1716"/>
      <c r="WPG416" s="1716"/>
      <c r="WPH416" s="1716"/>
      <c r="WPI416" s="1716"/>
      <c r="WPJ416" s="244"/>
      <c r="WPK416" s="244" t="s">
        <v>68</v>
      </c>
      <c r="WPL416" s="245" t="s">
        <v>68</v>
      </c>
      <c r="WPM416" s="1715" t="s">
        <v>0</v>
      </c>
      <c r="WPN416" s="1716"/>
      <c r="WPO416" s="1716"/>
      <c r="WPP416" s="1716"/>
      <c r="WPQ416" s="1716"/>
      <c r="WPR416" s="244"/>
      <c r="WPS416" s="244" t="s">
        <v>68</v>
      </c>
      <c r="WPT416" s="245" t="s">
        <v>68</v>
      </c>
      <c r="WPU416" s="1715" t="s">
        <v>0</v>
      </c>
      <c r="WPV416" s="1716"/>
      <c r="WPW416" s="1716"/>
      <c r="WPX416" s="1716"/>
      <c r="WPY416" s="1716"/>
      <c r="WPZ416" s="244"/>
      <c r="WQA416" s="244" t="s">
        <v>68</v>
      </c>
      <c r="WQB416" s="245" t="s">
        <v>68</v>
      </c>
      <c r="WQC416" s="1715" t="s">
        <v>0</v>
      </c>
      <c r="WQD416" s="1716"/>
      <c r="WQE416" s="1716"/>
      <c r="WQF416" s="1716"/>
      <c r="WQG416" s="1716"/>
      <c r="WQH416" s="244"/>
      <c r="WQI416" s="244" t="s">
        <v>68</v>
      </c>
      <c r="WQJ416" s="245" t="s">
        <v>68</v>
      </c>
      <c r="WQK416" s="1715" t="s">
        <v>0</v>
      </c>
      <c r="WQL416" s="1716"/>
      <c r="WQM416" s="1716"/>
      <c r="WQN416" s="1716"/>
      <c r="WQO416" s="1716"/>
      <c r="WQP416" s="244"/>
      <c r="WQQ416" s="244" t="s">
        <v>68</v>
      </c>
      <c r="WQR416" s="245" t="s">
        <v>68</v>
      </c>
      <c r="WQS416" s="1715" t="s">
        <v>0</v>
      </c>
      <c r="WQT416" s="1716"/>
      <c r="WQU416" s="1716"/>
      <c r="WQV416" s="1716"/>
      <c r="WQW416" s="1716"/>
      <c r="WQX416" s="244"/>
      <c r="WQY416" s="244" t="s">
        <v>68</v>
      </c>
      <c r="WQZ416" s="245" t="s">
        <v>68</v>
      </c>
      <c r="WRA416" s="1715" t="s">
        <v>0</v>
      </c>
      <c r="WRB416" s="1716"/>
      <c r="WRC416" s="1716"/>
      <c r="WRD416" s="1716"/>
      <c r="WRE416" s="1716"/>
      <c r="WRF416" s="244"/>
      <c r="WRG416" s="244" t="s">
        <v>68</v>
      </c>
      <c r="WRH416" s="245" t="s">
        <v>68</v>
      </c>
      <c r="WRI416" s="1715" t="s">
        <v>0</v>
      </c>
      <c r="WRJ416" s="1716"/>
      <c r="WRK416" s="1716"/>
      <c r="WRL416" s="1716"/>
      <c r="WRM416" s="1716"/>
      <c r="WRN416" s="244"/>
      <c r="WRO416" s="244" t="s">
        <v>68</v>
      </c>
      <c r="WRP416" s="245" t="s">
        <v>68</v>
      </c>
      <c r="WRQ416" s="1715" t="s">
        <v>0</v>
      </c>
      <c r="WRR416" s="1716"/>
      <c r="WRS416" s="1716"/>
      <c r="WRT416" s="1716"/>
      <c r="WRU416" s="1716"/>
      <c r="WRV416" s="244"/>
      <c r="WRW416" s="244" t="s">
        <v>68</v>
      </c>
      <c r="WRX416" s="245" t="s">
        <v>68</v>
      </c>
      <c r="WRY416" s="1715" t="s">
        <v>0</v>
      </c>
      <c r="WRZ416" s="1716"/>
      <c r="WSA416" s="1716"/>
      <c r="WSB416" s="1716"/>
      <c r="WSC416" s="1716"/>
      <c r="WSD416" s="244"/>
      <c r="WSE416" s="244" t="s">
        <v>68</v>
      </c>
      <c r="WSF416" s="245" t="s">
        <v>68</v>
      </c>
      <c r="WSG416" s="1715" t="s">
        <v>0</v>
      </c>
      <c r="WSH416" s="1716"/>
      <c r="WSI416" s="1716"/>
      <c r="WSJ416" s="1716"/>
      <c r="WSK416" s="1716"/>
      <c r="WSL416" s="244"/>
      <c r="WSM416" s="244" t="s">
        <v>68</v>
      </c>
      <c r="WSN416" s="245" t="s">
        <v>68</v>
      </c>
      <c r="WSO416" s="1715" t="s">
        <v>0</v>
      </c>
      <c r="WSP416" s="1716"/>
      <c r="WSQ416" s="1716"/>
      <c r="WSR416" s="1716"/>
      <c r="WSS416" s="1716"/>
      <c r="WST416" s="244"/>
      <c r="WSU416" s="244" t="s">
        <v>68</v>
      </c>
      <c r="WSV416" s="245" t="s">
        <v>68</v>
      </c>
      <c r="WSW416" s="1715" t="s">
        <v>0</v>
      </c>
      <c r="WSX416" s="1716"/>
      <c r="WSY416" s="1716"/>
      <c r="WSZ416" s="1716"/>
      <c r="WTA416" s="1716"/>
      <c r="WTB416" s="244"/>
      <c r="WTC416" s="244" t="s">
        <v>68</v>
      </c>
      <c r="WTD416" s="245" t="s">
        <v>68</v>
      </c>
      <c r="WTE416" s="1715" t="s">
        <v>0</v>
      </c>
      <c r="WTF416" s="1716"/>
      <c r="WTG416" s="1716"/>
      <c r="WTH416" s="1716"/>
      <c r="WTI416" s="1716"/>
      <c r="WTJ416" s="244"/>
      <c r="WTK416" s="244" t="s">
        <v>68</v>
      </c>
      <c r="WTL416" s="245" t="s">
        <v>68</v>
      </c>
      <c r="WTM416" s="1715" t="s">
        <v>0</v>
      </c>
      <c r="WTN416" s="1716"/>
      <c r="WTO416" s="1716"/>
      <c r="WTP416" s="1716"/>
      <c r="WTQ416" s="1716"/>
      <c r="WTR416" s="244"/>
      <c r="WTS416" s="244" t="s">
        <v>68</v>
      </c>
      <c r="WTT416" s="245" t="s">
        <v>68</v>
      </c>
      <c r="WTU416" s="1715" t="s">
        <v>0</v>
      </c>
      <c r="WTV416" s="1716"/>
      <c r="WTW416" s="1716"/>
      <c r="WTX416" s="1716"/>
      <c r="WTY416" s="1716"/>
      <c r="WTZ416" s="244"/>
      <c r="WUA416" s="244" t="s">
        <v>68</v>
      </c>
      <c r="WUB416" s="245" t="s">
        <v>68</v>
      </c>
      <c r="WUC416" s="1715" t="s">
        <v>0</v>
      </c>
      <c r="WUD416" s="1716"/>
      <c r="WUE416" s="1716"/>
      <c r="WUF416" s="1716"/>
      <c r="WUG416" s="1716"/>
      <c r="WUH416" s="244"/>
      <c r="WUI416" s="244" t="s">
        <v>68</v>
      </c>
      <c r="WUJ416" s="245" t="s">
        <v>68</v>
      </c>
      <c r="WUK416" s="1715" t="s">
        <v>0</v>
      </c>
      <c r="WUL416" s="1716"/>
      <c r="WUM416" s="1716"/>
      <c r="WUN416" s="1716"/>
      <c r="WUO416" s="1716"/>
      <c r="WUP416" s="244"/>
      <c r="WUQ416" s="244" t="s">
        <v>68</v>
      </c>
      <c r="WUR416" s="245" t="s">
        <v>68</v>
      </c>
      <c r="WUS416" s="1715" t="s">
        <v>0</v>
      </c>
      <c r="WUT416" s="1716"/>
      <c r="WUU416" s="1716"/>
      <c r="WUV416" s="1716"/>
      <c r="WUW416" s="1716"/>
      <c r="WUX416" s="244"/>
      <c r="WUY416" s="244" t="s">
        <v>68</v>
      </c>
      <c r="WUZ416" s="245" t="s">
        <v>68</v>
      </c>
      <c r="WVA416" s="1715" t="s">
        <v>0</v>
      </c>
      <c r="WVB416" s="1716"/>
      <c r="WVC416" s="1716"/>
      <c r="WVD416" s="1716"/>
      <c r="WVE416" s="1716"/>
      <c r="WVF416" s="244"/>
      <c r="WVG416" s="244" t="s">
        <v>68</v>
      </c>
      <c r="WVH416" s="245" t="s">
        <v>68</v>
      </c>
      <c r="WVI416" s="1715" t="s">
        <v>0</v>
      </c>
      <c r="WVJ416" s="1716"/>
      <c r="WVK416" s="1716"/>
      <c r="WVL416" s="1716"/>
      <c r="WVM416" s="1716"/>
      <c r="WVN416" s="244"/>
      <c r="WVO416" s="244" t="s">
        <v>68</v>
      </c>
      <c r="WVP416" s="245" t="s">
        <v>68</v>
      </c>
      <c r="WVQ416" s="1715" t="s">
        <v>0</v>
      </c>
      <c r="WVR416" s="1716"/>
      <c r="WVS416" s="1716"/>
      <c r="WVT416" s="1716"/>
      <c r="WVU416" s="1716"/>
      <c r="WVV416" s="244"/>
      <c r="WVW416" s="244" t="s">
        <v>68</v>
      </c>
      <c r="WVX416" s="245" t="s">
        <v>68</v>
      </c>
      <c r="WVY416" s="1715" t="s">
        <v>0</v>
      </c>
      <c r="WVZ416" s="1716"/>
      <c r="WWA416" s="1716"/>
      <c r="WWB416" s="1716"/>
      <c r="WWC416" s="1716"/>
      <c r="WWD416" s="244"/>
      <c r="WWE416" s="244" t="s">
        <v>68</v>
      </c>
      <c r="WWF416" s="245" t="s">
        <v>68</v>
      </c>
      <c r="WWG416" s="1715" t="s">
        <v>0</v>
      </c>
      <c r="WWH416" s="1716"/>
      <c r="WWI416" s="1716"/>
      <c r="WWJ416" s="1716"/>
      <c r="WWK416" s="1716"/>
      <c r="WWL416" s="244"/>
      <c r="WWM416" s="244" t="s">
        <v>68</v>
      </c>
      <c r="WWN416" s="245" t="s">
        <v>68</v>
      </c>
      <c r="WWO416" s="1715" t="s">
        <v>0</v>
      </c>
      <c r="WWP416" s="1716"/>
      <c r="WWQ416" s="1716"/>
      <c r="WWR416" s="1716"/>
      <c r="WWS416" s="1716"/>
      <c r="WWT416" s="244"/>
      <c r="WWU416" s="244" t="s">
        <v>68</v>
      </c>
      <c r="WWV416" s="245" t="s">
        <v>68</v>
      </c>
      <c r="WWW416" s="1715" t="s">
        <v>0</v>
      </c>
      <c r="WWX416" s="1716"/>
      <c r="WWY416" s="1716"/>
      <c r="WWZ416" s="1716"/>
      <c r="WXA416" s="1716"/>
      <c r="WXB416" s="244"/>
      <c r="WXC416" s="244" t="s">
        <v>68</v>
      </c>
      <c r="WXD416" s="245" t="s">
        <v>68</v>
      </c>
      <c r="WXE416" s="1715" t="s">
        <v>0</v>
      </c>
      <c r="WXF416" s="1716"/>
      <c r="WXG416" s="1716"/>
      <c r="WXH416" s="1716"/>
      <c r="WXI416" s="1716"/>
      <c r="WXJ416" s="244"/>
      <c r="WXK416" s="244" t="s">
        <v>68</v>
      </c>
      <c r="WXL416" s="245" t="s">
        <v>68</v>
      </c>
      <c r="WXM416" s="1715" t="s">
        <v>0</v>
      </c>
      <c r="WXN416" s="1716"/>
      <c r="WXO416" s="1716"/>
      <c r="WXP416" s="1716"/>
      <c r="WXQ416" s="1716"/>
      <c r="WXR416" s="244"/>
      <c r="WXS416" s="244" t="s">
        <v>68</v>
      </c>
      <c r="WXT416" s="245" t="s">
        <v>68</v>
      </c>
      <c r="WXU416" s="1715" t="s">
        <v>0</v>
      </c>
      <c r="WXV416" s="1716"/>
      <c r="WXW416" s="1716"/>
      <c r="WXX416" s="1716"/>
      <c r="WXY416" s="1716"/>
      <c r="WXZ416" s="244"/>
      <c r="WYA416" s="244" t="s">
        <v>68</v>
      </c>
      <c r="WYB416" s="245" t="s">
        <v>68</v>
      </c>
      <c r="WYC416" s="1715" t="s">
        <v>0</v>
      </c>
      <c r="WYD416" s="1716"/>
      <c r="WYE416" s="1716"/>
      <c r="WYF416" s="1716"/>
      <c r="WYG416" s="1716"/>
      <c r="WYH416" s="244"/>
      <c r="WYI416" s="244" t="s">
        <v>68</v>
      </c>
      <c r="WYJ416" s="245" t="s">
        <v>68</v>
      </c>
      <c r="WYK416" s="1715" t="s">
        <v>0</v>
      </c>
      <c r="WYL416" s="1716"/>
      <c r="WYM416" s="1716"/>
      <c r="WYN416" s="1716"/>
      <c r="WYO416" s="1716"/>
      <c r="WYP416" s="244"/>
      <c r="WYQ416" s="244" t="s">
        <v>68</v>
      </c>
      <c r="WYR416" s="245" t="s">
        <v>68</v>
      </c>
      <c r="WYS416" s="1715" t="s">
        <v>0</v>
      </c>
      <c r="WYT416" s="1716"/>
      <c r="WYU416" s="1716"/>
      <c r="WYV416" s="1716"/>
      <c r="WYW416" s="1716"/>
      <c r="WYX416" s="244"/>
      <c r="WYY416" s="244" t="s">
        <v>68</v>
      </c>
      <c r="WYZ416" s="245" t="s">
        <v>68</v>
      </c>
      <c r="WZA416" s="1715" t="s">
        <v>0</v>
      </c>
      <c r="WZB416" s="1716"/>
      <c r="WZC416" s="1716"/>
      <c r="WZD416" s="1716"/>
      <c r="WZE416" s="1716"/>
      <c r="WZF416" s="244"/>
      <c r="WZG416" s="244" t="s">
        <v>68</v>
      </c>
      <c r="WZH416" s="245" t="s">
        <v>68</v>
      </c>
      <c r="WZI416" s="1715" t="s">
        <v>0</v>
      </c>
      <c r="WZJ416" s="1716"/>
      <c r="WZK416" s="1716"/>
      <c r="WZL416" s="1716"/>
      <c r="WZM416" s="1716"/>
      <c r="WZN416" s="244"/>
      <c r="WZO416" s="244" t="s">
        <v>68</v>
      </c>
      <c r="WZP416" s="245" t="s">
        <v>68</v>
      </c>
      <c r="WZQ416" s="1715" t="s">
        <v>0</v>
      </c>
      <c r="WZR416" s="1716"/>
      <c r="WZS416" s="1716"/>
      <c r="WZT416" s="1716"/>
      <c r="WZU416" s="1716"/>
      <c r="WZV416" s="244"/>
      <c r="WZW416" s="244" t="s">
        <v>68</v>
      </c>
      <c r="WZX416" s="245" t="s">
        <v>68</v>
      </c>
      <c r="WZY416" s="1715" t="s">
        <v>0</v>
      </c>
      <c r="WZZ416" s="1716"/>
      <c r="XAA416" s="1716"/>
      <c r="XAB416" s="1716"/>
      <c r="XAC416" s="1716"/>
      <c r="XAD416" s="244"/>
      <c r="XAE416" s="244" t="s">
        <v>68</v>
      </c>
      <c r="XAF416" s="245" t="s">
        <v>68</v>
      </c>
      <c r="XAG416" s="1715" t="s">
        <v>0</v>
      </c>
      <c r="XAH416" s="1716"/>
      <c r="XAI416" s="1716"/>
      <c r="XAJ416" s="1716"/>
      <c r="XAK416" s="1716"/>
      <c r="XAL416" s="244"/>
      <c r="XAM416" s="244" t="s">
        <v>68</v>
      </c>
      <c r="XAN416" s="245" t="s">
        <v>68</v>
      </c>
      <c r="XAO416" s="1715" t="s">
        <v>0</v>
      </c>
      <c r="XAP416" s="1716"/>
      <c r="XAQ416" s="1716"/>
      <c r="XAR416" s="1716"/>
      <c r="XAS416" s="1716"/>
      <c r="XAT416" s="244"/>
      <c r="XAU416" s="244" t="s">
        <v>68</v>
      </c>
      <c r="XAV416" s="245" t="s">
        <v>68</v>
      </c>
      <c r="XAW416" s="1715" t="s">
        <v>0</v>
      </c>
      <c r="XAX416" s="1716"/>
      <c r="XAY416" s="1716"/>
      <c r="XAZ416" s="1716"/>
      <c r="XBA416" s="1716"/>
      <c r="XBB416" s="244"/>
      <c r="XBC416" s="244" t="s">
        <v>68</v>
      </c>
      <c r="XBD416" s="245" t="s">
        <v>68</v>
      </c>
      <c r="XBE416" s="1715" t="s">
        <v>0</v>
      </c>
      <c r="XBF416" s="1716"/>
      <c r="XBG416" s="1716"/>
      <c r="XBH416" s="1716"/>
      <c r="XBI416" s="1716"/>
      <c r="XBJ416" s="244"/>
      <c r="XBK416" s="244" t="s">
        <v>68</v>
      </c>
      <c r="XBL416" s="245" t="s">
        <v>68</v>
      </c>
      <c r="XBM416" s="1715" t="s">
        <v>0</v>
      </c>
      <c r="XBN416" s="1716"/>
      <c r="XBO416" s="1716"/>
      <c r="XBP416" s="1716"/>
      <c r="XBQ416" s="1716"/>
      <c r="XBR416" s="244"/>
      <c r="XBS416" s="244" t="s">
        <v>68</v>
      </c>
      <c r="XBT416" s="245" t="s">
        <v>68</v>
      </c>
      <c r="XBU416" s="1715" t="s">
        <v>0</v>
      </c>
      <c r="XBV416" s="1716"/>
      <c r="XBW416" s="1716"/>
      <c r="XBX416" s="1716"/>
      <c r="XBY416" s="1716"/>
      <c r="XBZ416" s="244"/>
      <c r="XCA416" s="244" t="s">
        <v>68</v>
      </c>
      <c r="XCB416" s="245" t="s">
        <v>68</v>
      </c>
      <c r="XCC416" s="1715" t="s">
        <v>0</v>
      </c>
      <c r="XCD416" s="1716"/>
      <c r="XCE416" s="1716"/>
      <c r="XCF416" s="1716"/>
      <c r="XCG416" s="1716"/>
      <c r="XCH416" s="244"/>
      <c r="XCI416" s="244" t="s">
        <v>68</v>
      </c>
      <c r="XCJ416" s="245" t="s">
        <v>68</v>
      </c>
      <c r="XCK416" s="1715" t="s">
        <v>0</v>
      </c>
      <c r="XCL416" s="1716"/>
      <c r="XCM416" s="1716"/>
      <c r="XCN416" s="1716"/>
      <c r="XCO416" s="1716"/>
      <c r="XCP416" s="244"/>
      <c r="XCQ416" s="244" t="s">
        <v>68</v>
      </c>
      <c r="XCR416" s="245" t="s">
        <v>68</v>
      </c>
      <c r="XCS416" s="1715" t="s">
        <v>0</v>
      </c>
      <c r="XCT416" s="1716"/>
      <c r="XCU416" s="1716"/>
      <c r="XCV416" s="1716"/>
      <c r="XCW416" s="1716"/>
      <c r="XCX416" s="244"/>
      <c r="XCY416" s="244" t="s">
        <v>68</v>
      </c>
      <c r="XCZ416" s="245" t="s">
        <v>68</v>
      </c>
      <c r="XDA416" s="1715" t="s">
        <v>0</v>
      </c>
      <c r="XDB416" s="1716"/>
      <c r="XDC416" s="1716"/>
      <c r="XDD416" s="1716"/>
      <c r="XDE416" s="1716"/>
      <c r="XDF416" s="244"/>
      <c r="XDG416" s="244" t="s">
        <v>68</v>
      </c>
      <c r="XDH416" s="245" t="s">
        <v>68</v>
      </c>
      <c r="XDI416" s="1715" t="s">
        <v>0</v>
      </c>
      <c r="XDJ416" s="1716"/>
      <c r="XDK416" s="1716"/>
      <c r="XDL416" s="1716"/>
      <c r="XDM416" s="1716"/>
      <c r="XDN416" s="244"/>
      <c r="XDO416" s="244" t="s">
        <v>68</v>
      </c>
      <c r="XDP416" s="245" t="s">
        <v>68</v>
      </c>
      <c r="XDQ416" s="1715" t="s">
        <v>0</v>
      </c>
      <c r="XDR416" s="1716"/>
      <c r="XDS416" s="1716"/>
      <c r="XDT416" s="1716"/>
      <c r="XDU416" s="1716"/>
      <c r="XDV416" s="244"/>
      <c r="XDW416" s="244" t="s">
        <v>68</v>
      </c>
      <c r="XDX416" s="245" t="s">
        <v>68</v>
      </c>
      <c r="XDY416" s="1715" t="s">
        <v>0</v>
      </c>
      <c r="XDZ416" s="1716"/>
      <c r="XEA416" s="1716"/>
      <c r="XEB416" s="1716"/>
      <c r="XEC416" s="1716"/>
      <c r="XED416" s="244"/>
      <c r="XEE416" s="244" t="s">
        <v>68</v>
      </c>
      <c r="XEF416" s="245" t="s">
        <v>68</v>
      </c>
      <c r="XEG416" s="1715" t="s">
        <v>0</v>
      </c>
      <c r="XEH416" s="1716"/>
      <c r="XEI416" s="1716"/>
      <c r="XEJ416" s="1716"/>
      <c r="XEK416" s="1716"/>
      <c r="XEL416" s="244"/>
      <c r="XEM416" s="244" t="s">
        <v>68</v>
      </c>
      <c r="XEN416" s="245" t="s">
        <v>68</v>
      </c>
      <c r="XEO416" s="1715" t="s">
        <v>0</v>
      </c>
      <c r="XEP416" s="1716"/>
      <c r="XEQ416" s="1716"/>
      <c r="XER416" s="1716"/>
      <c r="XES416" s="1716"/>
      <c r="XET416" s="244"/>
      <c r="XEU416" s="244" t="s">
        <v>68</v>
      </c>
      <c r="XEV416" s="245" t="s">
        <v>68</v>
      </c>
      <c r="XEW416" s="1715" t="s">
        <v>0</v>
      </c>
      <c r="XEX416" s="1716"/>
      <c r="XEY416" s="1716"/>
      <c r="XEZ416" s="1716"/>
      <c r="XFA416" s="1716"/>
      <c r="XFB416" s="244"/>
      <c r="XFC416" s="244" t="s">
        <v>68</v>
      </c>
      <c r="XFD416" s="245" t="s">
        <v>68</v>
      </c>
    </row>
    <row r="417" spans="1:16384" s="95" customFormat="1" x14ac:dyDescent="0.25">
      <c r="A417" s="1717"/>
      <c r="B417" s="1718"/>
      <c r="C417" s="1718"/>
      <c r="D417" s="1718"/>
      <c r="E417" s="1718"/>
      <c r="F417" s="246"/>
      <c r="G417" s="246" t="str">
        <f>BS!$D$5</f>
        <v>31 March 2026</v>
      </c>
      <c r="H417" s="247" t="str">
        <f>BS!$E$5</f>
        <v>31 March 2025</v>
      </c>
      <c r="I417" s="1717"/>
      <c r="J417" s="1718"/>
      <c r="K417" s="1718"/>
      <c r="L417" s="1718"/>
      <c r="M417" s="1718"/>
      <c r="N417" s="246"/>
      <c r="O417" s="246" t="str">
        <f>BS!$D$5</f>
        <v>31 March 2026</v>
      </c>
      <c r="P417" s="247" t="str">
        <f>BS!$E$5</f>
        <v>31 March 2025</v>
      </c>
      <c r="Q417" s="1717"/>
      <c r="R417" s="1718"/>
      <c r="S417" s="1718"/>
      <c r="T417" s="1718"/>
      <c r="U417" s="1718"/>
      <c r="V417" s="246"/>
      <c r="W417" s="246" t="str">
        <f>BS!$D$5</f>
        <v>31 March 2026</v>
      </c>
      <c r="X417" s="247" t="str">
        <f>BS!$E$5</f>
        <v>31 March 2025</v>
      </c>
      <c r="Y417" s="1717"/>
      <c r="Z417" s="1718"/>
      <c r="AA417" s="1718"/>
      <c r="AB417" s="1718"/>
      <c r="AC417" s="1718"/>
      <c r="AD417" s="246"/>
      <c r="AE417" s="246" t="str">
        <f>BS!$D$5</f>
        <v>31 March 2026</v>
      </c>
      <c r="AF417" s="247" t="str">
        <f>BS!$E$5</f>
        <v>31 March 2025</v>
      </c>
      <c r="AG417" s="1717"/>
      <c r="AH417" s="1718"/>
      <c r="AI417" s="1718"/>
      <c r="AJ417" s="1718"/>
      <c r="AK417" s="1718"/>
      <c r="AL417" s="246"/>
      <c r="AM417" s="246" t="str">
        <f>BS!$D$5</f>
        <v>31 March 2026</v>
      </c>
      <c r="AN417" s="247" t="str">
        <f>BS!$E$5</f>
        <v>31 March 2025</v>
      </c>
      <c r="AO417" s="1717"/>
      <c r="AP417" s="1718"/>
      <c r="AQ417" s="1718"/>
      <c r="AR417" s="1718"/>
      <c r="AS417" s="1718"/>
      <c r="AT417" s="246"/>
      <c r="AU417" s="246" t="str">
        <f>BS!$D$5</f>
        <v>31 March 2026</v>
      </c>
      <c r="AV417" s="247" t="str">
        <f>BS!$E$5</f>
        <v>31 March 2025</v>
      </c>
      <c r="AW417" s="1717"/>
      <c r="AX417" s="1718"/>
      <c r="AY417" s="1718"/>
      <c r="AZ417" s="1718"/>
      <c r="BA417" s="1718"/>
      <c r="BB417" s="246"/>
      <c r="BC417" s="246" t="str">
        <f>BS!$D$5</f>
        <v>31 March 2026</v>
      </c>
      <c r="BD417" s="247" t="str">
        <f>BS!$E$5</f>
        <v>31 March 2025</v>
      </c>
      <c r="BE417" s="1717"/>
      <c r="BF417" s="1718"/>
      <c r="BG417" s="1718"/>
      <c r="BH417" s="1718"/>
      <c r="BI417" s="1718"/>
      <c r="BJ417" s="246"/>
      <c r="BK417" s="246" t="str">
        <f>BS!$D$5</f>
        <v>31 March 2026</v>
      </c>
      <c r="BL417" s="247" t="str">
        <f>BS!$E$5</f>
        <v>31 March 2025</v>
      </c>
      <c r="BM417" s="1717"/>
      <c r="BN417" s="1718"/>
      <c r="BO417" s="1718"/>
      <c r="BP417" s="1718"/>
      <c r="BQ417" s="1718"/>
      <c r="BR417" s="246"/>
      <c r="BS417" s="246" t="str">
        <f>BS!$D$5</f>
        <v>31 March 2026</v>
      </c>
      <c r="BT417" s="247" t="str">
        <f>BS!$E$5</f>
        <v>31 March 2025</v>
      </c>
      <c r="BU417" s="1717"/>
      <c r="BV417" s="1718"/>
      <c r="BW417" s="1718"/>
      <c r="BX417" s="1718"/>
      <c r="BY417" s="1718"/>
      <c r="BZ417" s="246"/>
      <c r="CA417" s="246" t="str">
        <f>BS!$D$5</f>
        <v>31 March 2026</v>
      </c>
      <c r="CB417" s="247" t="str">
        <f>BS!$E$5</f>
        <v>31 March 2025</v>
      </c>
      <c r="CC417" s="1717"/>
      <c r="CD417" s="1718"/>
      <c r="CE417" s="1718"/>
      <c r="CF417" s="1718"/>
      <c r="CG417" s="1718"/>
      <c r="CH417" s="246"/>
      <c r="CI417" s="246" t="str">
        <f>BS!$D$5</f>
        <v>31 March 2026</v>
      </c>
      <c r="CJ417" s="247" t="str">
        <f>BS!$E$5</f>
        <v>31 March 2025</v>
      </c>
      <c r="CK417" s="1717"/>
      <c r="CL417" s="1718"/>
      <c r="CM417" s="1718"/>
      <c r="CN417" s="1718"/>
      <c r="CO417" s="1718"/>
      <c r="CP417" s="246"/>
      <c r="CQ417" s="246" t="str">
        <f>BS!$D$5</f>
        <v>31 March 2026</v>
      </c>
      <c r="CR417" s="247" t="str">
        <f>BS!$E$5</f>
        <v>31 March 2025</v>
      </c>
      <c r="CS417" s="1717"/>
      <c r="CT417" s="1718"/>
      <c r="CU417" s="1718"/>
      <c r="CV417" s="1718"/>
      <c r="CW417" s="1718"/>
      <c r="CX417" s="246"/>
      <c r="CY417" s="246" t="str">
        <f>BS!$D$5</f>
        <v>31 March 2026</v>
      </c>
      <c r="CZ417" s="247" t="str">
        <f>BS!$E$5</f>
        <v>31 March 2025</v>
      </c>
      <c r="DA417" s="1717"/>
      <c r="DB417" s="1718"/>
      <c r="DC417" s="1718"/>
      <c r="DD417" s="1718"/>
      <c r="DE417" s="1718"/>
      <c r="DF417" s="246"/>
      <c r="DG417" s="246" t="str">
        <f>BS!$D$5</f>
        <v>31 March 2026</v>
      </c>
      <c r="DH417" s="247" t="str">
        <f>BS!$E$5</f>
        <v>31 March 2025</v>
      </c>
      <c r="DI417" s="1717"/>
      <c r="DJ417" s="1718"/>
      <c r="DK417" s="1718"/>
      <c r="DL417" s="1718"/>
      <c r="DM417" s="1718"/>
      <c r="DN417" s="246"/>
      <c r="DO417" s="246" t="str">
        <f>BS!$D$5</f>
        <v>31 March 2026</v>
      </c>
      <c r="DP417" s="247" t="str">
        <f>BS!$E$5</f>
        <v>31 March 2025</v>
      </c>
      <c r="DQ417" s="1717"/>
      <c r="DR417" s="1718"/>
      <c r="DS417" s="1718"/>
      <c r="DT417" s="1718"/>
      <c r="DU417" s="1718"/>
      <c r="DV417" s="246"/>
      <c r="DW417" s="246" t="str">
        <f>BS!$D$5</f>
        <v>31 March 2026</v>
      </c>
      <c r="DX417" s="247" t="str">
        <f>BS!$E$5</f>
        <v>31 March 2025</v>
      </c>
      <c r="DY417" s="1717"/>
      <c r="DZ417" s="1718"/>
      <c r="EA417" s="1718"/>
      <c r="EB417" s="1718"/>
      <c r="EC417" s="1718"/>
      <c r="ED417" s="246"/>
      <c r="EE417" s="246" t="str">
        <f>BS!$D$5</f>
        <v>31 March 2026</v>
      </c>
      <c r="EF417" s="247" t="str">
        <f>BS!$E$5</f>
        <v>31 March 2025</v>
      </c>
      <c r="EG417" s="1717"/>
      <c r="EH417" s="1718"/>
      <c r="EI417" s="1718"/>
      <c r="EJ417" s="1718"/>
      <c r="EK417" s="1718"/>
      <c r="EL417" s="246"/>
      <c r="EM417" s="246" t="str">
        <f>BS!$D$5</f>
        <v>31 March 2026</v>
      </c>
      <c r="EN417" s="247" t="str">
        <f>BS!$E$5</f>
        <v>31 March 2025</v>
      </c>
      <c r="EO417" s="1717"/>
      <c r="EP417" s="1718"/>
      <c r="EQ417" s="1718"/>
      <c r="ER417" s="1718"/>
      <c r="ES417" s="1718"/>
      <c r="ET417" s="246"/>
      <c r="EU417" s="246" t="str">
        <f>BS!$D$5</f>
        <v>31 March 2026</v>
      </c>
      <c r="EV417" s="247" t="str">
        <f>BS!$E$5</f>
        <v>31 March 2025</v>
      </c>
      <c r="EW417" s="1717"/>
      <c r="EX417" s="1718"/>
      <c r="EY417" s="1718"/>
      <c r="EZ417" s="1718"/>
      <c r="FA417" s="1718"/>
      <c r="FB417" s="246"/>
      <c r="FC417" s="246" t="str">
        <f>BS!$D$5</f>
        <v>31 March 2026</v>
      </c>
      <c r="FD417" s="247" t="str">
        <f>BS!$E$5</f>
        <v>31 March 2025</v>
      </c>
      <c r="FE417" s="1717"/>
      <c r="FF417" s="1718"/>
      <c r="FG417" s="1718"/>
      <c r="FH417" s="1718"/>
      <c r="FI417" s="1718"/>
      <c r="FJ417" s="246"/>
      <c r="FK417" s="246" t="str">
        <f>BS!$D$5</f>
        <v>31 March 2026</v>
      </c>
      <c r="FL417" s="247" t="str">
        <f>BS!$E$5</f>
        <v>31 March 2025</v>
      </c>
      <c r="FM417" s="1717"/>
      <c r="FN417" s="1718"/>
      <c r="FO417" s="1718"/>
      <c r="FP417" s="1718"/>
      <c r="FQ417" s="1718"/>
      <c r="FR417" s="246"/>
      <c r="FS417" s="246" t="str">
        <f>BS!$D$5</f>
        <v>31 March 2026</v>
      </c>
      <c r="FT417" s="247" t="str">
        <f>BS!$E$5</f>
        <v>31 March 2025</v>
      </c>
      <c r="FU417" s="1717"/>
      <c r="FV417" s="1718"/>
      <c r="FW417" s="1718"/>
      <c r="FX417" s="1718"/>
      <c r="FY417" s="1718"/>
      <c r="FZ417" s="246"/>
      <c r="GA417" s="246" t="str">
        <f>BS!$D$5</f>
        <v>31 March 2026</v>
      </c>
      <c r="GB417" s="247" t="str">
        <f>BS!$E$5</f>
        <v>31 March 2025</v>
      </c>
      <c r="GC417" s="1717"/>
      <c r="GD417" s="1718"/>
      <c r="GE417" s="1718"/>
      <c r="GF417" s="1718"/>
      <c r="GG417" s="1718"/>
      <c r="GH417" s="246"/>
      <c r="GI417" s="246" t="str">
        <f>BS!$D$5</f>
        <v>31 March 2026</v>
      </c>
      <c r="GJ417" s="247" t="str">
        <f>BS!$E$5</f>
        <v>31 March 2025</v>
      </c>
      <c r="GK417" s="1717"/>
      <c r="GL417" s="1718"/>
      <c r="GM417" s="1718"/>
      <c r="GN417" s="1718"/>
      <c r="GO417" s="1718"/>
      <c r="GP417" s="246"/>
      <c r="GQ417" s="246" t="str">
        <f>BS!$D$5</f>
        <v>31 March 2026</v>
      </c>
      <c r="GR417" s="247" t="str">
        <f>BS!$E$5</f>
        <v>31 March 2025</v>
      </c>
      <c r="GS417" s="1717"/>
      <c r="GT417" s="1718"/>
      <c r="GU417" s="1718"/>
      <c r="GV417" s="1718"/>
      <c r="GW417" s="1718"/>
      <c r="GX417" s="246"/>
      <c r="GY417" s="246" t="str">
        <f>BS!$D$5</f>
        <v>31 March 2026</v>
      </c>
      <c r="GZ417" s="247" t="str">
        <f>BS!$E$5</f>
        <v>31 March 2025</v>
      </c>
      <c r="HA417" s="1717"/>
      <c r="HB417" s="1718"/>
      <c r="HC417" s="1718"/>
      <c r="HD417" s="1718"/>
      <c r="HE417" s="1718"/>
      <c r="HF417" s="246"/>
      <c r="HG417" s="246" t="str">
        <f>BS!$D$5</f>
        <v>31 March 2026</v>
      </c>
      <c r="HH417" s="247" t="str">
        <f>BS!$E$5</f>
        <v>31 March 2025</v>
      </c>
      <c r="HI417" s="1717"/>
      <c r="HJ417" s="1718"/>
      <c r="HK417" s="1718"/>
      <c r="HL417" s="1718"/>
      <c r="HM417" s="1718"/>
      <c r="HN417" s="246"/>
      <c r="HO417" s="246" t="str">
        <f>BS!$D$5</f>
        <v>31 March 2026</v>
      </c>
      <c r="HP417" s="247" t="str">
        <f>BS!$E$5</f>
        <v>31 March 2025</v>
      </c>
      <c r="HQ417" s="1717"/>
      <c r="HR417" s="1718"/>
      <c r="HS417" s="1718"/>
      <c r="HT417" s="1718"/>
      <c r="HU417" s="1718"/>
      <c r="HV417" s="246"/>
      <c r="HW417" s="246" t="str">
        <f>BS!$D$5</f>
        <v>31 March 2026</v>
      </c>
      <c r="HX417" s="247" t="str">
        <f>BS!$E$5</f>
        <v>31 March 2025</v>
      </c>
      <c r="HY417" s="1717"/>
      <c r="HZ417" s="1718"/>
      <c r="IA417" s="1718"/>
      <c r="IB417" s="1718"/>
      <c r="IC417" s="1718"/>
      <c r="ID417" s="246"/>
      <c r="IE417" s="246" t="str">
        <f>BS!$D$5</f>
        <v>31 March 2026</v>
      </c>
      <c r="IF417" s="247" t="str">
        <f>BS!$E$5</f>
        <v>31 March 2025</v>
      </c>
      <c r="IG417" s="1717"/>
      <c r="IH417" s="1718"/>
      <c r="II417" s="1718"/>
      <c r="IJ417" s="1718"/>
      <c r="IK417" s="1718"/>
      <c r="IL417" s="246"/>
      <c r="IM417" s="246" t="str">
        <f>BS!$D$5</f>
        <v>31 March 2026</v>
      </c>
      <c r="IN417" s="247" t="str">
        <f>BS!$E$5</f>
        <v>31 March 2025</v>
      </c>
      <c r="IO417" s="1717"/>
      <c r="IP417" s="1718"/>
      <c r="IQ417" s="1718"/>
      <c r="IR417" s="1718"/>
      <c r="IS417" s="1718"/>
      <c r="IT417" s="246"/>
      <c r="IU417" s="246" t="str">
        <f>BS!$D$5</f>
        <v>31 March 2026</v>
      </c>
      <c r="IV417" s="247" t="str">
        <f>BS!$E$5</f>
        <v>31 March 2025</v>
      </c>
      <c r="IW417" s="1717"/>
      <c r="IX417" s="1718"/>
      <c r="IY417" s="1718"/>
      <c r="IZ417" s="1718"/>
      <c r="JA417" s="1718"/>
      <c r="JB417" s="246"/>
      <c r="JC417" s="246" t="str">
        <f>BS!$D$5</f>
        <v>31 March 2026</v>
      </c>
      <c r="JD417" s="247" t="str">
        <f>BS!$E$5</f>
        <v>31 March 2025</v>
      </c>
      <c r="JE417" s="1717"/>
      <c r="JF417" s="1718"/>
      <c r="JG417" s="1718"/>
      <c r="JH417" s="1718"/>
      <c r="JI417" s="1718"/>
      <c r="JJ417" s="246"/>
      <c r="JK417" s="246" t="str">
        <f>BS!$D$5</f>
        <v>31 March 2026</v>
      </c>
      <c r="JL417" s="247" t="str">
        <f>BS!$E$5</f>
        <v>31 March 2025</v>
      </c>
      <c r="JM417" s="1717"/>
      <c r="JN417" s="1718"/>
      <c r="JO417" s="1718"/>
      <c r="JP417" s="1718"/>
      <c r="JQ417" s="1718"/>
      <c r="JR417" s="246"/>
      <c r="JS417" s="246" t="str">
        <f>BS!$D$5</f>
        <v>31 March 2026</v>
      </c>
      <c r="JT417" s="247" t="str">
        <f>BS!$E$5</f>
        <v>31 March 2025</v>
      </c>
      <c r="JU417" s="1717"/>
      <c r="JV417" s="1718"/>
      <c r="JW417" s="1718"/>
      <c r="JX417" s="1718"/>
      <c r="JY417" s="1718"/>
      <c r="JZ417" s="246"/>
      <c r="KA417" s="246" t="str">
        <f>BS!$D$5</f>
        <v>31 March 2026</v>
      </c>
      <c r="KB417" s="247" t="str">
        <f>BS!$E$5</f>
        <v>31 March 2025</v>
      </c>
      <c r="KC417" s="1717"/>
      <c r="KD417" s="1718"/>
      <c r="KE417" s="1718"/>
      <c r="KF417" s="1718"/>
      <c r="KG417" s="1718"/>
      <c r="KH417" s="246"/>
      <c r="KI417" s="246" t="str">
        <f>BS!$D$5</f>
        <v>31 March 2026</v>
      </c>
      <c r="KJ417" s="247" t="str">
        <f>BS!$E$5</f>
        <v>31 March 2025</v>
      </c>
      <c r="KK417" s="1717"/>
      <c r="KL417" s="1718"/>
      <c r="KM417" s="1718"/>
      <c r="KN417" s="1718"/>
      <c r="KO417" s="1718"/>
      <c r="KP417" s="246"/>
      <c r="KQ417" s="246" t="str">
        <f>BS!$D$5</f>
        <v>31 March 2026</v>
      </c>
      <c r="KR417" s="247" t="str">
        <f>BS!$E$5</f>
        <v>31 March 2025</v>
      </c>
      <c r="KS417" s="1717"/>
      <c r="KT417" s="1718"/>
      <c r="KU417" s="1718"/>
      <c r="KV417" s="1718"/>
      <c r="KW417" s="1718"/>
      <c r="KX417" s="246"/>
      <c r="KY417" s="246" t="str">
        <f>BS!$D$5</f>
        <v>31 March 2026</v>
      </c>
      <c r="KZ417" s="247" t="str">
        <f>BS!$E$5</f>
        <v>31 March 2025</v>
      </c>
      <c r="LA417" s="1717"/>
      <c r="LB417" s="1718"/>
      <c r="LC417" s="1718"/>
      <c r="LD417" s="1718"/>
      <c r="LE417" s="1718"/>
      <c r="LF417" s="246"/>
      <c r="LG417" s="246" t="str">
        <f>BS!$D$5</f>
        <v>31 March 2026</v>
      </c>
      <c r="LH417" s="247" t="str">
        <f>BS!$E$5</f>
        <v>31 March 2025</v>
      </c>
      <c r="LI417" s="1717"/>
      <c r="LJ417" s="1718"/>
      <c r="LK417" s="1718"/>
      <c r="LL417" s="1718"/>
      <c r="LM417" s="1718"/>
      <c r="LN417" s="246"/>
      <c r="LO417" s="246" t="str">
        <f>BS!$D$5</f>
        <v>31 March 2026</v>
      </c>
      <c r="LP417" s="247" t="str">
        <f>BS!$E$5</f>
        <v>31 March 2025</v>
      </c>
      <c r="LQ417" s="1717"/>
      <c r="LR417" s="1718"/>
      <c r="LS417" s="1718"/>
      <c r="LT417" s="1718"/>
      <c r="LU417" s="1718"/>
      <c r="LV417" s="246"/>
      <c r="LW417" s="246" t="str">
        <f>BS!$D$5</f>
        <v>31 March 2026</v>
      </c>
      <c r="LX417" s="247" t="str">
        <f>BS!$E$5</f>
        <v>31 March 2025</v>
      </c>
      <c r="LY417" s="1717"/>
      <c r="LZ417" s="1718"/>
      <c r="MA417" s="1718"/>
      <c r="MB417" s="1718"/>
      <c r="MC417" s="1718"/>
      <c r="MD417" s="246"/>
      <c r="ME417" s="246" t="str">
        <f>BS!$D$5</f>
        <v>31 March 2026</v>
      </c>
      <c r="MF417" s="247" t="str">
        <f>BS!$E$5</f>
        <v>31 March 2025</v>
      </c>
      <c r="MG417" s="1717"/>
      <c r="MH417" s="1718"/>
      <c r="MI417" s="1718"/>
      <c r="MJ417" s="1718"/>
      <c r="MK417" s="1718"/>
      <c r="ML417" s="246"/>
      <c r="MM417" s="246" t="str">
        <f>BS!$D$5</f>
        <v>31 March 2026</v>
      </c>
      <c r="MN417" s="247" t="str">
        <f>BS!$E$5</f>
        <v>31 March 2025</v>
      </c>
      <c r="MO417" s="1717"/>
      <c r="MP417" s="1718"/>
      <c r="MQ417" s="1718"/>
      <c r="MR417" s="1718"/>
      <c r="MS417" s="1718"/>
      <c r="MT417" s="246"/>
      <c r="MU417" s="246" t="str">
        <f>BS!$D$5</f>
        <v>31 March 2026</v>
      </c>
      <c r="MV417" s="247" t="str">
        <f>BS!$E$5</f>
        <v>31 March 2025</v>
      </c>
      <c r="MW417" s="1717"/>
      <c r="MX417" s="1718"/>
      <c r="MY417" s="1718"/>
      <c r="MZ417" s="1718"/>
      <c r="NA417" s="1718"/>
      <c r="NB417" s="246"/>
      <c r="NC417" s="246" t="str">
        <f>BS!$D$5</f>
        <v>31 March 2026</v>
      </c>
      <c r="ND417" s="247" t="str">
        <f>BS!$E$5</f>
        <v>31 March 2025</v>
      </c>
      <c r="NE417" s="1717"/>
      <c r="NF417" s="1718"/>
      <c r="NG417" s="1718"/>
      <c r="NH417" s="1718"/>
      <c r="NI417" s="1718"/>
      <c r="NJ417" s="246"/>
      <c r="NK417" s="246" t="str">
        <f>BS!$D$5</f>
        <v>31 March 2026</v>
      </c>
      <c r="NL417" s="247" t="str">
        <f>BS!$E$5</f>
        <v>31 March 2025</v>
      </c>
      <c r="NM417" s="1717"/>
      <c r="NN417" s="1718"/>
      <c r="NO417" s="1718"/>
      <c r="NP417" s="1718"/>
      <c r="NQ417" s="1718"/>
      <c r="NR417" s="246"/>
      <c r="NS417" s="246" t="str">
        <f>BS!$D$5</f>
        <v>31 March 2026</v>
      </c>
      <c r="NT417" s="247" t="str">
        <f>BS!$E$5</f>
        <v>31 March 2025</v>
      </c>
      <c r="NU417" s="1717"/>
      <c r="NV417" s="1718"/>
      <c r="NW417" s="1718"/>
      <c r="NX417" s="1718"/>
      <c r="NY417" s="1718"/>
      <c r="NZ417" s="246"/>
      <c r="OA417" s="246" t="str">
        <f>BS!$D$5</f>
        <v>31 March 2026</v>
      </c>
      <c r="OB417" s="247" t="str">
        <f>BS!$E$5</f>
        <v>31 March 2025</v>
      </c>
      <c r="OC417" s="1717"/>
      <c r="OD417" s="1718"/>
      <c r="OE417" s="1718"/>
      <c r="OF417" s="1718"/>
      <c r="OG417" s="1718"/>
      <c r="OH417" s="246"/>
      <c r="OI417" s="246" t="str">
        <f>BS!$D$5</f>
        <v>31 March 2026</v>
      </c>
      <c r="OJ417" s="247" t="str">
        <f>BS!$E$5</f>
        <v>31 March 2025</v>
      </c>
      <c r="OK417" s="1717"/>
      <c r="OL417" s="1718"/>
      <c r="OM417" s="1718"/>
      <c r="ON417" s="1718"/>
      <c r="OO417" s="1718"/>
      <c r="OP417" s="246"/>
      <c r="OQ417" s="246" t="str">
        <f>BS!$D$5</f>
        <v>31 March 2026</v>
      </c>
      <c r="OR417" s="247" t="str">
        <f>BS!$E$5</f>
        <v>31 March 2025</v>
      </c>
      <c r="OS417" s="1717"/>
      <c r="OT417" s="1718"/>
      <c r="OU417" s="1718"/>
      <c r="OV417" s="1718"/>
      <c r="OW417" s="1718"/>
      <c r="OX417" s="246"/>
      <c r="OY417" s="246" t="str">
        <f>BS!$D$5</f>
        <v>31 March 2026</v>
      </c>
      <c r="OZ417" s="247" t="str">
        <f>BS!$E$5</f>
        <v>31 March 2025</v>
      </c>
      <c r="PA417" s="1717"/>
      <c r="PB417" s="1718"/>
      <c r="PC417" s="1718"/>
      <c r="PD417" s="1718"/>
      <c r="PE417" s="1718"/>
      <c r="PF417" s="246"/>
      <c r="PG417" s="246" t="str">
        <f>BS!$D$5</f>
        <v>31 March 2026</v>
      </c>
      <c r="PH417" s="247" t="str">
        <f>BS!$E$5</f>
        <v>31 March 2025</v>
      </c>
      <c r="PI417" s="1717"/>
      <c r="PJ417" s="1718"/>
      <c r="PK417" s="1718"/>
      <c r="PL417" s="1718"/>
      <c r="PM417" s="1718"/>
      <c r="PN417" s="246"/>
      <c r="PO417" s="246" t="str">
        <f>BS!$D$5</f>
        <v>31 March 2026</v>
      </c>
      <c r="PP417" s="247" t="str">
        <f>BS!$E$5</f>
        <v>31 March 2025</v>
      </c>
      <c r="PQ417" s="1717"/>
      <c r="PR417" s="1718"/>
      <c r="PS417" s="1718"/>
      <c r="PT417" s="1718"/>
      <c r="PU417" s="1718"/>
      <c r="PV417" s="246"/>
      <c r="PW417" s="246" t="str">
        <f>BS!$D$5</f>
        <v>31 March 2026</v>
      </c>
      <c r="PX417" s="247" t="str">
        <f>BS!$E$5</f>
        <v>31 March 2025</v>
      </c>
      <c r="PY417" s="1717"/>
      <c r="PZ417" s="1718"/>
      <c r="QA417" s="1718"/>
      <c r="QB417" s="1718"/>
      <c r="QC417" s="1718"/>
      <c r="QD417" s="246"/>
      <c r="QE417" s="246" t="str">
        <f>BS!$D$5</f>
        <v>31 March 2026</v>
      </c>
      <c r="QF417" s="247" t="str">
        <f>BS!$E$5</f>
        <v>31 March 2025</v>
      </c>
      <c r="QG417" s="1717"/>
      <c r="QH417" s="1718"/>
      <c r="QI417" s="1718"/>
      <c r="QJ417" s="1718"/>
      <c r="QK417" s="1718"/>
      <c r="QL417" s="246"/>
      <c r="QM417" s="246" t="str">
        <f>BS!$D$5</f>
        <v>31 March 2026</v>
      </c>
      <c r="QN417" s="247" t="str">
        <f>BS!$E$5</f>
        <v>31 March 2025</v>
      </c>
      <c r="QO417" s="1717"/>
      <c r="QP417" s="1718"/>
      <c r="QQ417" s="1718"/>
      <c r="QR417" s="1718"/>
      <c r="QS417" s="1718"/>
      <c r="QT417" s="246"/>
      <c r="QU417" s="246" t="str">
        <f>BS!$D$5</f>
        <v>31 March 2026</v>
      </c>
      <c r="QV417" s="247" t="str">
        <f>BS!$E$5</f>
        <v>31 March 2025</v>
      </c>
      <c r="QW417" s="1717"/>
      <c r="QX417" s="1718"/>
      <c r="QY417" s="1718"/>
      <c r="QZ417" s="1718"/>
      <c r="RA417" s="1718"/>
      <c r="RB417" s="246"/>
      <c r="RC417" s="246" t="str">
        <f>BS!$D$5</f>
        <v>31 March 2026</v>
      </c>
      <c r="RD417" s="247" t="str">
        <f>BS!$E$5</f>
        <v>31 March 2025</v>
      </c>
      <c r="RE417" s="1717"/>
      <c r="RF417" s="1718"/>
      <c r="RG417" s="1718"/>
      <c r="RH417" s="1718"/>
      <c r="RI417" s="1718"/>
      <c r="RJ417" s="246"/>
      <c r="RK417" s="246" t="str">
        <f>BS!$D$5</f>
        <v>31 March 2026</v>
      </c>
      <c r="RL417" s="247" t="str">
        <f>BS!$E$5</f>
        <v>31 March 2025</v>
      </c>
      <c r="RM417" s="1717"/>
      <c r="RN417" s="1718"/>
      <c r="RO417" s="1718"/>
      <c r="RP417" s="1718"/>
      <c r="RQ417" s="1718"/>
      <c r="RR417" s="246"/>
      <c r="RS417" s="246" t="str">
        <f>BS!$D$5</f>
        <v>31 March 2026</v>
      </c>
      <c r="RT417" s="247" t="str">
        <f>BS!$E$5</f>
        <v>31 March 2025</v>
      </c>
      <c r="RU417" s="1717"/>
      <c r="RV417" s="1718"/>
      <c r="RW417" s="1718"/>
      <c r="RX417" s="1718"/>
      <c r="RY417" s="1718"/>
      <c r="RZ417" s="246"/>
      <c r="SA417" s="246" t="str">
        <f>BS!$D$5</f>
        <v>31 March 2026</v>
      </c>
      <c r="SB417" s="247" t="str">
        <f>BS!$E$5</f>
        <v>31 March 2025</v>
      </c>
      <c r="SC417" s="1717"/>
      <c r="SD417" s="1718"/>
      <c r="SE417" s="1718"/>
      <c r="SF417" s="1718"/>
      <c r="SG417" s="1718"/>
      <c r="SH417" s="246"/>
      <c r="SI417" s="246" t="str">
        <f>BS!$D$5</f>
        <v>31 March 2026</v>
      </c>
      <c r="SJ417" s="247" t="str">
        <f>BS!$E$5</f>
        <v>31 March 2025</v>
      </c>
      <c r="SK417" s="1717"/>
      <c r="SL417" s="1718"/>
      <c r="SM417" s="1718"/>
      <c r="SN417" s="1718"/>
      <c r="SO417" s="1718"/>
      <c r="SP417" s="246"/>
      <c r="SQ417" s="246" t="str">
        <f>BS!$D$5</f>
        <v>31 March 2026</v>
      </c>
      <c r="SR417" s="247" t="str">
        <f>BS!$E$5</f>
        <v>31 March 2025</v>
      </c>
      <c r="SS417" s="1717"/>
      <c r="ST417" s="1718"/>
      <c r="SU417" s="1718"/>
      <c r="SV417" s="1718"/>
      <c r="SW417" s="1718"/>
      <c r="SX417" s="246"/>
      <c r="SY417" s="246" t="str">
        <f>BS!$D$5</f>
        <v>31 March 2026</v>
      </c>
      <c r="SZ417" s="247" t="str">
        <f>BS!$E$5</f>
        <v>31 March 2025</v>
      </c>
      <c r="TA417" s="1717"/>
      <c r="TB417" s="1718"/>
      <c r="TC417" s="1718"/>
      <c r="TD417" s="1718"/>
      <c r="TE417" s="1718"/>
      <c r="TF417" s="246"/>
      <c r="TG417" s="246" t="str">
        <f>BS!$D$5</f>
        <v>31 March 2026</v>
      </c>
      <c r="TH417" s="247" t="str">
        <f>BS!$E$5</f>
        <v>31 March 2025</v>
      </c>
      <c r="TI417" s="1717"/>
      <c r="TJ417" s="1718"/>
      <c r="TK417" s="1718"/>
      <c r="TL417" s="1718"/>
      <c r="TM417" s="1718"/>
      <c r="TN417" s="246"/>
      <c r="TO417" s="246" t="str">
        <f>BS!$D$5</f>
        <v>31 March 2026</v>
      </c>
      <c r="TP417" s="247" t="str">
        <f>BS!$E$5</f>
        <v>31 March 2025</v>
      </c>
      <c r="TQ417" s="1717"/>
      <c r="TR417" s="1718"/>
      <c r="TS417" s="1718"/>
      <c r="TT417" s="1718"/>
      <c r="TU417" s="1718"/>
      <c r="TV417" s="246"/>
      <c r="TW417" s="246" t="str">
        <f>BS!$D$5</f>
        <v>31 March 2026</v>
      </c>
      <c r="TX417" s="247" t="str">
        <f>BS!$E$5</f>
        <v>31 March 2025</v>
      </c>
      <c r="TY417" s="1717"/>
      <c r="TZ417" s="1718"/>
      <c r="UA417" s="1718"/>
      <c r="UB417" s="1718"/>
      <c r="UC417" s="1718"/>
      <c r="UD417" s="246"/>
      <c r="UE417" s="246" t="str">
        <f>BS!$D$5</f>
        <v>31 March 2026</v>
      </c>
      <c r="UF417" s="247" t="str">
        <f>BS!$E$5</f>
        <v>31 March 2025</v>
      </c>
      <c r="UG417" s="1717"/>
      <c r="UH417" s="1718"/>
      <c r="UI417" s="1718"/>
      <c r="UJ417" s="1718"/>
      <c r="UK417" s="1718"/>
      <c r="UL417" s="246"/>
      <c r="UM417" s="246" t="str">
        <f>BS!$D$5</f>
        <v>31 March 2026</v>
      </c>
      <c r="UN417" s="247" t="str">
        <f>BS!$E$5</f>
        <v>31 March 2025</v>
      </c>
      <c r="UO417" s="1717"/>
      <c r="UP417" s="1718"/>
      <c r="UQ417" s="1718"/>
      <c r="UR417" s="1718"/>
      <c r="US417" s="1718"/>
      <c r="UT417" s="246"/>
      <c r="UU417" s="246" t="str">
        <f>BS!$D$5</f>
        <v>31 March 2026</v>
      </c>
      <c r="UV417" s="247" t="str">
        <f>BS!$E$5</f>
        <v>31 March 2025</v>
      </c>
      <c r="UW417" s="1717"/>
      <c r="UX417" s="1718"/>
      <c r="UY417" s="1718"/>
      <c r="UZ417" s="1718"/>
      <c r="VA417" s="1718"/>
      <c r="VB417" s="246"/>
      <c r="VC417" s="246" t="str">
        <f>BS!$D$5</f>
        <v>31 March 2026</v>
      </c>
      <c r="VD417" s="247" t="str">
        <f>BS!$E$5</f>
        <v>31 March 2025</v>
      </c>
      <c r="VE417" s="1717"/>
      <c r="VF417" s="1718"/>
      <c r="VG417" s="1718"/>
      <c r="VH417" s="1718"/>
      <c r="VI417" s="1718"/>
      <c r="VJ417" s="246"/>
      <c r="VK417" s="246" t="str">
        <f>BS!$D$5</f>
        <v>31 March 2026</v>
      </c>
      <c r="VL417" s="247" t="str">
        <f>BS!$E$5</f>
        <v>31 March 2025</v>
      </c>
      <c r="VM417" s="1717"/>
      <c r="VN417" s="1718"/>
      <c r="VO417" s="1718"/>
      <c r="VP417" s="1718"/>
      <c r="VQ417" s="1718"/>
      <c r="VR417" s="246"/>
      <c r="VS417" s="246" t="str">
        <f>BS!$D$5</f>
        <v>31 March 2026</v>
      </c>
      <c r="VT417" s="247" t="str">
        <f>BS!$E$5</f>
        <v>31 March 2025</v>
      </c>
      <c r="VU417" s="1717"/>
      <c r="VV417" s="1718"/>
      <c r="VW417" s="1718"/>
      <c r="VX417" s="1718"/>
      <c r="VY417" s="1718"/>
      <c r="VZ417" s="246"/>
      <c r="WA417" s="246" t="str">
        <f>BS!$D$5</f>
        <v>31 March 2026</v>
      </c>
      <c r="WB417" s="247" t="str">
        <f>BS!$E$5</f>
        <v>31 March 2025</v>
      </c>
      <c r="WC417" s="1717"/>
      <c r="WD417" s="1718"/>
      <c r="WE417" s="1718"/>
      <c r="WF417" s="1718"/>
      <c r="WG417" s="1718"/>
      <c r="WH417" s="246"/>
      <c r="WI417" s="246" t="str">
        <f>BS!$D$5</f>
        <v>31 March 2026</v>
      </c>
      <c r="WJ417" s="247" t="str">
        <f>BS!$E$5</f>
        <v>31 March 2025</v>
      </c>
      <c r="WK417" s="1717"/>
      <c r="WL417" s="1718"/>
      <c r="WM417" s="1718"/>
      <c r="WN417" s="1718"/>
      <c r="WO417" s="1718"/>
      <c r="WP417" s="246"/>
      <c r="WQ417" s="246" t="str">
        <f>BS!$D$5</f>
        <v>31 March 2026</v>
      </c>
      <c r="WR417" s="247" t="str">
        <f>BS!$E$5</f>
        <v>31 March 2025</v>
      </c>
      <c r="WS417" s="1717"/>
      <c r="WT417" s="1718"/>
      <c r="WU417" s="1718"/>
      <c r="WV417" s="1718"/>
      <c r="WW417" s="1718"/>
      <c r="WX417" s="246"/>
      <c r="WY417" s="246" t="str">
        <f>BS!$D$5</f>
        <v>31 March 2026</v>
      </c>
      <c r="WZ417" s="247" t="str">
        <f>BS!$E$5</f>
        <v>31 March 2025</v>
      </c>
      <c r="XA417" s="1717"/>
      <c r="XB417" s="1718"/>
      <c r="XC417" s="1718"/>
      <c r="XD417" s="1718"/>
      <c r="XE417" s="1718"/>
      <c r="XF417" s="246"/>
      <c r="XG417" s="246" t="str">
        <f>BS!$D$5</f>
        <v>31 March 2026</v>
      </c>
      <c r="XH417" s="247" t="str">
        <f>BS!$E$5</f>
        <v>31 March 2025</v>
      </c>
      <c r="XI417" s="1717"/>
      <c r="XJ417" s="1718"/>
      <c r="XK417" s="1718"/>
      <c r="XL417" s="1718"/>
      <c r="XM417" s="1718"/>
      <c r="XN417" s="246"/>
      <c r="XO417" s="246" t="str">
        <f>BS!$D$5</f>
        <v>31 March 2026</v>
      </c>
      <c r="XP417" s="247" t="str">
        <f>BS!$E$5</f>
        <v>31 March 2025</v>
      </c>
      <c r="XQ417" s="1717"/>
      <c r="XR417" s="1718"/>
      <c r="XS417" s="1718"/>
      <c r="XT417" s="1718"/>
      <c r="XU417" s="1718"/>
      <c r="XV417" s="246"/>
      <c r="XW417" s="246" t="str">
        <f>BS!$D$5</f>
        <v>31 March 2026</v>
      </c>
      <c r="XX417" s="247" t="str">
        <f>BS!$E$5</f>
        <v>31 March 2025</v>
      </c>
      <c r="XY417" s="1717"/>
      <c r="XZ417" s="1718"/>
      <c r="YA417" s="1718"/>
      <c r="YB417" s="1718"/>
      <c r="YC417" s="1718"/>
      <c r="YD417" s="246"/>
      <c r="YE417" s="246" t="str">
        <f>BS!$D$5</f>
        <v>31 March 2026</v>
      </c>
      <c r="YF417" s="247" t="str">
        <f>BS!$E$5</f>
        <v>31 March 2025</v>
      </c>
      <c r="YG417" s="1717"/>
      <c r="YH417" s="1718"/>
      <c r="YI417" s="1718"/>
      <c r="YJ417" s="1718"/>
      <c r="YK417" s="1718"/>
      <c r="YL417" s="246"/>
      <c r="YM417" s="246" t="str">
        <f>BS!$D$5</f>
        <v>31 March 2026</v>
      </c>
      <c r="YN417" s="247" t="str">
        <f>BS!$E$5</f>
        <v>31 March 2025</v>
      </c>
      <c r="YO417" s="1717"/>
      <c r="YP417" s="1718"/>
      <c r="YQ417" s="1718"/>
      <c r="YR417" s="1718"/>
      <c r="YS417" s="1718"/>
      <c r="YT417" s="246"/>
      <c r="YU417" s="246" t="str">
        <f>BS!$D$5</f>
        <v>31 March 2026</v>
      </c>
      <c r="YV417" s="247" t="str">
        <f>BS!$E$5</f>
        <v>31 March 2025</v>
      </c>
      <c r="YW417" s="1717"/>
      <c r="YX417" s="1718"/>
      <c r="YY417" s="1718"/>
      <c r="YZ417" s="1718"/>
      <c r="ZA417" s="1718"/>
      <c r="ZB417" s="246"/>
      <c r="ZC417" s="246" t="str">
        <f>BS!$D$5</f>
        <v>31 March 2026</v>
      </c>
      <c r="ZD417" s="247" t="str">
        <f>BS!$E$5</f>
        <v>31 March 2025</v>
      </c>
      <c r="ZE417" s="1717"/>
      <c r="ZF417" s="1718"/>
      <c r="ZG417" s="1718"/>
      <c r="ZH417" s="1718"/>
      <c r="ZI417" s="1718"/>
      <c r="ZJ417" s="246"/>
      <c r="ZK417" s="246" t="str">
        <f>BS!$D$5</f>
        <v>31 March 2026</v>
      </c>
      <c r="ZL417" s="247" t="str">
        <f>BS!$E$5</f>
        <v>31 March 2025</v>
      </c>
      <c r="ZM417" s="1717"/>
      <c r="ZN417" s="1718"/>
      <c r="ZO417" s="1718"/>
      <c r="ZP417" s="1718"/>
      <c r="ZQ417" s="1718"/>
      <c r="ZR417" s="246"/>
      <c r="ZS417" s="246" t="str">
        <f>BS!$D$5</f>
        <v>31 March 2026</v>
      </c>
      <c r="ZT417" s="247" t="str">
        <f>BS!$E$5</f>
        <v>31 March 2025</v>
      </c>
      <c r="ZU417" s="1717"/>
      <c r="ZV417" s="1718"/>
      <c r="ZW417" s="1718"/>
      <c r="ZX417" s="1718"/>
      <c r="ZY417" s="1718"/>
      <c r="ZZ417" s="246"/>
      <c r="AAA417" s="246" t="str">
        <f>BS!$D$5</f>
        <v>31 March 2026</v>
      </c>
      <c r="AAB417" s="247" t="str">
        <f>BS!$E$5</f>
        <v>31 March 2025</v>
      </c>
      <c r="AAC417" s="1717"/>
      <c r="AAD417" s="1718"/>
      <c r="AAE417" s="1718"/>
      <c r="AAF417" s="1718"/>
      <c r="AAG417" s="1718"/>
      <c r="AAH417" s="246"/>
      <c r="AAI417" s="246" t="str">
        <f>BS!$D$5</f>
        <v>31 March 2026</v>
      </c>
      <c r="AAJ417" s="247" t="str">
        <f>BS!$E$5</f>
        <v>31 March 2025</v>
      </c>
      <c r="AAK417" s="1717"/>
      <c r="AAL417" s="1718"/>
      <c r="AAM417" s="1718"/>
      <c r="AAN417" s="1718"/>
      <c r="AAO417" s="1718"/>
      <c r="AAP417" s="246"/>
      <c r="AAQ417" s="246" t="str">
        <f>BS!$D$5</f>
        <v>31 March 2026</v>
      </c>
      <c r="AAR417" s="247" t="str">
        <f>BS!$E$5</f>
        <v>31 March 2025</v>
      </c>
      <c r="AAS417" s="1717"/>
      <c r="AAT417" s="1718"/>
      <c r="AAU417" s="1718"/>
      <c r="AAV417" s="1718"/>
      <c r="AAW417" s="1718"/>
      <c r="AAX417" s="246"/>
      <c r="AAY417" s="246" t="str">
        <f>BS!$D$5</f>
        <v>31 March 2026</v>
      </c>
      <c r="AAZ417" s="247" t="str">
        <f>BS!$E$5</f>
        <v>31 March 2025</v>
      </c>
      <c r="ABA417" s="1717"/>
      <c r="ABB417" s="1718"/>
      <c r="ABC417" s="1718"/>
      <c r="ABD417" s="1718"/>
      <c r="ABE417" s="1718"/>
      <c r="ABF417" s="246"/>
      <c r="ABG417" s="246" t="str">
        <f>BS!$D$5</f>
        <v>31 March 2026</v>
      </c>
      <c r="ABH417" s="247" t="str">
        <f>BS!$E$5</f>
        <v>31 March 2025</v>
      </c>
      <c r="ABI417" s="1717"/>
      <c r="ABJ417" s="1718"/>
      <c r="ABK417" s="1718"/>
      <c r="ABL417" s="1718"/>
      <c r="ABM417" s="1718"/>
      <c r="ABN417" s="246"/>
      <c r="ABO417" s="246" t="str">
        <f>BS!$D$5</f>
        <v>31 March 2026</v>
      </c>
      <c r="ABP417" s="247" t="str">
        <f>BS!$E$5</f>
        <v>31 March 2025</v>
      </c>
      <c r="ABQ417" s="1717"/>
      <c r="ABR417" s="1718"/>
      <c r="ABS417" s="1718"/>
      <c r="ABT417" s="1718"/>
      <c r="ABU417" s="1718"/>
      <c r="ABV417" s="246"/>
      <c r="ABW417" s="246" t="str">
        <f>BS!$D$5</f>
        <v>31 March 2026</v>
      </c>
      <c r="ABX417" s="247" t="str">
        <f>BS!$E$5</f>
        <v>31 March 2025</v>
      </c>
      <c r="ABY417" s="1717"/>
      <c r="ABZ417" s="1718"/>
      <c r="ACA417" s="1718"/>
      <c r="ACB417" s="1718"/>
      <c r="ACC417" s="1718"/>
      <c r="ACD417" s="246"/>
      <c r="ACE417" s="246" t="str">
        <f>BS!$D$5</f>
        <v>31 March 2026</v>
      </c>
      <c r="ACF417" s="247" t="str">
        <f>BS!$E$5</f>
        <v>31 March 2025</v>
      </c>
      <c r="ACG417" s="1717"/>
      <c r="ACH417" s="1718"/>
      <c r="ACI417" s="1718"/>
      <c r="ACJ417" s="1718"/>
      <c r="ACK417" s="1718"/>
      <c r="ACL417" s="246"/>
      <c r="ACM417" s="246" t="str">
        <f>BS!$D$5</f>
        <v>31 March 2026</v>
      </c>
      <c r="ACN417" s="247" t="str">
        <f>BS!$E$5</f>
        <v>31 March 2025</v>
      </c>
      <c r="ACO417" s="1717"/>
      <c r="ACP417" s="1718"/>
      <c r="ACQ417" s="1718"/>
      <c r="ACR417" s="1718"/>
      <c r="ACS417" s="1718"/>
      <c r="ACT417" s="246"/>
      <c r="ACU417" s="246" t="str">
        <f>BS!$D$5</f>
        <v>31 March 2026</v>
      </c>
      <c r="ACV417" s="247" t="str">
        <f>BS!$E$5</f>
        <v>31 March 2025</v>
      </c>
      <c r="ACW417" s="1717"/>
      <c r="ACX417" s="1718"/>
      <c r="ACY417" s="1718"/>
      <c r="ACZ417" s="1718"/>
      <c r="ADA417" s="1718"/>
      <c r="ADB417" s="246"/>
      <c r="ADC417" s="246" t="str">
        <f>BS!$D$5</f>
        <v>31 March 2026</v>
      </c>
      <c r="ADD417" s="247" t="str">
        <f>BS!$E$5</f>
        <v>31 March 2025</v>
      </c>
      <c r="ADE417" s="1717"/>
      <c r="ADF417" s="1718"/>
      <c r="ADG417" s="1718"/>
      <c r="ADH417" s="1718"/>
      <c r="ADI417" s="1718"/>
      <c r="ADJ417" s="246"/>
      <c r="ADK417" s="246" t="str">
        <f>BS!$D$5</f>
        <v>31 March 2026</v>
      </c>
      <c r="ADL417" s="247" t="str">
        <f>BS!$E$5</f>
        <v>31 March 2025</v>
      </c>
      <c r="ADM417" s="1717"/>
      <c r="ADN417" s="1718"/>
      <c r="ADO417" s="1718"/>
      <c r="ADP417" s="1718"/>
      <c r="ADQ417" s="1718"/>
      <c r="ADR417" s="246"/>
      <c r="ADS417" s="246" t="str">
        <f>BS!$D$5</f>
        <v>31 March 2026</v>
      </c>
      <c r="ADT417" s="247" t="str">
        <f>BS!$E$5</f>
        <v>31 March 2025</v>
      </c>
      <c r="ADU417" s="1717"/>
      <c r="ADV417" s="1718"/>
      <c r="ADW417" s="1718"/>
      <c r="ADX417" s="1718"/>
      <c r="ADY417" s="1718"/>
      <c r="ADZ417" s="246"/>
      <c r="AEA417" s="246" t="str">
        <f>BS!$D$5</f>
        <v>31 March 2026</v>
      </c>
      <c r="AEB417" s="247" t="str">
        <f>BS!$E$5</f>
        <v>31 March 2025</v>
      </c>
      <c r="AEC417" s="1717"/>
      <c r="AED417" s="1718"/>
      <c r="AEE417" s="1718"/>
      <c r="AEF417" s="1718"/>
      <c r="AEG417" s="1718"/>
      <c r="AEH417" s="246"/>
      <c r="AEI417" s="246" t="str">
        <f>BS!$D$5</f>
        <v>31 March 2026</v>
      </c>
      <c r="AEJ417" s="247" t="str">
        <f>BS!$E$5</f>
        <v>31 March 2025</v>
      </c>
      <c r="AEK417" s="1717"/>
      <c r="AEL417" s="1718"/>
      <c r="AEM417" s="1718"/>
      <c r="AEN417" s="1718"/>
      <c r="AEO417" s="1718"/>
      <c r="AEP417" s="246"/>
      <c r="AEQ417" s="246" t="str">
        <f>BS!$D$5</f>
        <v>31 March 2026</v>
      </c>
      <c r="AER417" s="247" t="str">
        <f>BS!$E$5</f>
        <v>31 March 2025</v>
      </c>
      <c r="AES417" s="1717"/>
      <c r="AET417" s="1718"/>
      <c r="AEU417" s="1718"/>
      <c r="AEV417" s="1718"/>
      <c r="AEW417" s="1718"/>
      <c r="AEX417" s="246"/>
      <c r="AEY417" s="246" t="str">
        <f>BS!$D$5</f>
        <v>31 March 2026</v>
      </c>
      <c r="AEZ417" s="247" t="str">
        <f>BS!$E$5</f>
        <v>31 March 2025</v>
      </c>
      <c r="AFA417" s="1717"/>
      <c r="AFB417" s="1718"/>
      <c r="AFC417" s="1718"/>
      <c r="AFD417" s="1718"/>
      <c r="AFE417" s="1718"/>
      <c r="AFF417" s="246"/>
      <c r="AFG417" s="246" t="str">
        <f>BS!$D$5</f>
        <v>31 March 2026</v>
      </c>
      <c r="AFH417" s="247" t="str">
        <f>BS!$E$5</f>
        <v>31 March 2025</v>
      </c>
      <c r="AFI417" s="1717"/>
      <c r="AFJ417" s="1718"/>
      <c r="AFK417" s="1718"/>
      <c r="AFL417" s="1718"/>
      <c r="AFM417" s="1718"/>
      <c r="AFN417" s="246"/>
      <c r="AFO417" s="246" t="str">
        <f>BS!$D$5</f>
        <v>31 March 2026</v>
      </c>
      <c r="AFP417" s="247" t="str">
        <f>BS!$E$5</f>
        <v>31 March 2025</v>
      </c>
      <c r="AFQ417" s="1717"/>
      <c r="AFR417" s="1718"/>
      <c r="AFS417" s="1718"/>
      <c r="AFT417" s="1718"/>
      <c r="AFU417" s="1718"/>
      <c r="AFV417" s="246"/>
      <c r="AFW417" s="246" t="str">
        <f>BS!$D$5</f>
        <v>31 March 2026</v>
      </c>
      <c r="AFX417" s="247" t="str">
        <f>BS!$E$5</f>
        <v>31 March 2025</v>
      </c>
      <c r="AFY417" s="1717"/>
      <c r="AFZ417" s="1718"/>
      <c r="AGA417" s="1718"/>
      <c r="AGB417" s="1718"/>
      <c r="AGC417" s="1718"/>
      <c r="AGD417" s="246"/>
      <c r="AGE417" s="246" t="str">
        <f>BS!$D$5</f>
        <v>31 March 2026</v>
      </c>
      <c r="AGF417" s="247" t="str">
        <f>BS!$E$5</f>
        <v>31 March 2025</v>
      </c>
      <c r="AGG417" s="1717"/>
      <c r="AGH417" s="1718"/>
      <c r="AGI417" s="1718"/>
      <c r="AGJ417" s="1718"/>
      <c r="AGK417" s="1718"/>
      <c r="AGL417" s="246"/>
      <c r="AGM417" s="246" t="str">
        <f>BS!$D$5</f>
        <v>31 March 2026</v>
      </c>
      <c r="AGN417" s="247" t="str">
        <f>BS!$E$5</f>
        <v>31 March 2025</v>
      </c>
      <c r="AGO417" s="1717"/>
      <c r="AGP417" s="1718"/>
      <c r="AGQ417" s="1718"/>
      <c r="AGR417" s="1718"/>
      <c r="AGS417" s="1718"/>
      <c r="AGT417" s="246"/>
      <c r="AGU417" s="246" t="str">
        <f>BS!$D$5</f>
        <v>31 March 2026</v>
      </c>
      <c r="AGV417" s="247" t="str">
        <f>BS!$E$5</f>
        <v>31 March 2025</v>
      </c>
      <c r="AGW417" s="1717"/>
      <c r="AGX417" s="1718"/>
      <c r="AGY417" s="1718"/>
      <c r="AGZ417" s="1718"/>
      <c r="AHA417" s="1718"/>
      <c r="AHB417" s="246"/>
      <c r="AHC417" s="246" t="str">
        <f>BS!$D$5</f>
        <v>31 March 2026</v>
      </c>
      <c r="AHD417" s="247" t="str">
        <f>BS!$E$5</f>
        <v>31 March 2025</v>
      </c>
      <c r="AHE417" s="1717"/>
      <c r="AHF417" s="1718"/>
      <c r="AHG417" s="1718"/>
      <c r="AHH417" s="1718"/>
      <c r="AHI417" s="1718"/>
      <c r="AHJ417" s="246"/>
      <c r="AHK417" s="246" t="str">
        <f>BS!$D$5</f>
        <v>31 March 2026</v>
      </c>
      <c r="AHL417" s="247" t="str">
        <f>BS!$E$5</f>
        <v>31 March 2025</v>
      </c>
      <c r="AHM417" s="1717"/>
      <c r="AHN417" s="1718"/>
      <c r="AHO417" s="1718"/>
      <c r="AHP417" s="1718"/>
      <c r="AHQ417" s="1718"/>
      <c r="AHR417" s="246"/>
      <c r="AHS417" s="246" t="str">
        <f>BS!$D$5</f>
        <v>31 March 2026</v>
      </c>
      <c r="AHT417" s="247" t="str">
        <f>BS!$E$5</f>
        <v>31 March 2025</v>
      </c>
      <c r="AHU417" s="1717"/>
      <c r="AHV417" s="1718"/>
      <c r="AHW417" s="1718"/>
      <c r="AHX417" s="1718"/>
      <c r="AHY417" s="1718"/>
      <c r="AHZ417" s="246"/>
      <c r="AIA417" s="246" t="str">
        <f>BS!$D$5</f>
        <v>31 March 2026</v>
      </c>
      <c r="AIB417" s="247" t="str">
        <f>BS!$E$5</f>
        <v>31 March 2025</v>
      </c>
      <c r="AIC417" s="1717"/>
      <c r="AID417" s="1718"/>
      <c r="AIE417" s="1718"/>
      <c r="AIF417" s="1718"/>
      <c r="AIG417" s="1718"/>
      <c r="AIH417" s="246"/>
      <c r="AII417" s="246" t="str">
        <f>BS!$D$5</f>
        <v>31 March 2026</v>
      </c>
      <c r="AIJ417" s="247" t="str">
        <f>BS!$E$5</f>
        <v>31 March 2025</v>
      </c>
      <c r="AIK417" s="1717"/>
      <c r="AIL417" s="1718"/>
      <c r="AIM417" s="1718"/>
      <c r="AIN417" s="1718"/>
      <c r="AIO417" s="1718"/>
      <c r="AIP417" s="246"/>
      <c r="AIQ417" s="246" t="str">
        <f>BS!$D$5</f>
        <v>31 March 2026</v>
      </c>
      <c r="AIR417" s="247" t="str">
        <f>BS!$E$5</f>
        <v>31 March 2025</v>
      </c>
      <c r="AIS417" s="1717"/>
      <c r="AIT417" s="1718"/>
      <c r="AIU417" s="1718"/>
      <c r="AIV417" s="1718"/>
      <c r="AIW417" s="1718"/>
      <c r="AIX417" s="246"/>
      <c r="AIY417" s="246" t="str">
        <f>BS!$D$5</f>
        <v>31 March 2026</v>
      </c>
      <c r="AIZ417" s="247" t="str">
        <f>BS!$E$5</f>
        <v>31 March 2025</v>
      </c>
      <c r="AJA417" s="1717"/>
      <c r="AJB417" s="1718"/>
      <c r="AJC417" s="1718"/>
      <c r="AJD417" s="1718"/>
      <c r="AJE417" s="1718"/>
      <c r="AJF417" s="246"/>
      <c r="AJG417" s="246" t="str">
        <f>BS!$D$5</f>
        <v>31 March 2026</v>
      </c>
      <c r="AJH417" s="247" t="str">
        <f>BS!$E$5</f>
        <v>31 March 2025</v>
      </c>
      <c r="AJI417" s="1717"/>
      <c r="AJJ417" s="1718"/>
      <c r="AJK417" s="1718"/>
      <c r="AJL417" s="1718"/>
      <c r="AJM417" s="1718"/>
      <c r="AJN417" s="246"/>
      <c r="AJO417" s="246" t="str">
        <f>BS!$D$5</f>
        <v>31 March 2026</v>
      </c>
      <c r="AJP417" s="247" t="str">
        <f>BS!$E$5</f>
        <v>31 March 2025</v>
      </c>
      <c r="AJQ417" s="1717"/>
      <c r="AJR417" s="1718"/>
      <c r="AJS417" s="1718"/>
      <c r="AJT417" s="1718"/>
      <c r="AJU417" s="1718"/>
      <c r="AJV417" s="246"/>
      <c r="AJW417" s="246" t="str">
        <f>BS!$D$5</f>
        <v>31 March 2026</v>
      </c>
      <c r="AJX417" s="247" t="str">
        <f>BS!$E$5</f>
        <v>31 March 2025</v>
      </c>
      <c r="AJY417" s="1717"/>
      <c r="AJZ417" s="1718"/>
      <c r="AKA417" s="1718"/>
      <c r="AKB417" s="1718"/>
      <c r="AKC417" s="1718"/>
      <c r="AKD417" s="246"/>
      <c r="AKE417" s="246" t="str">
        <f>BS!$D$5</f>
        <v>31 March 2026</v>
      </c>
      <c r="AKF417" s="247" t="str">
        <f>BS!$E$5</f>
        <v>31 March 2025</v>
      </c>
      <c r="AKG417" s="1717"/>
      <c r="AKH417" s="1718"/>
      <c r="AKI417" s="1718"/>
      <c r="AKJ417" s="1718"/>
      <c r="AKK417" s="1718"/>
      <c r="AKL417" s="246"/>
      <c r="AKM417" s="246" t="str">
        <f>BS!$D$5</f>
        <v>31 March 2026</v>
      </c>
      <c r="AKN417" s="247" t="str">
        <f>BS!$E$5</f>
        <v>31 March 2025</v>
      </c>
      <c r="AKO417" s="1717"/>
      <c r="AKP417" s="1718"/>
      <c r="AKQ417" s="1718"/>
      <c r="AKR417" s="1718"/>
      <c r="AKS417" s="1718"/>
      <c r="AKT417" s="246"/>
      <c r="AKU417" s="246" t="str">
        <f>BS!$D$5</f>
        <v>31 March 2026</v>
      </c>
      <c r="AKV417" s="247" t="str">
        <f>BS!$E$5</f>
        <v>31 March 2025</v>
      </c>
      <c r="AKW417" s="1717"/>
      <c r="AKX417" s="1718"/>
      <c r="AKY417" s="1718"/>
      <c r="AKZ417" s="1718"/>
      <c r="ALA417" s="1718"/>
      <c r="ALB417" s="246"/>
      <c r="ALC417" s="246" t="str">
        <f>BS!$D$5</f>
        <v>31 March 2026</v>
      </c>
      <c r="ALD417" s="247" t="str">
        <f>BS!$E$5</f>
        <v>31 March 2025</v>
      </c>
      <c r="ALE417" s="1717"/>
      <c r="ALF417" s="1718"/>
      <c r="ALG417" s="1718"/>
      <c r="ALH417" s="1718"/>
      <c r="ALI417" s="1718"/>
      <c r="ALJ417" s="246"/>
      <c r="ALK417" s="246" t="str">
        <f>BS!$D$5</f>
        <v>31 March 2026</v>
      </c>
      <c r="ALL417" s="247" t="str">
        <f>BS!$E$5</f>
        <v>31 March 2025</v>
      </c>
      <c r="ALM417" s="1717"/>
      <c r="ALN417" s="1718"/>
      <c r="ALO417" s="1718"/>
      <c r="ALP417" s="1718"/>
      <c r="ALQ417" s="1718"/>
      <c r="ALR417" s="246"/>
      <c r="ALS417" s="246" t="str">
        <f>BS!$D$5</f>
        <v>31 March 2026</v>
      </c>
      <c r="ALT417" s="247" t="str">
        <f>BS!$E$5</f>
        <v>31 March 2025</v>
      </c>
      <c r="ALU417" s="1717"/>
      <c r="ALV417" s="1718"/>
      <c r="ALW417" s="1718"/>
      <c r="ALX417" s="1718"/>
      <c r="ALY417" s="1718"/>
      <c r="ALZ417" s="246"/>
      <c r="AMA417" s="246" t="str">
        <f>BS!$D$5</f>
        <v>31 March 2026</v>
      </c>
      <c r="AMB417" s="247" t="str">
        <f>BS!$E$5</f>
        <v>31 March 2025</v>
      </c>
      <c r="AMC417" s="1717"/>
      <c r="AMD417" s="1718"/>
      <c r="AME417" s="1718"/>
      <c r="AMF417" s="1718"/>
      <c r="AMG417" s="1718"/>
      <c r="AMH417" s="246"/>
      <c r="AMI417" s="246" t="str">
        <f>BS!$D$5</f>
        <v>31 March 2026</v>
      </c>
      <c r="AMJ417" s="247" t="str">
        <f>BS!$E$5</f>
        <v>31 March 2025</v>
      </c>
      <c r="AMK417" s="1717"/>
      <c r="AML417" s="1718"/>
      <c r="AMM417" s="1718"/>
      <c r="AMN417" s="1718"/>
      <c r="AMO417" s="1718"/>
      <c r="AMP417" s="246"/>
      <c r="AMQ417" s="246" t="str">
        <f>BS!$D$5</f>
        <v>31 March 2026</v>
      </c>
      <c r="AMR417" s="247" t="str">
        <f>BS!$E$5</f>
        <v>31 March 2025</v>
      </c>
      <c r="AMS417" s="1717"/>
      <c r="AMT417" s="1718"/>
      <c r="AMU417" s="1718"/>
      <c r="AMV417" s="1718"/>
      <c r="AMW417" s="1718"/>
      <c r="AMX417" s="246"/>
      <c r="AMY417" s="246" t="str">
        <f>BS!$D$5</f>
        <v>31 March 2026</v>
      </c>
      <c r="AMZ417" s="247" t="str">
        <f>BS!$E$5</f>
        <v>31 March 2025</v>
      </c>
      <c r="ANA417" s="1717"/>
      <c r="ANB417" s="1718"/>
      <c r="ANC417" s="1718"/>
      <c r="AND417" s="1718"/>
      <c r="ANE417" s="1718"/>
      <c r="ANF417" s="246"/>
      <c r="ANG417" s="246" t="str">
        <f>BS!$D$5</f>
        <v>31 March 2026</v>
      </c>
      <c r="ANH417" s="247" t="str">
        <f>BS!$E$5</f>
        <v>31 March 2025</v>
      </c>
      <c r="ANI417" s="1717"/>
      <c r="ANJ417" s="1718"/>
      <c r="ANK417" s="1718"/>
      <c r="ANL417" s="1718"/>
      <c r="ANM417" s="1718"/>
      <c r="ANN417" s="246"/>
      <c r="ANO417" s="246" t="str">
        <f>BS!$D$5</f>
        <v>31 March 2026</v>
      </c>
      <c r="ANP417" s="247" t="str">
        <f>BS!$E$5</f>
        <v>31 March 2025</v>
      </c>
      <c r="ANQ417" s="1717"/>
      <c r="ANR417" s="1718"/>
      <c r="ANS417" s="1718"/>
      <c r="ANT417" s="1718"/>
      <c r="ANU417" s="1718"/>
      <c r="ANV417" s="246"/>
      <c r="ANW417" s="246" t="str">
        <f>BS!$D$5</f>
        <v>31 March 2026</v>
      </c>
      <c r="ANX417" s="247" t="str">
        <f>BS!$E$5</f>
        <v>31 March 2025</v>
      </c>
      <c r="ANY417" s="1717"/>
      <c r="ANZ417" s="1718"/>
      <c r="AOA417" s="1718"/>
      <c r="AOB417" s="1718"/>
      <c r="AOC417" s="1718"/>
      <c r="AOD417" s="246"/>
      <c r="AOE417" s="246" t="str">
        <f>BS!$D$5</f>
        <v>31 March 2026</v>
      </c>
      <c r="AOF417" s="247" t="str">
        <f>BS!$E$5</f>
        <v>31 March 2025</v>
      </c>
      <c r="AOG417" s="1717"/>
      <c r="AOH417" s="1718"/>
      <c r="AOI417" s="1718"/>
      <c r="AOJ417" s="1718"/>
      <c r="AOK417" s="1718"/>
      <c r="AOL417" s="246"/>
      <c r="AOM417" s="246" t="str">
        <f>BS!$D$5</f>
        <v>31 March 2026</v>
      </c>
      <c r="AON417" s="247" t="str">
        <f>BS!$E$5</f>
        <v>31 March 2025</v>
      </c>
      <c r="AOO417" s="1717"/>
      <c r="AOP417" s="1718"/>
      <c r="AOQ417" s="1718"/>
      <c r="AOR417" s="1718"/>
      <c r="AOS417" s="1718"/>
      <c r="AOT417" s="246"/>
      <c r="AOU417" s="246" t="str">
        <f>BS!$D$5</f>
        <v>31 March 2026</v>
      </c>
      <c r="AOV417" s="247" t="str">
        <f>BS!$E$5</f>
        <v>31 March 2025</v>
      </c>
      <c r="AOW417" s="1717"/>
      <c r="AOX417" s="1718"/>
      <c r="AOY417" s="1718"/>
      <c r="AOZ417" s="1718"/>
      <c r="APA417" s="1718"/>
      <c r="APB417" s="246"/>
      <c r="APC417" s="246" t="str">
        <f>BS!$D$5</f>
        <v>31 March 2026</v>
      </c>
      <c r="APD417" s="247" t="str">
        <f>BS!$E$5</f>
        <v>31 March 2025</v>
      </c>
      <c r="APE417" s="1717"/>
      <c r="APF417" s="1718"/>
      <c r="APG417" s="1718"/>
      <c r="APH417" s="1718"/>
      <c r="API417" s="1718"/>
      <c r="APJ417" s="246"/>
      <c r="APK417" s="246" t="str">
        <f>BS!$D$5</f>
        <v>31 March 2026</v>
      </c>
      <c r="APL417" s="247" t="str">
        <f>BS!$E$5</f>
        <v>31 March 2025</v>
      </c>
      <c r="APM417" s="1717"/>
      <c r="APN417" s="1718"/>
      <c r="APO417" s="1718"/>
      <c r="APP417" s="1718"/>
      <c r="APQ417" s="1718"/>
      <c r="APR417" s="246"/>
      <c r="APS417" s="246" t="str">
        <f>BS!$D$5</f>
        <v>31 March 2026</v>
      </c>
      <c r="APT417" s="247" t="str">
        <f>BS!$E$5</f>
        <v>31 March 2025</v>
      </c>
      <c r="APU417" s="1717"/>
      <c r="APV417" s="1718"/>
      <c r="APW417" s="1718"/>
      <c r="APX417" s="1718"/>
      <c r="APY417" s="1718"/>
      <c r="APZ417" s="246"/>
      <c r="AQA417" s="246" t="str">
        <f>BS!$D$5</f>
        <v>31 March 2026</v>
      </c>
      <c r="AQB417" s="247" t="str">
        <f>BS!$E$5</f>
        <v>31 March 2025</v>
      </c>
      <c r="AQC417" s="1717"/>
      <c r="AQD417" s="1718"/>
      <c r="AQE417" s="1718"/>
      <c r="AQF417" s="1718"/>
      <c r="AQG417" s="1718"/>
      <c r="AQH417" s="246"/>
      <c r="AQI417" s="246" t="str">
        <f>BS!$D$5</f>
        <v>31 March 2026</v>
      </c>
      <c r="AQJ417" s="247" t="str">
        <f>BS!$E$5</f>
        <v>31 March 2025</v>
      </c>
      <c r="AQK417" s="1717"/>
      <c r="AQL417" s="1718"/>
      <c r="AQM417" s="1718"/>
      <c r="AQN417" s="1718"/>
      <c r="AQO417" s="1718"/>
      <c r="AQP417" s="246"/>
      <c r="AQQ417" s="246" t="str">
        <f>BS!$D$5</f>
        <v>31 March 2026</v>
      </c>
      <c r="AQR417" s="247" t="str">
        <f>BS!$E$5</f>
        <v>31 March 2025</v>
      </c>
      <c r="AQS417" s="1717"/>
      <c r="AQT417" s="1718"/>
      <c r="AQU417" s="1718"/>
      <c r="AQV417" s="1718"/>
      <c r="AQW417" s="1718"/>
      <c r="AQX417" s="246"/>
      <c r="AQY417" s="246" t="str">
        <f>BS!$D$5</f>
        <v>31 March 2026</v>
      </c>
      <c r="AQZ417" s="247" t="str">
        <f>BS!$E$5</f>
        <v>31 March 2025</v>
      </c>
      <c r="ARA417" s="1717"/>
      <c r="ARB417" s="1718"/>
      <c r="ARC417" s="1718"/>
      <c r="ARD417" s="1718"/>
      <c r="ARE417" s="1718"/>
      <c r="ARF417" s="246"/>
      <c r="ARG417" s="246" t="str">
        <f>BS!$D$5</f>
        <v>31 March 2026</v>
      </c>
      <c r="ARH417" s="247" t="str">
        <f>BS!$E$5</f>
        <v>31 March 2025</v>
      </c>
      <c r="ARI417" s="1717"/>
      <c r="ARJ417" s="1718"/>
      <c r="ARK417" s="1718"/>
      <c r="ARL417" s="1718"/>
      <c r="ARM417" s="1718"/>
      <c r="ARN417" s="246"/>
      <c r="ARO417" s="246" t="str">
        <f>BS!$D$5</f>
        <v>31 March 2026</v>
      </c>
      <c r="ARP417" s="247" t="str">
        <f>BS!$E$5</f>
        <v>31 March 2025</v>
      </c>
      <c r="ARQ417" s="1717"/>
      <c r="ARR417" s="1718"/>
      <c r="ARS417" s="1718"/>
      <c r="ART417" s="1718"/>
      <c r="ARU417" s="1718"/>
      <c r="ARV417" s="246"/>
      <c r="ARW417" s="246" t="str">
        <f>BS!$D$5</f>
        <v>31 March 2026</v>
      </c>
      <c r="ARX417" s="247" t="str">
        <f>BS!$E$5</f>
        <v>31 March 2025</v>
      </c>
      <c r="ARY417" s="1717"/>
      <c r="ARZ417" s="1718"/>
      <c r="ASA417" s="1718"/>
      <c r="ASB417" s="1718"/>
      <c r="ASC417" s="1718"/>
      <c r="ASD417" s="246"/>
      <c r="ASE417" s="246" t="str">
        <f>BS!$D$5</f>
        <v>31 March 2026</v>
      </c>
      <c r="ASF417" s="247" t="str">
        <f>BS!$E$5</f>
        <v>31 March 2025</v>
      </c>
      <c r="ASG417" s="1717"/>
      <c r="ASH417" s="1718"/>
      <c r="ASI417" s="1718"/>
      <c r="ASJ417" s="1718"/>
      <c r="ASK417" s="1718"/>
      <c r="ASL417" s="246"/>
      <c r="ASM417" s="246" t="str">
        <f>BS!$D$5</f>
        <v>31 March 2026</v>
      </c>
      <c r="ASN417" s="247" t="str">
        <f>BS!$E$5</f>
        <v>31 March 2025</v>
      </c>
      <c r="ASO417" s="1717"/>
      <c r="ASP417" s="1718"/>
      <c r="ASQ417" s="1718"/>
      <c r="ASR417" s="1718"/>
      <c r="ASS417" s="1718"/>
      <c r="AST417" s="246"/>
      <c r="ASU417" s="246" t="str">
        <f>BS!$D$5</f>
        <v>31 March 2026</v>
      </c>
      <c r="ASV417" s="247" t="str">
        <f>BS!$E$5</f>
        <v>31 March 2025</v>
      </c>
      <c r="ASW417" s="1717"/>
      <c r="ASX417" s="1718"/>
      <c r="ASY417" s="1718"/>
      <c r="ASZ417" s="1718"/>
      <c r="ATA417" s="1718"/>
      <c r="ATB417" s="246"/>
      <c r="ATC417" s="246" t="str">
        <f>BS!$D$5</f>
        <v>31 March 2026</v>
      </c>
      <c r="ATD417" s="247" t="str">
        <f>BS!$E$5</f>
        <v>31 March 2025</v>
      </c>
      <c r="ATE417" s="1717"/>
      <c r="ATF417" s="1718"/>
      <c r="ATG417" s="1718"/>
      <c r="ATH417" s="1718"/>
      <c r="ATI417" s="1718"/>
      <c r="ATJ417" s="246"/>
      <c r="ATK417" s="246" t="str">
        <f>BS!$D$5</f>
        <v>31 March 2026</v>
      </c>
      <c r="ATL417" s="247" t="str">
        <f>BS!$E$5</f>
        <v>31 March 2025</v>
      </c>
      <c r="ATM417" s="1717"/>
      <c r="ATN417" s="1718"/>
      <c r="ATO417" s="1718"/>
      <c r="ATP417" s="1718"/>
      <c r="ATQ417" s="1718"/>
      <c r="ATR417" s="246"/>
      <c r="ATS417" s="246" t="str">
        <f>BS!$D$5</f>
        <v>31 March 2026</v>
      </c>
      <c r="ATT417" s="247" t="str">
        <f>BS!$E$5</f>
        <v>31 March 2025</v>
      </c>
      <c r="ATU417" s="1717"/>
      <c r="ATV417" s="1718"/>
      <c r="ATW417" s="1718"/>
      <c r="ATX417" s="1718"/>
      <c r="ATY417" s="1718"/>
      <c r="ATZ417" s="246"/>
      <c r="AUA417" s="246" t="str">
        <f>BS!$D$5</f>
        <v>31 March 2026</v>
      </c>
      <c r="AUB417" s="247" t="str">
        <f>BS!$E$5</f>
        <v>31 March 2025</v>
      </c>
      <c r="AUC417" s="1717"/>
      <c r="AUD417" s="1718"/>
      <c r="AUE417" s="1718"/>
      <c r="AUF417" s="1718"/>
      <c r="AUG417" s="1718"/>
      <c r="AUH417" s="246"/>
      <c r="AUI417" s="246" t="str">
        <f>BS!$D$5</f>
        <v>31 March 2026</v>
      </c>
      <c r="AUJ417" s="247" t="str">
        <f>BS!$E$5</f>
        <v>31 March 2025</v>
      </c>
      <c r="AUK417" s="1717"/>
      <c r="AUL417" s="1718"/>
      <c r="AUM417" s="1718"/>
      <c r="AUN417" s="1718"/>
      <c r="AUO417" s="1718"/>
      <c r="AUP417" s="246"/>
      <c r="AUQ417" s="246" t="str">
        <f>BS!$D$5</f>
        <v>31 March 2026</v>
      </c>
      <c r="AUR417" s="247" t="str">
        <f>BS!$E$5</f>
        <v>31 March 2025</v>
      </c>
      <c r="AUS417" s="1717"/>
      <c r="AUT417" s="1718"/>
      <c r="AUU417" s="1718"/>
      <c r="AUV417" s="1718"/>
      <c r="AUW417" s="1718"/>
      <c r="AUX417" s="246"/>
      <c r="AUY417" s="246" t="str">
        <f>BS!$D$5</f>
        <v>31 March 2026</v>
      </c>
      <c r="AUZ417" s="247" t="str">
        <f>BS!$E$5</f>
        <v>31 March 2025</v>
      </c>
      <c r="AVA417" s="1717"/>
      <c r="AVB417" s="1718"/>
      <c r="AVC417" s="1718"/>
      <c r="AVD417" s="1718"/>
      <c r="AVE417" s="1718"/>
      <c r="AVF417" s="246"/>
      <c r="AVG417" s="246" t="str">
        <f>BS!$D$5</f>
        <v>31 March 2026</v>
      </c>
      <c r="AVH417" s="247" t="str">
        <f>BS!$E$5</f>
        <v>31 March 2025</v>
      </c>
      <c r="AVI417" s="1717"/>
      <c r="AVJ417" s="1718"/>
      <c r="AVK417" s="1718"/>
      <c r="AVL417" s="1718"/>
      <c r="AVM417" s="1718"/>
      <c r="AVN417" s="246"/>
      <c r="AVO417" s="246" t="str">
        <f>BS!$D$5</f>
        <v>31 March 2026</v>
      </c>
      <c r="AVP417" s="247" t="str">
        <f>BS!$E$5</f>
        <v>31 March 2025</v>
      </c>
      <c r="AVQ417" s="1717"/>
      <c r="AVR417" s="1718"/>
      <c r="AVS417" s="1718"/>
      <c r="AVT417" s="1718"/>
      <c r="AVU417" s="1718"/>
      <c r="AVV417" s="246"/>
      <c r="AVW417" s="246" t="str">
        <f>BS!$D$5</f>
        <v>31 March 2026</v>
      </c>
      <c r="AVX417" s="247" t="str">
        <f>BS!$E$5</f>
        <v>31 March 2025</v>
      </c>
      <c r="AVY417" s="1717"/>
      <c r="AVZ417" s="1718"/>
      <c r="AWA417" s="1718"/>
      <c r="AWB417" s="1718"/>
      <c r="AWC417" s="1718"/>
      <c r="AWD417" s="246"/>
      <c r="AWE417" s="246" t="str">
        <f>BS!$D$5</f>
        <v>31 March 2026</v>
      </c>
      <c r="AWF417" s="247" t="str">
        <f>BS!$E$5</f>
        <v>31 March 2025</v>
      </c>
      <c r="AWG417" s="1717"/>
      <c r="AWH417" s="1718"/>
      <c r="AWI417" s="1718"/>
      <c r="AWJ417" s="1718"/>
      <c r="AWK417" s="1718"/>
      <c r="AWL417" s="246"/>
      <c r="AWM417" s="246" t="str">
        <f>BS!$D$5</f>
        <v>31 March 2026</v>
      </c>
      <c r="AWN417" s="247" t="str">
        <f>BS!$E$5</f>
        <v>31 March 2025</v>
      </c>
      <c r="AWO417" s="1717"/>
      <c r="AWP417" s="1718"/>
      <c r="AWQ417" s="1718"/>
      <c r="AWR417" s="1718"/>
      <c r="AWS417" s="1718"/>
      <c r="AWT417" s="246"/>
      <c r="AWU417" s="246" t="str">
        <f>BS!$D$5</f>
        <v>31 March 2026</v>
      </c>
      <c r="AWV417" s="247" t="str">
        <f>BS!$E$5</f>
        <v>31 March 2025</v>
      </c>
      <c r="AWW417" s="1717"/>
      <c r="AWX417" s="1718"/>
      <c r="AWY417" s="1718"/>
      <c r="AWZ417" s="1718"/>
      <c r="AXA417" s="1718"/>
      <c r="AXB417" s="246"/>
      <c r="AXC417" s="246" t="str">
        <f>BS!$D$5</f>
        <v>31 March 2026</v>
      </c>
      <c r="AXD417" s="247" t="str">
        <f>BS!$E$5</f>
        <v>31 March 2025</v>
      </c>
      <c r="AXE417" s="1717"/>
      <c r="AXF417" s="1718"/>
      <c r="AXG417" s="1718"/>
      <c r="AXH417" s="1718"/>
      <c r="AXI417" s="1718"/>
      <c r="AXJ417" s="246"/>
      <c r="AXK417" s="246" t="str">
        <f>BS!$D$5</f>
        <v>31 March 2026</v>
      </c>
      <c r="AXL417" s="247" t="str">
        <f>BS!$E$5</f>
        <v>31 March 2025</v>
      </c>
      <c r="AXM417" s="1717"/>
      <c r="AXN417" s="1718"/>
      <c r="AXO417" s="1718"/>
      <c r="AXP417" s="1718"/>
      <c r="AXQ417" s="1718"/>
      <c r="AXR417" s="246"/>
      <c r="AXS417" s="246" t="str">
        <f>BS!$D$5</f>
        <v>31 March 2026</v>
      </c>
      <c r="AXT417" s="247" t="str">
        <f>BS!$E$5</f>
        <v>31 March 2025</v>
      </c>
      <c r="AXU417" s="1717"/>
      <c r="AXV417" s="1718"/>
      <c r="AXW417" s="1718"/>
      <c r="AXX417" s="1718"/>
      <c r="AXY417" s="1718"/>
      <c r="AXZ417" s="246"/>
      <c r="AYA417" s="246" t="str">
        <f>BS!$D$5</f>
        <v>31 March 2026</v>
      </c>
      <c r="AYB417" s="247" t="str">
        <f>BS!$E$5</f>
        <v>31 March 2025</v>
      </c>
      <c r="AYC417" s="1717"/>
      <c r="AYD417" s="1718"/>
      <c r="AYE417" s="1718"/>
      <c r="AYF417" s="1718"/>
      <c r="AYG417" s="1718"/>
      <c r="AYH417" s="246"/>
      <c r="AYI417" s="246" t="str">
        <f>BS!$D$5</f>
        <v>31 March 2026</v>
      </c>
      <c r="AYJ417" s="247" t="str">
        <f>BS!$E$5</f>
        <v>31 March 2025</v>
      </c>
      <c r="AYK417" s="1717"/>
      <c r="AYL417" s="1718"/>
      <c r="AYM417" s="1718"/>
      <c r="AYN417" s="1718"/>
      <c r="AYO417" s="1718"/>
      <c r="AYP417" s="246"/>
      <c r="AYQ417" s="246" t="str">
        <f>BS!$D$5</f>
        <v>31 March 2026</v>
      </c>
      <c r="AYR417" s="247" t="str">
        <f>BS!$E$5</f>
        <v>31 March 2025</v>
      </c>
      <c r="AYS417" s="1717"/>
      <c r="AYT417" s="1718"/>
      <c r="AYU417" s="1718"/>
      <c r="AYV417" s="1718"/>
      <c r="AYW417" s="1718"/>
      <c r="AYX417" s="246"/>
      <c r="AYY417" s="246" t="str">
        <f>BS!$D$5</f>
        <v>31 March 2026</v>
      </c>
      <c r="AYZ417" s="247" t="str">
        <f>BS!$E$5</f>
        <v>31 March 2025</v>
      </c>
      <c r="AZA417" s="1717"/>
      <c r="AZB417" s="1718"/>
      <c r="AZC417" s="1718"/>
      <c r="AZD417" s="1718"/>
      <c r="AZE417" s="1718"/>
      <c r="AZF417" s="246"/>
      <c r="AZG417" s="246" t="str">
        <f>BS!$D$5</f>
        <v>31 March 2026</v>
      </c>
      <c r="AZH417" s="247" t="str">
        <f>BS!$E$5</f>
        <v>31 March 2025</v>
      </c>
      <c r="AZI417" s="1717"/>
      <c r="AZJ417" s="1718"/>
      <c r="AZK417" s="1718"/>
      <c r="AZL417" s="1718"/>
      <c r="AZM417" s="1718"/>
      <c r="AZN417" s="246"/>
      <c r="AZO417" s="246" t="str">
        <f>BS!$D$5</f>
        <v>31 March 2026</v>
      </c>
      <c r="AZP417" s="247" t="str">
        <f>BS!$E$5</f>
        <v>31 March 2025</v>
      </c>
      <c r="AZQ417" s="1717"/>
      <c r="AZR417" s="1718"/>
      <c r="AZS417" s="1718"/>
      <c r="AZT417" s="1718"/>
      <c r="AZU417" s="1718"/>
      <c r="AZV417" s="246"/>
      <c r="AZW417" s="246" t="str">
        <f>BS!$D$5</f>
        <v>31 March 2026</v>
      </c>
      <c r="AZX417" s="247" t="str">
        <f>BS!$E$5</f>
        <v>31 March 2025</v>
      </c>
      <c r="AZY417" s="1717"/>
      <c r="AZZ417" s="1718"/>
      <c r="BAA417" s="1718"/>
      <c r="BAB417" s="1718"/>
      <c r="BAC417" s="1718"/>
      <c r="BAD417" s="246"/>
      <c r="BAE417" s="246" t="str">
        <f>BS!$D$5</f>
        <v>31 March 2026</v>
      </c>
      <c r="BAF417" s="247" t="str">
        <f>BS!$E$5</f>
        <v>31 March 2025</v>
      </c>
      <c r="BAG417" s="1717"/>
      <c r="BAH417" s="1718"/>
      <c r="BAI417" s="1718"/>
      <c r="BAJ417" s="1718"/>
      <c r="BAK417" s="1718"/>
      <c r="BAL417" s="246"/>
      <c r="BAM417" s="246" t="str">
        <f>BS!$D$5</f>
        <v>31 March 2026</v>
      </c>
      <c r="BAN417" s="247" t="str">
        <f>BS!$E$5</f>
        <v>31 March 2025</v>
      </c>
      <c r="BAO417" s="1717"/>
      <c r="BAP417" s="1718"/>
      <c r="BAQ417" s="1718"/>
      <c r="BAR417" s="1718"/>
      <c r="BAS417" s="1718"/>
      <c r="BAT417" s="246"/>
      <c r="BAU417" s="246" t="str">
        <f>BS!$D$5</f>
        <v>31 March 2026</v>
      </c>
      <c r="BAV417" s="247" t="str">
        <f>BS!$E$5</f>
        <v>31 March 2025</v>
      </c>
      <c r="BAW417" s="1717"/>
      <c r="BAX417" s="1718"/>
      <c r="BAY417" s="1718"/>
      <c r="BAZ417" s="1718"/>
      <c r="BBA417" s="1718"/>
      <c r="BBB417" s="246"/>
      <c r="BBC417" s="246" t="str">
        <f>BS!$D$5</f>
        <v>31 March 2026</v>
      </c>
      <c r="BBD417" s="247" t="str">
        <f>BS!$E$5</f>
        <v>31 March 2025</v>
      </c>
      <c r="BBE417" s="1717"/>
      <c r="BBF417" s="1718"/>
      <c r="BBG417" s="1718"/>
      <c r="BBH417" s="1718"/>
      <c r="BBI417" s="1718"/>
      <c r="BBJ417" s="246"/>
      <c r="BBK417" s="246" t="str">
        <f>BS!$D$5</f>
        <v>31 March 2026</v>
      </c>
      <c r="BBL417" s="247" t="str">
        <f>BS!$E$5</f>
        <v>31 March 2025</v>
      </c>
      <c r="BBM417" s="1717"/>
      <c r="BBN417" s="1718"/>
      <c r="BBO417" s="1718"/>
      <c r="BBP417" s="1718"/>
      <c r="BBQ417" s="1718"/>
      <c r="BBR417" s="246"/>
      <c r="BBS417" s="246" t="str">
        <f>BS!$D$5</f>
        <v>31 March 2026</v>
      </c>
      <c r="BBT417" s="247" t="str">
        <f>BS!$E$5</f>
        <v>31 March 2025</v>
      </c>
      <c r="BBU417" s="1717"/>
      <c r="BBV417" s="1718"/>
      <c r="BBW417" s="1718"/>
      <c r="BBX417" s="1718"/>
      <c r="BBY417" s="1718"/>
      <c r="BBZ417" s="246"/>
      <c r="BCA417" s="246" t="str">
        <f>BS!$D$5</f>
        <v>31 March 2026</v>
      </c>
      <c r="BCB417" s="247" t="str">
        <f>BS!$E$5</f>
        <v>31 March 2025</v>
      </c>
      <c r="BCC417" s="1717"/>
      <c r="BCD417" s="1718"/>
      <c r="BCE417" s="1718"/>
      <c r="BCF417" s="1718"/>
      <c r="BCG417" s="1718"/>
      <c r="BCH417" s="246"/>
      <c r="BCI417" s="246" t="str">
        <f>BS!$D$5</f>
        <v>31 March 2026</v>
      </c>
      <c r="BCJ417" s="247" t="str">
        <f>BS!$E$5</f>
        <v>31 March 2025</v>
      </c>
      <c r="BCK417" s="1717"/>
      <c r="BCL417" s="1718"/>
      <c r="BCM417" s="1718"/>
      <c r="BCN417" s="1718"/>
      <c r="BCO417" s="1718"/>
      <c r="BCP417" s="246"/>
      <c r="BCQ417" s="246" t="str">
        <f>BS!$D$5</f>
        <v>31 March 2026</v>
      </c>
      <c r="BCR417" s="247" t="str">
        <f>BS!$E$5</f>
        <v>31 March 2025</v>
      </c>
      <c r="BCS417" s="1717"/>
      <c r="BCT417" s="1718"/>
      <c r="BCU417" s="1718"/>
      <c r="BCV417" s="1718"/>
      <c r="BCW417" s="1718"/>
      <c r="BCX417" s="246"/>
      <c r="BCY417" s="246" t="str">
        <f>BS!$D$5</f>
        <v>31 March 2026</v>
      </c>
      <c r="BCZ417" s="247" t="str">
        <f>BS!$E$5</f>
        <v>31 March 2025</v>
      </c>
      <c r="BDA417" s="1717"/>
      <c r="BDB417" s="1718"/>
      <c r="BDC417" s="1718"/>
      <c r="BDD417" s="1718"/>
      <c r="BDE417" s="1718"/>
      <c r="BDF417" s="246"/>
      <c r="BDG417" s="246" t="str">
        <f>BS!$D$5</f>
        <v>31 March 2026</v>
      </c>
      <c r="BDH417" s="247" t="str">
        <f>BS!$E$5</f>
        <v>31 March 2025</v>
      </c>
      <c r="BDI417" s="1717"/>
      <c r="BDJ417" s="1718"/>
      <c r="BDK417" s="1718"/>
      <c r="BDL417" s="1718"/>
      <c r="BDM417" s="1718"/>
      <c r="BDN417" s="246"/>
      <c r="BDO417" s="246" t="str">
        <f>BS!$D$5</f>
        <v>31 March 2026</v>
      </c>
      <c r="BDP417" s="247" t="str">
        <f>BS!$E$5</f>
        <v>31 March 2025</v>
      </c>
      <c r="BDQ417" s="1717"/>
      <c r="BDR417" s="1718"/>
      <c r="BDS417" s="1718"/>
      <c r="BDT417" s="1718"/>
      <c r="BDU417" s="1718"/>
      <c r="BDV417" s="246"/>
      <c r="BDW417" s="246" t="str">
        <f>BS!$D$5</f>
        <v>31 March 2026</v>
      </c>
      <c r="BDX417" s="247" t="str">
        <f>BS!$E$5</f>
        <v>31 March 2025</v>
      </c>
      <c r="BDY417" s="1717"/>
      <c r="BDZ417" s="1718"/>
      <c r="BEA417" s="1718"/>
      <c r="BEB417" s="1718"/>
      <c r="BEC417" s="1718"/>
      <c r="BED417" s="246"/>
      <c r="BEE417" s="246" t="str">
        <f>BS!$D$5</f>
        <v>31 March 2026</v>
      </c>
      <c r="BEF417" s="247" t="str">
        <f>BS!$E$5</f>
        <v>31 March 2025</v>
      </c>
      <c r="BEG417" s="1717"/>
      <c r="BEH417" s="1718"/>
      <c r="BEI417" s="1718"/>
      <c r="BEJ417" s="1718"/>
      <c r="BEK417" s="1718"/>
      <c r="BEL417" s="246"/>
      <c r="BEM417" s="246" t="str">
        <f>BS!$D$5</f>
        <v>31 March 2026</v>
      </c>
      <c r="BEN417" s="247" t="str">
        <f>BS!$E$5</f>
        <v>31 March 2025</v>
      </c>
      <c r="BEO417" s="1717"/>
      <c r="BEP417" s="1718"/>
      <c r="BEQ417" s="1718"/>
      <c r="BER417" s="1718"/>
      <c r="BES417" s="1718"/>
      <c r="BET417" s="246"/>
      <c r="BEU417" s="246" t="str">
        <f>BS!$D$5</f>
        <v>31 March 2026</v>
      </c>
      <c r="BEV417" s="247" t="str">
        <f>BS!$E$5</f>
        <v>31 March 2025</v>
      </c>
      <c r="BEW417" s="1717"/>
      <c r="BEX417" s="1718"/>
      <c r="BEY417" s="1718"/>
      <c r="BEZ417" s="1718"/>
      <c r="BFA417" s="1718"/>
      <c r="BFB417" s="246"/>
      <c r="BFC417" s="246" t="str">
        <f>BS!$D$5</f>
        <v>31 March 2026</v>
      </c>
      <c r="BFD417" s="247" t="str">
        <f>BS!$E$5</f>
        <v>31 March 2025</v>
      </c>
      <c r="BFE417" s="1717"/>
      <c r="BFF417" s="1718"/>
      <c r="BFG417" s="1718"/>
      <c r="BFH417" s="1718"/>
      <c r="BFI417" s="1718"/>
      <c r="BFJ417" s="246"/>
      <c r="BFK417" s="246" t="str">
        <f>BS!$D$5</f>
        <v>31 March 2026</v>
      </c>
      <c r="BFL417" s="247" t="str">
        <f>BS!$E$5</f>
        <v>31 March 2025</v>
      </c>
      <c r="BFM417" s="1717"/>
      <c r="BFN417" s="1718"/>
      <c r="BFO417" s="1718"/>
      <c r="BFP417" s="1718"/>
      <c r="BFQ417" s="1718"/>
      <c r="BFR417" s="246"/>
      <c r="BFS417" s="246" t="str">
        <f>BS!$D$5</f>
        <v>31 March 2026</v>
      </c>
      <c r="BFT417" s="247" t="str">
        <f>BS!$E$5</f>
        <v>31 March 2025</v>
      </c>
      <c r="BFU417" s="1717"/>
      <c r="BFV417" s="1718"/>
      <c r="BFW417" s="1718"/>
      <c r="BFX417" s="1718"/>
      <c r="BFY417" s="1718"/>
      <c r="BFZ417" s="246"/>
      <c r="BGA417" s="246" t="str">
        <f>BS!$D$5</f>
        <v>31 March 2026</v>
      </c>
      <c r="BGB417" s="247" t="str">
        <f>BS!$E$5</f>
        <v>31 March 2025</v>
      </c>
      <c r="BGC417" s="1717"/>
      <c r="BGD417" s="1718"/>
      <c r="BGE417" s="1718"/>
      <c r="BGF417" s="1718"/>
      <c r="BGG417" s="1718"/>
      <c r="BGH417" s="246"/>
      <c r="BGI417" s="246" t="str">
        <f>BS!$D$5</f>
        <v>31 March 2026</v>
      </c>
      <c r="BGJ417" s="247" t="str">
        <f>BS!$E$5</f>
        <v>31 March 2025</v>
      </c>
      <c r="BGK417" s="1717"/>
      <c r="BGL417" s="1718"/>
      <c r="BGM417" s="1718"/>
      <c r="BGN417" s="1718"/>
      <c r="BGO417" s="1718"/>
      <c r="BGP417" s="246"/>
      <c r="BGQ417" s="246" t="str">
        <f>BS!$D$5</f>
        <v>31 March 2026</v>
      </c>
      <c r="BGR417" s="247" t="str">
        <f>BS!$E$5</f>
        <v>31 March 2025</v>
      </c>
      <c r="BGS417" s="1717"/>
      <c r="BGT417" s="1718"/>
      <c r="BGU417" s="1718"/>
      <c r="BGV417" s="1718"/>
      <c r="BGW417" s="1718"/>
      <c r="BGX417" s="246"/>
      <c r="BGY417" s="246" t="str">
        <f>BS!$D$5</f>
        <v>31 March 2026</v>
      </c>
      <c r="BGZ417" s="247" t="str">
        <f>BS!$E$5</f>
        <v>31 March 2025</v>
      </c>
      <c r="BHA417" s="1717"/>
      <c r="BHB417" s="1718"/>
      <c r="BHC417" s="1718"/>
      <c r="BHD417" s="1718"/>
      <c r="BHE417" s="1718"/>
      <c r="BHF417" s="246"/>
      <c r="BHG417" s="246" t="str">
        <f>BS!$D$5</f>
        <v>31 March 2026</v>
      </c>
      <c r="BHH417" s="247" t="str">
        <f>BS!$E$5</f>
        <v>31 March 2025</v>
      </c>
      <c r="BHI417" s="1717"/>
      <c r="BHJ417" s="1718"/>
      <c r="BHK417" s="1718"/>
      <c r="BHL417" s="1718"/>
      <c r="BHM417" s="1718"/>
      <c r="BHN417" s="246"/>
      <c r="BHO417" s="246" t="str">
        <f>BS!$D$5</f>
        <v>31 March 2026</v>
      </c>
      <c r="BHP417" s="247" t="str">
        <f>BS!$E$5</f>
        <v>31 March 2025</v>
      </c>
      <c r="BHQ417" s="1717"/>
      <c r="BHR417" s="1718"/>
      <c r="BHS417" s="1718"/>
      <c r="BHT417" s="1718"/>
      <c r="BHU417" s="1718"/>
      <c r="BHV417" s="246"/>
      <c r="BHW417" s="246" t="str">
        <f>BS!$D$5</f>
        <v>31 March 2026</v>
      </c>
      <c r="BHX417" s="247" t="str">
        <f>BS!$E$5</f>
        <v>31 March 2025</v>
      </c>
      <c r="BHY417" s="1717"/>
      <c r="BHZ417" s="1718"/>
      <c r="BIA417" s="1718"/>
      <c r="BIB417" s="1718"/>
      <c r="BIC417" s="1718"/>
      <c r="BID417" s="246"/>
      <c r="BIE417" s="246" t="str">
        <f>BS!$D$5</f>
        <v>31 March 2026</v>
      </c>
      <c r="BIF417" s="247" t="str">
        <f>BS!$E$5</f>
        <v>31 March 2025</v>
      </c>
      <c r="BIG417" s="1717"/>
      <c r="BIH417" s="1718"/>
      <c r="BII417" s="1718"/>
      <c r="BIJ417" s="1718"/>
      <c r="BIK417" s="1718"/>
      <c r="BIL417" s="246"/>
      <c r="BIM417" s="246" t="str">
        <f>BS!$D$5</f>
        <v>31 March 2026</v>
      </c>
      <c r="BIN417" s="247" t="str">
        <f>BS!$E$5</f>
        <v>31 March 2025</v>
      </c>
      <c r="BIO417" s="1717"/>
      <c r="BIP417" s="1718"/>
      <c r="BIQ417" s="1718"/>
      <c r="BIR417" s="1718"/>
      <c r="BIS417" s="1718"/>
      <c r="BIT417" s="246"/>
      <c r="BIU417" s="246" t="str">
        <f>BS!$D$5</f>
        <v>31 March 2026</v>
      </c>
      <c r="BIV417" s="247" t="str">
        <f>BS!$E$5</f>
        <v>31 March 2025</v>
      </c>
      <c r="BIW417" s="1717"/>
      <c r="BIX417" s="1718"/>
      <c r="BIY417" s="1718"/>
      <c r="BIZ417" s="1718"/>
      <c r="BJA417" s="1718"/>
      <c r="BJB417" s="246"/>
      <c r="BJC417" s="246" t="str">
        <f>BS!$D$5</f>
        <v>31 March 2026</v>
      </c>
      <c r="BJD417" s="247" t="str">
        <f>BS!$E$5</f>
        <v>31 March 2025</v>
      </c>
      <c r="BJE417" s="1717"/>
      <c r="BJF417" s="1718"/>
      <c r="BJG417" s="1718"/>
      <c r="BJH417" s="1718"/>
      <c r="BJI417" s="1718"/>
      <c r="BJJ417" s="246"/>
      <c r="BJK417" s="246" t="str">
        <f>BS!$D$5</f>
        <v>31 March 2026</v>
      </c>
      <c r="BJL417" s="247" t="str">
        <f>BS!$E$5</f>
        <v>31 March 2025</v>
      </c>
      <c r="BJM417" s="1717"/>
      <c r="BJN417" s="1718"/>
      <c r="BJO417" s="1718"/>
      <c r="BJP417" s="1718"/>
      <c r="BJQ417" s="1718"/>
      <c r="BJR417" s="246"/>
      <c r="BJS417" s="246" t="str">
        <f>BS!$D$5</f>
        <v>31 March 2026</v>
      </c>
      <c r="BJT417" s="247" t="str">
        <f>BS!$E$5</f>
        <v>31 March 2025</v>
      </c>
      <c r="BJU417" s="1717"/>
      <c r="BJV417" s="1718"/>
      <c r="BJW417" s="1718"/>
      <c r="BJX417" s="1718"/>
      <c r="BJY417" s="1718"/>
      <c r="BJZ417" s="246"/>
      <c r="BKA417" s="246" t="str">
        <f>BS!$D$5</f>
        <v>31 March 2026</v>
      </c>
      <c r="BKB417" s="247" t="str">
        <f>BS!$E$5</f>
        <v>31 March 2025</v>
      </c>
      <c r="BKC417" s="1717"/>
      <c r="BKD417" s="1718"/>
      <c r="BKE417" s="1718"/>
      <c r="BKF417" s="1718"/>
      <c r="BKG417" s="1718"/>
      <c r="BKH417" s="246"/>
      <c r="BKI417" s="246" t="str">
        <f>BS!$D$5</f>
        <v>31 March 2026</v>
      </c>
      <c r="BKJ417" s="247" t="str">
        <f>BS!$E$5</f>
        <v>31 March 2025</v>
      </c>
      <c r="BKK417" s="1717"/>
      <c r="BKL417" s="1718"/>
      <c r="BKM417" s="1718"/>
      <c r="BKN417" s="1718"/>
      <c r="BKO417" s="1718"/>
      <c r="BKP417" s="246"/>
      <c r="BKQ417" s="246" t="str">
        <f>BS!$D$5</f>
        <v>31 March 2026</v>
      </c>
      <c r="BKR417" s="247" t="str">
        <f>BS!$E$5</f>
        <v>31 March 2025</v>
      </c>
      <c r="BKS417" s="1717"/>
      <c r="BKT417" s="1718"/>
      <c r="BKU417" s="1718"/>
      <c r="BKV417" s="1718"/>
      <c r="BKW417" s="1718"/>
      <c r="BKX417" s="246"/>
      <c r="BKY417" s="246" t="str">
        <f>BS!$D$5</f>
        <v>31 March 2026</v>
      </c>
      <c r="BKZ417" s="247" t="str">
        <f>BS!$E$5</f>
        <v>31 March 2025</v>
      </c>
      <c r="BLA417" s="1717"/>
      <c r="BLB417" s="1718"/>
      <c r="BLC417" s="1718"/>
      <c r="BLD417" s="1718"/>
      <c r="BLE417" s="1718"/>
      <c r="BLF417" s="246"/>
      <c r="BLG417" s="246" t="str">
        <f>BS!$D$5</f>
        <v>31 March 2026</v>
      </c>
      <c r="BLH417" s="247" t="str">
        <f>BS!$E$5</f>
        <v>31 March 2025</v>
      </c>
      <c r="BLI417" s="1717"/>
      <c r="BLJ417" s="1718"/>
      <c r="BLK417" s="1718"/>
      <c r="BLL417" s="1718"/>
      <c r="BLM417" s="1718"/>
      <c r="BLN417" s="246"/>
      <c r="BLO417" s="246" t="str">
        <f>BS!$D$5</f>
        <v>31 March 2026</v>
      </c>
      <c r="BLP417" s="247" t="str">
        <f>BS!$E$5</f>
        <v>31 March 2025</v>
      </c>
      <c r="BLQ417" s="1717"/>
      <c r="BLR417" s="1718"/>
      <c r="BLS417" s="1718"/>
      <c r="BLT417" s="1718"/>
      <c r="BLU417" s="1718"/>
      <c r="BLV417" s="246"/>
      <c r="BLW417" s="246" t="str">
        <f>BS!$D$5</f>
        <v>31 March 2026</v>
      </c>
      <c r="BLX417" s="247" t="str">
        <f>BS!$E$5</f>
        <v>31 March 2025</v>
      </c>
      <c r="BLY417" s="1717"/>
      <c r="BLZ417" s="1718"/>
      <c r="BMA417" s="1718"/>
      <c r="BMB417" s="1718"/>
      <c r="BMC417" s="1718"/>
      <c r="BMD417" s="246"/>
      <c r="BME417" s="246" t="str">
        <f>BS!$D$5</f>
        <v>31 March 2026</v>
      </c>
      <c r="BMF417" s="247" t="str">
        <f>BS!$E$5</f>
        <v>31 March 2025</v>
      </c>
      <c r="BMG417" s="1717"/>
      <c r="BMH417" s="1718"/>
      <c r="BMI417" s="1718"/>
      <c r="BMJ417" s="1718"/>
      <c r="BMK417" s="1718"/>
      <c r="BML417" s="246"/>
      <c r="BMM417" s="246" t="str">
        <f>BS!$D$5</f>
        <v>31 March 2026</v>
      </c>
      <c r="BMN417" s="247" t="str">
        <f>BS!$E$5</f>
        <v>31 March 2025</v>
      </c>
      <c r="BMO417" s="1717"/>
      <c r="BMP417" s="1718"/>
      <c r="BMQ417" s="1718"/>
      <c r="BMR417" s="1718"/>
      <c r="BMS417" s="1718"/>
      <c r="BMT417" s="246"/>
      <c r="BMU417" s="246" t="str">
        <f>BS!$D$5</f>
        <v>31 March 2026</v>
      </c>
      <c r="BMV417" s="247" t="str">
        <f>BS!$E$5</f>
        <v>31 March 2025</v>
      </c>
      <c r="BMW417" s="1717"/>
      <c r="BMX417" s="1718"/>
      <c r="BMY417" s="1718"/>
      <c r="BMZ417" s="1718"/>
      <c r="BNA417" s="1718"/>
      <c r="BNB417" s="246"/>
      <c r="BNC417" s="246" t="str">
        <f>BS!$D$5</f>
        <v>31 March 2026</v>
      </c>
      <c r="BND417" s="247" t="str">
        <f>BS!$E$5</f>
        <v>31 March 2025</v>
      </c>
      <c r="BNE417" s="1717"/>
      <c r="BNF417" s="1718"/>
      <c r="BNG417" s="1718"/>
      <c r="BNH417" s="1718"/>
      <c r="BNI417" s="1718"/>
      <c r="BNJ417" s="246"/>
      <c r="BNK417" s="246" t="str">
        <f>BS!$D$5</f>
        <v>31 March 2026</v>
      </c>
      <c r="BNL417" s="247" t="str">
        <f>BS!$E$5</f>
        <v>31 March 2025</v>
      </c>
      <c r="BNM417" s="1717"/>
      <c r="BNN417" s="1718"/>
      <c r="BNO417" s="1718"/>
      <c r="BNP417" s="1718"/>
      <c r="BNQ417" s="1718"/>
      <c r="BNR417" s="246"/>
      <c r="BNS417" s="246" t="str">
        <f>BS!$D$5</f>
        <v>31 March 2026</v>
      </c>
      <c r="BNT417" s="247" t="str">
        <f>BS!$E$5</f>
        <v>31 March 2025</v>
      </c>
      <c r="BNU417" s="1717"/>
      <c r="BNV417" s="1718"/>
      <c r="BNW417" s="1718"/>
      <c r="BNX417" s="1718"/>
      <c r="BNY417" s="1718"/>
      <c r="BNZ417" s="246"/>
      <c r="BOA417" s="246" t="str">
        <f>BS!$D$5</f>
        <v>31 March 2026</v>
      </c>
      <c r="BOB417" s="247" t="str">
        <f>BS!$E$5</f>
        <v>31 March 2025</v>
      </c>
      <c r="BOC417" s="1717"/>
      <c r="BOD417" s="1718"/>
      <c r="BOE417" s="1718"/>
      <c r="BOF417" s="1718"/>
      <c r="BOG417" s="1718"/>
      <c r="BOH417" s="246"/>
      <c r="BOI417" s="246" t="str">
        <f>BS!$D$5</f>
        <v>31 March 2026</v>
      </c>
      <c r="BOJ417" s="247" t="str">
        <f>BS!$E$5</f>
        <v>31 March 2025</v>
      </c>
      <c r="BOK417" s="1717"/>
      <c r="BOL417" s="1718"/>
      <c r="BOM417" s="1718"/>
      <c r="BON417" s="1718"/>
      <c r="BOO417" s="1718"/>
      <c r="BOP417" s="246"/>
      <c r="BOQ417" s="246" t="str">
        <f>BS!$D$5</f>
        <v>31 March 2026</v>
      </c>
      <c r="BOR417" s="247" t="str">
        <f>BS!$E$5</f>
        <v>31 March 2025</v>
      </c>
      <c r="BOS417" s="1717"/>
      <c r="BOT417" s="1718"/>
      <c r="BOU417" s="1718"/>
      <c r="BOV417" s="1718"/>
      <c r="BOW417" s="1718"/>
      <c r="BOX417" s="246"/>
      <c r="BOY417" s="246" t="str">
        <f>BS!$D$5</f>
        <v>31 March 2026</v>
      </c>
      <c r="BOZ417" s="247" t="str">
        <f>BS!$E$5</f>
        <v>31 March 2025</v>
      </c>
      <c r="BPA417" s="1717"/>
      <c r="BPB417" s="1718"/>
      <c r="BPC417" s="1718"/>
      <c r="BPD417" s="1718"/>
      <c r="BPE417" s="1718"/>
      <c r="BPF417" s="246"/>
      <c r="BPG417" s="246" t="str">
        <f>BS!$D$5</f>
        <v>31 March 2026</v>
      </c>
      <c r="BPH417" s="247" t="str">
        <f>BS!$E$5</f>
        <v>31 March 2025</v>
      </c>
      <c r="BPI417" s="1717"/>
      <c r="BPJ417" s="1718"/>
      <c r="BPK417" s="1718"/>
      <c r="BPL417" s="1718"/>
      <c r="BPM417" s="1718"/>
      <c r="BPN417" s="246"/>
      <c r="BPO417" s="246" t="str">
        <f>BS!$D$5</f>
        <v>31 March 2026</v>
      </c>
      <c r="BPP417" s="247" t="str">
        <f>BS!$E$5</f>
        <v>31 March 2025</v>
      </c>
      <c r="BPQ417" s="1717"/>
      <c r="BPR417" s="1718"/>
      <c r="BPS417" s="1718"/>
      <c r="BPT417" s="1718"/>
      <c r="BPU417" s="1718"/>
      <c r="BPV417" s="246"/>
      <c r="BPW417" s="246" t="str">
        <f>BS!$D$5</f>
        <v>31 March 2026</v>
      </c>
      <c r="BPX417" s="247" t="str">
        <f>BS!$E$5</f>
        <v>31 March 2025</v>
      </c>
      <c r="BPY417" s="1717"/>
      <c r="BPZ417" s="1718"/>
      <c r="BQA417" s="1718"/>
      <c r="BQB417" s="1718"/>
      <c r="BQC417" s="1718"/>
      <c r="BQD417" s="246"/>
      <c r="BQE417" s="246" t="str">
        <f>BS!$D$5</f>
        <v>31 March 2026</v>
      </c>
      <c r="BQF417" s="247" t="str">
        <f>BS!$E$5</f>
        <v>31 March 2025</v>
      </c>
      <c r="BQG417" s="1717"/>
      <c r="BQH417" s="1718"/>
      <c r="BQI417" s="1718"/>
      <c r="BQJ417" s="1718"/>
      <c r="BQK417" s="1718"/>
      <c r="BQL417" s="246"/>
      <c r="BQM417" s="246" t="str">
        <f>BS!$D$5</f>
        <v>31 March 2026</v>
      </c>
      <c r="BQN417" s="247" t="str">
        <f>BS!$E$5</f>
        <v>31 March 2025</v>
      </c>
      <c r="BQO417" s="1717"/>
      <c r="BQP417" s="1718"/>
      <c r="BQQ417" s="1718"/>
      <c r="BQR417" s="1718"/>
      <c r="BQS417" s="1718"/>
      <c r="BQT417" s="246"/>
      <c r="BQU417" s="246" t="str">
        <f>BS!$D$5</f>
        <v>31 March 2026</v>
      </c>
      <c r="BQV417" s="247" t="str">
        <f>BS!$E$5</f>
        <v>31 March 2025</v>
      </c>
      <c r="BQW417" s="1717"/>
      <c r="BQX417" s="1718"/>
      <c r="BQY417" s="1718"/>
      <c r="BQZ417" s="1718"/>
      <c r="BRA417" s="1718"/>
      <c r="BRB417" s="246"/>
      <c r="BRC417" s="246" t="str">
        <f>BS!$D$5</f>
        <v>31 March 2026</v>
      </c>
      <c r="BRD417" s="247" t="str">
        <f>BS!$E$5</f>
        <v>31 March 2025</v>
      </c>
      <c r="BRE417" s="1717"/>
      <c r="BRF417" s="1718"/>
      <c r="BRG417" s="1718"/>
      <c r="BRH417" s="1718"/>
      <c r="BRI417" s="1718"/>
      <c r="BRJ417" s="246"/>
      <c r="BRK417" s="246" t="str">
        <f>BS!$D$5</f>
        <v>31 March 2026</v>
      </c>
      <c r="BRL417" s="247" t="str">
        <f>BS!$E$5</f>
        <v>31 March 2025</v>
      </c>
      <c r="BRM417" s="1717"/>
      <c r="BRN417" s="1718"/>
      <c r="BRO417" s="1718"/>
      <c r="BRP417" s="1718"/>
      <c r="BRQ417" s="1718"/>
      <c r="BRR417" s="246"/>
      <c r="BRS417" s="246" t="str">
        <f>BS!$D$5</f>
        <v>31 March 2026</v>
      </c>
      <c r="BRT417" s="247" t="str">
        <f>BS!$E$5</f>
        <v>31 March 2025</v>
      </c>
      <c r="BRU417" s="1717"/>
      <c r="BRV417" s="1718"/>
      <c r="BRW417" s="1718"/>
      <c r="BRX417" s="1718"/>
      <c r="BRY417" s="1718"/>
      <c r="BRZ417" s="246"/>
      <c r="BSA417" s="246" t="str">
        <f>BS!$D$5</f>
        <v>31 March 2026</v>
      </c>
      <c r="BSB417" s="247" t="str">
        <f>BS!$E$5</f>
        <v>31 March 2025</v>
      </c>
      <c r="BSC417" s="1717"/>
      <c r="BSD417" s="1718"/>
      <c r="BSE417" s="1718"/>
      <c r="BSF417" s="1718"/>
      <c r="BSG417" s="1718"/>
      <c r="BSH417" s="246"/>
      <c r="BSI417" s="246" t="str">
        <f>BS!$D$5</f>
        <v>31 March 2026</v>
      </c>
      <c r="BSJ417" s="247" t="str">
        <f>BS!$E$5</f>
        <v>31 March 2025</v>
      </c>
      <c r="BSK417" s="1717"/>
      <c r="BSL417" s="1718"/>
      <c r="BSM417" s="1718"/>
      <c r="BSN417" s="1718"/>
      <c r="BSO417" s="1718"/>
      <c r="BSP417" s="246"/>
      <c r="BSQ417" s="246" t="str">
        <f>BS!$D$5</f>
        <v>31 March 2026</v>
      </c>
      <c r="BSR417" s="247" t="str">
        <f>BS!$E$5</f>
        <v>31 March 2025</v>
      </c>
      <c r="BSS417" s="1717"/>
      <c r="BST417" s="1718"/>
      <c r="BSU417" s="1718"/>
      <c r="BSV417" s="1718"/>
      <c r="BSW417" s="1718"/>
      <c r="BSX417" s="246"/>
      <c r="BSY417" s="246" t="str">
        <f>BS!$D$5</f>
        <v>31 March 2026</v>
      </c>
      <c r="BSZ417" s="247" t="str">
        <f>BS!$E$5</f>
        <v>31 March 2025</v>
      </c>
      <c r="BTA417" s="1717"/>
      <c r="BTB417" s="1718"/>
      <c r="BTC417" s="1718"/>
      <c r="BTD417" s="1718"/>
      <c r="BTE417" s="1718"/>
      <c r="BTF417" s="246"/>
      <c r="BTG417" s="246" t="str">
        <f>BS!$D$5</f>
        <v>31 March 2026</v>
      </c>
      <c r="BTH417" s="247" t="str">
        <f>BS!$E$5</f>
        <v>31 March 2025</v>
      </c>
      <c r="BTI417" s="1717"/>
      <c r="BTJ417" s="1718"/>
      <c r="BTK417" s="1718"/>
      <c r="BTL417" s="1718"/>
      <c r="BTM417" s="1718"/>
      <c r="BTN417" s="246"/>
      <c r="BTO417" s="246" t="str">
        <f>BS!$D$5</f>
        <v>31 March 2026</v>
      </c>
      <c r="BTP417" s="247" t="str">
        <f>BS!$E$5</f>
        <v>31 March 2025</v>
      </c>
      <c r="BTQ417" s="1717"/>
      <c r="BTR417" s="1718"/>
      <c r="BTS417" s="1718"/>
      <c r="BTT417" s="1718"/>
      <c r="BTU417" s="1718"/>
      <c r="BTV417" s="246"/>
      <c r="BTW417" s="246" t="str">
        <f>BS!$D$5</f>
        <v>31 March 2026</v>
      </c>
      <c r="BTX417" s="247" t="str">
        <f>BS!$E$5</f>
        <v>31 March 2025</v>
      </c>
      <c r="BTY417" s="1717"/>
      <c r="BTZ417" s="1718"/>
      <c r="BUA417" s="1718"/>
      <c r="BUB417" s="1718"/>
      <c r="BUC417" s="1718"/>
      <c r="BUD417" s="246"/>
      <c r="BUE417" s="246" t="str">
        <f>BS!$D$5</f>
        <v>31 March 2026</v>
      </c>
      <c r="BUF417" s="247" t="str">
        <f>BS!$E$5</f>
        <v>31 March 2025</v>
      </c>
      <c r="BUG417" s="1717"/>
      <c r="BUH417" s="1718"/>
      <c r="BUI417" s="1718"/>
      <c r="BUJ417" s="1718"/>
      <c r="BUK417" s="1718"/>
      <c r="BUL417" s="246"/>
      <c r="BUM417" s="246" t="str">
        <f>BS!$D$5</f>
        <v>31 March 2026</v>
      </c>
      <c r="BUN417" s="247" t="str">
        <f>BS!$E$5</f>
        <v>31 March 2025</v>
      </c>
      <c r="BUO417" s="1717"/>
      <c r="BUP417" s="1718"/>
      <c r="BUQ417" s="1718"/>
      <c r="BUR417" s="1718"/>
      <c r="BUS417" s="1718"/>
      <c r="BUT417" s="246"/>
      <c r="BUU417" s="246" t="str">
        <f>BS!$D$5</f>
        <v>31 March 2026</v>
      </c>
      <c r="BUV417" s="247" t="str">
        <f>BS!$E$5</f>
        <v>31 March 2025</v>
      </c>
      <c r="BUW417" s="1717"/>
      <c r="BUX417" s="1718"/>
      <c r="BUY417" s="1718"/>
      <c r="BUZ417" s="1718"/>
      <c r="BVA417" s="1718"/>
      <c r="BVB417" s="246"/>
      <c r="BVC417" s="246" t="str">
        <f>BS!$D$5</f>
        <v>31 March 2026</v>
      </c>
      <c r="BVD417" s="247" t="str">
        <f>BS!$E$5</f>
        <v>31 March 2025</v>
      </c>
      <c r="BVE417" s="1717"/>
      <c r="BVF417" s="1718"/>
      <c r="BVG417" s="1718"/>
      <c r="BVH417" s="1718"/>
      <c r="BVI417" s="1718"/>
      <c r="BVJ417" s="246"/>
      <c r="BVK417" s="246" t="str">
        <f>BS!$D$5</f>
        <v>31 March 2026</v>
      </c>
      <c r="BVL417" s="247" t="str">
        <f>BS!$E$5</f>
        <v>31 March 2025</v>
      </c>
      <c r="BVM417" s="1717"/>
      <c r="BVN417" s="1718"/>
      <c r="BVO417" s="1718"/>
      <c r="BVP417" s="1718"/>
      <c r="BVQ417" s="1718"/>
      <c r="BVR417" s="246"/>
      <c r="BVS417" s="246" t="str">
        <f>BS!$D$5</f>
        <v>31 March 2026</v>
      </c>
      <c r="BVT417" s="247" t="str">
        <f>BS!$E$5</f>
        <v>31 March 2025</v>
      </c>
      <c r="BVU417" s="1717"/>
      <c r="BVV417" s="1718"/>
      <c r="BVW417" s="1718"/>
      <c r="BVX417" s="1718"/>
      <c r="BVY417" s="1718"/>
      <c r="BVZ417" s="246"/>
      <c r="BWA417" s="246" t="str">
        <f>BS!$D$5</f>
        <v>31 March 2026</v>
      </c>
      <c r="BWB417" s="247" t="str">
        <f>BS!$E$5</f>
        <v>31 March 2025</v>
      </c>
      <c r="BWC417" s="1717"/>
      <c r="BWD417" s="1718"/>
      <c r="BWE417" s="1718"/>
      <c r="BWF417" s="1718"/>
      <c r="BWG417" s="1718"/>
      <c r="BWH417" s="246"/>
      <c r="BWI417" s="246" t="str">
        <f>BS!$D$5</f>
        <v>31 March 2026</v>
      </c>
      <c r="BWJ417" s="247" t="str">
        <f>BS!$E$5</f>
        <v>31 March 2025</v>
      </c>
      <c r="BWK417" s="1717"/>
      <c r="BWL417" s="1718"/>
      <c r="BWM417" s="1718"/>
      <c r="BWN417" s="1718"/>
      <c r="BWO417" s="1718"/>
      <c r="BWP417" s="246"/>
      <c r="BWQ417" s="246" t="str">
        <f>BS!$D$5</f>
        <v>31 March 2026</v>
      </c>
      <c r="BWR417" s="247" t="str">
        <f>BS!$E$5</f>
        <v>31 March 2025</v>
      </c>
      <c r="BWS417" s="1717"/>
      <c r="BWT417" s="1718"/>
      <c r="BWU417" s="1718"/>
      <c r="BWV417" s="1718"/>
      <c r="BWW417" s="1718"/>
      <c r="BWX417" s="246"/>
      <c r="BWY417" s="246" t="str">
        <f>BS!$D$5</f>
        <v>31 March 2026</v>
      </c>
      <c r="BWZ417" s="247" t="str">
        <f>BS!$E$5</f>
        <v>31 March 2025</v>
      </c>
      <c r="BXA417" s="1717"/>
      <c r="BXB417" s="1718"/>
      <c r="BXC417" s="1718"/>
      <c r="BXD417" s="1718"/>
      <c r="BXE417" s="1718"/>
      <c r="BXF417" s="246"/>
      <c r="BXG417" s="246" t="str">
        <f>BS!$D$5</f>
        <v>31 March 2026</v>
      </c>
      <c r="BXH417" s="247" t="str">
        <f>BS!$E$5</f>
        <v>31 March 2025</v>
      </c>
      <c r="BXI417" s="1717"/>
      <c r="BXJ417" s="1718"/>
      <c r="BXK417" s="1718"/>
      <c r="BXL417" s="1718"/>
      <c r="BXM417" s="1718"/>
      <c r="BXN417" s="246"/>
      <c r="BXO417" s="246" t="str">
        <f>BS!$D$5</f>
        <v>31 March 2026</v>
      </c>
      <c r="BXP417" s="247" t="str">
        <f>BS!$E$5</f>
        <v>31 March 2025</v>
      </c>
      <c r="BXQ417" s="1717"/>
      <c r="BXR417" s="1718"/>
      <c r="BXS417" s="1718"/>
      <c r="BXT417" s="1718"/>
      <c r="BXU417" s="1718"/>
      <c r="BXV417" s="246"/>
      <c r="BXW417" s="246" t="str">
        <f>BS!$D$5</f>
        <v>31 March 2026</v>
      </c>
      <c r="BXX417" s="247" t="str">
        <f>BS!$E$5</f>
        <v>31 March 2025</v>
      </c>
      <c r="BXY417" s="1717"/>
      <c r="BXZ417" s="1718"/>
      <c r="BYA417" s="1718"/>
      <c r="BYB417" s="1718"/>
      <c r="BYC417" s="1718"/>
      <c r="BYD417" s="246"/>
      <c r="BYE417" s="246" t="str">
        <f>BS!$D$5</f>
        <v>31 March 2026</v>
      </c>
      <c r="BYF417" s="247" t="str">
        <f>BS!$E$5</f>
        <v>31 March 2025</v>
      </c>
      <c r="BYG417" s="1717"/>
      <c r="BYH417" s="1718"/>
      <c r="BYI417" s="1718"/>
      <c r="BYJ417" s="1718"/>
      <c r="BYK417" s="1718"/>
      <c r="BYL417" s="246"/>
      <c r="BYM417" s="246" t="str">
        <f>BS!$D$5</f>
        <v>31 March 2026</v>
      </c>
      <c r="BYN417" s="247" t="str">
        <f>BS!$E$5</f>
        <v>31 March 2025</v>
      </c>
      <c r="BYO417" s="1717"/>
      <c r="BYP417" s="1718"/>
      <c r="BYQ417" s="1718"/>
      <c r="BYR417" s="1718"/>
      <c r="BYS417" s="1718"/>
      <c r="BYT417" s="246"/>
      <c r="BYU417" s="246" t="str">
        <f>BS!$D$5</f>
        <v>31 March 2026</v>
      </c>
      <c r="BYV417" s="247" t="str">
        <f>BS!$E$5</f>
        <v>31 March 2025</v>
      </c>
      <c r="BYW417" s="1717"/>
      <c r="BYX417" s="1718"/>
      <c r="BYY417" s="1718"/>
      <c r="BYZ417" s="1718"/>
      <c r="BZA417" s="1718"/>
      <c r="BZB417" s="246"/>
      <c r="BZC417" s="246" t="str">
        <f>BS!$D$5</f>
        <v>31 March 2026</v>
      </c>
      <c r="BZD417" s="247" t="str">
        <f>BS!$E$5</f>
        <v>31 March 2025</v>
      </c>
      <c r="BZE417" s="1717"/>
      <c r="BZF417" s="1718"/>
      <c r="BZG417" s="1718"/>
      <c r="BZH417" s="1718"/>
      <c r="BZI417" s="1718"/>
      <c r="BZJ417" s="246"/>
      <c r="BZK417" s="246" t="str">
        <f>BS!$D$5</f>
        <v>31 March 2026</v>
      </c>
      <c r="BZL417" s="247" t="str">
        <f>BS!$E$5</f>
        <v>31 March 2025</v>
      </c>
      <c r="BZM417" s="1717"/>
      <c r="BZN417" s="1718"/>
      <c r="BZO417" s="1718"/>
      <c r="BZP417" s="1718"/>
      <c r="BZQ417" s="1718"/>
      <c r="BZR417" s="246"/>
      <c r="BZS417" s="246" t="str">
        <f>BS!$D$5</f>
        <v>31 March 2026</v>
      </c>
      <c r="BZT417" s="247" t="str">
        <f>BS!$E$5</f>
        <v>31 March 2025</v>
      </c>
      <c r="BZU417" s="1717"/>
      <c r="BZV417" s="1718"/>
      <c r="BZW417" s="1718"/>
      <c r="BZX417" s="1718"/>
      <c r="BZY417" s="1718"/>
      <c r="BZZ417" s="246"/>
      <c r="CAA417" s="246" t="str">
        <f>BS!$D$5</f>
        <v>31 March 2026</v>
      </c>
      <c r="CAB417" s="247" t="str">
        <f>BS!$E$5</f>
        <v>31 March 2025</v>
      </c>
      <c r="CAC417" s="1717"/>
      <c r="CAD417" s="1718"/>
      <c r="CAE417" s="1718"/>
      <c r="CAF417" s="1718"/>
      <c r="CAG417" s="1718"/>
      <c r="CAH417" s="246"/>
      <c r="CAI417" s="246" t="str">
        <f>BS!$D$5</f>
        <v>31 March 2026</v>
      </c>
      <c r="CAJ417" s="247" t="str">
        <f>BS!$E$5</f>
        <v>31 March 2025</v>
      </c>
      <c r="CAK417" s="1717"/>
      <c r="CAL417" s="1718"/>
      <c r="CAM417" s="1718"/>
      <c r="CAN417" s="1718"/>
      <c r="CAO417" s="1718"/>
      <c r="CAP417" s="246"/>
      <c r="CAQ417" s="246" t="str">
        <f>BS!$D$5</f>
        <v>31 March 2026</v>
      </c>
      <c r="CAR417" s="247" t="str">
        <f>BS!$E$5</f>
        <v>31 March 2025</v>
      </c>
      <c r="CAS417" s="1717"/>
      <c r="CAT417" s="1718"/>
      <c r="CAU417" s="1718"/>
      <c r="CAV417" s="1718"/>
      <c r="CAW417" s="1718"/>
      <c r="CAX417" s="246"/>
      <c r="CAY417" s="246" t="str">
        <f>BS!$D$5</f>
        <v>31 March 2026</v>
      </c>
      <c r="CAZ417" s="247" t="str">
        <f>BS!$E$5</f>
        <v>31 March 2025</v>
      </c>
      <c r="CBA417" s="1717"/>
      <c r="CBB417" s="1718"/>
      <c r="CBC417" s="1718"/>
      <c r="CBD417" s="1718"/>
      <c r="CBE417" s="1718"/>
      <c r="CBF417" s="246"/>
      <c r="CBG417" s="246" t="str">
        <f>BS!$D$5</f>
        <v>31 March 2026</v>
      </c>
      <c r="CBH417" s="247" t="str">
        <f>BS!$E$5</f>
        <v>31 March 2025</v>
      </c>
      <c r="CBI417" s="1717"/>
      <c r="CBJ417" s="1718"/>
      <c r="CBK417" s="1718"/>
      <c r="CBL417" s="1718"/>
      <c r="CBM417" s="1718"/>
      <c r="CBN417" s="246"/>
      <c r="CBO417" s="246" t="str">
        <f>BS!$D$5</f>
        <v>31 March 2026</v>
      </c>
      <c r="CBP417" s="247" t="str">
        <f>BS!$E$5</f>
        <v>31 March 2025</v>
      </c>
      <c r="CBQ417" s="1717"/>
      <c r="CBR417" s="1718"/>
      <c r="CBS417" s="1718"/>
      <c r="CBT417" s="1718"/>
      <c r="CBU417" s="1718"/>
      <c r="CBV417" s="246"/>
      <c r="CBW417" s="246" t="str">
        <f>BS!$D$5</f>
        <v>31 March 2026</v>
      </c>
      <c r="CBX417" s="247" t="str">
        <f>BS!$E$5</f>
        <v>31 March 2025</v>
      </c>
      <c r="CBY417" s="1717"/>
      <c r="CBZ417" s="1718"/>
      <c r="CCA417" s="1718"/>
      <c r="CCB417" s="1718"/>
      <c r="CCC417" s="1718"/>
      <c r="CCD417" s="246"/>
      <c r="CCE417" s="246" t="str">
        <f>BS!$D$5</f>
        <v>31 March 2026</v>
      </c>
      <c r="CCF417" s="247" t="str">
        <f>BS!$E$5</f>
        <v>31 March 2025</v>
      </c>
      <c r="CCG417" s="1717"/>
      <c r="CCH417" s="1718"/>
      <c r="CCI417" s="1718"/>
      <c r="CCJ417" s="1718"/>
      <c r="CCK417" s="1718"/>
      <c r="CCL417" s="246"/>
      <c r="CCM417" s="246" t="str">
        <f>BS!$D$5</f>
        <v>31 March 2026</v>
      </c>
      <c r="CCN417" s="247" t="str">
        <f>BS!$E$5</f>
        <v>31 March 2025</v>
      </c>
      <c r="CCO417" s="1717"/>
      <c r="CCP417" s="1718"/>
      <c r="CCQ417" s="1718"/>
      <c r="CCR417" s="1718"/>
      <c r="CCS417" s="1718"/>
      <c r="CCT417" s="246"/>
      <c r="CCU417" s="246" t="str">
        <f>BS!$D$5</f>
        <v>31 March 2026</v>
      </c>
      <c r="CCV417" s="247" t="str">
        <f>BS!$E$5</f>
        <v>31 March 2025</v>
      </c>
      <c r="CCW417" s="1717"/>
      <c r="CCX417" s="1718"/>
      <c r="CCY417" s="1718"/>
      <c r="CCZ417" s="1718"/>
      <c r="CDA417" s="1718"/>
      <c r="CDB417" s="246"/>
      <c r="CDC417" s="246" t="str">
        <f>BS!$D$5</f>
        <v>31 March 2026</v>
      </c>
      <c r="CDD417" s="247" t="str">
        <f>BS!$E$5</f>
        <v>31 March 2025</v>
      </c>
      <c r="CDE417" s="1717"/>
      <c r="CDF417" s="1718"/>
      <c r="CDG417" s="1718"/>
      <c r="CDH417" s="1718"/>
      <c r="CDI417" s="1718"/>
      <c r="CDJ417" s="246"/>
      <c r="CDK417" s="246" t="str">
        <f>BS!$D$5</f>
        <v>31 March 2026</v>
      </c>
      <c r="CDL417" s="247" t="str">
        <f>BS!$E$5</f>
        <v>31 March 2025</v>
      </c>
      <c r="CDM417" s="1717"/>
      <c r="CDN417" s="1718"/>
      <c r="CDO417" s="1718"/>
      <c r="CDP417" s="1718"/>
      <c r="CDQ417" s="1718"/>
      <c r="CDR417" s="246"/>
      <c r="CDS417" s="246" t="str">
        <f>BS!$D$5</f>
        <v>31 March 2026</v>
      </c>
      <c r="CDT417" s="247" t="str">
        <f>BS!$E$5</f>
        <v>31 March 2025</v>
      </c>
      <c r="CDU417" s="1717"/>
      <c r="CDV417" s="1718"/>
      <c r="CDW417" s="1718"/>
      <c r="CDX417" s="1718"/>
      <c r="CDY417" s="1718"/>
      <c r="CDZ417" s="246"/>
      <c r="CEA417" s="246" t="str">
        <f>BS!$D$5</f>
        <v>31 March 2026</v>
      </c>
      <c r="CEB417" s="247" t="str">
        <f>BS!$E$5</f>
        <v>31 March 2025</v>
      </c>
      <c r="CEC417" s="1717"/>
      <c r="CED417" s="1718"/>
      <c r="CEE417" s="1718"/>
      <c r="CEF417" s="1718"/>
      <c r="CEG417" s="1718"/>
      <c r="CEH417" s="246"/>
      <c r="CEI417" s="246" t="str">
        <f>BS!$D$5</f>
        <v>31 March 2026</v>
      </c>
      <c r="CEJ417" s="247" t="str">
        <f>BS!$E$5</f>
        <v>31 March 2025</v>
      </c>
      <c r="CEK417" s="1717"/>
      <c r="CEL417" s="1718"/>
      <c r="CEM417" s="1718"/>
      <c r="CEN417" s="1718"/>
      <c r="CEO417" s="1718"/>
      <c r="CEP417" s="246"/>
      <c r="CEQ417" s="246" t="str">
        <f>BS!$D$5</f>
        <v>31 March 2026</v>
      </c>
      <c r="CER417" s="247" t="str">
        <f>BS!$E$5</f>
        <v>31 March 2025</v>
      </c>
      <c r="CES417" s="1717"/>
      <c r="CET417" s="1718"/>
      <c r="CEU417" s="1718"/>
      <c r="CEV417" s="1718"/>
      <c r="CEW417" s="1718"/>
      <c r="CEX417" s="246"/>
      <c r="CEY417" s="246" t="str">
        <f>BS!$D$5</f>
        <v>31 March 2026</v>
      </c>
      <c r="CEZ417" s="247" t="str">
        <f>BS!$E$5</f>
        <v>31 March 2025</v>
      </c>
      <c r="CFA417" s="1717"/>
      <c r="CFB417" s="1718"/>
      <c r="CFC417" s="1718"/>
      <c r="CFD417" s="1718"/>
      <c r="CFE417" s="1718"/>
      <c r="CFF417" s="246"/>
      <c r="CFG417" s="246" t="str">
        <f>BS!$D$5</f>
        <v>31 March 2026</v>
      </c>
      <c r="CFH417" s="247" t="str">
        <f>BS!$E$5</f>
        <v>31 March 2025</v>
      </c>
      <c r="CFI417" s="1717"/>
      <c r="CFJ417" s="1718"/>
      <c r="CFK417" s="1718"/>
      <c r="CFL417" s="1718"/>
      <c r="CFM417" s="1718"/>
      <c r="CFN417" s="246"/>
      <c r="CFO417" s="246" t="str">
        <f>BS!$D$5</f>
        <v>31 March 2026</v>
      </c>
      <c r="CFP417" s="247" t="str">
        <f>BS!$E$5</f>
        <v>31 March 2025</v>
      </c>
      <c r="CFQ417" s="1717"/>
      <c r="CFR417" s="1718"/>
      <c r="CFS417" s="1718"/>
      <c r="CFT417" s="1718"/>
      <c r="CFU417" s="1718"/>
      <c r="CFV417" s="246"/>
      <c r="CFW417" s="246" t="str">
        <f>BS!$D$5</f>
        <v>31 March 2026</v>
      </c>
      <c r="CFX417" s="247" t="str">
        <f>BS!$E$5</f>
        <v>31 March 2025</v>
      </c>
      <c r="CFY417" s="1717"/>
      <c r="CFZ417" s="1718"/>
      <c r="CGA417" s="1718"/>
      <c r="CGB417" s="1718"/>
      <c r="CGC417" s="1718"/>
      <c r="CGD417" s="246"/>
      <c r="CGE417" s="246" t="str">
        <f>BS!$D$5</f>
        <v>31 March 2026</v>
      </c>
      <c r="CGF417" s="247" t="str">
        <f>BS!$E$5</f>
        <v>31 March 2025</v>
      </c>
      <c r="CGG417" s="1717"/>
      <c r="CGH417" s="1718"/>
      <c r="CGI417" s="1718"/>
      <c r="CGJ417" s="1718"/>
      <c r="CGK417" s="1718"/>
      <c r="CGL417" s="246"/>
      <c r="CGM417" s="246" t="str">
        <f>BS!$D$5</f>
        <v>31 March 2026</v>
      </c>
      <c r="CGN417" s="247" t="str">
        <f>BS!$E$5</f>
        <v>31 March 2025</v>
      </c>
      <c r="CGO417" s="1717"/>
      <c r="CGP417" s="1718"/>
      <c r="CGQ417" s="1718"/>
      <c r="CGR417" s="1718"/>
      <c r="CGS417" s="1718"/>
      <c r="CGT417" s="246"/>
      <c r="CGU417" s="246" t="str">
        <f>BS!$D$5</f>
        <v>31 March 2026</v>
      </c>
      <c r="CGV417" s="247" t="str">
        <f>BS!$E$5</f>
        <v>31 March 2025</v>
      </c>
      <c r="CGW417" s="1717"/>
      <c r="CGX417" s="1718"/>
      <c r="CGY417" s="1718"/>
      <c r="CGZ417" s="1718"/>
      <c r="CHA417" s="1718"/>
      <c r="CHB417" s="246"/>
      <c r="CHC417" s="246" t="str">
        <f>BS!$D$5</f>
        <v>31 March 2026</v>
      </c>
      <c r="CHD417" s="247" t="str">
        <f>BS!$E$5</f>
        <v>31 March 2025</v>
      </c>
      <c r="CHE417" s="1717"/>
      <c r="CHF417" s="1718"/>
      <c r="CHG417" s="1718"/>
      <c r="CHH417" s="1718"/>
      <c r="CHI417" s="1718"/>
      <c r="CHJ417" s="246"/>
      <c r="CHK417" s="246" t="str">
        <f>BS!$D$5</f>
        <v>31 March 2026</v>
      </c>
      <c r="CHL417" s="247" t="str">
        <f>BS!$E$5</f>
        <v>31 March 2025</v>
      </c>
      <c r="CHM417" s="1717"/>
      <c r="CHN417" s="1718"/>
      <c r="CHO417" s="1718"/>
      <c r="CHP417" s="1718"/>
      <c r="CHQ417" s="1718"/>
      <c r="CHR417" s="246"/>
      <c r="CHS417" s="246" t="str">
        <f>BS!$D$5</f>
        <v>31 March 2026</v>
      </c>
      <c r="CHT417" s="247" t="str">
        <f>BS!$E$5</f>
        <v>31 March 2025</v>
      </c>
      <c r="CHU417" s="1717"/>
      <c r="CHV417" s="1718"/>
      <c r="CHW417" s="1718"/>
      <c r="CHX417" s="1718"/>
      <c r="CHY417" s="1718"/>
      <c r="CHZ417" s="246"/>
      <c r="CIA417" s="246" t="str">
        <f>BS!$D$5</f>
        <v>31 March 2026</v>
      </c>
      <c r="CIB417" s="247" t="str">
        <f>BS!$E$5</f>
        <v>31 March 2025</v>
      </c>
      <c r="CIC417" s="1717"/>
      <c r="CID417" s="1718"/>
      <c r="CIE417" s="1718"/>
      <c r="CIF417" s="1718"/>
      <c r="CIG417" s="1718"/>
      <c r="CIH417" s="246"/>
      <c r="CII417" s="246" t="str">
        <f>BS!$D$5</f>
        <v>31 March 2026</v>
      </c>
      <c r="CIJ417" s="247" t="str">
        <f>BS!$E$5</f>
        <v>31 March 2025</v>
      </c>
      <c r="CIK417" s="1717"/>
      <c r="CIL417" s="1718"/>
      <c r="CIM417" s="1718"/>
      <c r="CIN417" s="1718"/>
      <c r="CIO417" s="1718"/>
      <c r="CIP417" s="246"/>
      <c r="CIQ417" s="246" t="str">
        <f>BS!$D$5</f>
        <v>31 March 2026</v>
      </c>
      <c r="CIR417" s="247" t="str">
        <f>BS!$E$5</f>
        <v>31 March 2025</v>
      </c>
      <c r="CIS417" s="1717"/>
      <c r="CIT417" s="1718"/>
      <c r="CIU417" s="1718"/>
      <c r="CIV417" s="1718"/>
      <c r="CIW417" s="1718"/>
      <c r="CIX417" s="246"/>
      <c r="CIY417" s="246" t="str">
        <f>BS!$D$5</f>
        <v>31 March 2026</v>
      </c>
      <c r="CIZ417" s="247" t="str">
        <f>BS!$E$5</f>
        <v>31 March 2025</v>
      </c>
      <c r="CJA417" s="1717"/>
      <c r="CJB417" s="1718"/>
      <c r="CJC417" s="1718"/>
      <c r="CJD417" s="1718"/>
      <c r="CJE417" s="1718"/>
      <c r="CJF417" s="246"/>
      <c r="CJG417" s="246" t="str">
        <f>BS!$D$5</f>
        <v>31 March 2026</v>
      </c>
      <c r="CJH417" s="247" t="str">
        <f>BS!$E$5</f>
        <v>31 March 2025</v>
      </c>
      <c r="CJI417" s="1717"/>
      <c r="CJJ417" s="1718"/>
      <c r="CJK417" s="1718"/>
      <c r="CJL417" s="1718"/>
      <c r="CJM417" s="1718"/>
      <c r="CJN417" s="246"/>
      <c r="CJO417" s="246" t="str">
        <f>BS!$D$5</f>
        <v>31 March 2026</v>
      </c>
      <c r="CJP417" s="247" t="str">
        <f>BS!$E$5</f>
        <v>31 March 2025</v>
      </c>
      <c r="CJQ417" s="1717"/>
      <c r="CJR417" s="1718"/>
      <c r="CJS417" s="1718"/>
      <c r="CJT417" s="1718"/>
      <c r="CJU417" s="1718"/>
      <c r="CJV417" s="246"/>
      <c r="CJW417" s="246" t="str">
        <f>BS!$D$5</f>
        <v>31 March 2026</v>
      </c>
      <c r="CJX417" s="247" t="str">
        <f>BS!$E$5</f>
        <v>31 March 2025</v>
      </c>
      <c r="CJY417" s="1717"/>
      <c r="CJZ417" s="1718"/>
      <c r="CKA417" s="1718"/>
      <c r="CKB417" s="1718"/>
      <c r="CKC417" s="1718"/>
      <c r="CKD417" s="246"/>
      <c r="CKE417" s="246" t="str">
        <f>BS!$D$5</f>
        <v>31 March 2026</v>
      </c>
      <c r="CKF417" s="247" t="str">
        <f>BS!$E$5</f>
        <v>31 March 2025</v>
      </c>
      <c r="CKG417" s="1717"/>
      <c r="CKH417" s="1718"/>
      <c r="CKI417" s="1718"/>
      <c r="CKJ417" s="1718"/>
      <c r="CKK417" s="1718"/>
      <c r="CKL417" s="246"/>
      <c r="CKM417" s="246" t="str">
        <f>BS!$D$5</f>
        <v>31 March 2026</v>
      </c>
      <c r="CKN417" s="247" t="str">
        <f>BS!$E$5</f>
        <v>31 March 2025</v>
      </c>
      <c r="CKO417" s="1717"/>
      <c r="CKP417" s="1718"/>
      <c r="CKQ417" s="1718"/>
      <c r="CKR417" s="1718"/>
      <c r="CKS417" s="1718"/>
      <c r="CKT417" s="246"/>
      <c r="CKU417" s="246" t="str">
        <f>BS!$D$5</f>
        <v>31 March 2026</v>
      </c>
      <c r="CKV417" s="247" t="str">
        <f>BS!$E$5</f>
        <v>31 March 2025</v>
      </c>
      <c r="CKW417" s="1717"/>
      <c r="CKX417" s="1718"/>
      <c r="CKY417" s="1718"/>
      <c r="CKZ417" s="1718"/>
      <c r="CLA417" s="1718"/>
      <c r="CLB417" s="246"/>
      <c r="CLC417" s="246" t="str">
        <f>BS!$D$5</f>
        <v>31 March 2026</v>
      </c>
      <c r="CLD417" s="247" t="str">
        <f>BS!$E$5</f>
        <v>31 March 2025</v>
      </c>
      <c r="CLE417" s="1717"/>
      <c r="CLF417" s="1718"/>
      <c r="CLG417" s="1718"/>
      <c r="CLH417" s="1718"/>
      <c r="CLI417" s="1718"/>
      <c r="CLJ417" s="246"/>
      <c r="CLK417" s="246" t="str">
        <f>BS!$D$5</f>
        <v>31 March 2026</v>
      </c>
      <c r="CLL417" s="247" t="str">
        <f>BS!$E$5</f>
        <v>31 March 2025</v>
      </c>
      <c r="CLM417" s="1717"/>
      <c r="CLN417" s="1718"/>
      <c r="CLO417" s="1718"/>
      <c r="CLP417" s="1718"/>
      <c r="CLQ417" s="1718"/>
      <c r="CLR417" s="246"/>
      <c r="CLS417" s="246" t="str">
        <f>BS!$D$5</f>
        <v>31 March 2026</v>
      </c>
      <c r="CLT417" s="247" t="str">
        <f>BS!$E$5</f>
        <v>31 March 2025</v>
      </c>
      <c r="CLU417" s="1717"/>
      <c r="CLV417" s="1718"/>
      <c r="CLW417" s="1718"/>
      <c r="CLX417" s="1718"/>
      <c r="CLY417" s="1718"/>
      <c r="CLZ417" s="246"/>
      <c r="CMA417" s="246" t="str">
        <f>BS!$D$5</f>
        <v>31 March 2026</v>
      </c>
      <c r="CMB417" s="247" t="str">
        <f>BS!$E$5</f>
        <v>31 March 2025</v>
      </c>
      <c r="CMC417" s="1717"/>
      <c r="CMD417" s="1718"/>
      <c r="CME417" s="1718"/>
      <c r="CMF417" s="1718"/>
      <c r="CMG417" s="1718"/>
      <c r="CMH417" s="246"/>
      <c r="CMI417" s="246" t="str">
        <f>BS!$D$5</f>
        <v>31 March 2026</v>
      </c>
      <c r="CMJ417" s="247" t="str">
        <f>BS!$E$5</f>
        <v>31 March 2025</v>
      </c>
      <c r="CMK417" s="1717"/>
      <c r="CML417" s="1718"/>
      <c r="CMM417" s="1718"/>
      <c r="CMN417" s="1718"/>
      <c r="CMO417" s="1718"/>
      <c r="CMP417" s="246"/>
      <c r="CMQ417" s="246" t="str">
        <f>BS!$D$5</f>
        <v>31 March 2026</v>
      </c>
      <c r="CMR417" s="247" t="str">
        <f>BS!$E$5</f>
        <v>31 March 2025</v>
      </c>
      <c r="CMS417" s="1717"/>
      <c r="CMT417" s="1718"/>
      <c r="CMU417" s="1718"/>
      <c r="CMV417" s="1718"/>
      <c r="CMW417" s="1718"/>
      <c r="CMX417" s="246"/>
      <c r="CMY417" s="246" t="str">
        <f>BS!$D$5</f>
        <v>31 March 2026</v>
      </c>
      <c r="CMZ417" s="247" t="str">
        <f>BS!$E$5</f>
        <v>31 March 2025</v>
      </c>
      <c r="CNA417" s="1717"/>
      <c r="CNB417" s="1718"/>
      <c r="CNC417" s="1718"/>
      <c r="CND417" s="1718"/>
      <c r="CNE417" s="1718"/>
      <c r="CNF417" s="246"/>
      <c r="CNG417" s="246" t="str">
        <f>BS!$D$5</f>
        <v>31 March 2026</v>
      </c>
      <c r="CNH417" s="247" t="str">
        <f>BS!$E$5</f>
        <v>31 March 2025</v>
      </c>
      <c r="CNI417" s="1717"/>
      <c r="CNJ417" s="1718"/>
      <c r="CNK417" s="1718"/>
      <c r="CNL417" s="1718"/>
      <c r="CNM417" s="1718"/>
      <c r="CNN417" s="246"/>
      <c r="CNO417" s="246" t="str">
        <f>BS!$D$5</f>
        <v>31 March 2026</v>
      </c>
      <c r="CNP417" s="247" t="str">
        <f>BS!$E$5</f>
        <v>31 March 2025</v>
      </c>
      <c r="CNQ417" s="1717"/>
      <c r="CNR417" s="1718"/>
      <c r="CNS417" s="1718"/>
      <c r="CNT417" s="1718"/>
      <c r="CNU417" s="1718"/>
      <c r="CNV417" s="246"/>
      <c r="CNW417" s="246" t="str">
        <f>BS!$D$5</f>
        <v>31 March 2026</v>
      </c>
      <c r="CNX417" s="247" t="str">
        <f>BS!$E$5</f>
        <v>31 March 2025</v>
      </c>
      <c r="CNY417" s="1717"/>
      <c r="CNZ417" s="1718"/>
      <c r="COA417" s="1718"/>
      <c r="COB417" s="1718"/>
      <c r="COC417" s="1718"/>
      <c r="COD417" s="246"/>
      <c r="COE417" s="246" t="str">
        <f>BS!$D$5</f>
        <v>31 March 2026</v>
      </c>
      <c r="COF417" s="247" t="str">
        <f>BS!$E$5</f>
        <v>31 March 2025</v>
      </c>
      <c r="COG417" s="1717"/>
      <c r="COH417" s="1718"/>
      <c r="COI417" s="1718"/>
      <c r="COJ417" s="1718"/>
      <c r="COK417" s="1718"/>
      <c r="COL417" s="246"/>
      <c r="COM417" s="246" t="str">
        <f>BS!$D$5</f>
        <v>31 March 2026</v>
      </c>
      <c r="CON417" s="247" t="str">
        <f>BS!$E$5</f>
        <v>31 March 2025</v>
      </c>
      <c r="COO417" s="1717"/>
      <c r="COP417" s="1718"/>
      <c r="COQ417" s="1718"/>
      <c r="COR417" s="1718"/>
      <c r="COS417" s="1718"/>
      <c r="COT417" s="246"/>
      <c r="COU417" s="246" t="str">
        <f>BS!$D$5</f>
        <v>31 March 2026</v>
      </c>
      <c r="COV417" s="247" t="str">
        <f>BS!$E$5</f>
        <v>31 March 2025</v>
      </c>
      <c r="COW417" s="1717"/>
      <c r="COX417" s="1718"/>
      <c r="COY417" s="1718"/>
      <c r="COZ417" s="1718"/>
      <c r="CPA417" s="1718"/>
      <c r="CPB417" s="246"/>
      <c r="CPC417" s="246" t="str">
        <f>BS!$D$5</f>
        <v>31 March 2026</v>
      </c>
      <c r="CPD417" s="247" t="str">
        <f>BS!$E$5</f>
        <v>31 March 2025</v>
      </c>
      <c r="CPE417" s="1717"/>
      <c r="CPF417" s="1718"/>
      <c r="CPG417" s="1718"/>
      <c r="CPH417" s="1718"/>
      <c r="CPI417" s="1718"/>
      <c r="CPJ417" s="246"/>
      <c r="CPK417" s="246" t="str">
        <f>BS!$D$5</f>
        <v>31 March 2026</v>
      </c>
      <c r="CPL417" s="247" t="str">
        <f>BS!$E$5</f>
        <v>31 March 2025</v>
      </c>
      <c r="CPM417" s="1717"/>
      <c r="CPN417" s="1718"/>
      <c r="CPO417" s="1718"/>
      <c r="CPP417" s="1718"/>
      <c r="CPQ417" s="1718"/>
      <c r="CPR417" s="246"/>
      <c r="CPS417" s="246" t="str">
        <f>BS!$D$5</f>
        <v>31 March 2026</v>
      </c>
      <c r="CPT417" s="247" t="str">
        <f>BS!$E$5</f>
        <v>31 March 2025</v>
      </c>
      <c r="CPU417" s="1717"/>
      <c r="CPV417" s="1718"/>
      <c r="CPW417" s="1718"/>
      <c r="CPX417" s="1718"/>
      <c r="CPY417" s="1718"/>
      <c r="CPZ417" s="246"/>
      <c r="CQA417" s="246" t="str">
        <f>BS!$D$5</f>
        <v>31 March 2026</v>
      </c>
      <c r="CQB417" s="247" t="str">
        <f>BS!$E$5</f>
        <v>31 March 2025</v>
      </c>
      <c r="CQC417" s="1717"/>
      <c r="CQD417" s="1718"/>
      <c r="CQE417" s="1718"/>
      <c r="CQF417" s="1718"/>
      <c r="CQG417" s="1718"/>
      <c r="CQH417" s="246"/>
      <c r="CQI417" s="246" t="str">
        <f>BS!$D$5</f>
        <v>31 March 2026</v>
      </c>
      <c r="CQJ417" s="247" t="str">
        <f>BS!$E$5</f>
        <v>31 March 2025</v>
      </c>
      <c r="CQK417" s="1717"/>
      <c r="CQL417" s="1718"/>
      <c r="CQM417" s="1718"/>
      <c r="CQN417" s="1718"/>
      <c r="CQO417" s="1718"/>
      <c r="CQP417" s="246"/>
      <c r="CQQ417" s="246" t="str">
        <f>BS!$D$5</f>
        <v>31 March 2026</v>
      </c>
      <c r="CQR417" s="247" t="str">
        <f>BS!$E$5</f>
        <v>31 March 2025</v>
      </c>
      <c r="CQS417" s="1717"/>
      <c r="CQT417" s="1718"/>
      <c r="CQU417" s="1718"/>
      <c r="CQV417" s="1718"/>
      <c r="CQW417" s="1718"/>
      <c r="CQX417" s="246"/>
      <c r="CQY417" s="246" t="str">
        <f>BS!$D$5</f>
        <v>31 March 2026</v>
      </c>
      <c r="CQZ417" s="247" t="str">
        <f>BS!$E$5</f>
        <v>31 March 2025</v>
      </c>
      <c r="CRA417" s="1717"/>
      <c r="CRB417" s="1718"/>
      <c r="CRC417" s="1718"/>
      <c r="CRD417" s="1718"/>
      <c r="CRE417" s="1718"/>
      <c r="CRF417" s="246"/>
      <c r="CRG417" s="246" t="str">
        <f>BS!$D$5</f>
        <v>31 March 2026</v>
      </c>
      <c r="CRH417" s="247" t="str">
        <f>BS!$E$5</f>
        <v>31 March 2025</v>
      </c>
      <c r="CRI417" s="1717"/>
      <c r="CRJ417" s="1718"/>
      <c r="CRK417" s="1718"/>
      <c r="CRL417" s="1718"/>
      <c r="CRM417" s="1718"/>
      <c r="CRN417" s="246"/>
      <c r="CRO417" s="246" t="str">
        <f>BS!$D$5</f>
        <v>31 March 2026</v>
      </c>
      <c r="CRP417" s="247" t="str">
        <f>BS!$E$5</f>
        <v>31 March 2025</v>
      </c>
      <c r="CRQ417" s="1717"/>
      <c r="CRR417" s="1718"/>
      <c r="CRS417" s="1718"/>
      <c r="CRT417" s="1718"/>
      <c r="CRU417" s="1718"/>
      <c r="CRV417" s="246"/>
      <c r="CRW417" s="246" t="str">
        <f>BS!$D$5</f>
        <v>31 March 2026</v>
      </c>
      <c r="CRX417" s="247" t="str">
        <f>BS!$E$5</f>
        <v>31 March 2025</v>
      </c>
      <c r="CRY417" s="1717"/>
      <c r="CRZ417" s="1718"/>
      <c r="CSA417" s="1718"/>
      <c r="CSB417" s="1718"/>
      <c r="CSC417" s="1718"/>
      <c r="CSD417" s="246"/>
      <c r="CSE417" s="246" t="str">
        <f>BS!$D$5</f>
        <v>31 March 2026</v>
      </c>
      <c r="CSF417" s="247" t="str">
        <f>BS!$E$5</f>
        <v>31 March 2025</v>
      </c>
      <c r="CSG417" s="1717"/>
      <c r="CSH417" s="1718"/>
      <c r="CSI417" s="1718"/>
      <c r="CSJ417" s="1718"/>
      <c r="CSK417" s="1718"/>
      <c r="CSL417" s="246"/>
      <c r="CSM417" s="246" t="str">
        <f>BS!$D$5</f>
        <v>31 March 2026</v>
      </c>
      <c r="CSN417" s="247" t="str">
        <f>BS!$E$5</f>
        <v>31 March 2025</v>
      </c>
      <c r="CSO417" s="1717"/>
      <c r="CSP417" s="1718"/>
      <c r="CSQ417" s="1718"/>
      <c r="CSR417" s="1718"/>
      <c r="CSS417" s="1718"/>
      <c r="CST417" s="246"/>
      <c r="CSU417" s="246" t="str">
        <f>BS!$D$5</f>
        <v>31 March 2026</v>
      </c>
      <c r="CSV417" s="247" t="str">
        <f>BS!$E$5</f>
        <v>31 March 2025</v>
      </c>
      <c r="CSW417" s="1717"/>
      <c r="CSX417" s="1718"/>
      <c r="CSY417" s="1718"/>
      <c r="CSZ417" s="1718"/>
      <c r="CTA417" s="1718"/>
      <c r="CTB417" s="246"/>
      <c r="CTC417" s="246" t="str">
        <f>BS!$D$5</f>
        <v>31 March 2026</v>
      </c>
      <c r="CTD417" s="247" t="str">
        <f>BS!$E$5</f>
        <v>31 March 2025</v>
      </c>
      <c r="CTE417" s="1717"/>
      <c r="CTF417" s="1718"/>
      <c r="CTG417" s="1718"/>
      <c r="CTH417" s="1718"/>
      <c r="CTI417" s="1718"/>
      <c r="CTJ417" s="246"/>
      <c r="CTK417" s="246" t="str">
        <f>BS!$D$5</f>
        <v>31 March 2026</v>
      </c>
      <c r="CTL417" s="247" t="str">
        <f>BS!$E$5</f>
        <v>31 March 2025</v>
      </c>
      <c r="CTM417" s="1717"/>
      <c r="CTN417" s="1718"/>
      <c r="CTO417" s="1718"/>
      <c r="CTP417" s="1718"/>
      <c r="CTQ417" s="1718"/>
      <c r="CTR417" s="246"/>
      <c r="CTS417" s="246" t="str">
        <f>BS!$D$5</f>
        <v>31 March 2026</v>
      </c>
      <c r="CTT417" s="247" t="str">
        <f>BS!$E$5</f>
        <v>31 March 2025</v>
      </c>
      <c r="CTU417" s="1717"/>
      <c r="CTV417" s="1718"/>
      <c r="CTW417" s="1718"/>
      <c r="CTX417" s="1718"/>
      <c r="CTY417" s="1718"/>
      <c r="CTZ417" s="246"/>
      <c r="CUA417" s="246" t="str">
        <f>BS!$D$5</f>
        <v>31 March 2026</v>
      </c>
      <c r="CUB417" s="247" t="str">
        <f>BS!$E$5</f>
        <v>31 March 2025</v>
      </c>
      <c r="CUC417" s="1717"/>
      <c r="CUD417" s="1718"/>
      <c r="CUE417" s="1718"/>
      <c r="CUF417" s="1718"/>
      <c r="CUG417" s="1718"/>
      <c r="CUH417" s="246"/>
      <c r="CUI417" s="246" t="str">
        <f>BS!$D$5</f>
        <v>31 March 2026</v>
      </c>
      <c r="CUJ417" s="247" t="str">
        <f>BS!$E$5</f>
        <v>31 March 2025</v>
      </c>
      <c r="CUK417" s="1717"/>
      <c r="CUL417" s="1718"/>
      <c r="CUM417" s="1718"/>
      <c r="CUN417" s="1718"/>
      <c r="CUO417" s="1718"/>
      <c r="CUP417" s="246"/>
      <c r="CUQ417" s="246" t="str">
        <f>BS!$D$5</f>
        <v>31 March 2026</v>
      </c>
      <c r="CUR417" s="247" t="str">
        <f>BS!$E$5</f>
        <v>31 March 2025</v>
      </c>
      <c r="CUS417" s="1717"/>
      <c r="CUT417" s="1718"/>
      <c r="CUU417" s="1718"/>
      <c r="CUV417" s="1718"/>
      <c r="CUW417" s="1718"/>
      <c r="CUX417" s="246"/>
      <c r="CUY417" s="246" t="str">
        <f>BS!$D$5</f>
        <v>31 March 2026</v>
      </c>
      <c r="CUZ417" s="247" t="str">
        <f>BS!$E$5</f>
        <v>31 March 2025</v>
      </c>
      <c r="CVA417" s="1717"/>
      <c r="CVB417" s="1718"/>
      <c r="CVC417" s="1718"/>
      <c r="CVD417" s="1718"/>
      <c r="CVE417" s="1718"/>
      <c r="CVF417" s="246"/>
      <c r="CVG417" s="246" t="str">
        <f>BS!$D$5</f>
        <v>31 March 2026</v>
      </c>
      <c r="CVH417" s="247" t="str">
        <f>BS!$E$5</f>
        <v>31 March 2025</v>
      </c>
      <c r="CVI417" s="1717"/>
      <c r="CVJ417" s="1718"/>
      <c r="CVK417" s="1718"/>
      <c r="CVL417" s="1718"/>
      <c r="CVM417" s="1718"/>
      <c r="CVN417" s="246"/>
      <c r="CVO417" s="246" t="str">
        <f>BS!$D$5</f>
        <v>31 March 2026</v>
      </c>
      <c r="CVP417" s="247" t="str">
        <f>BS!$E$5</f>
        <v>31 March 2025</v>
      </c>
      <c r="CVQ417" s="1717"/>
      <c r="CVR417" s="1718"/>
      <c r="CVS417" s="1718"/>
      <c r="CVT417" s="1718"/>
      <c r="CVU417" s="1718"/>
      <c r="CVV417" s="246"/>
      <c r="CVW417" s="246" t="str">
        <f>BS!$D$5</f>
        <v>31 March 2026</v>
      </c>
      <c r="CVX417" s="247" t="str">
        <f>BS!$E$5</f>
        <v>31 March 2025</v>
      </c>
      <c r="CVY417" s="1717"/>
      <c r="CVZ417" s="1718"/>
      <c r="CWA417" s="1718"/>
      <c r="CWB417" s="1718"/>
      <c r="CWC417" s="1718"/>
      <c r="CWD417" s="246"/>
      <c r="CWE417" s="246" t="str">
        <f>BS!$D$5</f>
        <v>31 March 2026</v>
      </c>
      <c r="CWF417" s="247" t="str">
        <f>BS!$E$5</f>
        <v>31 March 2025</v>
      </c>
      <c r="CWG417" s="1717"/>
      <c r="CWH417" s="1718"/>
      <c r="CWI417" s="1718"/>
      <c r="CWJ417" s="1718"/>
      <c r="CWK417" s="1718"/>
      <c r="CWL417" s="246"/>
      <c r="CWM417" s="246" t="str">
        <f>BS!$D$5</f>
        <v>31 March 2026</v>
      </c>
      <c r="CWN417" s="247" t="str">
        <f>BS!$E$5</f>
        <v>31 March 2025</v>
      </c>
      <c r="CWO417" s="1717"/>
      <c r="CWP417" s="1718"/>
      <c r="CWQ417" s="1718"/>
      <c r="CWR417" s="1718"/>
      <c r="CWS417" s="1718"/>
      <c r="CWT417" s="246"/>
      <c r="CWU417" s="246" t="str">
        <f>BS!$D$5</f>
        <v>31 March 2026</v>
      </c>
      <c r="CWV417" s="247" t="str">
        <f>BS!$E$5</f>
        <v>31 March 2025</v>
      </c>
      <c r="CWW417" s="1717"/>
      <c r="CWX417" s="1718"/>
      <c r="CWY417" s="1718"/>
      <c r="CWZ417" s="1718"/>
      <c r="CXA417" s="1718"/>
      <c r="CXB417" s="246"/>
      <c r="CXC417" s="246" t="str">
        <f>BS!$D$5</f>
        <v>31 March 2026</v>
      </c>
      <c r="CXD417" s="247" t="str">
        <f>BS!$E$5</f>
        <v>31 March 2025</v>
      </c>
      <c r="CXE417" s="1717"/>
      <c r="CXF417" s="1718"/>
      <c r="CXG417" s="1718"/>
      <c r="CXH417" s="1718"/>
      <c r="CXI417" s="1718"/>
      <c r="CXJ417" s="246"/>
      <c r="CXK417" s="246" t="str">
        <f>BS!$D$5</f>
        <v>31 March 2026</v>
      </c>
      <c r="CXL417" s="247" t="str">
        <f>BS!$E$5</f>
        <v>31 March 2025</v>
      </c>
      <c r="CXM417" s="1717"/>
      <c r="CXN417" s="1718"/>
      <c r="CXO417" s="1718"/>
      <c r="CXP417" s="1718"/>
      <c r="CXQ417" s="1718"/>
      <c r="CXR417" s="246"/>
      <c r="CXS417" s="246" t="str">
        <f>BS!$D$5</f>
        <v>31 March 2026</v>
      </c>
      <c r="CXT417" s="247" t="str">
        <f>BS!$E$5</f>
        <v>31 March 2025</v>
      </c>
      <c r="CXU417" s="1717"/>
      <c r="CXV417" s="1718"/>
      <c r="CXW417" s="1718"/>
      <c r="CXX417" s="1718"/>
      <c r="CXY417" s="1718"/>
      <c r="CXZ417" s="246"/>
      <c r="CYA417" s="246" t="str">
        <f>BS!$D$5</f>
        <v>31 March 2026</v>
      </c>
      <c r="CYB417" s="247" t="str">
        <f>BS!$E$5</f>
        <v>31 March 2025</v>
      </c>
      <c r="CYC417" s="1717"/>
      <c r="CYD417" s="1718"/>
      <c r="CYE417" s="1718"/>
      <c r="CYF417" s="1718"/>
      <c r="CYG417" s="1718"/>
      <c r="CYH417" s="246"/>
      <c r="CYI417" s="246" t="str">
        <f>BS!$D$5</f>
        <v>31 March 2026</v>
      </c>
      <c r="CYJ417" s="247" t="str">
        <f>BS!$E$5</f>
        <v>31 March 2025</v>
      </c>
      <c r="CYK417" s="1717"/>
      <c r="CYL417" s="1718"/>
      <c r="CYM417" s="1718"/>
      <c r="CYN417" s="1718"/>
      <c r="CYO417" s="1718"/>
      <c r="CYP417" s="246"/>
      <c r="CYQ417" s="246" t="str">
        <f>BS!$D$5</f>
        <v>31 March 2026</v>
      </c>
      <c r="CYR417" s="247" t="str">
        <f>BS!$E$5</f>
        <v>31 March 2025</v>
      </c>
      <c r="CYS417" s="1717"/>
      <c r="CYT417" s="1718"/>
      <c r="CYU417" s="1718"/>
      <c r="CYV417" s="1718"/>
      <c r="CYW417" s="1718"/>
      <c r="CYX417" s="246"/>
      <c r="CYY417" s="246" t="str">
        <f>BS!$D$5</f>
        <v>31 March 2026</v>
      </c>
      <c r="CYZ417" s="247" t="str">
        <f>BS!$E$5</f>
        <v>31 March 2025</v>
      </c>
      <c r="CZA417" s="1717"/>
      <c r="CZB417" s="1718"/>
      <c r="CZC417" s="1718"/>
      <c r="CZD417" s="1718"/>
      <c r="CZE417" s="1718"/>
      <c r="CZF417" s="246"/>
      <c r="CZG417" s="246" t="str">
        <f>BS!$D$5</f>
        <v>31 March 2026</v>
      </c>
      <c r="CZH417" s="247" t="str">
        <f>BS!$E$5</f>
        <v>31 March 2025</v>
      </c>
      <c r="CZI417" s="1717"/>
      <c r="CZJ417" s="1718"/>
      <c r="CZK417" s="1718"/>
      <c r="CZL417" s="1718"/>
      <c r="CZM417" s="1718"/>
      <c r="CZN417" s="246"/>
      <c r="CZO417" s="246" t="str">
        <f>BS!$D$5</f>
        <v>31 March 2026</v>
      </c>
      <c r="CZP417" s="247" t="str">
        <f>BS!$E$5</f>
        <v>31 March 2025</v>
      </c>
      <c r="CZQ417" s="1717"/>
      <c r="CZR417" s="1718"/>
      <c r="CZS417" s="1718"/>
      <c r="CZT417" s="1718"/>
      <c r="CZU417" s="1718"/>
      <c r="CZV417" s="246"/>
      <c r="CZW417" s="246" t="str">
        <f>BS!$D$5</f>
        <v>31 March 2026</v>
      </c>
      <c r="CZX417" s="247" t="str">
        <f>BS!$E$5</f>
        <v>31 March 2025</v>
      </c>
      <c r="CZY417" s="1717"/>
      <c r="CZZ417" s="1718"/>
      <c r="DAA417" s="1718"/>
      <c r="DAB417" s="1718"/>
      <c r="DAC417" s="1718"/>
      <c r="DAD417" s="246"/>
      <c r="DAE417" s="246" t="str">
        <f>BS!$D$5</f>
        <v>31 March 2026</v>
      </c>
      <c r="DAF417" s="247" t="str">
        <f>BS!$E$5</f>
        <v>31 March 2025</v>
      </c>
      <c r="DAG417" s="1717"/>
      <c r="DAH417" s="1718"/>
      <c r="DAI417" s="1718"/>
      <c r="DAJ417" s="1718"/>
      <c r="DAK417" s="1718"/>
      <c r="DAL417" s="246"/>
      <c r="DAM417" s="246" t="str">
        <f>BS!$D$5</f>
        <v>31 March 2026</v>
      </c>
      <c r="DAN417" s="247" t="str">
        <f>BS!$E$5</f>
        <v>31 March 2025</v>
      </c>
      <c r="DAO417" s="1717"/>
      <c r="DAP417" s="1718"/>
      <c r="DAQ417" s="1718"/>
      <c r="DAR417" s="1718"/>
      <c r="DAS417" s="1718"/>
      <c r="DAT417" s="246"/>
      <c r="DAU417" s="246" t="str">
        <f>BS!$D$5</f>
        <v>31 March 2026</v>
      </c>
      <c r="DAV417" s="247" t="str">
        <f>BS!$E$5</f>
        <v>31 March 2025</v>
      </c>
      <c r="DAW417" s="1717"/>
      <c r="DAX417" s="1718"/>
      <c r="DAY417" s="1718"/>
      <c r="DAZ417" s="1718"/>
      <c r="DBA417" s="1718"/>
      <c r="DBB417" s="246"/>
      <c r="DBC417" s="246" t="str">
        <f>BS!$D$5</f>
        <v>31 March 2026</v>
      </c>
      <c r="DBD417" s="247" t="str">
        <f>BS!$E$5</f>
        <v>31 March 2025</v>
      </c>
      <c r="DBE417" s="1717"/>
      <c r="DBF417" s="1718"/>
      <c r="DBG417" s="1718"/>
      <c r="DBH417" s="1718"/>
      <c r="DBI417" s="1718"/>
      <c r="DBJ417" s="246"/>
      <c r="DBK417" s="246" t="str">
        <f>BS!$D$5</f>
        <v>31 March 2026</v>
      </c>
      <c r="DBL417" s="247" t="str">
        <f>BS!$E$5</f>
        <v>31 March 2025</v>
      </c>
      <c r="DBM417" s="1717"/>
      <c r="DBN417" s="1718"/>
      <c r="DBO417" s="1718"/>
      <c r="DBP417" s="1718"/>
      <c r="DBQ417" s="1718"/>
      <c r="DBR417" s="246"/>
      <c r="DBS417" s="246" t="str">
        <f>BS!$D$5</f>
        <v>31 March 2026</v>
      </c>
      <c r="DBT417" s="247" t="str">
        <f>BS!$E$5</f>
        <v>31 March 2025</v>
      </c>
      <c r="DBU417" s="1717"/>
      <c r="DBV417" s="1718"/>
      <c r="DBW417" s="1718"/>
      <c r="DBX417" s="1718"/>
      <c r="DBY417" s="1718"/>
      <c r="DBZ417" s="246"/>
      <c r="DCA417" s="246" t="str">
        <f>BS!$D$5</f>
        <v>31 March 2026</v>
      </c>
      <c r="DCB417" s="247" t="str">
        <f>BS!$E$5</f>
        <v>31 March 2025</v>
      </c>
      <c r="DCC417" s="1717"/>
      <c r="DCD417" s="1718"/>
      <c r="DCE417" s="1718"/>
      <c r="DCF417" s="1718"/>
      <c r="DCG417" s="1718"/>
      <c r="DCH417" s="246"/>
      <c r="DCI417" s="246" t="str">
        <f>BS!$D$5</f>
        <v>31 March 2026</v>
      </c>
      <c r="DCJ417" s="247" t="str">
        <f>BS!$E$5</f>
        <v>31 March 2025</v>
      </c>
      <c r="DCK417" s="1717"/>
      <c r="DCL417" s="1718"/>
      <c r="DCM417" s="1718"/>
      <c r="DCN417" s="1718"/>
      <c r="DCO417" s="1718"/>
      <c r="DCP417" s="246"/>
      <c r="DCQ417" s="246" t="str">
        <f>BS!$D$5</f>
        <v>31 March 2026</v>
      </c>
      <c r="DCR417" s="247" t="str">
        <f>BS!$E$5</f>
        <v>31 March 2025</v>
      </c>
      <c r="DCS417" s="1717"/>
      <c r="DCT417" s="1718"/>
      <c r="DCU417" s="1718"/>
      <c r="DCV417" s="1718"/>
      <c r="DCW417" s="1718"/>
      <c r="DCX417" s="246"/>
      <c r="DCY417" s="246" t="str">
        <f>BS!$D$5</f>
        <v>31 March 2026</v>
      </c>
      <c r="DCZ417" s="247" t="str">
        <f>BS!$E$5</f>
        <v>31 March 2025</v>
      </c>
      <c r="DDA417" s="1717"/>
      <c r="DDB417" s="1718"/>
      <c r="DDC417" s="1718"/>
      <c r="DDD417" s="1718"/>
      <c r="DDE417" s="1718"/>
      <c r="DDF417" s="246"/>
      <c r="DDG417" s="246" t="str">
        <f>BS!$D$5</f>
        <v>31 March 2026</v>
      </c>
      <c r="DDH417" s="247" t="str">
        <f>BS!$E$5</f>
        <v>31 March 2025</v>
      </c>
      <c r="DDI417" s="1717"/>
      <c r="DDJ417" s="1718"/>
      <c r="DDK417" s="1718"/>
      <c r="DDL417" s="1718"/>
      <c r="DDM417" s="1718"/>
      <c r="DDN417" s="246"/>
      <c r="DDO417" s="246" t="str">
        <f>BS!$D$5</f>
        <v>31 March 2026</v>
      </c>
      <c r="DDP417" s="247" t="str">
        <f>BS!$E$5</f>
        <v>31 March 2025</v>
      </c>
      <c r="DDQ417" s="1717"/>
      <c r="DDR417" s="1718"/>
      <c r="DDS417" s="1718"/>
      <c r="DDT417" s="1718"/>
      <c r="DDU417" s="1718"/>
      <c r="DDV417" s="246"/>
      <c r="DDW417" s="246" t="str">
        <f>BS!$D$5</f>
        <v>31 March 2026</v>
      </c>
      <c r="DDX417" s="247" t="str">
        <f>BS!$E$5</f>
        <v>31 March 2025</v>
      </c>
      <c r="DDY417" s="1717"/>
      <c r="DDZ417" s="1718"/>
      <c r="DEA417" s="1718"/>
      <c r="DEB417" s="1718"/>
      <c r="DEC417" s="1718"/>
      <c r="DED417" s="246"/>
      <c r="DEE417" s="246" t="str">
        <f>BS!$D$5</f>
        <v>31 March 2026</v>
      </c>
      <c r="DEF417" s="247" t="str">
        <f>BS!$E$5</f>
        <v>31 March 2025</v>
      </c>
      <c r="DEG417" s="1717"/>
      <c r="DEH417" s="1718"/>
      <c r="DEI417" s="1718"/>
      <c r="DEJ417" s="1718"/>
      <c r="DEK417" s="1718"/>
      <c r="DEL417" s="246"/>
      <c r="DEM417" s="246" t="str">
        <f>BS!$D$5</f>
        <v>31 March 2026</v>
      </c>
      <c r="DEN417" s="247" t="str">
        <f>BS!$E$5</f>
        <v>31 March 2025</v>
      </c>
      <c r="DEO417" s="1717"/>
      <c r="DEP417" s="1718"/>
      <c r="DEQ417" s="1718"/>
      <c r="DER417" s="1718"/>
      <c r="DES417" s="1718"/>
      <c r="DET417" s="246"/>
      <c r="DEU417" s="246" t="str">
        <f>BS!$D$5</f>
        <v>31 March 2026</v>
      </c>
      <c r="DEV417" s="247" t="str">
        <f>BS!$E$5</f>
        <v>31 March 2025</v>
      </c>
      <c r="DEW417" s="1717"/>
      <c r="DEX417" s="1718"/>
      <c r="DEY417" s="1718"/>
      <c r="DEZ417" s="1718"/>
      <c r="DFA417" s="1718"/>
      <c r="DFB417" s="246"/>
      <c r="DFC417" s="246" t="str">
        <f>BS!$D$5</f>
        <v>31 March 2026</v>
      </c>
      <c r="DFD417" s="247" t="str">
        <f>BS!$E$5</f>
        <v>31 March 2025</v>
      </c>
      <c r="DFE417" s="1717"/>
      <c r="DFF417" s="1718"/>
      <c r="DFG417" s="1718"/>
      <c r="DFH417" s="1718"/>
      <c r="DFI417" s="1718"/>
      <c r="DFJ417" s="246"/>
      <c r="DFK417" s="246" t="str">
        <f>BS!$D$5</f>
        <v>31 March 2026</v>
      </c>
      <c r="DFL417" s="247" t="str">
        <f>BS!$E$5</f>
        <v>31 March 2025</v>
      </c>
      <c r="DFM417" s="1717"/>
      <c r="DFN417" s="1718"/>
      <c r="DFO417" s="1718"/>
      <c r="DFP417" s="1718"/>
      <c r="DFQ417" s="1718"/>
      <c r="DFR417" s="246"/>
      <c r="DFS417" s="246" t="str">
        <f>BS!$D$5</f>
        <v>31 March 2026</v>
      </c>
      <c r="DFT417" s="247" t="str">
        <f>BS!$E$5</f>
        <v>31 March 2025</v>
      </c>
      <c r="DFU417" s="1717"/>
      <c r="DFV417" s="1718"/>
      <c r="DFW417" s="1718"/>
      <c r="DFX417" s="1718"/>
      <c r="DFY417" s="1718"/>
      <c r="DFZ417" s="246"/>
      <c r="DGA417" s="246" t="str">
        <f>BS!$D$5</f>
        <v>31 March 2026</v>
      </c>
      <c r="DGB417" s="247" t="str">
        <f>BS!$E$5</f>
        <v>31 March 2025</v>
      </c>
      <c r="DGC417" s="1717"/>
      <c r="DGD417" s="1718"/>
      <c r="DGE417" s="1718"/>
      <c r="DGF417" s="1718"/>
      <c r="DGG417" s="1718"/>
      <c r="DGH417" s="246"/>
      <c r="DGI417" s="246" t="str">
        <f>BS!$D$5</f>
        <v>31 March 2026</v>
      </c>
      <c r="DGJ417" s="247" t="str">
        <f>BS!$E$5</f>
        <v>31 March 2025</v>
      </c>
      <c r="DGK417" s="1717"/>
      <c r="DGL417" s="1718"/>
      <c r="DGM417" s="1718"/>
      <c r="DGN417" s="1718"/>
      <c r="DGO417" s="1718"/>
      <c r="DGP417" s="246"/>
      <c r="DGQ417" s="246" t="str">
        <f>BS!$D$5</f>
        <v>31 March 2026</v>
      </c>
      <c r="DGR417" s="247" t="str">
        <f>BS!$E$5</f>
        <v>31 March 2025</v>
      </c>
      <c r="DGS417" s="1717"/>
      <c r="DGT417" s="1718"/>
      <c r="DGU417" s="1718"/>
      <c r="DGV417" s="1718"/>
      <c r="DGW417" s="1718"/>
      <c r="DGX417" s="246"/>
      <c r="DGY417" s="246" t="str">
        <f>BS!$D$5</f>
        <v>31 March 2026</v>
      </c>
      <c r="DGZ417" s="247" t="str">
        <f>BS!$E$5</f>
        <v>31 March 2025</v>
      </c>
      <c r="DHA417" s="1717"/>
      <c r="DHB417" s="1718"/>
      <c r="DHC417" s="1718"/>
      <c r="DHD417" s="1718"/>
      <c r="DHE417" s="1718"/>
      <c r="DHF417" s="246"/>
      <c r="DHG417" s="246" t="str">
        <f>BS!$D$5</f>
        <v>31 March 2026</v>
      </c>
      <c r="DHH417" s="247" t="str">
        <f>BS!$E$5</f>
        <v>31 March 2025</v>
      </c>
      <c r="DHI417" s="1717"/>
      <c r="DHJ417" s="1718"/>
      <c r="DHK417" s="1718"/>
      <c r="DHL417" s="1718"/>
      <c r="DHM417" s="1718"/>
      <c r="DHN417" s="246"/>
      <c r="DHO417" s="246" t="str">
        <f>BS!$D$5</f>
        <v>31 March 2026</v>
      </c>
      <c r="DHP417" s="247" t="str">
        <f>BS!$E$5</f>
        <v>31 March 2025</v>
      </c>
      <c r="DHQ417" s="1717"/>
      <c r="DHR417" s="1718"/>
      <c r="DHS417" s="1718"/>
      <c r="DHT417" s="1718"/>
      <c r="DHU417" s="1718"/>
      <c r="DHV417" s="246"/>
      <c r="DHW417" s="246" t="str">
        <f>BS!$D$5</f>
        <v>31 March 2026</v>
      </c>
      <c r="DHX417" s="247" t="str">
        <f>BS!$E$5</f>
        <v>31 March 2025</v>
      </c>
      <c r="DHY417" s="1717"/>
      <c r="DHZ417" s="1718"/>
      <c r="DIA417" s="1718"/>
      <c r="DIB417" s="1718"/>
      <c r="DIC417" s="1718"/>
      <c r="DID417" s="246"/>
      <c r="DIE417" s="246" t="str">
        <f>BS!$D$5</f>
        <v>31 March 2026</v>
      </c>
      <c r="DIF417" s="247" t="str">
        <f>BS!$E$5</f>
        <v>31 March 2025</v>
      </c>
      <c r="DIG417" s="1717"/>
      <c r="DIH417" s="1718"/>
      <c r="DII417" s="1718"/>
      <c r="DIJ417" s="1718"/>
      <c r="DIK417" s="1718"/>
      <c r="DIL417" s="246"/>
      <c r="DIM417" s="246" t="str">
        <f>BS!$D$5</f>
        <v>31 March 2026</v>
      </c>
      <c r="DIN417" s="247" t="str">
        <f>BS!$E$5</f>
        <v>31 March 2025</v>
      </c>
      <c r="DIO417" s="1717"/>
      <c r="DIP417" s="1718"/>
      <c r="DIQ417" s="1718"/>
      <c r="DIR417" s="1718"/>
      <c r="DIS417" s="1718"/>
      <c r="DIT417" s="246"/>
      <c r="DIU417" s="246" t="str">
        <f>BS!$D$5</f>
        <v>31 March 2026</v>
      </c>
      <c r="DIV417" s="247" t="str">
        <f>BS!$E$5</f>
        <v>31 March 2025</v>
      </c>
      <c r="DIW417" s="1717"/>
      <c r="DIX417" s="1718"/>
      <c r="DIY417" s="1718"/>
      <c r="DIZ417" s="1718"/>
      <c r="DJA417" s="1718"/>
      <c r="DJB417" s="246"/>
      <c r="DJC417" s="246" t="str">
        <f>BS!$D$5</f>
        <v>31 March 2026</v>
      </c>
      <c r="DJD417" s="247" t="str">
        <f>BS!$E$5</f>
        <v>31 March 2025</v>
      </c>
      <c r="DJE417" s="1717"/>
      <c r="DJF417" s="1718"/>
      <c r="DJG417" s="1718"/>
      <c r="DJH417" s="1718"/>
      <c r="DJI417" s="1718"/>
      <c r="DJJ417" s="246"/>
      <c r="DJK417" s="246" t="str">
        <f>BS!$D$5</f>
        <v>31 March 2026</v>
      </c>
      <c r="DJL417" s="247" t="str">
        <f>BS!$E$5</f>
        <v>31 March 2025</v>
      </c>
      <c r="DJM417" s="1717"/>
      <c r="DJN417" s="1718"/>
      <c r="DJO417" s="1718"/>
      <c r="DJP417" s="1718"/>
      <c r="DJQ417" s="1718"/>
      <c r="DJR417" s="246"/>
      <c r="DJS417" s="246" t="str">
        <f>BS!$D$5</f>
        <v>31 March 2026</v>
      </c>
      <c r="DJT417" s="247" t="str">
        <f>BS!$E$5</f>
        <v>31 March 2025</v>
      </c>
      <c r="DJU417" s="1717"/>
      <c r="DJV417" s="1718"/>
      <c r="DJW417" s="1718"/>
      <c r="DJX417" s="1718"/>
      <c r="DJY417" s="1718"/>
      <c r="DJZ417" s="246"/>
      <c r="DKA417" s="246" t="str">
        <f>BS!$D$5</f>
        <v>31 March 2026</v>
      </c>
      <c r="DKB417" s="247" t="str">
        <f>BS!$E$5</f>
        <v>31 March 2025</v>
      </c>
      <c r="DKC417" s="1717"/>
      <c r="DKD417" s="1718"/>
      <c r="DKE417" s="1718"/>
      <c r="DKF417" s="1718"/>
      <c r="DKG417" s="1718"/>
      <c r="DKH417" s="246"/>
      <c r="DKI417" s="246" t="str">
        <f>BS!$D$5</f>
        <v>31 March 2026</v>
      </c>
      <c r="DKJ417" s="247" t="str">
        <f>BS!$E$5</f>
        <v>31 March 2025</v>
      </c>
      <c r="DKK417" s="1717"/>
      <c r="DKL417" s="1718"/>
      <c r="DKM417" s="1718"/>
      <c r="DKN417" s="1718"/>
      <c r="DKO417" s="1718"/>
      <c r="DKP417" s="246"/>
      <c r="DKQ417" s="246" t="str">
        <f>BS!$D$5</f>
        <v>31 March 2026</v>
      </c>
      <c r="DKR417" s="247" t="str">
        <f>BS!$E$5</f>
        <v>31 March 2025</v>
      </c>
      <c r="DKS417" s="1717"/>
      <c r="DKT417" s="1718"/>
      <c r="DKU417" s="1718"/>
      <c r="DKV417" s="1718"/>
      <c r="DKW417" s="1718"/>
      <c r="DKX417" s="246"/>
      <c r="DKY417" s="246" t="str">
        <f>BS!$D$5</f>
        <v>31 March 2026</v>
      </c>
      <c r="DKZ417" s="247" t="str">
        <f>BS!$E$5</f>
        <v>31 March 2025</v>
      </c>
      <c r="DLA417" s="1717"/>
      <c r="DLB417" s="1718"/>
      <c r="DLC417" s="1718"/>
      <c r="DLD417" s="1718"/>
      <c r="DLE417" s="1718"/>
      <c r="DLF417" s="246"/>
      <c r="DLG417" s="246" t="str">
        <f>BS!$D$5</f>
        <v>31 March 2026</v>
      </c>
      <c r="DLH417" s="247" t="str">
        <f>BS!$E$5</f>
        <v>31 March 2025</v>
      </c>
      <c r="DLI417" s="1717"/>
      <c r="DLJ417" s="1718"/>
      <c r="DLK417" s="1718"/>
      <c r="DLL417" s="1718"/>
      <c r="DLM417" s="1718"/>
      <c r="DLN417" s="246"/>
      <c r="DLO417" s="246" t="str">
        <f>BS!$D$5</f>
        <v>31 March 2026</v>
      </c>
      <c r="DLP417" s="247" t="str">
        <f>BS!$E$5</f>
        <v>31 March 2025</v>
      </c>
      <c r="DLQ417" s="1717"/>
      <c r="DLR417" s="1718"/>
      <c r="DLS417" s="1718"/>
      <c r="DLT417" s="1718"/>
      <c r="DLU417" s="1718"/>
      <c r="DLV417" s="246"/>
      <c r="DLW417" s="246" t="str">
        <f>BS!$D$5</f>
        <v>31 March 2026</v>
      </c>
      <c r="DLX417" s="247" t="str">
        <f>BS!$E$5</f>
        <v>31 March 2025</v>
      </c>
      <c r="DLY417" s="1717"/>
      <c r="DLZ417" s="1718"/>
      <c r="DMA417" s="1718"/>
      <c r="DMB417" s="1718"/>
      <c r="DMC417" s="1718"/>
      <c r="DMD417" s="246"/>
      <c r="DME417" s="246" t="str">
        <f>BS!$D$5</f>
        <v>31 March 2026</v>
      </c>
      <c r="DMF417" s="247" t="str">
        <f>BS!$E$5</f>
        <v>31 March 2025</v>
      </c>
      <c r="DMG417" s="1717"/>
      <c r="DMH417" s="1718"/>
      <c r="DMI417" s="1718"/>
      <c r="DMJ417" s="1718"/>
      <c r="DMK417" s="1718"/>
      <c r="DML417" s="246"/>
      <c r="DMM417" s="246" t="str">
        <f>BS!$D$5</f>
        <v>31 March 2026</v>
      </c>
      <c r="DMN417" s="247" t="str">
        <f>BS!$E$5</f>
        <v>31 March 2025</v>
      </c>
      <c r="DMO417" s="1717"/>
      <c r="DMP417" s="1718"/>
      <c r="DMQ417" s="1718"/>
      <c r="DMR417" s="1718"/>
      <c r="DMS417" s="1718"/>
      <c r="DMT417" s="246"/>
      <c r="DMU417" s="246" t="str">
        <f>BS!$D$5</f>
        <v>31 March 2026</v>
      </c>
      <c r="DMV417" s="247" t="str">
        <f>BS!$E$5</f>
        <v>31 March 2025</v>
      </c>
      <c r="DMW417" s="1717"/>
      <c r="DMX417" s="1718"/>
      <c r="DMY417" s="1718"/>
      <c r="DMZ417" s="1718"/>
      <c r="DNA417" s="1718"/>
      <c r="DNB417" s="246"/>
      <c r="DNC417" s="246" t="str">
        <f>BS!$D$5</f>
        <v>31 March 2026</v>
      </c>
      <c r="DND417" s="247" t="str">
        <f>BS!$E$5</f>
        <v>31 March 2025</v>
      </c>
      <c r="DNE417" s="1717"/>
      <c r="DNF417" s="1718"/>
      <c r="DNG417" s="1718"/>
      <c r="DNH417" s="1718"/>
      <c r="DNI417" s="1718"/>
      <c r="DNJ417" s="246"/>
      <c r="DNK417" s="246" t="str">
        <f>BS!$D$5</f>
        <v>31 March 2026</v>
      </c>
      <c r="DNL417" s="247" t="str">
        <f>BS!$E$5</f>
        <v>31 March 2025</v>
      </c>
      <c r="DNM417" s="1717"/>
      <c r="DNN417" s="1718"/>
      <c r="DNO417" s="1718"/>
      <c r="DNP417" s="1718"/>
      <c r="DNQ417" s="1718"/>
      <c r="DNR417" s="246"/>
      <c r="DNS417" s="246" t="str">
        <f>BS!$D$5</f>
        <v>31 March 2026</v>
      </c>
      <c r="DNT417" s="247" t="str">
        <f>BS!$E$5</f>
        <v>31 March 2025</v>
      </c>
      <c r="DNU417" s="1717"/>
      <c r="DNV417" s="1718"/>
      <c r="DNW417" s="1718"/>
      <c r="DNX417" s="1718"/>
      <c r="DNY417" s="1718"/>
      <c r="DNZ417" s="246"/>
      <c r="DOA417" s="246" t="str">
        <f>BS!$D$5</f>
        <v>31 March 2026</v>
      </c>
      <c r="DOB417" s="247" t="str">
        <f>BS!$E$5</f>
        <v>31 March 2025</v>
      </c>
      <c r="DOC417" s="1717"/>
      <c r="DOD417" s="1718"/>
      <c r="DOE417" s="1718"/>
      <c r="DOF417" s="1718"/>
      <c r="DOG417" s="1718"/>
      <c r="DOH417" s="246"/>
      <c r="DOI417" s="246" t="str">
        <f>BS!$D$5</f>
        <v>31 March 2026</v>
      </c>
      <c r="DOJ417" s="247" t="str">
        <f>BS!$E$5</f>
        <v>31 March 2025</v>
      </c>
      <c r="DOK417" s="1717"/>
      <c r="DOL417" s="1718"/>
      <c r="DOM417" s="1718"/>
      <c r="DON417" s="1718"/>
      <c r="DOO417" s="1718"/>
      <c r="DOP417" s="246"/>
      <c r="DOQ417" s="246" t="str">
        <f>BS!$D$5</f>
        <v>31 March 2026</v>
      </c>
      <c r="DOR417" s="247" t="str">
        <f>BS!$E$5</f>
        <v>31 March 2025</v>
      </c>
      <c r="DOS417" s="1717"/>
      <c r="DOT417" s="1718"/>
      <c r="DOU417" s="1718"/>
      <c r="DOV417" s="1718"/>
      <c r="DOW417" s="1718"/>
      <c r="DOX417" s="246"/>
      <c r="DOY417" s="246" t="str">
        <f>BS!$D$5</f>
        <v>31 March 2026</v>
      </c>
      <c r="DOZ417" s="247" t="str">
        <f>BS!$E$5</f>
        <v>31 March 2025</v>
      </c>
      <c r="DPA417" s="1717"/>
      <c r="DPB417" s="1718"/>
      <c r="DPC417" s="1718"/>
      <c r="DPD417" s="1718"/>
      <c r="DPE417" s="1718"/>
      <c r="DPF417" s="246"/>
      <c r="DPG417" s="246" t="str">
        <f>BS!$D$5</f>
        <v>31 March 2026</v>
      </c>
      <c r="DPH417" s="247" t="str">
        <f>BS!$E$5</f>
        <v>31 March 2025</v>
      </c>
      <c r="DPI417" s="1717"/>
      <c r="DPJ417" s="1718"/>
      <c r="DPK417" s="1718"/>
      <c r="DPL417" s="1718"/>
      <c r="DPM417" s="1718"/>
      <c r="DPN417" s="246"/>
      <c r="DPO417" s="246" t="str">
        <f>BS!$D$5</f>
        <v>31 March 2026</v>
      </c>
      <c r="DPP417" s="247" t="str">
        <f>BS!$E$5</f>
        <v>31 March 2025</v>
      </c>
      <c r="DPQ417" s="1717"/>
      <c r="DPR417" s="1718"/>
      <c r="DPS417" s="1718"/>
      <c r="DPT417" s="1718"/>
      <c r="DPU417" s="1718"/>
      <c r="DPV417" s="246"/>
      <c r="DPW417" s="246" t="str">
        <f>BS!$D$5</f>
        <v>31 March 2026</v>
      </c>
      <c r="DPX417" s="247" t="str">
        <f>BS!$E$5</f>
        <v>31 March 2025</v>
      </c>
      <c r="DPY417" s="1717"/>
      <c r="DPZ417" s="1718"/>
      <c r="DQA417" s="1718"/>
      <c r="DQB417" s="1718"/>
      <c r="DQC417" s="1718"/>
      <c r="DQD417" s="246"/>
      <c r="DQE417" s="246" t="str">
        <f>BS!$D$5</f>
        <v>31 March 2026</v>
      </c>
      <c r="DQF417" s="247" t="str">
        <f>BS!$E$5</f>
        <v>31 March 2025</v>
      </c>
      <c r="DQG417" s="1717"/>
      <c r="DQH417" s="1718"/>
      <c r="DQI417" s="1718"/>
      <c r="DQJ417" s="1718"/>
      <c r="DQK417" s="1718"/>
      <c r="DQL417" s="246"/>
      <c r="DQM417" s="246" t="str">
        <f>BS!$D$5</f>
        <v>31 March 2026</v>
      </c>
      <c r="DQN417" s="247" t="str">
        <f>BS!$E$5</f>
        <v>31 March 2025</v>
      </c>
      <c r="DQO417" s="1717"/>
      <c r="DQP417" s="1718"/>
      <c r="DQQ417" s="1718"/>
      <c r="DQR417" s="1718"/>
      <c r="DQS417" s="1718"/>
      <c r="DQT417" s="246"/>
      <c r="DQU417" s="246" t="str">
        <f>BS!$D$5</f>
        <v>31 March 2026</v>
      </c>
      <c r="DQV417" s="247" t="str">
        <f>BS!$E$5</f>
        <v>31 March 2025</v>
      </c>
      <c r="DQW417" s="1717"/>
      <c r="DQX417" s="1718"/>
      <c r="DQY417" s="1718"/>
      <c r="DQZ417" s="1718"/>
      <c r="DRA417" s="1718"/>
      <c r="DRB417" s="246"/>
      <c r="DRC417" s="246" t="str">
        <f>BS!$D$5</f>
        <v>31 March 2026</v>
      </c>
      <c r="DRD417" s="247" t="str">
        <f>BS!$E$5</f>
        <v>31 March 2025</v>
      </c>
      <c r="DRE417" s="1717"/>
      <c r="DRF417" s="1718"/>
      <c r="DRG417" s="1718"/>
      <c r="DRH417" s="1718"/>
      <c r="DRI417" s="1718"/>
      <c r="DRJ417" s="246"/>
      <c r="DRK417" s="246" t="str">
        <f>BS!$D$5</f>
        <v>31 March 2026</v>
      </c>
      <c r="DRL417" s="247" t="str">
        <f>BS!$E$5</f>
        <v>31 March 2025</v>
      </c>
      <c r="DRM417" s="1717"/>
      <c r="DRN417" s="1718"/>
      <c r="DRO417" s="1718"/>
      <c r="DRP417" s="1718"/>
      <c r="DRQ417" s="1718"/>
      <c r="DRR417" s="246"/>
      <c r="DRS417" s="246" t="str">
        <f>BS!$D$5</f>
        <v>31 March 2026</v>
      </c>
      <c r="DRT417" s="247" t="str">
        <f>BS!$E$5</f>
        <v>31 March 2025</v>
      </c>
      <c r="DRU417" s="1717"/>
      <c r="DRV417" s="1718"/>
      <c r="DRW417" s="1718"/>
      <c r="DRX417" s="1718"/>
      <c r="DRY417" s="1718"/>
      <c r="DRZ417" s="246"/>
      <c r="DSA417" s="246" t="str">
        <f>BS!$D$5</f>
        <v>31 March 2026</v>
      </c>
      <c r="DSB417" s="247" t="str">
        <f>BS!$E$5</f>
        <v>31 March 2025</v>
      </c>
      <c r="DSC417" s="1717"/>
      <c r="DSD417" s="1718"/>
      <c r="DSE417" s="1718"/>
      <c r="DSF417" s="1718"/>
      <c r="DSG417" s="1718"/>
      <c r="DSH417" s="246"/>
      <c r="DSI417" s="246" t="str">
        <f>BS!$D$5</f>
        <v>31 March 2026</v>
      </c>
      <c r="DSJ417" s="247" t="str">
        <f>BS!$E$5</f>
        <v>31 March 2025</v>
      </c>
      <c r="DSK417" s="1717"/>
      <c r="DSL417" s="1718"/>
      <c r="DSM417" s="1718"/>
      <c r="DSN417" s="1718"/>
      <c r="DSO417" s="1718"/>
      <c r="DSP417" s="246"/>
      <c r="DSQ417" s="246" t="str">
        <f>BS!$D$5</f>
        <v>31 March 2026</v>
      </c>
      <c r="DSR417" s="247" t="str">
        <f>BS!$E$5</f>
        <v>31 March 2025</v>
      </c>
      <c r="DSS417" s="1717"/>
      <c r="DST417" s="1718"/>
      <c r="DSU417" s="1718"/>
      <c r="DSV417" s="1718"/>
      <c r="DSW417" s="1718"/>
      <c r="DSX417" s="246"/>
      <c r="DSY417" s="246" t="str">
        <f>BS!$D$5</f>
        <v>31 March 2026</v>
      </c>
      <c r="DSZ417" s="247" t="str">
        <f>BS!$E$5</f>
        <v>31 March 2025</v>
      </c>
      <c r="DTA417" s="1717"/>
      <c r="DTB417" s="1718"/>
      <c r="DTC417" s="1718"/>
      <c r="DTD417" s="1718"/>
      <c r="DTE417" s="1718"/>
      <c r="DTF417" s="246"/>
      <c r="DTG417" s="246" t="str">
        <f>BS!$D$5</f>
        <v>31 March 2026</v>
      </c>
      <c r="DTH417" s="247" t="str">
        <f>BS!$E$5</f>
        <v>31 March 2025</v>
      </c>
      <c r="DTI417" s="1717"/>
      <c r="DTJ417" s="1718"/>
      <c r="DTK417" s="1718"/>
      <c r="DTL417" s="1718"/>
      <c r="DTM417" s="1718"/>
      <c r="DTN417" s="246"/>
      <c r="DTO417" s="246" t="str">
        <f>BS!$D$5</f>
        <v>31 March 2026</v>
      </c>
      <c r="DTP417" s="247" t="str">
        <f>BS!$E$5</f>
        <v>31 March 2025</v>
      </c>
      <c r="DTQ417" s="1717"/>
      <c r="DTR417" s="1718"/>
      <c r="DTS417" s="1718"/>
      <c r="DTT417" s="1718"/>
      <c r="DTU417" s="1718"/>
      <c r="DTV417" s="246"/>
      <c r="DTW417" s="246" t="str">
        <f>BS!$D$5</f>
        <v>31 March 2026</v>
      </c>
      <c r="DTX417" s="247" t="str">
        <f>BS!$E$5</f>
        <v>31 March 2025</v>
      </c>
      <c r="DTY417" s="1717"/>
      <c r="DTZ417" s="1718"/>
      <c r="DUA417" s="1718"/>
      <c r="DUB417" s="1718"/>
      <c r="DUC417" s="1718"/>
      <c r="DUD417" s="246"/>
      <c r="DUE417" s="246" t="str">
        <f>BS!$D$5</f>
        <v>31 March 2026</v>
      </c>
      <c r="DUF417" s="247" t="str">
        <f>BS!$E$5</f>
        <v>31 March 2025</v>
      </c>
      <c r="DUG417" s="1717"/>
      <c r="DUH417" s="1718"/>
      <c r="DUI417" s="1718"/>
      <c r="DUJ417" s="1718"/>
      <c r="DUK417" s="1718"/>
      <c r="DUL417" s="246"/>
      <c r="DUM417" s="246" t="str">
        <f>BS!$D$5</f>
        <v>31 March 2026</v>
      </c>
      <c r="DUN417" s="247" t="str">
        <f>BS!$E$5</f>
        <v>31 March 2025</v>
      </c>
      <c r="DUO417" s="1717"/>
      <c r="DUP417" s="1718"/>
      <c r="DUQ417" s="1718"/>
      <c r="DUR417" s="1718"/>
      <c r="DUS417" s="1718"/>
      <c r="DUT417" s="246"/>
      <c r="DUU417" s="246" t="str">
        <f>BS!$D$5</f>
        <v>31 March 2026</v>
      </c>
      <c r="DUV417" s="247" t="str">
        <f>BS!$E$5</f>
        <v>31 March 2025</v>
      </c>
      <c r="DUW417" s="1717"/>
      <c r="DUX417" s="1718"/>
      <c r="DUY417" s="1718"/>
      <c r="DUZ417" s="1718"/>
      <c r="DVA417" s="1718"/>
      <c r="DVB417" s="246"/>
      <c r="DVC417" s="246" t="str">
        <f>BS!$D$5</f>
        <v>31 March 2026</v>
      </c>
      <c r="DVD417" s="247" t="str">
        <f>BS!$E$5</f>
        <v>31 March 2025</v>
      </c>
      <c r="DVE417" s="1717"/>
      <c r="DVF417" s="1718"/>
      <c r="DVG417" s="1718"/>
      <c r="DVH417" s="1718"/>
      <c r="DVI417" s="1718"/>
      <c r="DVJ417" s="246"/>
      <c r="DVK417" s="246" t="str">
        <f>BS!$D$5</f>
        <v>31 March 2026</v>
      </c>
      <c r="DVL417" s="247" t="str">
        <f>BS!$E$5</f>
        <v>31 March 2025</v>
      </c>
      <c r="DVM417" s="1717"/>
      <c r="DVN417" s="1718"/>
      <c r="DVO417" s="1718"/>
      <c r="DVP417" s="1718"/>
      <c r="DVQ417" s="1718"/>
      <c r="DVR417" s="246"/>
      <c r="DVS417" s="246" t="str">
        <f>BS!$D$5</f>
        <v>31 March 2026</v>
      </c>
      <c r="DVT417" s="247" t="str">
        <f>BS!$E$5</f>
        <v>31 March 2025</v>
      </c>
      <c r="DVU417" s="1717"/>
      <c r="DVV417" s="1718"/>
      <c r="DVW417" s="1718"/>
      <c r="DVX417" s="1718"/>
      <c r="DVY417" s="1718"/>
      <c r="DVZ417" s="246"/>
      <c r="DWA417" s="246" t="str">
        <f>BS!$D$5</f>
        <v>31 March 2026</v>
      </c>
      <c r="DWB417" s="247" t="str">
        <f>BS!$E$5</f>
        <v>31 March 2025</v>
      </c>
      <c r="DWC417" s="1717"/>
      <c r="DWD417" s="1718"/>
      <c r="DWE417" s="1718"/>
      <c r="DWF417" s="1718"/>
      <c r="DWG417" s="1718"/>
      <c r="DWH417" s="246"/>
      <c r="DWI417" s="246" t="str">
        <f>BS!$D$5</f>
        <v>31 March 2026</v>
      </c>
      <c r="DWJ417" s="247" t="str">
        <f>BS!$E$5</f>
        <v>31 March 2025</v>
      </c>
      <c r="DWK417" s="1717"/>
      <c r="DWL417" s="1718"/>
      <c r="DWM417" s="1718"/>
      <c r="DWN417" s="1718"/>
      <c r="DWO417" s="1718"/>
      <c r="DWP417" s="246"/>
      <c r="DWQ417" s="246" t="str">
        <f>BS!$D$5</f>
        <v>31 March 2026</v>
      </c>
      <c r="DWR417" s="247" t="str">
        <f>BS!$E$5</f>
        <v>31 March 2025</v>
      </c>
      <c r="DWS417" s="1717"/>
      <c r="DWT417" s="1718"/>
      <c r="DWU417" s="1718"/>
      <c r="DWV417" s="1718"/>
      <c r="DWW417" s="1718"/>
      <c r="DWX417" s="246"/>
      <c r="DWY417" s="246" t="str">
        <f>BS!$D$5</f>
        <v>31 March 2026</v>
      </c>
      <c r="DWZ417" s="247" t="str">
        <f>BS!$E$5</f>
        <v>31 March 2025</v>
      </c>
      <c r="DXA417" s="1717"/>
      <c r="DXB417" s="1718"/>
      <c r="DXC417" s="1718"/>
      <c r="DXD417" s="1718"/>
      <c r="DXE417" s="1718"/>
      <c r="DXF417" s="246"/>
      <c r="DXG417" s="246" t="str">
        <f>BS!$D$5</f>
        <v>31 March 2026</v>
      </c>
      <c r="DXH417" s="247" t="str">
        <f>BS!$E$5</f>
        <v>31 March 2025</v>
      </c>
      <c r="DXI417" s="1717"/>
      <c r="DXJ417" s="1718"/>
      <c r="DXK417" s="1718"/>
      <c r="DXL417" s="1718"/>
      <c r="DXM417" s="1718"/>
      <c r="DXN417" s="246"/>
      <c r="DXO417" s="246" t="str">
        <f>BS!$D$5</f>
        <v>31 March 2026</v>
      </c>
      <c r="DXP417" s="247" t="str">
        <f>BS!$E$5</f>
        <v>31 March 2025</v>
      </c>
      <c r="DXQ417" s="1717"/>
      <c r="DXR417" s="1718"/>
      <c r="DXS417" s="1718"/>
      <c r="DXT417" s="1718"/>
      <c r="DXU417" s="1718"/>
      <c r="DXV417" s="246"/>
      <c r="DXW417" s="246" t="str">
        <f>BS!$D$5</f>
        <v>31 March 2026</v>
      </c>
      <c r="DXX417" s="247" t="str">
        <f>BS!$E$5</f>
        <v>31 March 2025</v>
      </c>
      <c r="DXY417" s="1717"/>
      <c r="DXZ417" s="1718"/>
      <c r="DYA417" s="1718"/>
      <c r="DYB417" s="1718"/>
      <c r="DYC417" s="1718"/>
      <c r="DYD417" s="246"/>
      <c r="DYE417" s="246" t="str">
        <f>BS!$D$5</f>
        <v>31 March 2026</v>
      </c>
      <c r="DYF417" s="247" t="str">
        <f>BS!$E$5</f>
        <v>31 March 2025</v>
      </c>
      <c r="DYG417" s="1717"/>
      <c r="DYH417" s="1718"/>
      <c r="DYI417" s="1718"/>
      <c r="DYJ417" s="1718"/>
      <c r="DYK417" s="1718"/>
      <c r="DYL417" s="246"/>
      <c r="DYM417" s="246" t="str">
        <f>BS!$D$5</f>
        <v>31 March 2026</v>
      </c>
      <c r="DYN417" s="247" t="str">
        <f>BS!$E$5</f>
        <v>31 March 2025</v>
      </c>
      <c r="DYO417" s="1717"/>
      <c r="DYP417" s="1718"/>
      <c r="DYQ417" s="1718"/>
      <c r="DYR417" s="1718"/>
      <c r="DYS417" s="1718"/>
      <c r="DYT417" s="246"/>
      <c r="DYU417" s="246" t="str">
        <f>BS!$D$5</f>
        <v>31 March 2026</v>
      </c>
      <c r="DYV417" s="247" t="str">
        <f>BS!$E$5</f>
        <v>31 March 2025</v>
      </c>
      <c r="DYW417" s="1717"/>
      <c r="DYX417" s="1718"/>
      <c r="DYY417" s="1718"/>
      <c r="DYZ417" s="1718"/>
      <c r="DZA417" s="1718"/>
      <c r="DZB417" s="246"/>
      <c r="DZC417" s="246" t="str">
        <f>BS!$D$5</f>
        <v>31 March 2026</v>
      </c>
      <c r="DZD417" s="247" t="str">
        <f>BS!$E$5</f>
        <v>31 March 2025</v>
      </c>
      <c r="DZE417" s="1717"/>
      <c r="DZF417" s="1718"/>
      <c r="DZG417" s="1718"/>
      <c r="DZH417" s="1718"/>
      <c r="DZI417" s="1718"/>
      <c r="DZJ417" s="246"/>
      <c r="DZK417" s="246" t="str">
        <f>BS!$D$5</f>
        <v>31 March 2026</v>
      </c>
      <c r="DZL417" s="247" t="str">
        <f>BS!$E$5</f>
        <v>31 March 2025</v>
      </c>
      <c r="DZM417" s="1717"/>
      <c r="DZN417" s="1718"/>
      <c r="DZO417" s="1718"/>
      <c r="DZP417" s="1718"/>
      <c r="DZQ417" s="1718"/>
      <c r="DZR417" s="246"/>
      <c r="DZS417" s="246" t="str">
        <f>BS!$D$5</f>
        <v>31 March 2026</v>
      </c>
      <c r="DZT417" s="247" t="str">
        <f>BS!$E$5</f>
        <v>31 March 2025</v>
      </c>
      <c r="DZU417" s="1717"/>
      <c r="DZV417" s="1718"/>
      <c r="DZW417" s="1718"/>
      <c r="DZX417" s="1718"/>
      <c r="DZY417" s="1718"/>
      <c r="DZZ417" s="246"/>
      <c r="EAA417" s="246" t="str">
        <f>BS!$D$5</f>
        <v>31 March 2026</v>
      </c>
      <c r="EAB417" s="247" t="str">
        <f>BS!$E$5</f>
        <v>31 March 2025</v>
      </c>
      <c r="EAC417" s="1717"/>
      <c r="EAD417" s="1718"/>
      <c r="EAE417" s="1718"/>
      <c r="EAF417" s="1718"/>
      <c r="EAG417" s="1718"/>
      <c r="EAH417" s="246"/>
      <c r="EAI417" s="246" t="str">
        <f>BS!$D$5</f>
        <v>31 March 2026</v>
      </c>
      <c r="EAJ417" s="247" t="str">
        <f>BS!$E$5</f>
        <v>31 March 2025</v>
      </c>
      <c r="EAK417" s="1717"/>
      <c r="EAL417" s="1718"/>
      <c r="EAM417" s="1718"/>
      <c r="EAN417" s="1718"/>
      <c r="EAO417" s="1718"/>
      <c r="EAP417" s="246"/>
      <c r="EAQ417" s="246" t="str">
        <f>BS!$D$5</f>
        <v>31 March 2026</v>
      </c>
      <c r="EAR417" s="247" t="str">
        <f>BS!$E$5</f>
        <v>31 March 2025</v>
      </c>
      <c r="EAS417" s="1717"/>
      <c r="EAT417" s="1718"/>
      <c r="EAU417" s="1718"/>
      <c r="EAV417" s="1718"/>
      <c r="EAW417" s="1718"/>
      <c r="EAX417" s="246"/>
      <c r="EAY417" s="246" t="str">
        <f>BS!$D$5</f>
        <v>31 March 2026</v>
      </c>
      <c r="EAZ417" s="247" t="str">
        <f>BS!$E$5</f>
        <v>31 March 2025</v>
      </c>
      <c r="EBA417" s="1717"/>
      <c r="EBB417" s="1718"/>
      <c r="EBC417" s="1718"/>
      <c r="EBD417" s="1718"/>
      <c r="EBE417" s="1718"/>
      <c r="EBF417" s="246"/>
      <c r="EBG417" s="246" t="str">
        <f>BS!$D$5</f>
        <v>31 March 2026</v>
      </c>
      <c r="EBH417" s="247" t="str">
        <f>BS!$E$5</f>
        <v>31 March 2025</v>
      </c>
      <c r="EBI417" s="1717"/>
      <c r="EBJ417" s="1718"/>
      <c r="EBK417" s="1718"/>
      <c r="EBL417" s="1718"/>
      <c r="EBM417" s="1718"/>
      <c r="EBN417" s="246"/>
      <c r="EBO417" s="246" t="str">
        <f>BS!$D$5</f>
        <v>31 March 2026</v>
      </c>
      <c r="EBP417" s="247" t="str">
        <f>BS!$E$5</f>
        <v>31 March 2025</v>
      </c>
      <c r="EBQ417" s="1717"/>
      <c r="EBR417" s="1718"/>
      <c r="EBS417" s="1718"/>
      <c r="EBT417" s="1718"/>
      <c r="EBU417" s="1718"/>
      <c r="EBV417" s="246"/>
      <c r="EBW417" s="246" t="str">
        <f>BS!$D$5</f>
        <v>31 March 2026</v>
      </c>
      <c r="EBX417" s="247" t="str">
        <f>BS!$E$5</f>
        <v>31 March 2025</v>
      </c>
      <c r="EBY417" s="1717"/>
      <c r="EBZ417" s="1718"/>
      <c r="ECA417" s="1718"/>
      <c r="ECB417" s="1718"/>
      <c r="ECC417" s="1718"/>
      <c r="ECD417" s="246"/>
      <c r="ECE417" s="246" t="str">
        <f>BS!$D$5</f>
        <v>31 March 2026</v>
      </c>
      <c r="ECF417" s="247" t="str">
        <f>BS!$E$5</f>
        <v>31 March 2025</v>
      </c>
      <c r="ECG417" s="1717"/>
      <c r="ECH417" s="1718"/>
      <c r="ECI417" s="1718"/>
      <c r="ECJ417" s="1718"/>
      <c r="ECK417" s="1718"/>
      <c r="ECL417" s="246"/>
      <c r="ECM417" s="246" t="str">
        <f>BS!$D$5</f>
        <v>31 March 2026</v>
      </c>
      <c r="ECN417" s="247" t="str">
        <f>BS!$E$5</f>
        <v>31 March 2025</v>
      </c>
      <c r="ECO417" s="1717"/>
      <c r="ECP417" s="1718"/>
      <c r="ECQ417" s="1718"/>
      <c r="ECR417" s="1718"/>
      <c r="ECS417" s="1718"/>
      <c r="ECT417" s="246"/>
      <c r="ECU417" s="246" t="str">
        <f>BS!$D$5</f>
        <v>31 March 2026</v>
      </c>
      <c r="ECV417" s="247" t="str">
        <f>BS!$E$5</f>
        <v>31 March 2025</v>
      </c>
      <c r="ECW417" s="1717"/>
      <c r="ECX417" s="1718"/>
      <c r="ECY417" s="1718"/>
      <c r="ECZ417" s="1718"/>
      <c r="EDA417" s="1718"/>
      <c r="EDB417" s="246"/>
      <c r="EDC417" s="246" t="str">
        <f>BS!$D$5</f>
        <v>31 March 2026</v>
      </c>
      <c r="EDD417" s="247" t="str">
        <f>BS!$E$5</f>
        <v>31 March 2025</v>
      </c>
      <c r="EDE417" s="1717"/>
      <c r="EDF417" s="1718"/>
      <c r="EDG417" s="1718"/>
      <c r="EDH417" s="1718"/>
      <c r="EDI417" s="1718"/>
      <c r="EDJ417" s="246"/>
      <c r="EDK417" s="246" t="str">
        <f>BS!$D$5</f>
        <v>31 March 2026</v>
      </c>
      <c r="EDL417" s="247" t="str">
        <f>BS!$E$5</f>
        <v>31 March 2025</v>
      </c>
      <c r="EDM417" s="1717"/>
      <c r="EDN417" s="1718"/>
      <c r="EDO417" s="1718"/>
      <c r="EDP417" s="1718"/>
      <c r="EDQ417" s="1718"/>
      <c r="EDR417" s="246"/>
      <c r="EDS417" s="246" t="str">
        <f>BS!$D$5</f>
        <v>31 March 2026</v>
      </c>
      <c r="EDT417" s="247" t="str">
        <f>BS!$E$5</f>
        <v>31 March 2025</v>
      </c>
      <c r="EDU417" s="1717"/>
      <c r="EDV417" s="1718"/>
      <c r="EDW417" s="1718"/>
      <c r="EDX417" s="1718"/>
      <c r="EDY417" s="1718"/>
      <c r="EDZ417" s="246"/>
      <c r="EEA417" s="246" t="str">
        <f>BS!$D$5</f>
        <v>31 March 2026</v>
      </c>
      <c r="EEB417" s="247" t="str">
        <f>BS!$E$5</f>
        <v>31 March 2025</v>
      </c>
      <c r="EEC417" s="1717"/>
      <c r="EED417" s="1718"/>
      <c r="EEE417" s="1718"/>
      <c r="EEF417" s="1718"/>
      <c r="EEG417" s="1718"/>
      <c r="EEH417" s="246"/>
      <c r="EEI417" s="246" t="str">
        <f>BS!$D$5</f>
        <v>31 March 2026</v>
      </c>
      <c r="EEJ417" s="247" t="str">
        <f>BS!$E$5</f>
        <v>31 March 2025</v>
      </c>
      <c r="EEK417" s="1717"/>
      <c r="EEL417" s="1718"/>
      <c r="EEM417" s="1718"/>
      <c r="EEN417" s="1718"/>
      <c r="EEO417" s="1718"/>
      <c r="EEP417" s="246"/>
      <c r="EEQ417" s="246" t="str">
        <f>BS!$D$5</f>
        <v>31 March 2026</v>
      </c>
      <c r="EER417" s="247" t="str">
        <f>BS!$E$5</f>
        <v>31 March 2025</v>
      </c>
      <c r="EES417" s="1717"/>
      <c r="EET417" s="1718"/>
      <c r="EEU417" s="1718"/>
      <c r="EEV417" s="1718"/>
      <c r="EEW417" s="1718"/>
      <c r="EEX417" s="246"/>
      <c r="EEY417" s="246" t="str">
        <f>BS!$D$5</f>
        <v>31 March 2026</v>
      </c>
      <c r="EEZ417" s="247" t="str">
        <f>BS!$E$5</f>
        <v>31 March 2025</v>
      </c>
      <c r="EFA417" s="1717"/>
      <c r="EFB417" s="1718"/>
      <c r="EFC417" s="1718"/>
      <c r="EFD417" s="1718"/>
      <c r="EFE417" s="1718"/>
      <c r="EFF417" s="246"/>
      <c r="EFG417" s="246" t="str">
        <f>BS!$D$5</f>
        <v>31 March 2026</v>
      </c>
      <c r="EFH417" s="247" t="str">
        <f>BS!$E$5</f>
        <v>31 March 2025</v>
      </c>
      <c r="EFI417" s="1717"/>
      <c r="EFJ417" s="1718"/>
      <c r="EFK417" s="1718"/>
      <c r="EFL417" s="1718"/>
      <c r="EFM417" s="1718"/>
      <c r="EFN417" s="246"/>
      <c r="EFO417" s="246" t="str">
        <f>BS!$D$5</f>
        <v>31 March 2026</v>
      </c>
      <c r="EFP417" s="247" t="str">
        <f>BS!$E$5</f>
        <v>31 March 2025</v>
      </c>
      <c r="EFQ417" s="1717"/>
      <c r="EFR417" s="1718"/>
      <c r="EFS417" s="1718"/>
      <c r="EFT417" s="1718"/>
      <c r="EFU417" s="1718"/>
      <c r="EFV417" s="246"/>
      <c r="EFW417" s="246" t="str">
        <f>BS!$D$5</f>
        <v>31 March 2026</v>
      </c>
      <c r="EFX417" s="247" t="str">
        <f>BS!$E$5</f>
        <v>31 March 2025</v>
      </c>
      <c r="EFY417" s="1717"/>
      <c r="EFZ417" s="1718"/>
      <c r="EGA417" s="1718"/>
      <c r="EGB417" s="1718"/>
      <c r="EGC417" s="1718"/>
      <c r="EGD417" s="246"/>
      <c r="EGE417" s="246" t="str">
        <f>BS!$D$5</f>
        <v>31 March 2026</v>
      </c>
      <c r="EGF417" s="247" t="str">
        <f>BS!$E$5</f>
        <v>31 March 2025</v>
      </c>
      <c r="EGG417" s="1717"/>
      <c r="EGH417" s="1718"/>
      <c r="EGI417" s="1718"/>
      <c r="EGJ417" s="1718"/>
      <c r="EGK417" s="1718"/>
      <c r="EGL417" s="246"/>
      <c r="EGM417" s="246" t="str">
        <f>BS!$D$5</f>
        <v>31 March 2026</v>
      </c>
      <c r="EGN417" s="247" t="str">
        <f>BS!$E$5</f>
        <v>31 March 2025</v>
      </c>
      <c r="EGO417" s="1717"/>
      <c r="EGP417" s="1718"/>
      <c r="EGQ417" s="1718"/>
      <c r="EGR417" s="1718"/>
      <c r="EGS417" s="1718"/>
      <c r="EGT417" s="246"/>
      <c r="EGU417" s="246" t="str">
        <f>BS!$D$5</f>
        <v>31 March 2026</v>
      </c>
      <c r="EGV417" s="247" t="str">
        <f>BS!$E$5</f>
        <v>31 March 2025</v>
      </c>
      <c r="EGW417" s="1717"/>
      <c r="EGX417" s="1718"/>
      <c r="EGY417" s="1718"/>
      <c r="EGZ417" s="1718"/>
      <c r="EHA417" s="1718"/>
      <c r="EHB417" s="246"/>
      <c r="EHC417" s="246" t="str">
        <f>BS!$D$5</f>
        <v>31 March 2026</v>
      </c>
      <c r="EHD417" s="247" t="str">
        <f>BS!$E$5</f>
        <v>31 March 2025</v>
      </c>
      <c r="EHE417" s="1717"/>
      <c r="EHF417" s="1718"/>
      <c r="EHG417" s="1718"/>
      <c r="EHH417" s="1718"/>
      <c r="EHI417" s="1718"/>
      <c r="EHJ417" s="246"/>
      <c r="EHK417" s="246" t="str">
        <f>BS!$D$5</f>
        <v>31 March 2026</v>
      </c>
      <c r="EHL417" s="247" t="str">
        <f>BS!$E$5</f>
        <v>31 March 2025</v>
      </c>
      <c r="EHM417" s="1717"/>
      <c r="EHN417" s="1718"/>
      <c r="EHO417" s="1718"/>
      <c r="EHP417" s="1718"/>
      <c r="EHQ417" s="1718"/>
      <c r="EHR417" s="246"/>
      <c r="EHS417" s="246" t="str">
        <f>BS!$D$5</f>
        <v>31 March 2026</v>
      </c>
      <c r="EHT417" s="247" t="str">
        <f>BS!$E$5</f>
        <v>31 March 2025</v>
      </c>
      <c r="EHU417" s="1717"/>
      <c r="EHV417" s="1718"/>
      <c r="EHW417" s="1718"/>
      <c r="EHX417" s="1718"/>
      <c r="EHY417" s="1718"/>
      <c r="EHZ417" s="246"/>
      <c r="EIA417" s="246" t="str">
        <f>BS!$D$5</f>
        <v>31 March 2026</v>
      </c>
      <c r="EIB417" s="247" t="str">
        <f>BS!$E$5</f>
        <v>31 March 2025</v>
      </c>
      <c r="EIC417" s="1717"/>
      <c r="EID417" s="1718"/>
      <c r="EIE417" s="1718"/>
      <c r="EIF417" s="1718"/>
      <c r="EIG417" s="1718"/>
      <c r="EIH417" s="246"/>
      <c r="EII417" s="246" t="str">
        <f>BS!$D$5</f>
        <v>31 March 2026</v>
      </c>
      <c r="EIJ417" s="247" t="str">
        <f>BS!$E$5</f>
        <v>31 March 2025</v>
      </c>
      <c r="EIK417" s="1717"/>
      <c r="EIL417" s="1718"/>
      <c r="EIM417" s="1718"/>
      <c r="EIN417" s="1718"/>
      <c r="EIO417" s="1718"/>
      <c r="EIP417" s="246"/>
      <c r="EIQ417" s="246" t="str">
        <f>BS!$D$5</f>
        <v>31 March 2026</v>
      </c>
      <c r="EIR417" s="247" t="str">
        <f>BS!$E$5</f>
        <v>31 March 2025</v>
      </c>
      <c r="EIS417" s="1717"/>
      <c r="EIT417" s="1718"/>
      <c r="EIU417" s="1718"/>
      <c r="EIV417" s="1718"/>
      <c r="EIW417" s="1718"/>
      <c r="EIX417" s="246"/>
      <c r="EIY417" s="246" t="str">
        <f>BS!$D$5</f>
        <v>31 March 2026</v>
      </c>
      <c r="EIZ417" s="247" t="str">
        <f>BS!$E$5</f>
        <v>31 March 2025</v>
      </c>
      <c r="EJA417" s="1717"/>
      <c r="EJB417" s="1718"/>
      <c r="EJC417" s="1718"/>
      <c r="EJD417" s="1718"/>
      <c r="EJE417" s="1718"/>
      <c r="EJF417" s="246"/>
      <c r="EJG417" s="246" t="str">
        <f>BS!$D$5</f>
        <v>31 March 2026</v>
      </c>
      <c r="EJH417" s="247" t="str">
        <f>BS!$E$5</f>
        <v>31 March 2025</v>
      </c>
      <c r="EJI417" s="1717"/>
      <c r="EJJ417" s="1718"/>
      <c r="EJK417" s="1718"/>
      <c r="EJL417" s="1718"/>
      <c r="EJM417" s="1718"/>
      <c r="EJN417" s="246"/>
      <c r="EJO417" s="246" t="str">
        <f>BS!$D$5</f>
        <v>31 March 2026</v>
      </c>
      <c r="EJP417" s="247" t="str">
        <f>BS!$E$5</f>
        <v>31 March 2025</v>
      </c>
      <c r="EJQ417" s="1717"/>
      <c r="EJR417" s="1718"/>
      <c r="EJS417" s="1718"/>
      <c r="EJT417" s="1718"/>
      <c r="EJU417" s="1718"/>
      <c r="EJV417" s="246"/>
      <c r="EJW417" s="246" t="str">
        <f>BS!$D$5</f>
        <v>31 March 2026</v>
      </c>
      <c r="EJX417" s="247" t="str">
        <f>BS!$E$5</f>
        <v>31 March 2025</v>
      </c>
      <c r="EJY417" s="1717"/>
      <c r="EJZ417" s="1718"/>
      <c r="EKA417" s="1718"/>
      <c r="EKB417" s="1718"/>
      <c r="EKC417" s="1718"/>
      <c r="EKD417" s="246"/>
      <c r="EKE417" s="246" t="str">
        <f>BS!$D$5</f>
        <v>31 March 2026</v>
      </c>
      <c r="EKF417" s="247" t="str">
        <f>BS!$E$5</f>
        <v>31 March 2025</v>
      </c>
      <c r="EKG417" s="1717"/>
      <c r="EKH417" s="1718"/>
      <c r="EKI417" s="1718"/>
      <c r="EKJ417" s="1718"/>
      <c r="EKK417" s="1718"/>
      <c r="EKL417" s="246"/>
      <c r="EKM417" s="246" t="str">
        <f>BS!$D$5</f>
        <v>31 March 2026</v>
      </c>
      <c r="EKN417" s="247" t="str">
        <f>BS!$E$5</f>
        <v>31 March 2025</v>
      </c>
      <c r="EKO417" s="1717"/>
      <c r="EKP417" s="1718"/>
      <c r="EKQ417" s="1718"/>
      <c r="EKR417" s="1718"/>
      <c r="EKS417" s="1718"/>
      <c r="EKT417" s="246"/>
      <c r="EKU417" s="246" t="str">
        <f>BS!$D$5</f>
        <v>31 March 2026</v>
      </c>
      <c r="EKV417" s="247" t="str">
        <f>BS!$E$5</f>
        <v>31 March 2025</v>
      </c>
      <c r="EKW417" s="1717"/>
      <c r="EKX417" s="1718"/>
      <c r="EKY417" s="1718"/>
      <c r="EKZ417" s="1718"/>
      <c r="ELA417" s="1718"/>
      <c r="ELB417" s="246"/>
      <c r="ELC417" s="246" t="str">
        <f>BS!$D$5</f>
        <v>31 March 2026</v>
      </c>
      <c r="ELD417" s="247" t="str">
        <f>BS!$E$5</f>
        <v>31 March 2025</v>
      </c>
      <c r="ELE417" s="1717"/>
      <c r="ELF417" s="1718"/>
      <c r="ELG417" s="1718"/>
      <c r="ELH417" s="1718"/>
      <c r="ELI417" s="1718"/>
      <c r="ELJ417" s="246"/>
      <c r="ELK417" s="246" t="str">
        <f>BS!$D$5</f>
        <v>31 March 2026</v>
      </c>
      <c r="ELL417" s="247" t="str">
        <f>BS!$E$5</f>
        <v>31 March 2025</v>
      </c>
      <c r="ELM417" s="1717"/>
      <c r="ELN417" s="1718"/>
      <c r="ELO417" s="1718"/>
      <c r="ELP417" s="1718"/>
      <c r="ELQ417" s="1718"/>
      <c r="ELR417" s="246"/>
      <c r="ELS417" s="246" t="str">
        <f>BS!$D$5</f>
        <v>31 March 2026</v>
      </c>
      <c r="ELT417" s="247" t="str">
        <f>BS!$E$5</f>
        <v>31 March 2025</v>
      </c>
      <c r="ELU417" s="1717"/>
      <c r="ELV417" s="1718"/>
      <c r="ELW417" s="1718"/>
      <c r="ELX417" s="1718"/>
      <c r="ELY417" s="1718"/>
      <c r="ELZ417" s="246"/>
      <c r="EMA417" s="246" t="str">
        <f>BS!$D$5</f>
        <v>31 March 2026</v>
      </c>
      <c r="EMB417" s="247" t="str">
        <f>BS!$E$5</f>
        <v>31 March 2025</v>
      </c>
      <c r="EMC417" s="1717"/>
      <c r="EMD417" s="1718"/>
      <c r="EME417" s="1718"/>
      <c r="EMF417" s="1718"/>
      <c r="EMG417" s="1718"/>
      <c r="EMH417" s="246"/>
      <c r="EMI417" s="246" t="str">
        <f>BS!$D$5</f>
        <v>31 March 2026</v>
      </c>
      <c r="EMJ417" s="247" t="str">
        <f>BS!$E$5</f>
        <v>31 March 2025</v>
      </c>
      <c r="EMK417" s="1717"/>
      <c r="EML417" s="1718"/>
      <c r="EMM417" s="1718"/>
      <c r="EMN417" s="1718"/>
      <c r="EMO417" s="1718"/>
      <c r="EMP417" s="246"/>
      <c r="EMQ417" s="246" t="str">
        <f>BS!$D$5</f>
        <v>31 March 2026</v>
      </c>
      <c r="EMR417" s="247" t="str">
        <f>BS!$E$5</f>
        <v>31 March 2025</v>
      </c>
      <c r="EMS417" s="1717"/>
      <c r="EMT417" s="1718"/>
      <c r="EMU417" s="1718"/>
      <c r="EMV417" s="1718"/>
      <c r="EMW417" s="1718"/>
      <c r="EMX417" s="246"/>
      <c r="EMY417" s="246" t="str">
        <f>BS!$D$5</f>
        <v>31 March 2026</v>
      </c>
      <c r="EMZ417" s="247" t="str">
        <f>BS!$E$5</f>
        <v>31 March 2025</v>
      </c>
      <c r="ENA417" s="1717"/>
      <c r="ENB417" s="1718"/>
      <c r="ENC417" s="1718"/>
      <c r="END417" s="1718"/>
      <c r="ENE417" s="1718"/>
      <c r="ENF417" s="246"/>
      <c r="ENG417" s="246" t="str">
        <f>BS!$D$5</f>
        <v>31 March 2026</v>
      </c>
      <c r="ENH417" s="247" t="str">
        <f>BS!$E$5</f>
        <v>31 March 2025</v>
      </c>
      <c r="ENI417" s="1717"/>
      <c r="ENJ417" s="1718"/>
      <c r="ENK417" s="1718"/>
      <c r="ENL417" s="1718"/>
      <c r="ENM417" s="1718"/>
      <c r="ENN417" s="246"/>
      <c r="ENO417" s="246" t="str">
        <f>BS!$D$5</f>
        <v>31 March 2026</v>
      </c>
      <c r="ENP417" s="247" t="str">
        <f>BS!$E$5</f>
        <v>31 March 2025</v>
      </c>
      <c r="ENQ417" s="1717"/>
      <c r="ENR417" s="1718"/>
      <c r="ENS417" s="1718"/>
      <c r="ENT417" s="1718"/>
      <c r="ENU417" s="1718"/>
      <c r="ENV417" s="246"/>
      <c r="ENW417" s="246" t="str">
        <f>BS!$D$5</f>
        <v>31 March 2026</v>
      </c>
      <c r="ENX417" s="247" t="str">
        <f>BS!$E$5</f>
        <v>31 March 2025</v>
      </c>
      <c r="ENY417" s="1717"/>
      <c r="ENZ417" s="1718"/>
      <c r="EOA417" s="1718"/>
      <c r="EOB417" s="1718"/>
      <c r="EOC417" s="1718"/>
      <c r="EOD417" s="246"/>
      <c r="EOE417" s="246" t="str">
        <f>BS!$D$5</f>
        <v>31 March 2026</v>
      </c>
      <c r="EOF417" s="247" t="str">
        <f>BS!$E$5</f>
        <v>31 March 2025</v>
      </c>
      <c r="EOG417" s="1717"/>
      <c r="EOH417" s="1718"/>
      <c r="EOI417" s="1718"/>
      <c r="EOJ417" s="1718"/>
      <c r="EOK417" s="1718"/>
      <c r="EOL417" s="246"/>
      <c r="EOM417" s="246" t="str">
        <f>BS!$D$5</f>
        <v>31 March 2026</v>
      </c>
      <c r="EON417" s="247" t="str">
        <f>BS!$E$5</f>
        <v>31 March 2025</v>
      </c>
      <c r="EOO417" s="1717"/>
      <c r="EOP417" s="1718"/>
      <c r="EOQ417" s="1718"/>
      <c r="EOR417" s="1718"/>
      <c r="EOS417" s="1718"/>
      <c r="EOT417" s="246"/>
      <c r="EOU417" s="246" t="str">
        <f>BS!$D$5</f>
        <v>31 March 2026</v>
      </c>
      <c r="EOV417" s="247" t="str">
        <f>BS!$E$5</f>
        <v>31 March 2025</v>
      </c>
      <c r="EOW417" s="1717"/>
      <c r="EOX417" s="1718"/>
      <c r="EOY417" s="1718"/>
      <c r="EOZ417" s="1718"/>
      <c r="EPA417" s="1718"/>
      <c r="EPB417" s="246"/>
      <c r="EPC417" s="246" t="str">
        <f>BS!$D$5</f>
        <v>31 March 2026</v>
      </c>
      <c r="EPD417" s="247" t="str">
        <f>BS!$E$5</f>
        <v>31 March 2025</v>
      </c>
      <c r="EPE417" s="1717"/>
      <c r="EPF417" s="1718"/>
      <c r="EPG417" s="1718"/>
      <c r="EPH417" s="1718"/>
      <c r="EPI417" s="1718"/>
      <c r="EPJ417" s="246"/>
      <c r="EPK417" s="246" t="str">
        <f>BS!$D$5</f>
        <v>31 March 2026</v>
      </c>
      <c r="EPL417" s="247" t="str">
        <f>BS!$E$5</f>
        <v>31 March 2025</v>
      </c>
      <c r="EPM417" s="1717"/>
      <c r="EPN417" s="1718"/>
      <c r="EPO417" s="1718"/>
      <c r="EPP417" s="1718"/>
      <c r="EPQ417" s="1718"/>
      <c r="EPR417" s="246"/>
      <c r="EPS417" s="246" t="str">
        <f>BS!$D$5</f>
        <v>31 March 2026</v>
      </c>
      <c r="EPT417" s="247" t="str">
        <f>BS!$E$5</f>
        <v>31 March 2025</v>
      </c>
      <c r="EPU417" s="1717"/>
      <c r="EPV417" s="1718"/>
      <c r="EPW417" s="1718"/>
      <c r="EPX417" s="1718"/>
      <c r="EPY417" s="1718"/>
      <c r="EPZ417" s="246"/>
      <c r="EQA417" s="246" t="str">
        <f>BS!$D$5</f>
        <v>31 March 2026</v>
      </c>
      <c r="EQB417" s="247" t="str">
        <f>BS!$E$5</f>
        <v>31 March 2025</v>
      </c>
      <c r="EQC417" s="1717"/>
      <c r="EQD417" s="1718"/>
      <c r="EQE417" s="1718"/>
      <c r="EQF417" s="1718"/>
      <c r="EQG417" s="1718"/>
      <c r="EQH417" s="246"/>
      <c r="EQI417" s="246" t="str">
        <f>BS!$D$5</f>
        <v>31 March 2026</v>
      </c>
      <c r="EQJ417" s="247" t="str">
        <f>BS!$E$5</f>
        <v>31 March 2025</v>
      </c>
      <c r="EQK417" s="1717"/>
      <c r="EQL417" s="1718"/>
      <c r="EQM417" s="1718"/>
      <c r="EQN417" s="1718"/>
      <c r="EQO417" s="1718"/>
      <c r="EQP417" s="246"/>
      <c r="EQQ417" s="246" t="str">
        <f>BS!$D$5</f>
        <v>31 March 2026</v>
      </c>
      <c r="EQR417" s="247" t="str">
        <f>BS!$E$5</f>
        <v>31 March 2025</v>
      </c>
      <c r="EQS417" s="1717"/>
      <c r="EQT417" s="1718"/>
      <c r="EQU417" s="1718"/>
      <c r="EQV417" s="1718"/>
      <c r="EQW417" s="1718"/>
      <c r="EQX417" s="246"/>
      <c r="EQY417" s="246" t="str">
        <f>BS!$D$5</f>
        <v>31 March 2026</v>
      </c>
      <c r="EQZ417" s="247" t="str">
        <f>BS!$E$5</f>
        <v>31 March 2025</v>
      </c>
      <c r="ERA417" s="1717"/>
      <c r="ERB417" s="1718"/>
      <c r="ERC417" s="1718"/>
      <c r="ERD417" s="1718"/>
      <c r="ERE417" s="1718"/>
      <c r="ERF417" s="246"/>
      <c r="ERG417" s="246" t="str">
        <f>BS!$D$5</f>
        <v>31 March 2026</v>
      </c>
      <c r="ERH417" s="247" t="str">
        <f>BS!$E$5</f>
        <v>31 March 2025</v>
      </c>
      <c r="ERI417" s="1717"/>
      <c r="ERJ417" s="1718"/>
      <c r="ERK417" s="1718"/>
      <c r="ERL417" s="1718"/>
      <c r="ERM417" s="1718"/>
      <c r="ERN417" s="246"/>
      <c r="ERO417" s="246" t="str">
        <f>BS!$D$5</f>
        <v>31 March 2026</v>
      </c>
      <c r="ERP417" s="247" t="str">
        <f>BS!$E$5</f>
        <v>31 March 2025</v>
      </c>
      <c r="ERQ417" s="1717"/>
      <c r="ERR417" s="1718"/>
      <c r="ERS417" s="1718"/>
      <c r="ERT417" s="1718"/>
      <c r="ERU417" s="1718"/>
      <c r="ERV417" s="246"/>
      <c r="ERW417" s="246" t="str">
        <f>BS!$D$5</f>
        <v>31 March 2026</v>
      </c>
      <c r="ERX417" s="247" t="str">
        <f>BS!$E$5</f>
        <v>31 March 2025</v>
      </c>
      <c r="ERY417" s="1717"/>
      <c r="ERZ417" s="1718"/>
      <c r="ESA417" s="1718"/>
      <c r="ESB417" s="1718"/>
      <c r="ESC417" s="1718"/>
      <c r="ESD417" s="246"/>
      <c r="ESE417" s="246" t="str">
        <f>BS!$D$5</f>
        <v>31 March 2026</v>
      </c>
      <c r="ESF417" s="247" t="str">
        <f>BS!$E$5</f>
        <v>31 March 2025</v>
      </c>
      <c r="ESG417" s="1717"/>
      <c r="ESH417" s="1718"/>
      <c r="ESI417" s="1718"/>
      <c r="ESJ417" s="1718"/>
      <c r="ESK417" s="1718"/>
      <c r="ESL417" s="246"/>
      <c r="ESM417" s="246" t="str">
        <f>BS!$D$5</f>
        <v>31 March 2026</v>
      </c>
      <c r="ESN417" s="247" t="str">
        <f>BS!$E$5</f>
        <v>31 March 2025</v>
      </c>
      <c r="ESO417" s="1717"/>
      <c r="ESP417" s="1718"/>
      <c r="ESQ417" s="1718"/>
      <c r="ESR417" s="1718"/>
      <c r="ESS417" s="1718"/>
      <c r="EST417" s="246"/>
      <c r="ESU417" s="246" t="str">
        <f>BS!$D$5</f>
        <v>31 March 2026</v>
      </c>
      <c r="ESV417" s="247" t="str">
        <f>BS!$E$5</f>
        <v>31 March 2025</v>
      </c>
      <c r="ESW417" s="1717"/>
      <c r="ESX417" s="1718"/>
      <c r="ESY417" s="1718"/>
      <c r="ESZ417" s="1718"/>
      <c r="ETA417" s="1718"/>
      <c r="ETB417" s="246"/>
      <c r="ETC417" s="246" t="str">
        <f>BS!$D$5</f>
        <v>31 March 2026</v>
      </c>
      <c r="ETD417" s="247" t="str">
        <f>BS!$E$5</f>
        <v>31 March 2025</v>
      </c>
      <c r="ETE417" s="1717"/>
      <c r="ETF417" s="1718"/>
      <c r="ETG417" s="1718"/>
      <c r="ETH417" s="1718"/>
      <c r="ETI417" s="1718"/>
      <c r="ETJ417" s="246"/>
      <c r="ETK417" s="246" t="str">
        <f>BS!$D$5</f>
        <v>31 March 2026</v>
      </c>
      <c r="ETL417" s="247" t="str">
        <f>BS!$E$5</f>
        <v>31 March 2025</v>
      </c>
      <c r="ETM417" s="1717"/>
      <c r="ETN417" s="1718"/>
      <c r="ETO417" s="1718"/>
      <c r="ETP417" s="1718"/>
      <c r="ETQ417" s="1718"/>
      <c r="ETR417" s="246"/>
      <c r="ETS417" s="246" t="str">
        <f>BS!$D$5</f>
        <v>31 March 2026</v>
      </c>
      <c r="ETT417" s="247" t="str">
        <f>BS!$E$5</f>
        <v>31 March 2025</v>
      </c>
      <c r="ETU417" s="1717"/>
      <c r="ETV417" s="1718"/>
      <c r="ETW417" s="1718"/>
      <c r="ETX417" s="1718"/>
      <c r="ETY417" s="1718"/>
      <c r="ETZ417" s="246"/>
      <c r="EUA417" s="246" t="str">
        <f>BS!$D$5</f>
        <v>31 March 2026</v>
      </c>
      <c r="EUB417" s="247" t="str">
        <f>BS!$E$5</f>
        <v>31 March 2025</v>
      </c>
      <c r="EUC417" s="1717"/>
      <c r="EUD417" s="1718"/>
      <c r="EUE417" s="1718"/>
      <c r="EUF417" s="1718"/>
      <c r="EUG417" s="1718"/>
      <c r="EUH417" s="246"/>
      <c r="EUI417" s="246" t="str">
        <f>BS!$D$5</f>
        <v>31 March 2026</v>
      </c>
      <c r="EUJ417" s="247" t="str">
        <f>BS!$E$5</f>
        <v>31 March 2025</v>
      </c>
      <c r="EUK417" s="1717"/>
      <c r="EUL417" s="1718"/>
      <c r="EUM417" s="1718"/>
      <c r="EUN417" s="1718"/>
      <c r="EUO417" s="1718"/>
      <c r="EUP417" s="246"/>
      <c r="EUQ417" s="246" t="str">
        <f>BS!$D$5</f>
        <v>31 March 2026</v>
      </c>
      <c r="EUR417" s="247" t="str">
        <f>BS!$E$5</f>
        <v>31 March 2025</v>
      </c>
      <c r="EUS417" s="1717"/>
      <c r="EUT417" s="1718"/>
      <c r="EUU417" s="1718"/>
      <c r="EUV417" s="1718"/>
      <c r="EUW417" s="1718"/>
      <c r="EUX417" s="246"/>
      <c r="EUY417" s="246" t="str">
        <f>BS!$D$5</f>
        <v>31 March 2026</v>
      </c>
      <c r="EUZ417" s="247" t="str">
        <f>BS!$E$5</f>
        <v>31 March 2025</v>
      </c>
      <c r="EVA417" s="1717"/>
      <c r="EVB417" s="1718"/>
      <c r="EVC417" s="1718"/>
      <c r="EVD417" s="1718"/>
      <c r="EVE417" s="1718"/>
      <c r="EVF417" s="246"/>
      <c r="EVG417" s="246" t="str">
        <f>BS!$D$5</f>
        <v>31 March 2026</v>
      </c>
      <c r="EVH417" s="247" t="str">
        <f>BS!$E$5</f>
        <v>31 March 2025</v>
      </c>
      <c r="EVI417" s="1717"/>
      <c r="EVJ417" s="1718"/>
      <c r="EVK417" s="1718"/>
      <c r="EVL417" s="1718"/>
      <c r="EVM417" s="1718"/>
      <c r="EVN417" s="246"/>
      <c r="EVO417" s="246" t="str">
        <f>BS!$D$5</f>
        <v>31 March 2026</v>
      </c>
      <c r="EVP417" s="247" t="str">
        <f>BS!$E$5</f>
        <v>31 March 2025</v>
      </c>
      <c r="EVQ417" s="1717"/>
      <c r="EVR417" s="1718"/>
      <c r="EVS417" s="1718"/>
      <c r="EVT417" s="1718"/>
      <c r="EVU417" s="1718"/>
      <c r="EVV417" s="246"/>
      <c r="EVW417" s="246" t="str">
        <f>BS!$D$5</f>
        <v>31 March 2026</v>
      </c>
      <c r="EVX417" s="247" t="str">
        <f>BS!$E$5</f>
        <v>31 March 2025</v>
      </c>
      <c r="EVY417" s="1717"/>
      <c r="EVZ417" s="1718"/>
      <c r="EWA417" s="1718"/>
      <c r="EWB417" s="1718"/>
      <c r="EWC417" s="1718"/>
      <c r="EWD417" s="246"/>
      <c r="EWE417" s="246" t="str">
        <f>BS!$D$5</f>
        <v>31 March 2026</v>
      </c>
      <c r="EWF417" s="247" t="str">
        <f>BS!$E$5</f>
        <v>31 March 2025</v>
      </c>
      <c r="EWG417" s="1717"/>
      <c r="EWH417" s="1718"/>
      <c r="EWI417" s="1718"/>
      <c r="EWJ417" s="1718"/>
      <c r="EWK417" s="1718"/>
      <c r="EWL417" s="246"/>
      <c r="EWM417" s="246" t="str">
        <f>BS!$D$5</f>
        <v>31 March 2026</v>
      </c>
      <c r="EWN417" s="247" t="str">
        <f>BS!$E$5</f>
        <v>31 March 2025</v>
      </c>
      <c r="EWO417" s="1717"/>
      <c r="EWP417" s="1718"/>
      <c r="EWQ417" s="1718"/>
      <c r="EWR417" s="1718"/>
      <c r="EWS417" s="1718"/>
      <c r="EWT417" s="246"/>
      <c r="EWU417" s="246" t="str">
        <f>BS!$D$5</f>
        <v>31 March 2026</v>
      </c>
      <c r="EWV417" s="247" t="str">
        <f>BS!$E$5</f>
        <v>31 March 2025</v>
      </c>
      <c r="EWW417" s="1717"/>
      <c r="EWX417" s="1718"/>
      <c r="EWY417" s="1718"/>
      <c r="EWZ417" s="1718"/>
      <c r="EXA417" s="1718"/>
      <c r="EXB417" s="246"/>
      <c r="EXC417" s="246" t="str">
        <f>BS!$D$5</f>
        <v>31 March 2026</v>
      </c>
      <c r="EXD417" s="247" t="str">
        <f>BS!$E$5</f>
        <v>31 March 2025</v>
      </c>
      <c r="EXE417" s="1717"/>
      <c r="EXF417" s="1718"/>
      <c r="EXG417" s="1718"/>
      <c r="EXH417" s="1718"/>
      <c r="EXI417" s="1718"/>
      <c r="EXJ417" s="246"/>
      <c r="EXK417" s="246" t="str">
        <f>BS!$D$5</f>
        <v>31 March 2026</v>
      </c>
      <c r="EXL417" s="247" t="str">
        <f>BS!$E$5</f>
        <v>31 March 2025</v>
      </c>
      <c r="EXM417" s="1717"/>
      <c r="EXN417" s="1718"/>
      <c r="EXO417" s="1718"/>
      <c r="EXP417" s="1718"/>
      <c r="EXQ417" s="1718"/>
      <c r="EXR417" s="246"/>
      <c r="EXS417" s="246" t="str">
        <f>BS!$D$5</f>
        <v>31 March 2026</v>
      </c>
      <c r="EXT417" s="247" t="str">
        <f>BS!$E$5</f>
        <v>31 March 2025</v>
      </c>
      <c r="EXU417" s="1717"/>
      <c r="EXV417" s="1718"/>
      <c r="EXW417" s="1718"/>
      <c r="EXX417" s="1718"/>
      <c r="EXY417" s="1718"/>
      <c r="EXZ417" s="246"/>
      <c r="EYA417" s="246" t="str">
        <f>BS!$D$5</f>
        <v>31 March 2026</v>
      </c>
      <c r="EYB417" s="247" t="str">
        <f>BS!$E$5</f>
        <v>31 March 2025</v>
      </c>
      <c r="EYC417" s="1717"/>
      <c r="EYD417" s="1718"/>
      <c r="EYE417" s="1718"/>
      <c r="EYF417" s="1718"/>
      <c r="EYG417" s="1718"/>
      <c r="EYH417" s="246"/>
      <c r="EYI417" s="246" t="str">
        <f>BS!$D$5</f>
        <v>31 March 2026</v>
      </c>
      <c r="EYJ417" s="247" t="str">
        <f>BS!$E$5</f>
        <v>31 March 2025</v>
      </c>
      <c r="EYK417" s="1717"/>
      <c r="EYL417" s="1718"/>
      <c r="EYM417" s="1718"/>
      <c r="EYN417" s="1718"/>
      <c r="EYO417" s="1718"/>
      <c r="EYP417" s="246"/>
      <c r="EYQ417" s="246" t="str">
        <f>BS!$D$5</f>
        <v>31 March 2026</v>
      </c>
      <c r="EYR417" s="247" t="str">
        <f>BS!$E$5</f>
        <v>31 March 2025</v>
      </c>
      <c r="EYS417" s="1717"/>
      <c r="EYT417" s="1718"/>
      <c r="EYU417" s="1718"/>
      <c r="EYV417" s="1718"/>
      <c r="EYW417" s="1718"/>
      <c r="EYX417" s="246"/>
      <c r="EYY417" s="246" t="str">
        <f>BS!$D$5</f>
        <v>31 March 2026</v>
      </c>
      <c r="EYZ417" s="247" t="str">
        <f>BS!$E$5</f>
        <v>31 March 2025</v>
      </c>
      <c r="EZA417" s="1717"/>
      <c r="EZB417" s="1718"/>
      <c r="EZC417" s="1718"/>
      <c r="EZD417" s="1718"/>
      <c r="EZE417" s="1718"/>
      <c r="EZF417" s="246"/>
      <c r="EZG417" s="246" t="str">
        <f>BS!$D$5</f>
        <v>31 March 2026</v>
      </c>
      <c r="EZH417" s="247" t="str">
        <f>BS!$E$5</f>
        <v>31 March 2025</v>
      </c>
      <c r="EZI417" s="1717"/>
      <c r="EZJ417" s="1718"/>
      <c r="EZK417" s="1718"/>
      <c r="EZL417" s="1718"/>
      <c r="EZM417" s="1718"/>
      <c r="EZN417" s="246"/>
      <c r="EZO417" s="246" t="str">
        <f>BS!$D$5</f>
        <v>31 March 2026</v>
      </c>
      <c r="EZP417" s="247" t="str">
        <f>BS!$E$5</f>
        <v>31 March 2025</v>
      </c>
      <c r="EZQ417" s="1717"/>
      <c r="EZR417" s="1718"/>
      <c r="EZS417" s="1718"/>
      <c r="EZT417" s="1718"/>
      <c r="EZU417" s="1718"/>
      <c r="EZV417" s="246"/>
      <c r="EZW417" s="246" t="str">
        <f>BS!$D$5</f>
        <v>31 March 2026</v>
      </c>
      <c r="EZX417" s="247" t="str">
        <f>BS!$E$5</f>
        <v>31 March 2025</v>
      </c>
      <c r="EZY417" s="1717"/>
      <c r="EZZ417" s="1718"/>
      <c r="FAA417" s="1718"/>
      <c r="FAB417" s="1718"/>
      <c r="FAC417" s="1718"/>
      <c r="FAD417" s="246"/>
      <c r="FAE417" s="246" t="str">
        <f>BS!$D$5</f>
        <v>31 March 2026</v>
      </c>
      <c r="FAF417" s="247" t="str">
        <f>BS!$E$5</f>
        <v>31 March 2025</v>
      </c>
      <c r="FAG417" s="1717"/>
      <c r="FAH417" s="1718"/>
      <c r="FAI417" s="1718"/>
      <c r="FAJ417" s="1718"/>
      <c r="FAK417" s="1718"/>
      <c r="FAL417" s="246"/>
      <c r="FAM417" s="246" t="str">
        <f>BS!$D$5</f>
        <v>31 March 2026</v>
      </c>
      <c r="FAN417" s="247" t="str">
        <f>BS!$E$5</f>
        <v>31 March 2025</v>
      </c>
      <c r="FAO417" s="1717"/>
      <c r="FAP417" s="1718"/>
      <c r="FAQ417" s="1718"/>
      <c r="FAR417" s="1718"/>
      <c r="FAS417" s="1718"/>
      <c r="FAT417" s="246"/>
      <c r="FAU417" s="246" t="str">
        <f>BS!$D$5</f>
        <v>31 March 2026</v>
      </c>
      <c r="FAV417" s="247" t="str">
        <f>BS!$E$5</f>
        <v>31 March 2025</v>
      </c>
      <c r="FAW417" s="1717"/>
      <c r="FAX417" s="1718"/>
      <c r="FAY417" s="1718"/>
      <c r="FAZ417" s="1718"/>
      <c r="FBA417" s="1718"/>
      <c r="FBB417" s="246"/>
      <c r="FBC417" s="246" t="str">
        <f>BS!$D$5</f>
        <v>31 March 2026</v>
      </c>
      <c r="FBD417" s="247" t="str">
        <f>BS!$E$5</f>
        <v>31 March 2025</v>
      </c>
      <c r="FBE417" s="1717"/>
      <c r="FBF417" s="1718"/>
      <c r="FBG417" s="1718"/>
      <c r="FBH417" s="1718"/>
      <c r="FBI417" s="1718"/>
      <c r="FBJ417" s="246"/>
      <c r="FBK417" s="246" t="str">
        <f>BS!$D$5</f>
        <v>31 March 2026</v>
      </c>
      <c r="FBL417" s="247" t="str">
        <f>BS!$E$5</f>
        <v>31 March 2025</v>
      </c>
      <c r="FBM417" s="1717"/>
      <c r="FBN417" s="1718"/>
      <c r="FBO417" s="1718"/>
      <c r="FBP417" s="1718"/>
      <c r="FBQ417" s="1718"/>
      <c r="FBR417" s="246"/>
      <c r="FBS417" s="246" t="str">
        <f>BS!$D$5</f>
        <v>31 March 2026</v>
      </c>
      <c r="FBT417" s="247" t="str">
        <f>BS!$E$5</f>
        <v>31 March 2025</v>
      </c>
      <c r="FBU417" s="1717"/>
      <c r="FBV417" s="1718"/>
      <c r="FBW417" s="1718"/>
      <c r="FBX417" s="1718"/>
      <c r="FBY417" s="1718"/>
      <c r="FBZ417" s="246"/>
      <c r="FCA417" s="246" t="str">
        <f>BS!$D$5</f>
        <v>31 March 2026</v>
      </c>
      <c r="FCB417" s="247" t="str">
        <f>BS!$E$5</f>
        <v>31 March 2025</v>
      </c>
      <c r="FCC417" s="1717"/>
      <c r="FCD417" s="1718"/>
      <c r="FCE417" s="1718"/>
      <c r="FCF417" s="1718"/>
      <c r="FCG417" s="1718"/>
      <c r="FCH417" s="246"/>
      <c r="FCI417" s="246" t="str">
        <f>BS!$D$5</f>
        <v>31 March 2026</v>
      </c>
      <c r="FCJ417" s="247" t="str">
        <f>BS!$E$5</f>
        <v>31 March 2025</v>
      </c>
      <c r="FCK417" s="1717"/>
      <c r="FCL417" s="1718"/>
      <c r="FCM417" s="1718"/>
      <c r="FCN417" s="1718"/>
      <c r="FCO417" s="1718"/>
      <c r="FCP417" s="246"/>
      <c r="FCQ417" s="246" t="str">
        <f>BS!$D$5</f>
        <v>31 March 2026</v>
      </c>
      <c r="FCR417" s="247" t="str">
        <f>BS!$E$5</f>
        <v>31 March 2025</v>
      </c>
      <c r="FCS417" s="1717"/>
      <c r="FCT417" s="1718"/>
      <c r="FCU417" s="1718"/>
      <c r="FCV417" s="1718"/>
      <c r="FCW417" s="1718"/>
      <c r="FCX417" s="246"/>
      <c r="FCY417" s="246" t="str">
        <f>BS!$D$5</f>
        <v>31 March 2026</v>
      </c>
      <c r="FCZ417" s="247" t="str">
        <f>BS!$E$5</f>
        <v>31 March 2025</v>
      </c>
      <c r="FDA417" s="1717"/>
      <c r="FDB417" s="1718"/>
      <c r="FDC417" s="1718"/>
      <c r="FDD417" s="1718"/>
      <c r="FDE417" s="1718"/>
      <c r="FDF417" s="246"/>
      <c r="FDG417" s="246" t="str">
        <f>BS!$D$5</f>
        <v>31 March 2026</v>
      </c>
      <c r="FDH417" s="247" t="str">
        <f>BS!$E$5</f>
        <v>31 March 2025</v>
      </c>
      <c r="FDI417" s="1717"/>
      <c r="FDJ417" s="1718"/>
      <c r="FDK417" s="1718"/>
      <c r="FDL417" s="1718"/>
      <c r="FDM417" s="1718"/>
      <c r="FDN417" s="246"/>
      <c r="FDO417" s="246" t="str">
        <f>BS!$D$5</f>
        <v>31 March 2026</v>
      </c>
      <c r="FDP417" s="247" t="str">
        <f>BS!$E$5</f>
        <v>31 March 2025</v>
      </c>
      <c r="FDQ417" s="1717"/>
      <c r="FDR417" s="1718"/>
      <c r="FDS417" s="1718"/>
      <c r="FDT417" s="1718"/>
      <c r="FDU417" s="1718"/>
      <c r="FDV417" s="246"/>
      <c r="FDW417" s="246" t="str">
        <f>BS!$D$5</f>
        <v>31 March 2026</v>
      </c>
      <c r="FDX417" s="247" t="str">
        <f>BS!$E$5</f>
        <v>31 March 2025</v>
      </c>
      <c r="FDY417" s="1717"/>
      <c r="FDZ417" s="1718"/>
      <c r="FEA417" s="1718"/>
      <c r="FEB417" s="1718"/>
      <c r="FEC417" s="1718"/>
      <c r="FED417" s="246"/>
      <c r="FEE417" s="246" t="str">
        <f>BS!$D$5</f>
        <v>31 March 2026</v>
      </c>
      <c r="FEF417" s="247" t="str">
        <f>BS!$E$5</f>
        <v>31 March 2025</v>
      </c>
      <c r="FEG417" s="1717"/>
      <c r="FEH417" s="1718"/>
      <c r="FEI417" s="1718"/>
      <c r="FEJ417" s="1718"/>
      <c r="FEK417" s="1718"/>
      <c r="FEL417" s="246"/>
      <c r="FEM417" s="246" t="str">
        <f>BS!$D$5</f>
        <v>31 March 2026</v>
      </c>
      <c r="FEN417" s="247" t="str">
        <f>BS!$E$5</f>
        <v>31 March 2025</v>
      </c>
      <c r="FEO417" s="1717"/>
      <c r="FEP417" s="1718"/>
      <c r="FEQ417" s="1718"/>
      <c r="FER417" s="1718"/>
      <c r="FES417" s="1718"/>
      <c r="FET417" s="246"/>
      <c r="FEU417" s="246" t="str">
        <f>BS!$D$5</f>
        <v>31 March 2026</v>
      </c>
      <c r="FEV417" s="247" t="str">
        <f>BS!$E$5</f>
        <v>31 March 2025</v>
      </c>
      <c r="FEW417" s="1717"/>
      <c r="FEX417" s="1718"/>
      <c r="FEY417" s="1718"/>
      <c r="FEZ417" s="1718"/>
      <c r="FFA417" s="1718"/>
      <c r="FFB417" s="246"/>
      <c r="FFC417" s="246" t="str">
        <f>BS!$D$5</f>
        <v>31 March 2026</v>
      </c>
      <c r="FFD417" s="247" t="str">
        <f>BS!$E$5</f>
        <v>31 March 2025</v>
      </c>
      <c r="FFE417" s="1717"/>
      <c r="FFF417" s="1718"/>
      <c r="FFG417" s="1718"/>
      <c r="FFH417" s="1718"/>
      <c r="FFI417" s="1718"/>
      <c r="FFJ417" s="246"/>
      <c r="FFK417" s="246" t="str">
        <f>BS!$D$5</f>
        <v>31 March 2026</v>
      </c>
      <c r="FFL417" s="247" t="str">
        <f>BS!$E$5</f>
        <v>31 March 2025</v>
      </c>
      <c r="FFM417" s="1717"/>
      <c r="FFN417" s="1718"/>
      <c r="FFO417" s="1718"/>
      <c r="FFP417" s="1718"/>
      <c r="FFQ417" s="1718"/>
      <c r="FFR417" s="246"/>
      <c r="FFS417" s="246" t="str">
        <f>BS!$D$5</f>
        <v>31 March 2026</v>
      </c>
      <c r="FFT417" s="247" t="str">
        <f>BS!$E$5</f>
        <v>31 March 2025</v>
      </c>
      <c r="FFU417" s="1717"/>
      <c r="FFV417" s="1718"/>
      <c r="FFW417" s="1718"/>
      <c r="FFX417" s="1718"/>
      <c r="FFY417" s="1718"/>
      <c r="FFZ417" s="246"/>
      <c r="FGA417" s="246" t="str">
        <f>BS!$D$5</f>
        <v>31 March 2026</v>
      </c>
      <c r="FGB417" s="247" t="str">
        <f>BS!$E$5</f>
        <v>31 March 2025</v>
      </c>
      <c r="FGC417" s="1717"/>
      <c r="FGD417" s="1718"/>
      <c r="FGE417" s="1718"/>
      <c r="FGF417" s="1718"/>
      <c r="FGG417" s="1718"/>
      <c r="FGH417" s="246"/>
      <c r="FGI417" s="246" t="str">
        <f>BS!$D$5</f>
        <v>31 March 2026</v>
      </c>
      <c r="FGJ417" s="247" t="str">
        <f>BS!$E$5</f>
        <v>31 March 2025</v>
      </c>
      <c r="FGK417" s="1717"/>
      <c r="FGL417" s="1718"/>
      <c r="FGM417" s="1718"/>
      <c r="FGN417" s="1718"/>
      <c r="FGO417" s="1718"/>
      <c r="FGP417" s="246"/>
      <c r="FGQ417" s="246" t="str">
        <f>BS!$D$5</f>
        <v>31 March 2026</v>
      </c>
      <c r="FGR417" s="247" t="str">
        <f>BS!$E$5</f>
        <v>31 March 2025</v>
      </c>
      <c r="FGS417" s="1717"/>
      <c r="FGT417" s="1718"/>
      <c r="FGU417" s="1718"/>
      <c r="FGV417" s="1718"/>
      <c r="FGW417" s="1718"/>
      <c r="FGX417" s="246"/>
      <c r="FGY417" s="246" t="str">
        <f>BS!$D$5</f>
        <v>31 March 2026</v>
      </c>
      <c r="FGZ417" s="247" t="str">
        <f>BS!$E$5</f>
        <v>31 March 2025</v>
      </c>
      <c r="FHA417" s="1717"/>
      <c r="FHB417" s="1718"/>
      <c r="FHC417" s="1718"/>
      <c r="FHD417" s="1718"/>
      <c r="FHE417" s="1718"/>
      <c r="FHF417" s="246"/>
      <c r="FHG417" s="246" t="str">
        <f>BS!$D$5</f>
        <v>31 March 2026</v>
      </c>
      <c r="FHH417" s="247" t="str">
        <f>BS!$E$5</f>
        <v>31 March 2025</v>
      </c>
      <c r="FHI417" s="1717"/>
      <c r="FHJ417" s="1718"/>
      <c r="FHK417" s="1718"/>
      <c r="FHL417" s="1718"/>
      <c r="FHM417" s="1718"/>
      <c r="FHN417" s="246"/>
      <c r="FHO417" s="246" t="str">
        <f>BS!$D$5</f>
        <v>31 March 2026</v>
      </c>
      <c r="FHP417" s="247" t="str">
        <f>BS!$E$5</f>
        <v>31 March 2025</v>
      </c>
      <c r="FHQ417" s="1717"/>
      <c r="FHR417" s="1718"/>
      <c r="FHS417" s="1718"/>
      <c r="FHT417" s="1718"/>
      <c r="FHU417" s="1718"/>
      <c r="FHV417" s="246"/>
      <c r="FHW417" s="246" t="str">
        <f>BS!$D$5</f>
        <v>31 March 2026</v>
      </c>
      <c r="FHX417" s="247" t="str">
        <f>BS!$E$5</f>
        <v>31 March 2025</v>
      </c>
      <c r="FHY417" s="1717"/>
      <c r="FHZ417" s="1718"/>
      <c r="FIA417" s="1718"/>
      <c r="FIB417" s="1718"/>
      <c r="FIC417" s="1718"/>
      <c r="FID417" s="246"/>
      <c r="FIE417" s="246" t="str">
        <f>BS!$D$5</f>
        <v>31 March 2026</v>
      </c>
      <c r="FIF417" s="247" t="str">
        <f>BS!$E$5</f>
        <v>31 March 2025</v>
      </c>
      <c r="FIG417" s="1717"/>
      <c r="FIH417" s="1718"/>
      <c r="FII417" s="1718"/>
      <c r="FIJ417" s="1718"/>
      <c r="FIK417" s="1718"/>
      <c r="FIL417" s="246"/>
      <c r="FIM417" s="246" t="str">
        <f>BS!$D$5</f>
        <v>31 March 2026</v>
      </c>
      <c r="FIN417" s="247" t="str">
        <f>BS!$E$5</f>
        <v>31 March 2025</v>
      </c>
      <c r="FIO417" s="1717"/>
      <c r="FIP417" s="1718"/>
      <c r="FIQ417" s="1718"/>
      <c r="FIR417" s="1718"/>
      <c r="FIS417" s="1718"/>
      <c r="FIT417" s="246"/>
      <c r="FIU417" s="246" t="str">
        <f>BS!$D$5</f>
        <v>31 March 2026</v>
      </c>
      <c r="FIV417" s="247" t="str">
        <f>BS!$E$5</f>
        <v>31 March 2025</v>
      </c>
      <c r="FIW417" s="1717"/>
      <c r="FIX417" s="1718"/>
      <c r="FIY417" s="1718"/>
      <c r="FIZ417" s="1718"/>
      <c r="FJA417" s="1718"/>
      <c r="FJB417" s="246"/>
      <c r="FJC417" s="246" t="str">
        <f>BS!$D$5</f>
        <v>31 March 2026</v>
      </c>
      <c r="FJD417" s="247" t="str">
        <f>BS!$E$5</f>
        <v>31 March 2025</v>
      </c>
      <c r="FJE417" s="1717"/>
      <c r="FJF417" s="1718"/>
      <c r="FJG417" s="1718"/>
      <c r="FJH417" s="1718"/>
      <c r="FJI417" s="1718"/>
      <c r="FJJ417" s="246"/>
      <c r="FJK417" s="246" t="str">
        <f>BS!$D$5</f>
        <v>31 March 2026</v>
      </c>
      <c r="FJL417" s="247" t="str">
        <f>BS!$E$5</f>
        <v>31 March 2025</v>
      </c>
      <c r="FJM417" s="1717"/>
      <c r="FJN417" s="1718"/>
      <c r="FJO417" s="1718"/>
      <c r="FJP417" s="1718"/>
      <c r="FJQ417" s="1718"/>
      <c r="FJR417" s="246"/>
      <c r="FJS417" s="246" t="str">
        <f>BS!$D$5</f>
        <v>31 March 2026</v>
      </c>
      <c r="FJT417" s="247" t="str">
        <f>BS!$E$5</f>
        <v>31 March 2025</v>
      </c>
      <c r="FJU417" s="1717"/>
      <c r="FJV417" s="1718"/>
      <c r="FJW417" s="1718"/>
      <c r="FJX417" s="1718"/>
      <c r="FJY417" s="1718"/>
      <c r="FJZ417" s="246"/>
      <c r="FKA417" s="246" t="str">
        <f>BS!$D$5</f>
        <v>31 March 2026</v>
      </c>
      <c r="FKB417" s="247" t="str">
        <f>BS!$E$5</f>
        <v>31 March 2025</v>
      </c>
      <c r="FKC417" s="1717"/>
      <c r="FKD417" s="1718"/>
      <c r="FKE417" s="1718"/>
      <c r="FKF417" s="1718"/>
      <c r="FKG417" s="1718"/>
      <c r="FKH417" s="246"/>
      <c r="FKI417" s="246" t="str">
        <f>BS!$D$5</f>
        <v>31 March 2026</v>
      </c>
      <c r="FKJ417" s="247" t="str">
        <f>BS!$E$5</f>
        <v>31 March 2025</v>
      </c>
      <c r="FKK417" s="1717"/>
      <c r="FKL417" s="1718"/>
      <c r="FKM417" s="1718"/>
      <c r="FKN417" s="1718"/>
      <c r="FKO417" s="1718"/>
      <c r="FKP417" s="246"/>
      <c r="FKQ417" s="246" t="str">
        <f>BS!$D$5</f>
        <v>31 March 2026</v>
      </c>
      <c r="FKR417" s="247" t="str">
        <f>BS!$E$5</f>
        <v>31 March 2025</v>
      </c>
      <c r="FKS417" s="1717"/>
      <c r="FKT417" s="1718"/>
      <c r="FKU417" s="1718"/>
      <c r="FKV417" s="1718"/>
      <c r="FKW417" s="1718"/>
      <c r="FKX417" s="246"/>
      <c r="FKY417" s="246" t="str">
        <f>BS!$D$5</f>
        <v>31 March 2026</v>
      </c>
      <c r="FKZ417" s="247" t="str">
        <f>BS!$E$5</f>
        <v>31 March 2025</v>
      </c>
      <c r="FLA417" s="1717"/>
      <c r="FLB417" s="1718"/>
      <c r="FLC417" s="1718"/>
      <c r="FLD417" s="1718"/>
      <c r="FLE417" s="1718"/>
      <c r="FLF417" s="246"/>
      <c r="FLG417" s="246" t="str">
        <f>BS!$D$5</f>
        <v>31 March 2026</v>
      </c>
      <c r="FLH417" s="247" t="str">
        <f>BS!$E$5</f>
        <v>31 March 2025</v>
      </c>
      <c r="FLI417" s="1717"/>
      <c r="FLJ417" s="1718"/>
      <c r="FLK417" s="1718"/>
      <c r="FLL417" s="1718"/>
      <c r="FLM417" s="1718"/>
      <c r="FLN417" s="246"/>
      <c r="FLO417" s="246" t="str">
        <f>BS!$D$5</f>
        <v>31 March 2026</v>
      </c>
      <c r="FLP417" s="247" t="str">
        <f>BS!$E$5</f>
        <v>31 March 2025</v>
      </c>
      <c r="FLQ417" s="1717"/>
      <c r="FLR417" s="1718"/>
      <c r="FLS417" s="1718"/>
      <c r="FLT417" s="1718"/>
      <c r="FLU417" s="1718"/>
      <c r="FLV417" s="246"/>
      <c r="FLW417" s="246" t="str">
        <f>BS!$D$5</f>
        <v>31 March 2026</v>
      </c>
      <c r="FLX417" s="247" t="str">
        <f>BS!$E$5</f>
        <v>31 March 2025</v>
      </c>
      <c r="FLY417" s="1717"/>
      <c r="FLZ417" s="1718"/>
      <c r="FMA417" s="1718"/>
      <c r="FMB417" s="1718"/>
      <c r="FMC417" s="1718"/>
      <c r="FMD417" s="246"/>
      <c r="FME417" s="246" t="str">
        <f>BS!$D$5</f>
        <v>31 March 2026</v>
      </c>
      <c r="FMF417" s="247" t="str">
        <f>BS!$E$5</f>
        <v>31 March 2025</v>
      </c>
      <c r="FMG417" s="1717"/>
      <c r="FMH417" s="1718"/>
      <c r="FMI417" s="1718"/>
      <c r="FMJ417" s="1718"/>
      <c r="FMK417" s="1718"/>
      <c r="FML417" s="246"/>
      <c r="FMM417" s="246" t="str">
        <f>BS!$D$5</f>
        <v>31 March 2026</v>
      </c>
      <c r="FMN417" s="247" t="str">
        <f>BS!$E$5</f>
        <v>31 March 2025</v>
      </c>
      <c r="FMO417" s="1717"/>
      <c r="FMP417" s="1718"/>
      <c r="FMQ417" s="1718"/>
      <c r="FMR417" s="1718"/>
      <c r="FMS417" s="1718"/>
      <c r="FMT417" s="246"/>
      <c r="FMU417" s="246" t="str">
        <f>BS!$D$5</f>
        <v>31 March 2026</v>
      </c>
      <c r="FMV417" s="247" t="str">
        <f>BS!$E$5</f>
        <v>31 March 2025</v>
      </c>
      <c r="FMW417" s="1717"/>
      <c r="FMX417" s="1718"/>
      <c r="FMY417" s="1718"/>
      <c r="FMZ417" s="1718"/>
      <c r="FNA417" s="1718"/>
      <c r="FNB417" s="246"/>
      <c r="FNC417" s="246" t="str">
        <f>BS!$D$5</f>
        <v>31 March 2026</v>
      </c>
      <c r="FND417" s="247" t="str">
        <f>BS!$E$5</f>
        <v>31 March 2025</v>
      </c>
      <c r="FNE417" s="1717"/>
      <c r="FNF417" s="1718"/>
      <c r="FNG417" s="1718"/>
      <c r="FNH417" s="1718"/>
      <c r="FNI417" s="1718"/>
      <c r="FNJ417" s="246"/>
      <c r="FNK417" s="246" t="str">
        <f>BS!$D$5</f>
        <v>31 March 2026</v>
      </c>
      <c r="FNL417" s="247" t="str">
        <f>BS!$E$5</f>
        <v>31 March 2025</v>
      </c>
      <c r="FNM417" s="1717"/>
      <c r="FNN417" s="1718"/>
      <c r="FNO417" s="1718"/>
      <c r="FNP417" s="1718"/>
      <c r="FNQ417" s="1718"/>
      <c r="FNR417" s="246"/>
      <c r="FNS417" s="246" t="str">
        <f>BS!$D$5</f>
        <v>31 March 2026</v>
      </c>
      <c r="FNT417" s="247" t="str">
        <f>BS!$E$5</f>
        <v>31 March 2025</v>
      </c>
      <c r="FNU417" s="1717"/>
      <c r="FNV417" s="1718"/>
      <c r="FNW417" s="1718"/>
      <c r="FNX417" s="1718"/>
      <c r="FNY417" s="1718"/>
      <c r="FNZ417" s="246"/>
      <c r="FOA417" s="246" t="str">
        <f>BS!$D$5</f>
        <v>31 March 2026</v>
      </c>
      <c r="FOB417" s="247" t="str">
        <f>BS!$E$5</f>
        <v>31 March 2025</v>
      </c>
      <c r="FOC417" s="1717"/>
      <c r="FOD417" s="1718"/>
      <c r="FOE417" s="1718"/>
      <c r="FOF417" s="1718"/>
      <c r="FOG417" s="1718"/>
      <c r="FOH417" s="246"/>
      <c r="FOI417" s="246" t="str">
        <f>BS!$D$5</f>
        <v>31 March 2026</v>
      </c>
      <c r="FOJ417" s="247" t="str">
        <f>BS!$E$5</f>
        <v>31 March 2025</v>
      </c>
      <c r="FOK417" s="1717"/>
      <c r="FOL417" s="1718"/>
      <c r="FOM417" s="1718"/>
      <c r="FON417" s="1718"/>
      <c r="FOO417" s="1718"/>
      <c r="FOP417" s="246"/>
      <c r="FOQ417" s="246" t="str">
        <f>BS!$D$5</f>
        <v>31 March 2026</v>
      </c>
      <c r="FOR417" s="247" t="str">
        <f>BS!$E$5</f>
        <v>31 March 2025</v>
      </c>
      <c r="FOS417" s="1717"/>
      <c r="FOT417" s="1718"/>
      <c r="FOU417" s="1718"/>
      <c r="FOV417" s="1718"/>
      <c r="FOW417" s="1718"/>
      <c r="FOX417" s="246"/>
      <c r="FOY417" s="246" t="str">
        <f>BS!$D$5</f>
        <v>31 March 2026</v>
      </c>
      <c r="FOZ417" s="247" t="str">
        <f>BS!$E$5</f>
        <v>31 March 2025</v>
      </c>
      <c r="FPA417" s="1717"/>
      <c r="FPB417" s="1718"/>
      <c r="FPC417" s="1718"/>
      <c r="FPD417" s="1718"/>
      <c r="FPE417" s="1718"/>
      <c r="FPF417" s="246"/>
      <c r="FPG417" s="246" t="str">
        <f>BS!$D$5</f>
        <v>31 March 2026</v>
      </c>
      <c r="FPH417" s="247" t="str">
        <f>BS!$E$5</f>
        <v>31 March 2025</v>
      </c>
      <c r="FPI417" s="1717"/>
      <c r="FPJ417" s="1718"/>
      <c r="FPK417" s="1718"/>
      <c r="FPL417" s="1718"/>
      <c r="FPM417" s="1718"/>
      <c r="FPN417" s="246"/>
      <c r="FPO417" s="246" t="str">
        <f>BS!$D$5</f>
        <v>31 March 2026</v>
      </c>
      <c r="FPP417" s="247" t="str">
        <f>BS!$E$5</f>
        <v>31 March 2025</v>
      </c>
      <c r="FPQ417" s="1717"/>
      <c r="FPR417" s="1718"/>
      <c r="FPS417" s="1718"/>
      <c r="FPT417" s="1718"/>
      <c r="FPU417" s="1718"/>
      <c r="FPV417" s="246"/>
      <c r="FPW417" s="246" t="str">
        <f>BS!$D$5</f>
        <v>31 March 2026</v>
      </c>
      <c r="FPX417" s="247" t="str">
        <f>BS!$E$5</f>
        <v>31 March 2025</v>
      </c>
      <c r="FPY417" s="1717"/>
      <c r="FPZ417" s="1718"/>
      <c r="FQA417" s="1718"/>
      <c r="FQB417" s="1718"/>
      <c r="FQC417" s="1718"/>
      <c r="FQD417" s="246"/>
      <c r="FQE417" s="246" t="str">
        <f>BS!$D$5</f>
        <v>31 March 2026</v>
      </c>
      <c r="FQF417" s="247" t="str">
        <f>BS!$E$5</f>
        <v>31 March 2025</v>
      </c>
      <c r="FQG417" s="1717"/>
      <c r="FQH417" s="1718"/>
      <c r="FQI417" s="1718"/>
      <c r="FQJ417" s="1718"/>
      <c r="FQK417" s="1718"/>
      <c r="FQL417" s="246"/>
      <c r="FQM417" s="246" t="str">
        <f>BS!$D$5</f>
        <v>31 March 2026</v>
      </c>
      <c r="FQN417" s="247" t="str">
        <f>BS!$E$5</f>
        <v>31 March 2025</v>
      </c>
      <c r="FQO417" s="1717"/>
      <c r="FQP417" s="1718"/>
      <c r="FQQ417" s="1718"/>
      <c r="FQR417" s="1718"/>
      <c r="FQS417" s="1718"/>
      <c r="FQT417" s="246"/>
      <c r="FQU417" s="246" t="str">
        <f>BS!$D$5</f>
        <v>31 March 2026</v>
      </c>
      <c r="FQV417" s="247" t="str">
        <f>BS!$E$5</f>
        <v>31 March 2025</v>
      </c>
      <c r="FQW417" s="1717"/>
      <c r="FQX417" s="1718"/>
      <c r="FQY417" s="1718"/>
      <c r="FQZ417" s="1718"/>
      <c r="FRA417" s="1718"/>
      <c r="FRB417" s="246"/>
      <c r="FRC417" s="246" t="str">
        <f>BS!$D$5</f>
        <v>31 March 2026</v>
      </c>
      <c r="FRD417" s="247" t="str">
        <f>BS!$E$5</f>
        <v>31 March 2025</v>
      </c>
      <c r="FRE417" s="1717"/>
      <c r="FRF417" s="1718"/>
      <c r="FRG417" s="1718"/>
      <c r="FRH417" s="1718"/>
      <c r="FRI417" s="1718"/>
      <c r="FRJ417" s="246"/>
      <c r="FRK417" s="246" t="str">
        <f>BS!$D$5</f>
        <v>31 March 2026</v>
      </c>
      <c r="FRL417" s="247" t="str">
        <f>BS!$E$5</f>
        <v>31 March 2025</v>
      </c>
      <c r="FRM417" s="1717"/>
      <c r="FRN417" s="1718"/>
      <c r="FRO417" s="1718"/>
      <c r="FRP417" s="1718"/>
      <c r="FRQ417" s="1718"/>
      <c r="FRR417" s="246"/>
      <c r="FRS417" s="246" t="str">
        <f>BS!$D$5</f>
        <v>31 March 2026</v>
      </c>
      <c r="FRT417" s="247" t="str">
        <f>BS!$E$5</f>
        <v>31 March 2025</v>
      </c>
      <c r="FRU417" s="1717"/>
      <c r="FRV417" s="1718"/>
      <c r="FRW417" s="1718"/>
      <c r="FRX417" s="1718"/>
      <c r="FRY417" s="1718"/>
      <c r="FRZ417" s="246"/>
      <c r="FSA417" s="246" t="str">
        <f>BS!$D$5</f>
        <v>31 March 2026</v>
      </c>
      <c r="FSB417" s="247" t="str">
        <f>BS!$E$5</f>
        <v>31 March 2025</v>
      </c>
      <c r="FSC417" s="1717"/>
      <c r="FSD417" s="1718"/>
      <c r="FSE417" s="1718"/>
      <c r="FSF417" s="1718"/>
      <c r="FSG417" s="1718"/>
      <c r="FSH417" s="246"/>
      <c r="FSI417" s="246" t="str">
        <f>BS!$D$5</f>
        <v>31 March 2026</v>
      </c>
      <c r="FSJ417" s="247" t="str">
        <f>BS!$E$5</f>
        <v>31 March 2025</v>
      </c>
      <c r="FSK417" s="1717"/>
      <c r="FSL417" s="1718"/>
      <c r="FSM417" s="1718"/>
      <c r="FSN417" s="1718"/>
      <c r="FSO417" s="1718"/>
      <c r="FSP417" s="246"/>
      <c r="FSQ417" s="246" t="str">
        <f>BS!$D$5</f>
        <v>31 March 2026</v>
      </c>
      <c r="FSR417" s="247" t="str">
        <f>BS!$E$5</f>
        <v>31 March 2025</v>
      </c>
      <c r="FSS417" s="1717"/>
      <c r="FST417" s="1718"/>
      <c r="FSU417" s="1718"/>
      <c r="FSV417" s="1718"/>
      <c r="FSW417" s="1718"/>
      <c r="FSX417" s="246"/>
      <c r="FSY417" s="246" t="str">
        <f>BS!$D$5</f>
        <v>31 March 2026</v>
      </c>
      <c r="FSZ417" s="247" t="str">
        <f>BS!$E$5</f>
        <v>31 March 2025</v>
      </c>
      <c r="FTA417" s="1717"/>
      <c r="FTB417" s="1718"/>
      <c r="FTC417" s="1718"/>
      <c r="FTD417" s="1718"/>
      <c r="FTE417" s="1718"/>
      <c r="FTF417" s="246"/>
      <c r="FTG417" s="246" t="str">
        <f>BS!$D$5</f>
        <v>31 March 2026</v>
      </c>
      <c r="FTH417" s="247" t="str">
        <f>BS!$E$5</f>
        <v>31 March 2025</v>
      </c>
      <c r="FTI417" s="1717"/>
      <c r="FTJ417" s="1718"/>
      <c r="FTK417" s="1718"/>
      <c r="FTL417" s="1718"/>
      <c r="FTM417" s="1718"/>
      <c r="FTN417" s="246"/>
      <c r="FTO417" s="246" t="str">
        <f>BS!$D$5</f>
        <v>31 March 2026</v>
      </c>
      <c r="FTP417" s="247" t="str">
        <f>BS!$E$5</f>
        <v>31 March 2025</v>
      </c>
      <c r="FTQ417" s="1717"/>
      <c r="FTR417" s="1718"/>
      <c r="FTS417" s="1718"/>
      <c r="FTT417" s="1718"/>
      <c r="FTU417" s="1718"/>
      <c r="FTV417" s="246"/>
      <c r="FTW417" s="246" t="str">
        <f>BS!$D$5</f>
        <v>31 March 2026</v>
      </c>
      <c r="FTX417" s="247" t="str">
        <f>BS!$E$5</f>
        <v>31 March 2025</v>
      </c>
      <c r="FTY417" s="1717"/>
      <c r="FTZ417" s="1718"/>
      <c r="FUA417" s="1718"/>
      <c r="FUB417" s="1718"/>
      <c r="FUC417" s="1718"/>
      <c r="FUD417" s="246"/>
      <c r="FUE417" s="246" t="str">
        <f>BS!$D$5</f>
        <v>31 March 2026</v>
      </c>
      <c r="FUF417" s="247" t="str">
        <f>BS!$E$5</f>
        <v>31 March 2025</v>
      </c>
      <c r="FUG417" s="1717"/>
      <c r="FUH417" s="1718"/>
      <c r="FUI417" s="1718"/>
      <c r="FUJ417" s="1718"/>
      <c r="FUK417" s="1718"/>
      <c r="FUL417" s="246"/>
      <c r="FUM417" s="246" t="str">
        <f>BS!$D$5</f>
        <v>31 March 2026</v>
      </c>
      <c r="FUN417" s="247" t="str">
        <f>BS!$E$5</f>
        <v>31 March 2025</v>
      </c>
      <c r="FUO417" s="1717"/>
      <c r="FUP417" s="1718"/>
      <c r="FUQ417" s="1718"/>
      <c r="FUR417" s="1718"/>
      <c r="FUS417" s="1718"/>
      <c r="FUT417" s="246"/>
      <c r="FUU417" s="246" t="str">
        <f>BS!$D$5</f>
        <v>31 March 2026</v>
      </c>
      <c r="FUV417" s="247" t="str">
        <f>BS!$E$5</f>
        <v>31 March 2025</v>
      </c>
      <c r="FUW417" s="1717"/>
      <c r="FUX417" s="1718"/>
      <c r="FUY417" s="1718"/>
      <c r="FUZ417" s="1718"/>
      <c r="FVA417" s="1718"/>
      <c r="FVB417" s="246"/>
      <c r="FVC417" s="246" t="str">
        <f>BS!$D$5</f>
        <v>31 March 2026</v>
      </c>
      <c r="FVD417" s="247" t="str">
        <f>BS!$E$5</f>
        <v>31 March 2025</v>
      </c>
      <c r="FVE417" s="1717"/>
      <c r="FVF417" s="1718"/>
      <c r="FVG417" s="1718"/>
      <c r="FVH417" s="1718"/>
      <c r="FVI417" s="1718"/>
      <c r="FVJ417" s="246"/>
      <c r="FVK417" s="246" t="str">
        <f>BS!$D$5</f>
        <v>31 March 2026</v>
      </c>
      <c r="FVL417" s="247" t="str">
        <f>BS!$E$5</f>
        <v>31 March 2025</v>
      </c>
      <c r="FVM417" s="1717"/>
      <c r="FVN417" s="1718"/>
      <c r="FVO417" s="1718"/>
      <c r="FVP417" s="1718"/>
      <c r="FVQ417" s="1718"/>
      <c r="FVR417" s="246"/>
      <c r="FVS417" s="246" t="str">
        <f>BS!$D$5</f>
        <v>31 March 2026</v>
      </c>
      <c r="FVT417" s="247" t="str">
        <f>BS!$E$5</f>
        <v>31 March 2025</v>
      </c>
      <c r="FVU417" s="1717"/>
      <c r="FVV417" s="1718"/>
      <c r="FVW417" s="1718"/>
      <c r="FVX417" s="1718"/>
      <c r="FVY417" s="1718"/>
      <c r="FVZ417" s="246"/>
      <c r="FWA417" s="246" t="str">
        <f>BS!$D$5</f>
        <v>31 March 2026</v>
      </c>
      <c r="FWB417" s="247" t="str">
        <f>BS!$E$5</f>
        <v>31 March 2025</v>
      </c>
      <c r="FWC417" s="1717"/>
      <c r="FWD417" s="1718"/>
      <c r="FWE417" s="1718"/>
      <c r="FWF417" s="1718"/>
      <c r="FWG417" s="1718"/>
      <c r="FWH417" s="246"/>
      <c r="FWI417" s="246" t="str">
        <f>BS!$D$5</f>
        <v>31 March 2026</v>
      </c>
      <c r="FWJ417" s="247" t="str">
        <f>BS!$E$5</f>
        <v>31 March 2025</v>
      </c>
      <c r="FWK417" s="1717"/>
      <c r="FWL417" s="1718"/>
      <c r="FWM417" s="1718"/>
      <c r="FWN417" s="1718"/>
      <c r="FWO417" s="1718"/>
      <c r="FWP417" s="246"/>
      <c r="FWQ417" s="246" t="str">
        <f>BS!$D$5</f>
        <v>31 March 2026</v>
      </c>
      <c r="FWR417" s="247" t="str">
        <f>BS!$E$5</f>
        <v>31 March 2025</v>
      </c>
      <c r="FWS417" s="1717"/>
      <c r="FWT417" s="1718"/>
      <c r="FWU417" s="1718"/>
      <c r="FWV417" s="1718"/>
      <c r="FWW417" s="1718"/>
      <c r="FWX417" s="246"/>
      <c r="FWY417" s="246" t="str">
        <f>BS!$D$5</f>
        <v>31 March 2026</v>
      </c>
      <c r="FWZ417" s="247" t="str">
        <f>BS!$E$5</f>
        <v>31 March 2025</v>
      </c>
      <c r="FXA417" s="1717"/>
      <c r="FXB417" s="1718"/>
      <c r="FXC417" s="1718"/>
      <c r="FXD417" s="1718"/>
      <c r="FXE417" s="1718"/>
      <c r="FXF417" s="246"/>
      <c r="FXG417" s="246" t="str">
        <f>BS!$D$5</f>
        <v>31 March 2026</v>
      </c>
      <c r="FXH417" s="247" t="str">
        <f>BS!$E$5</f>
        <v>31 March 2025</v>
      </c>
      <c r="FXI417" s="1717"/>
      <c r="FXJ417" s="1718"/>
      <c r="FXK417" s="1718"/>
      <c r="FXL417" s="1718"/>
      <c r="FXM417" s="1718"/>
      <c r="FXN417" s="246"/>
      <c r="FXO417" s="246" t="str">
        <f>BS!$D$5</f>
        <v>31 March 2026</v>
      </c>
      <c r="FXP417" s="247" t="str">
        <f>BS!$E$5</f>
        <v>31 March 2025</v>
      </c>
      <c r="FXQ417" s="1717"/>
      <c r="FXR417" s="1718"/>
      <c r="FXS417" s="1718"/>
      <c r="FXT417" s="1718"/>
      <c r="FXU417" s="1718"/>
      <c r="FXV417" s="246"/>
      <c r="FXW417" s="246" t="str">
        <f>BS!$D$5</f>
        <v>31 March 2026</v>
      </c>
      <c r="FXX417" s="247" t="str">
        <f>BS!$E$5</f>
        <v>31 March 2025</v>
      </c>
      <c r="FXY417" s="1717"/>
      <c r="FXZ417" s="1718"/>
      <c r="FYA417" s="1718"/>
      <c r="FYB417" s="1718"/>
      <c r="FYC417" s="1718"/>
      <c r="FYD417" s="246"/>
      <c r="FYE417" s="246" t="str">
        <f>BS!$D$5</f>
        <v>31 March 2026</v>
      </c>
      <c r="FYF417" s="247" t="str">
        <f>BS!$E$5</f>
        <v>31 March 2025</v>
      </c>
      <c r="FYG417" s="1717"/>
      <c r="FYH417" s="1718"/>
      <c r="FYI417" s="1718"/>
      <c r="FYJ417" s="1718"/>
      <c r="FYK417" s="1718"/>
      <c r="FYL417" s="246"/>
      <c r="FYM417" s="246" t="str">
        <f>BS!$D$5</f>
        <v>31 March 2026</v>
      </c>
      <c r="FYN417" s="247" t="str">
        <f>BS!$E$5</f>
        <v>31 March 2025</v>
      </c>
      <c r="FYO417" s="1717"/>
      <c r="FYP417" s="1718"/>
      <c r="FYQ417" s="1718"/>
      <c r="FYR417" s="1718"/>
      <c r="FYS417" s="1718"/>
      <c r="FYT417" s="246"/>
      <c r="FYU417" s="246" t="str">
        <f>BS!$D$5</f>
        <v>31 March 2026</v>
      </c>
      <c r="FYV417" s="247" t="str">
        <f>BS!$E$5</f>
        <v>31 March 2025</v>
      </c>
      <c r="FYW417" s="1717"/>
      <c r="FYX417" s="1718"/>
      <c r="FYY417" s="1718"/>
      <c r="FYZ417" s="1718"/>
      <c r="FZA417" s="1718"/>
      <c r="FZB417" s="246"/>
      <c r="FZC417" s="246" t="str">
        <f>BS!$D$5</f>
        <v>31 March 2026</v>
      </c>
      <c r="FZD417" s="247" t="str">
        <f>BS!$E$5</f>
        <v>31 March 2025</v>
      </c>
      <c r="FZE417" s="1717"/>
      <c r="FZF417" s="1718"/>
      <c r="FZG417" s="1718"/>
      <c r="FZH417" s="1718"/>
      <c r="FZI417" s="1718"/>
      <c r="FZJ417" s="246"/>
      <c r="FZK417" s="246" t="str">
        <f>BS!$D$5</f>
        <v>31 March 2026</v>
      </c>
      <c r="FZL417" s="247" t="str">
        <f>BS!$E$5</f>
        <v>31 March 2025</v>
      </c>
      <c r="FZM417" s="1717"/>
      <c r="FZN417" s="1718"/>
      <c r="FZO417" s="1718"/>
      <c r="FZP417" s="1718"/>
      <c r="FZQ417" s="1718"/>
      <c r="FZR417" s="246"/>
      <c r="FZS417" s="246" t="str">
        <f>BS!$D$5</f>
        <v>31 March 2026</v>
      </c>
      <c r="FZT417" s="247" t="str">
        <f>BS!$E$5</f>
        <v>31 March 2025</v>
      </c>
      <c r="FZU417" s="1717"/>
      <c r="FZV417" s="1718"/>
      <c r="FZW417" s="1718"/>
      <c r="FZX417" s="1718"/>
      <c r="FZY417" s="1718"/>
      <c r="FZZ417" s="246"/>
      <c r="GAA417" s="246" t="str">
        <f>BS!$D$5</f>
        <v>31 March 2026</v>
      </c>
      <c r="GAB417" s="247" t="str">
        <f>BS!$E$5</f>
        <v>31 March 2025</v>
      </c>
      <c r="GAC417" s="1717"/>
      <c r="GAD417" s="1718"/>
      <c r="GAE417" s="1718"/>
      <c r="GAF417" s="1718"/>
      <c r="GAG417" s="1718"/>
      <c r="GAH417" s="246"/>
      <c r="GAI417" s="246" t="str">
        <f>BS!$D$5</f>
        <v>31 March 2026</v>
      </c>
      <c r="GAJ417" s="247" t="str">
        <f>BS!$E$5</f>
        <v>31 March 2025</v>
      </c>
      <c r="GAK417" s="1717"/>
      <c r="GAL417" s="1718"/>
      <c r="GAM417" s="1718"/>
      <c r="GAN417" s="1718"/>
      <c r="GAO417" s="1718"/>
      <c r="GAP417" s="246"/>
      <c r="GAQ417" s="246" t="str">
        <f>BS!$D$5</f>
        <v>31 March 2026</v>
      </c>
      <c r="GAR417" s="247" t="str">
        <f>BS!$E$5</f>
        <v>31 March 2025</v>
      </c>
      <c r="GAS417" s="1717"/>
      <c r="GAT417" s="1718"/>
      <c r="GAU417" s="1718"/>
      <c r="GAV417" s="1718"/>
      <c r="GAW417" s="1718"/>
      <c r="GAX417" s="246"/>
      <c r="GAY417" s="246" t="str">
        <f>BS!$D$5</f>
        <v>31 March 2026</v>
      </c>
      <c r="GAZ417" s="247" t="str">
        <f>BS!$E$5</f>
        <v>31 March 2025</v>
      </c>
      <c r="GBA417" s="1717"/>
      <c r="GBB417" s="1718"/>
      <c r="GBC417" s="1718"/>
      <c r="GBD417" s="1718"/>
      <c r="GBE417" s="1718"/>
      <c r="GBF417" s="246"/>
      <c r="GBG417" s="246" t="str">
        <f>BS!$D$5</f>
        <v>31 March 2026</v>
      </c>
      <c r="GBH417" s="247" t="str">
        <f>BS!$E$5</f>
        <v>31 March 2025</v>
      </c>
      <c r="GBI417" s="1717"/>
      <c r="GBJ417" s="1718"/>
      <c r="GBK417" s="1718"/>
      <c r="GBL417" s="1718"/>
      <c r="GBM417" s="1718"/>
      <c r="GBN417" s="246"/>
      <c r="GBO417" s="246" t="str">
        <f>BS!$D$5</f>
        <v>31 March 2026</v>
      </c>
      <c r="GBP417" s="247" t="str">
        <f>BS!$E$5</f>
        <v>31 March 2025</v>
      </c>
      <c r="GBQ417" s="1717"/>
      <c r="GBR417" s="1718"/>
      <c r="GBS417" s="1718"/>
      <c r="GBT417" s="1718"/>
      <c r="GBU417" s="1718"/>
      <c r="GBV417" s="246"/>
      <c r="GBW417" s="246" t="str">
        <f>BS!$D$5</f>
        <v>31 March 2026</v>
      </c>
      <c r="GBX417" s="247" t="str">
        <f>BS!$E$5</f>
        <v>31 March 2025</v>
      </c>
      <c r="GBY417" s="1717"/>
      <c r="GBZ417" s="1718"/>
      <c r="GCA417" s="1718"/>
      <c r="GCB417" s="1718"/>
      <c r="GCC417" s="1718"/>
      <c r="GCD417" s="246"/>
      <c r="GCE417" s="246" t="str">
        <f>BS!$D$5</f>
        <v>31 March 2026</v>
      </c>
      <c r="GCF417" s="247" t="str">
        <f>BS!$E$5</f>
        <v>31 March 2025</v>
      </c>
      <c r="GCG417" s="1717"/>
      <c r="GCH417" s="1718"/>
      <c r="GCI417" s="1718"/>
      <c r="GCJ417" s="1718"/>
      <c r="GCK417" s="1718"/>
      <c r="GCL417" s="246"/>
      <c r="GCM417" s="246" t="str">
        <f>BS!$D$5</f>
        <v>31 March 2026</v>
      </c>
      <c r="GCN417" s="247" t="str">
        <f>BS!$E$5</f>
        <v>31 March 2025</v>
      </c>
      <c r="GCO417" s="1717"/>
      <c r="GCP417" s="1718"/>
      <c r="GCQ417" s="1718"/>
      <c r="GCR417" s="1718"/>
      <c r="GCS417" s="1718"/>
      <c r="GCT417" s="246"/>
      <c r="GCU417" s="246" t="str">
        <f>BS!$D$5</f>
        <v>31 March 2026</v>
      </c>
      <c r="GCV417" s="247" t="str">
        <f>BS!$E$5</f>
        <v>31 March 2025</v>
      </c>
      <c r="GCW417" s="1717"/>
      <c r="GCX417" s="1718"/>
      <c r="GCY417" s="1718"/>
      <c r="GCZ417" s="1718"/>
      <c r="GDA417" s="1718"/>
      <c r="GDB417" s="246"/>
      <c r="GDC417" s="246" t="str">
        <f>BS!$D$5</f>
        <v>31 March 2026</v>
      </c>
      <c r="GDD417" s="247" t="str">
        <f>BS!$E$5</f>
        <v>31 March 2025</v>
      </c>
      <c r="GDE417" s="1717"/>
      <c r="GDF417" s="1718"/>
      <c r="GDG417" s="1718"/>
      <c r="GDH417" s="1718"/>
      <c r="GDI417" s="1718"/>
      <c r="GDJ417" s="246"/>
      <c r="GDK417" s="246" t="str">
        <f>BS!$D$5</f>
        <v>31 March 2026</v>
      </c>
      <c r="GDL417" s="247" t="str">
        <f>BS!$E$5</f>
        <v>31 March 2025</v>
      </c>
      <c r="GDM417" s="1717"/>
      <c r="GDN417" s="1718"/>
      <c r="GDO417" s="1718"/>
      <c r="GDP417" s="1718"/>
      <c r="GDQ417" s="1718"/>
      <c r="GDR417" s="246"/>
      <c r="GDS417" s="246" t="str">
        <f>BS!$D$5</f>
        <v>31 March 2026</v>
      </c>
      <c r="GDT417" s="247" t="str">
        <f>BS!$E$5</f>
        <v>31 March 2025</v>
      </c>
      <c r="GDU417" s="1717"/>
      <c r="GDV417" s="1718"/>
      <c r="GDW417" s="1718"/>
      <c r="GDX417" s="1718"/>
      <c r="GDY417" s="1718"/>
      <c r="GDZ417" s="246"/>
      <c r="GEA417" s="246" t="str">
        <f>BS!$D$5</f>
        <v>31 March 2026</v>
      </c>
      <c r="GEB417" s="247" t="str">
        <f>BS!$E$5</f>
        <v>31 March 2025</v>
      </c>
      <c r="GEC417" s="1717"/>
      <c r="GED417" s="1718"/>
      <c r="GEE417" s="1718"/>
      <c r="GEF417" s="1718"/>
      <c r="GEG417" s="1718"/>
      <c r="GEH417" s="246"/>
      <c r="GEI417" s="246" t="str">
        <f>BS!$D$5</f>
        <v>31 March 2026</v>
      </c>
      <c r="GEJ417" s="247" t="str">
        <f>BS!$E$5</f>
        <v>31 March 2025</v>
      </c>
      <c r="GEK417" s="1717"/>
      <c r="GEL417" s="1718"/>
      <c r="GEM417" s="1718"/>
      <c r="GEN417" s="1718"/>
      <c r="GEO417" s="1718"/>
      <c r="GEP417" s="246"/>
      <c r="GEQ417" s="246" t="str">
        <f>BS!$D$5</f>
        <v>31 March 2026</v>
      </c>
      <c r="GER417" s="247" t="str">
        <f>BS!$E$5</f>
        <v>31 March 2025</v>
      </c>
      <c r="GES417" s="1717"/>
      <c r="GET417" s="1718"/>
      <c r="GEU417" s="1718"/>
      <c r="GEV417" s="1718"/>
      <c r="GEW417" s="1718"/>
      <c r="GEX417" s="246"/>
      <c r="GEY417" s="246" t="str">
        <f>BS!$D$5</f>
        <v>31 March 2026</v>
      </c>
      <c r="GEZ417" s="247" t="str">
        <f>BS!$E$5</f>
        <v>31 March 2025</v>
      </c>
      <c r="GFA417" s="1717"/>
      <c r="GFB417" s="1718"/>
      <c r="GFC417" s="1718"/>
      <c r="GFD417" s="1718"/>
      <c r="GFE417" s="1718"/>
      <c r="GFF417" s="246"/>
      <c r="GFG417" s="246" t="str">
        <f>BS!$D$5</f>
        <v>31 March 2026</v>
      </c>
      <c r="GFH417" s="247" t="str">
        <f>BS!$E$5</f>
        <v>31 March 2025</v>
      </c>
      <c r="GFI417" s="1717"/>
      <c r="GFJ417" s="1718"/>
      <c r="GFK417" s="1718"/>
      <c r="GFL417" s="1718"/>
      <c r="GFM417" s="1718"/>
      <c r="GFN417" s="246"/>
      <c r="GFO417" s="246" t="str">
        <f>BS!$D$5</f>
        <v>31 March 2026</v>
      </c>
      <c r="GFP417" s="247" t="str">
        <f>BS!$E$5</f>
        <v>31 March 2025</v>
      </c>
      <c r="GFQ417" s="1717"/>
      <c r="GFR417" s="1718"/>
      <c r="GFS417" s="1718"/>
      <c r="GFT417" s="1718"/>
      <c r="GFU417" s="1718"/>
      <c r="GFV417" s="246"/>
      <c r="GFW417" s="246" t="str">
        <f>BS!$D$5</f>
        <v>31 March 2026</v>
      </c>
      <c r="GFX417" s="247" t="str">
        <f>BS!$E$5</f>
        <v>31 March 2025</v>
      </c>
      <c r="GFY417" s="1717"/>
      <c r="GFZ417" s="1718"/>
      <c r="GGA417" s="1718"/>
      <c r="GGB417" s="1718"/>
      <c r="GGC417" s="1718"/>
      <c r="GGD417" s="246"/>
      <c r="GGE417" s="246" t="str">
        <f>BS!$D$5</f>
        <v>31 March 2026</v>
      </c>
      <c r="GGF417" s="247" t="str">
        <f>BS!$E$5</f>
        <v>31 March 2025</v>
      </c>
      <c r="GGG417" s="1717"/>
      <c r="GGH417" s="1718"/>
      <c r="GGI417" s="1718"/>
      <c r="GGJ417" s="1718"/>
      <c r="GGK417" s="1718"/>
      <c r="GGL417" s="246"/>
      <c r="GGM417" s="246" t="str">
        <f>BS!$D$5</f>
        <v>31 March 2026</v>
      </c>
      <c r="GGN417" s="247" t="str">
        <f>BS!$E$5</f>
        <v>31 March 2025</v>
      </c>
      <c r="GGO417" s="1717"/>
      <c r="GGP417" s="1718"/>
      <c r="GGQ417" s="1718"/>
      <c r="GGR417" s="1718"/>
      <c r="GGS417" s="1718"/>
      <c r="GGT417" s="246"/>
      <c r="GGU417" s="246" t="str">
        <f>BS!$D$5</f>
        <v>31 March 2026</v>
      </c>
      <c r="GGV417" s="247" t="str">
        <f>BS!$E$5</f>
        <v>31 March 2025</v>
      </c>
      <c r="GGW417" s="1717"/>
      <c r="GGX417" s="1718"/>
      <c r="GGY417" s="1718"/>
      <c r="GGZ417" s="1718"/>
      <c r="GHA417" s="1718"/>
      <c r="GHB417" s="246"/>
      <c r="GHC417" s="246" t="str">
        <f>BS!$D$5</f>
        <v>31 March 2026</v>
      </c>
      <c r="GHD417" s="247" t="str">
        <f>BS!$E$5</f>
        <v>31 March 2025</v>
      </c>
      <c r="GHE417" s="1717"/>
      <c r="GHF417" s="1718"/>
      <c r="GHG417" s="1718"/>
      <c r="GHH417" s="1718"/>
      <c r="GHI417" s="1718"/>
      <c r="GHJ417" s="246"/>
      <c r="GHK417" s="246" t="str">
        <f>BS!$D$5</f>
        <v>31 March 2026</v>
      </c>
      <c r="GHL417" s="247" t="str">
        <f>BS!$E$5</f>
        <v>31 March 2025</v>
      </c>
      <c r="GHM417" s="1717"/>
      <c r="GHN417" s="1718"/>
      <c r="GHO417" s="1718"/>
      <c r="GHP417" s="1718"/>
      <c r="GHQ417" s="1718"/>
      <c r="GHR417" s="246"/>
      <c r="GHS417" s="246" t="str">
        <f>BS!$D$5</f>
        <v>31 March 2026</v>
      </c>
      <c r="GHT417" s="247" t="str">
        <f>BS!$E$5</f>
        <v>31 March 2025</v>
      </c>
      <c r="GHU417" s="1717"/>
      <c r="GHV417" s="1718"/>
      <c r="GHW417" s="1718"/>
      <c r="GHX417" s="1718"/>
      <c r="GHY417" s="1718"/>
      <c r="GHZ417" s="246"/>
      <c r="GIA417" s="246" t="str">
        <f>BS!$D$5</f>
        <v>31 March 2026</v>
      </c>
      <c r="GIB417" s="247" t="str">
        <f>BS!$E$5</f>
        <v>31 March 2025</v>
      </c>
      <c r="GIC417" s="1717"/>
      <c r="GID417" s="1718"/>
      <c r="GIE417" s="1718"/>
      <c r="GIF417" s="1718"/>
      <c r="GIG417" s="1718"/>
      <c r="GIH417" s="246"/>
      <c r="GII417" s="246" t="str">
        <f>BS!$D$5</f>
        <v>31 March 2026</v>
      </c>
      <c r="GIJ417" s="247" t="str">
        <f>BS!$E$5</f>
        <v>31 March 2025</v>
      </c>
      <c r="GIK417" s="1717"/>
      <c r="GIL417" s="1718"/>
      <c r="GIM417" s="1718"/>
      <c r="GIN417" s="1718"/>
      <c r="GIO417" s="1718"/>
      <c r="GIP417" s="246"/>
      <c r="GIQ417" s="246" t="str">
        <f>BS!$D$5</f>
        <v>31 March 2026</v>
      </c>
      <c r="GIR417" s="247" t="str">
        <f>BS!$E$5</f>
        <v>31 March 2025</v>
      </c>
      <c r="GIS417" s="1717"/>
      <c r="GIT417" s="1718"/>
      <c r="GIU417" s="1718"/>
      <c r="GIV417" s="1718"/>
      <c r="GIW417" s="1718"/>
      <c r="GIX417" s="246"/>
      <c r="GIY417" s="246" t="str">
        <f>BS!$D$5</f>
        <v>31 March 2026</v>
      </c>
      <c r="GIZ417" s="247" t="str">
        <f>BS!$E$5</f>
        <v>31 March 2025</v>
      </c>
      <c r="GJA417" s="1717"/>
      <c r="GJB417" s="1718"/>
      <c r="GJC417" s="1718"/>
      <c r="GJD417" s="1718"/>
      <c r="GJE417" s="1718"/>
      <c r="GJF417" s="246"/>
      <c r="GJG417" s="246" t="str">
        <f>BS!$D$5</f>
        <v>31 March 2026</v>
      </c>
      <c r="GJH417" s="247" t="str">
        <f>BS!$E$5</f>
        <v>31 March 2025</v>
      </c>
      <c r="GJI417" s="1717"/>
      <c r="GJJ417" s="1718"/>
      <c r="GJK417" s="1718"/>
      <c r="GJL417" s="1718"/>
      <c r="GJM417" s="1718"/>
      <c r="GJN417" s="246"/>
      <c r="GJO417" s="246" t="str">
        <f>BS!$D$5</f>
        <v>31 March 2026</v>
      </c>
      <c r="GJP417" s="247" t="str">
        <f>BS!$E$5</f>
        <v>31 March 2025</v>
      </c>
      <c r="GJQ417" s="1717"/>
      <c r="GJR417" s="1718"/>
      <c r="GJS417" s="1718"/>
      <c r="GJT417" s="1718"/>
      <c r="GJU417" s="1718"/>
      <c r="GJV417" s="246"/>
      <c r="GJW417" s="246" t="str">
        <f>BS!$D$5</f>
        <v>31 March 2026</v>
      </c>
      <c r="GJX417" s="247" t="str">
        <f>BS!$E$5</f>
        <v>31 March 2025</v>
      </c>
      <c r="GJY417" s="1717"/>
      <c r="GJZ417" s="1718"/>
      <c r="GKA417" s="1718"/>
      <c r="GKB417" s="1718"/>
      <c r="GKC417" s="1718"/>
      <c r="GKD417" s="246"/>
      <c r="GKE417" s="246" t="str">
        <f>BS!$D$5</f>
        <v>31 March 2026</v>
      </c>
      <c r="GKF417" s="247" t="str">
        <f>BS!$E$5</f>
        <v>31 March 2025</v>
      </c>
      <c r="GKG417" s="1717"/>
      <c r="GKH417" s="1718"/>
      <c r="GKI417" s="1718"/>
      <c r="GKJ417" s="1718"/>
      <c r="GKK417" s="1718"/>
      <c r="GKL417" s="246"/>
      <c r="GKM417" s="246" t="str">
        <f>BS!$D$5</f>
        <v>31 March 2026</v>
      </c>
      <c r="GKN417" s="247" t="str">
        <f>BS!$E$5</f>
        <v>31 March 2025</v>
      </c>
      <c r="GKO417" s="1717"/>
      <c r="GKP417" s="1718"/>
      <c r="GKQ417" s="1718"/>
      <c r="GKR417" s="1718"/>
      <c r="GKS417" s="1718"/>
      <c r="GKT417" s="246"/>
      <c r="GKU417" s="246" t="str">
        <f>BS!$D$5</f>
        <v>31 March 2026</v>
      </c>
      <c r="GKV417" s="247" t="str">
        <f>BS!$E$5</f>
        <v>31 March 2025</v>
      </c>
      <c r="GKW417" s="1717"/>
      <c r="GKX417" s="1718"/>
      <c r="GKY417" s="1718"/>
      <c r="GKZ417" s="1718"/>
      <c r="GLA417" s="1718"/>
      <c r="GLB417" s="246"/>
      <c r="GLC417" s="246" t="str">
        <f>BS!$D$5</f>
        <v>31 March 2026</v>
      </c>
      <c r="GLD417" s="247" t="str">
        <f>BS!$E$5</f>
        <v>31 March 2025</v>
      </c>
      <c r="GLE417" s="1717"/>
      <c r="GLF417" s="1718"/>
      <c r="GLG417" s="1718"/>
      <c r="GLH417" s="1718"/>
      <c r="GLI417" s="1718"/>
      <c r="GLJ417" s="246"/>
      <c r="GLK417" s="246" t="str">
        <f>BS!$D$5</f>
        <v>31 March 2026</v>
      </c>
      <c r="GLL417" s="247" t="str">
        <f>BS!$E$5</f>
        <v>31 March 2025</v>
      </c>
      <c r="GLM417" s="1717"/>
      <c r="GLN417" s="1718"/>
      <c r="GLO417" s="1718"/>
      <c r="GLP417" s="1718"/>
      <c r="GLQ417" s="1718"/>
      <c r="GLR417" s="246"/>
      <c r="GLS417" s="246" t="str">
        <f>BS!$D$5</f>
        <v>31 March 2026</v>
      </c>
      <c r="GLT417" s="247" t="str">
        <f>BS!$E$5</f>
        <v>31 March 2025</v>
      </c>
      <c r="GLU417" s="1717"/>
      <c r="GLV417" s="1718"/>
      <c r="GLW417" s="1718"/>
      <c r="GLX417" s="1718"/>
      <c r="GLY417" s="1718"/>
      <c r="GLZ417" s="246"/>
      <c r="GMA417" s="246" t="str">
        <f>BS!$D$5</f>
        <v>31 March 2026</v>
      </c>
      <c r="GMB417" s="247" t="str">
        <f>BS!$E$5</f>
        <v>31 March 2025</v>
      </c>
      <c r="GMC417" s="1717"/>
      <c r="GMD417" s="1718"/>
      <c r="GME417" s="1718"/>
      <c r="GMF417" s="1718"/>
      <c r="GMG417" s="1718"/>
      <c r="GMH417" s="246"/>
      <c r="GMI417" s="246" t="str">
        <f>BS!$D$5</f>
        <v>31 March 2026</v>
      </c>
      <c r="GMJ417" s="247" t="str">
        <f>BS!$E$5</f>
        <v>31 March 2025</v>
      </c>
      <c r="GMK417" s="1717"/>
      <c r="GML417" s="1718"/>
      <c r="GMM417" s="1718"/>
      <c r="GMN417" s="1718"/>
      <c r="GMO417" s="1718"/>
      <c r="GMP417" s="246"/>
      <c r="GMQ417" s="246" t="str">
        <f>BS!$D$5</f>
        <v>31 March 2026</v>
      </c>
      <c r="GMR417" s="247" t="str">
        <f>BS!$E$5</f>
        <v>31 March 2025</v>
      </c>
      <c r="GMS417" s="1717"/>
      <c r="GMT417" s="1718"/>
      <c r="GMU417" s="1718"/>
      <c r="GMV417" s="1718"/>
      <c r="GMW417" s="1718"/>
      <c r="GMX417" s="246"/>
      <c r="GMY417" s="246" t="str">
        <f>BS!$D$5</f>
        <v>31 March 2026</v>
      </c>
      <c r="GMZ417" s="247" t="str">
        <f>BS!$E$5</f>
        <v>31 March 2025</v>
      </c>
      <c r="GNA417" s="1717"/>
      <c r="GNB417" s="1718"/>
      <c r="GNC417" s="1718"/>
      <c r="GND417" s="1718"/>
      <c r="GNE417" s="1718"/>
      <c r="GNF417" s="246"/>
      <c r="GNG417" s="246" t="str">
        <f>BS!$D$5</f>
        <v>31 March 2026</v>
      </c>
      <c r="GNH417" s="247" t="str">
        <f>BS!$E$5</f>
        <v>31 March 2025</v>
      </c>
      <c r="GNI417" s="1717"/>
      <c r="GNJ417" s="1718"/>
      <c r="GNK417" s="1718"/>
      <c r="GNL417" s="1718"/>
      <c r="GNM417" s="1718"/>
      <c r="GNN417" s="246"/>
      <c r="GNO417" s="246" t="str">
        <f>BS!$D$5</f>
        <v>31 March 2026</v>
      </c>
      <c r="GNP417" s="247" t="str">
        <f>BS!$E$5</f>
        <v>31 March 2025</v>
      </c>
      <c r="GNQ417" s="1717"/>
      <c r="GNR417" s="1718"/>
      <c r="GNS417" s="1718"/>
      <c r="GNT417" s="1718"/>
      <c r="GNU417" s="1718"/>
      <c r="GNV417" s="246"/>
      <c r="GNW417" s="246" t="str">
        <f>BS!$D$5</f>
        <v>31 March 2026</v>
      </c>
      <c r="GNX417" s="247" t="str">
        <f>BS!$E$5</f>
        <v>31 March 2025</v>
      </c>
      <c r="GNY417" s="1717"/>
      <c r="GNZ417" s="1718"/>
      <c r="GOA417" s="1718"/>
      <c r="GOB417" s="1718"/>
      <c r="GOC417" s="1718"/>
      <c r="GOD417" s="246"/>
      <c r="GOE417" s="246" t="str">
        <f>BS!$D$5</f>
        <v>31 March 2026</v>
      </c>
      <c r="GOF417" s="247" t="str">
        <f>BS!$E$5</f>
        <v>31 March 2025</v>
      </c>
      <c r="GOG417" s="1717"/>
      <c r="GOH417" s="1718"/>
      <c r="GOI417" s="1718"/>
      <c r="GOJ417" s="1718"/>
      <c r="GOK417" s="1718"/>
      <c r="GOL417" s="246"/>
      <c r="GOM417" s="246" t="str">
        <f>BS!$D$5</f>
        <v>31 March 2026</v>
      </c>
      <c r="GON417" s="247" t="str">
        <f>BS!$E$5</f>
        <v>31 March 2025</v>
      </c>
      <c r="GOO417" s="1717"/>
      <c r="GOP417" s="1718"/>
      <c r="GOQ417" s="1718"/>
      <c r="GOR417" s="1718"/>
      <c r="GOS417" s="1718"/>
      <c r="GOT417" s="246"/>
      <c r="GOU417" s="246" t="str">
        <f>BS!$D$5</f>
        <v>31 March 2026</v>
      </c>
      <c r="GOV417" s="247" t="str">
        <f>BS!$E$5</f>
        <v>31 March 2025</v>
      </c>
      <c r="GOW417" s="1717"/>
      <c r="GOX417" s="1718"/>
      <c r="GOY417" s="1718"/>
      <c r="GOZ417" s="1718"/>
      <c r="GPA417" s="1718"/>
      <c r="GPB417" s="246"/>
      <c r="GPC417" s="246" t="str">
        <f>BS!$D$5</f>
        <v>31 March 2026</v>
      </c>
      <c r="GPD417" s="247" t="str">
        <f>BS!$E$5</f>
        <v>31 March 2025</v>
      </c>
      <c r="GPE417" s="1717"/>
      <c r="GPF417" s="1718"/>
      <c r="GPG417" s="1718"/>
      <c r="GPH417" s="1718"/>
      <c r="GPI417" s="1718"/>
      <c r="GPJ417" s="246"/>
      <c r="GPK417" s="246" t="str">
        <f>BS!$D$5</f>
        <v>31 March 2026</v>
      </c>
      <c r="GPL417" s="247" t="str">
        <f>BS!$E$5</f>
        <v>31 March 2025</v>
      </c>
      <c r="GPM417" s="1717"/>
      <c r="GPN417" s="1718"/>
      <c r="GPO417" s="1718"/>
      <c r="GPP417" s="1718"/>
      <c r="GPQ417" s="1718"/>
      <c r="GPR417" s="246"/>
      <c r="GPS417" s="246" t="str">
        <f>BS!$D$5</f>
        <v>31 March 2026</v>
      </c>
      <c r="GPT417" s="247" t="str">
        <f>BS!$E$5</f>
        <v>31 March 2025</v>
      </c>
      <c r="GPU417" s="1717"/>
      <c r="GPV417" s="1718"/>
      <c r="GPW417" s="1718"/>
      <c r="GPX417" s="1718"/>
      <c r="GPY417" s="1718"/>
      <c r="GPZ417" s="246"/>
      <c r="GQA417" s="246" t="str">
        <f>BS!$D$5</f>
        <v>31 March 2026</v>
      </c>
      <c r="GQB417" s="247" t="str">
        <f>BS!$E$5</f>
        <v>31 March 2025</v>
      </c>
      <c r="GQC417" s="1717"/>
      <c r="GQD417" s="1718"/>
      <c r="GQE417" s="1718"/>
      <c r="GQF417" s="1718"/>
      <c r="GQG417" s="1718"/>
      <c r="GQH417" s="246"/>
      <c r="GQI417" s="246" t="str">
        <f>BS!$D$5</f>
        <v>31 March 2026</v>
      </c>
      <c r="GQJ417" s="247" t="str">
        <f>BS!$E$5</f>
        <v>31 March 2025</v>
      </c>
      <c r="GQK417" s="1717"/>
      <c r="GQL417" s="1718"/>
      <c r="GQM417" s="1718"/>
      <c r="GQN417" s="1718"/>
      <c r="GQO417" s="1718"/>
      <c r="GQP417" s="246"/>
      <c r="GQQ417" s="246" t="str">
        <f>BS!$D$5</f>
        <v>31 March 2026</v>
      </c>
      <c r="GQR417" s="247" t="str">
        <f>BS!$E$5</f>
        <v>31 March 2025</v>
      </c>
      <c r="GQS417" s="1717"/>
      <c r="GQT417" s="1718"/>
      <c r="GQU417" s="1718"/>
      <c r="GQV417" s="1718"/>
      <c r="GQW417" s="1718"/>
      <c r="GQX417" s="246"/>
      <c r="GQY417" s="246" t="str">
        <f>BS!$D$5</f>
        <v>31 March 2026</v>
      </c>
      <c r="GQZ417" s="247" t="str">
        <f>BS!$E$5</f>
        <v>31 March 2025</v>
      </c>
      <c r="GRA417" s="1717"/>
      <c r="GRB417" s="1718"/>
      <c r="GRC417" s="1718"/>
      <c r="GRD417" s="1718"/>
      <c r="GRE417" s="1718"/>
      <c r="GRF417" s="246"/>
      <c r="GRG417" s="246" t="str">
        <f>BS!$D$5</f>
        <v>31 March 2026</v>
      </c>
      <c r="GRH417" s="247" t="str">
        <f>BS!$E$5</f>
        <v>31 March 2025</v>
      </c>
      <c r="GRI417" s="1717"/>
      <c r="GRJ417" s="1718"/>
      <c r="GRK417" s="1718"/>
      <c r="GRL417" s="1718"/>
      <c r="GRM417" s="1718"/>
      <c r="GRN417" s="246"/>
      <c r="GRO417" s="246" t="str">
        <f>BS!$D$5</f>
        <v>31 March 2026</v>
      </c>
      <c r="GRP417" s="247" t="str">
        <f>BS!$E$5</f>
        <v>31 March 2025</v>
      </c>
      <c r="GRQ417" s="1717"/>
      <c r="GRR417" s="1718"/>
      <c r="GRS417" s="1718"/>
      <c r="GRT417" s="1718"/>
      <c r="GRU417" s="1718"/>
      <c r="GRV417" s="246"/>
      <c r="GRW417" s="246" t="str">
        <f>BS!$D$5</f>
        <v>31 March 2026</v>
      </c>
      <c r="GRX417" s="247" t="str">
        <f>BS!$E$5</f>
        <v>31 March 2025</v>
      </c>
      <c r="GRY417" s="1717"/>
      <c r="GRZ417" s="1718"/>
      <c r="GSA417" s="1718"/>
      <c r="GSB417" s="1718"/>
      <c r="GSC417" s="1718"/>
      <c r="GSD417" s="246"/>
      <c r="GSE417" s="246" t="str">
        <f>BS!$D$5</f>
        <v>31 March 2026</v>
      </c>
      <c r="GSF417" s="247" t="str">
        <f>BS!$E$5</f>
        <v>31 March 2025</v>
      </c>
      <c r="GSG417" s="1717"/>
      <c r="GSH417" s="1718"/>
      <c r="GSI417" s="1718"/>
      <c r="GSJ417" s="1718"/>
      <c r="GSK417" s="1718"/>
      <c r="GSL417" s="246"/>
      <c r="GSM417" s="246" t="str">
        <f>BS!$D$5</f>
        <v>31 March 2026</v>
      </c>
      <c r="GSN417" s="247" t="str">
        <f>BS!$E$5</f>
        <v>31 March 2025</v>
      </c>
      <c r="GSO417" s="1717"/>
      <c r="GSP417" s="1718"/>
      <c r="GSQ417" s="1718"/>
      <c r="GSR417" s="1718"/>
      <c r="GSS417" s="1718"/>
      <c r="GST417" s="246"/>
      <c r="GSU417" s="246" t="str">
        <f>BS!$D$5</f>
        <v>31 March 2026</v>
      </c>
      <c r="GSV417" s="247" t="str">
        <f>BS!$E$5</f>
        <v>31 March 2025</v>
      </c>
      <c r="GSW417" s="1717"/>
      <c r="GSX417" s="1718"/>
      <c r="GSY417" s="1718"/>
      <c r="GSZ417" s="1718"/>
      <c r="GTA417" s="1718"/>
      <c r="GTB417" s="246"/>
      <c r="GTC417" s="246" t="str">
        <f>BS!$D$5</f>
        <v>31 March 2026</v>
      </c>
      <c r="GTD417" s="247" t="str">
        <f>BS!$E$5</f>
        <v>31 March 2025</v>
      </c>
      <c r="GTE417" s="1717"/>
      <c r="GTF417" s="1718"/>
      <c r="GTG417" s="1718"/>
      <c r="GTH417" s="1718"/>
      <c r="GTI417" s="1718"/>
      <c r="GTJ417" s="246"/>
      <c r="GTK417" s="246" t="str">
        <f>BS!$D$5</f>
        <v>31 March 2026</v>
      </c>
      <c r="GTL417" s="247" t="str">
        <f>BS!$E$5</f>
        <v>31 March 2025</v>
      </c>
      <c r="GTM417" s="1717"/>
      <c r="GTN417" s="1718"/>
      <c r="GTO417" s="1718"/>
      <c r="GTP417" s="1718"/>
      <c r="GTQ417" s="1718"/>
      <c r="GTR417" s="246"/>
      <c r="GTS417" s="246" t="str">
        <f>BS!$D$5</f>
        <v>31 March 2026</v>
      </c>
      <c r="GTT417" s="247" t="str">
        <f>BS!$E$5</f>
        <v>31 March 2025</v>
      </c>
      <c r="GTU417" s="1717"/>
      <c r="GTV417" s="1718"/>
      <c r="GTW417" s="1718"/>
      <c r="GTX417" s="1718"/>
      <c r="GTY417" s="1718"/>
      <c r="GTZ417" s="246"/>
      <c r="GUA417" s="246" t="str">
        <f>BS!$D$5</f>
        <v>31 March 2026</v>
      </c>
      <c r="GUB417" s="247" t="str">
        <f>BS!$E$5</f>
        <v>31 March 2025</v>
      </c>
      <c r="GUC417" s="1717"/>
      <c r="GUD417" s="1718"/>
      <c r="GUE417" s="1718"/>
      <c r="GUF417" s="1718"/>
      <c r="GUG417" s="1718"/>
      <c r="GUH417" s="246"/>
      <c r="GUI417" s="246" t="str">
        <f>BS!$D$5</f>
        <v>31 March 2026</v>
      </c>
      <c r="GUJ417" s="247" t="str">
        <f>BS!$E$5</f>
        <v>31 March 2025</v>
      </c>
      <c r="GUK417" s="1717"/>
      <c r="GUL417" s="1718"/>
      <c r="GUM417" s="1718"/>
      <c r="GUN417" s="1718"/>
      <c r="GUO417" s="1718"/>
      <c r="GUP417" s="246"/>
      <c r="GUQ417" s="246" t="str">
        <f>BS!$D$5</f>
        <v>31 March 2026</v>
      </c>
      <c r="GUR417" s="247" t="str">
        <f>BS!$E$5</f>
        <v>31 March 2025</v>
      </c>
      <c r="GUS417" s="1717"/>
      <c r="GUT417" s="1718"/>
      <c r="GUU417" s="1718"/>
      <c r="GUV417" s="1718"/>
      <c r="GUW417" s="1718"/>
      <c r="GUX417" s="246"/>
      <c r="GUY417" s="246" t="str">
        <f>BS!$D$5</f>
        <v>31 March 2026</v>
      </c>
      <c r="GUZ417" s="247" t="str">
        <f>BS!$E$5</f>
        <v>31 March 2025</v>
      </c>
      <c r="GVA417" s="1717"/>
      <c r="GVB417" s="1718"/>
      <c r="GVC417" s="1718"/>
      <c r="GVD417" s="1718"/>
      <c r="GVE417" s="1718"/>
      <c r="GVF417" s="246"/>
      <c r="GVG417" s="246" t="str">
        <f>BS!$D$5</f>
        <v>31 March 2026</v>
      </c>
      <c r="GVH417" s="247" t="str">
        <f>BS!$E$5</f>
        <v>31 March 2025</v>
      </c>
      <c r="GVI417" s="1717"/>
      <c r="GVJ417" s="1718"/>
      <c r="GVK417" s="1718"/>
      <c r="GVL417" s="1718"/>
      <c r="GVM417" s="1718"/>
      <c r="GVN417" s="246"/>
      <c r="GVO417" s="246" t="str">
        <f>BS!$D$5</f>
        <v>31 March 2026</v>
      </c>
      <c r="GVP417" s="247" t="str">
        <f>BS!$E$5</f>
        <v>31 March 2025</v>
      </c>
      <c r="GVQ417" s="1717"/>
      <c r="GVR417" s="1718"/>
      <c r="GVS417" s="1718"/>
      <c r="GVT417" s="1718"/>
      <c r="GVU417" s="1718"/>
      <c r="GVV417" s="246"/>
      <c r="GVW417" s="246" t="str">
        <f>BS!$D$5</f>
        <v>31 March 2026</v>
      </c>
      <c r="GVX417" s="247" t="str">
        <f>BS!$E$5</f>
        <v>31 March 2025</v>
      </c>
      <c r="GVY417" s="1717"/>
      <c r="GVZ417" s="1718"/>
      <c r="GWA417" s="1718"/>
      <c r="GWB417" s="1718"/>
      <c r="GWC417" s="1718"/>
      <c r="GWD417" s="246"/>
      <c r="GWE417" s="246" t="str">
        <f>BS!$D$5</f>
        <v>31 March 2026</v>
      </c>
      <c r="GWF417" s="247" t="str">
        <f>BS!$E$5</f>
        <v>31 March 2025</v>
      </c>
      <c r="GWG417" s="1717"/>
      <c r="GWH417" s="1718"/>
      <c r="GWI417" s="1718"/>
      <c r="GWJ417" s="1718"/>
      <c r="GWK417" s="1718"/>
      <c r="GWL417" s="246"/>
      <c r="GWM417" s="246" t="str">
        <f>BS!$D$5</f>
        <v>31 March 2026</v>
      </c>
      <c r="GWN417" s="247" t="str">
        <f>BS!$E$5</f>
        <v>31 March 2025</v>
      </c>
      <c r="GWO417" s="1717"/>
      <c r="GWP417" s="1718"/>
      <c r="GWQ417" s="1718"/>
      <c r="GWR417" s="1718"/>
      <c r="GWS417" s="1718"/>
      <c r="GWT417" s="246"/>
      <c r="GWU417" s="246" t="str">
        <f>BS!$D$5</f>
        <v>31 March 2026</v>
      </c>
      <c r="GWV417" s="247" t="str">
        <f>BS!$E$5</f>
        <v>31 March 2025</v>
      </c>
      <c r="GWW417" s="1717"/>
      <c r="GWX417" s="1718"/>
      <c r="GWY417" s="1718"/>
      <c r="GWZ417" s="1718"/>
      <c r="GXA417" s="1718"/>
      <c r="GXB417" s="246"/>
      <c r="GXC417" s="246" t="str">
        <f>BS!$D$5</f>
        <v>31 March 2026</v>
      </c>
      <c r="GXD417" s="247" t="str">
        <f>BS!$E$5</f>
        <v>31 March 2025</v>
      </c>
      <c r="GXE417" s="1717"/>
      <c r="GXF417" s="1718"/>
      <c r="GXG417" s="1718"/>
      <c r="GXH417" s="1718"/>
      <c r="GXI417" s="1718"/>
      <c r="GXJ417" s="246"/>
      <c r="GXK417" s="246" t="str">
        <f>BS!$D$5</f>
        <v>31 March 2026</v>
      </c>
      <c r="GXL417" s="247" t="str">
        <f>BS!$E$5</f>
        <v>31 March 2025</v>
      </c>
      <c r="GXM417" s="1717"/>
      <c r="GXN417" s="1718"/>
      <c r="GXO417" s="1718"/>
      <c r="GXP417" s="1718"/>
      <c r="GXQ417" s="1718"/>
      <c r="GXR417" s="246"/>
      <c r="GXS417" s="246" t="str">
        <f>BS!$D$5</f>
        <v>31 March 2026</v>
      </c>
      <c r="GXT417" s="247" t="str">
        <f>BS!$E$5</f>
        <v>31 March 2025</v>
      </c>
      <c r="GXU417" s="1717"/>
      <c r="GXV417" s="1718"/>
      <c r="GXW417" s="1718"/>
      <c r="GXX417" s="1718"/>
      <c r="GXY417" s="1718"/>
      <c r="GXZ417" s="246"/>
      <c r="GYA417" s="246" t="str">
        <f>BS!$D$5</f>
        <v>31 March 2026</v>
      </c>
      <c r="GYB417" s="247" t="str">
        <f>BS!$E$5</f>
        <v>31 March 2025</v>
      </c>
      <c r="GYC417" s="1717"/>
      <c r="GYD417" s="1718"/>
      <c r="GYE417" s="1718"/>
      <c r="GYF417" s="1718"/>
      <c r="GYG417" s="1718"/>
      <c r="GYH417" s="246"/>
      <c r="GYI417" s="246" t="str">
        <f>BS!$D$5</f>
        <v>31 March 2026</v>
      </c>
      <c r="GYJ417" s="247" t="str">
        <f>BS!$E$5</f>
        <v>31 March 2025</v>
      </c>
      <c r="GYK417" s="1717"/>
      <c r="GYL417" s="1718"/>
      <c r="GYM417" s="1718"/>
      <c r="GYN417" s="1718"/>
      <c r="GYO417" s="1718"/>
      <c r="GYP417" s="246"/>
      <c r="GYQ417" s="246" t="str">
        <f>BS!$D$5</f>
        <v>31 March 2026</v>
      </c>
      <c r="GYR417" s="247" t="str">
        <f>BS!$E$5</f>
        <v>31 March 2025</v>
      </c>
      <c r="GYS417" s="1717"/>
      <c r="GYT417" s="1718"/>
      <c r="GYU417" s="1718"/>
      <c r="GYV417" s="1718"/>
      <c r="GYW417" s="1718"/>
      <c r="GYX417" s="246"/>
      <c r="GYY417" s="246" t="str">
        <f>BS!$D$5</f>
        <v>31 March 2026</v>
      </c>
      <c r="GYZ417" s="247" t="str">
        <f>BS!$E$5</f>
        <v>31 March 2025</v>
      </c>
      <c r="GZA417" s="1717"/>
      <c r="GZB417" s="1718"/>
      <c r="GZC417" s="1718"/>
      <c r="GZD417" s="1718"/>
      <c r="GZE417" s="1718"/>
      <c r="GZF417" s="246"/>
      <c r="GZG417" s="246" t="str">
        <f>BS!$D$5</f>
        <v>31 March 2026</v>
      </c>
      <c r="GZH417" s="247" t="str">
        <f>BS!$E$5</f>
        <v>31 March 2025</v>
      </c>
      <c r="GZI417" s="1717"/>
      <c r="GZJ417" s="1718"/>
      <c r="GZK417" s="1718"/>
      <c r="GZL417" s="1718"/>
      <c r="GZM417" s="1718"/>
      <c r="GZN417" s="246"/>
      <c r="GZO417" s="246" t="str">
        <f>BS!$D$5</f>
        <v>31 March 2026</v>
      </c>
      <c r="GZP417" s="247" t="str">
        <f>BS!$E$5</f>
        <v>31 March 2025</v>
      </c>
      <c r="GZQ417" s="1717"/>
      <c r="GZR417" s="1718"/>
      <c r="GZS417" s="1718"/>
      <c r="GZT417" s="1718"/>
      <c r="GZU417" s="1718"/>
      <c r="GZV417" s="246"/>
      <c r="GZW417" s="246" t="str">
        <f>BS!$D$5</f>
        <v>31 March 2026</v>
      </c>
      <c r="GZX417" s="247" t="str">
        <f>BS!$E$5</f>
        <v>31 March 2025</v>
      </c>
      <c r="GZY417" s="1717"/>
      <c r="GZZ417" s="1718"/>
      <c r="HAA417" s="1718"/>
      <c r="HAB417" s="1718"/>
      <c r="HAC417" s="1718"/>
      <c r="HAD417" s="246"/>
      <c r="HAE417" s="246" t="str">
        <f>BS!$D$5</f>
        <v>31 March 2026</v>
      </c>
      <c r="HAF417" s="247" t="str">
        <f>BS!$E$5</f>
        <v>31 March 2025</v>
      </c>
      <c r="HAG417" s="1717"/>
      <c r="HAH417" s="1718"/>
      <c r="HAI417" s="1718"/>
      <c r="HAJ417" s="1718"/>
      <c r="HAK417" s="1718"/>
      <c r="HAL417" s="246"/>
      <c r="HAM417" s="246" t="str">
        <f>BS!$D$5</f>
        <v>31 March 2026</v>
      </c>
      <c r="HAN417" s="247" t="str">
        <f>BS!$E$5</f>
        <v>31 March 2025</v>
      </c>
      <c r="HAO417" s="1717"/>
      <c r="HAP417" s="1718"/>
      <c r="HAQ417" s="1718"/>
      <c r="HAR417" s="1718"/>
      <c r="HAS417" s="1718"/>
      <c r="HAT417" s="246"/>
      <c r="HAU417" s="246" t="str">
        <f>BS!$D$5</f>
        <v>31 March 2026</v>
      </c>
      <c r="HAV417" s="247" t="str">
        <f>BS!$E$5</f>
        <v>31 March 2025</v>
      </c>
      <c r="HAW417" s="1717"/>
      <c r="HAX417" s="1718"/>
      <c r="HAY417" s="1718"/>
      <c r="HAZ417" s="1718"/>
      <c r="HBA417" s="1718"/>
      <c r="HBB417" s="246"/>
      <c r="HBC417" s="246" t="str">
        <f>BS!$D$5</f>
        <v>31 March 2026</v>
      </c>
      <c r="HBD417" s="247" t="str">
        <f>BS!$E$5</f>
        <v>31 March 2025</v>
      </c>
      <c r="HBE417" s="1717"/>
      <c r="HBF417" s="1718"/>
      <c r="HBG417" s="1718"/>
      <c r="HBH417" s="1718"/>
      <c r="HBI417" s="1718"/>
      <c r="HBJ417" s="246"/>
      <c r="HBK417" s="246" t="str">
        <f>BS!$D$5</f>
        <v>31 March 2026</v>
      </c>
      <c r="HBL417" s="247" t="str">
        <f>BS!$E$5</f>
        <v>31 March 2025</v>
      </c>
      <c r="HBM417" s="1717"/>
      <c r="HBN417" s="1718"/>
      <c r="HBO417" s="1718"/>
      <c r="HBP417" s="1718"/>
      <c r="HBQ417" s="1718"/>
      <c r="HBR417" s="246"/>
      <c r="HBS417" s="246" t="str">
        <f>BS!$D$5</f>
        <v>31 March 2026</v>
      </c>
      <c r="HBT417" s="247" t="str">
        <f>BS!$E$5</f>
        <v>31 March 2025</v>
      </c>
      <c r="HBU417" s="1717"/>
      <c r="HBV417" s="1718"/>
      <c r="HBW417" s="1718"/>
      <c r="HBX417" s="1718"/>
      <c r="HBY417" s="1718"/>
      <c r="HBZ417" s="246"/>
      <c r="HCA417" s="246" t="str">
        <f>BS!$D$5</f>
        <v>31 March 2026</v>
      </c>
      <c r="HCB417" s="247" t="str">
        <f>BS!$E$5</f>
        <v>31 March 2025</v>
      </c>
      <c r="HCC417" s="1717"/>
      <c r="HCD417" s="1718"/>
      <c r="HCE417" s="1718"/>
      <c r="HCF417" s="1718"/>
      <c r="HCG417" s="1718"/>
      <c r="HCH417" s="246"/>
      <c r="HCI417" s="246" t="str">
        <f>BS!$D$5</f>
        <v>31 March 2026</v>
      </c>
      <c r="HCJ417" s="247" t="str">
        <f>BS!$E$5</f>
        <v>31 March 2025</v>
      </c>
      <c r="HCK417" s="1717"/>
      <c r="HCL417" s="1718"/>
      <c r="HCM417" s="1718"/>
      <c r="HCN417" s="1718"/>
      <c r="HCO417" s="1718"/>
      <c r="HCP417" s="246"/>
      <c r="HCQ417" s="246" t="str">
        <f>BS!$D$5</f>
        <v>31 March 2026</v>
      </c>
      <c r="HCR417" s="247" t="str">
        <f>BS!$E$5</f>
        <v>31 March 2025</v>
      </c>
      <c r="HCS417" s="1717"/>
      <c r="HCT417" s="1718"/>
      <c r="HCU417" s="1718"/>
      <c r="HCV417" s="1718"/>
      <c r="HCW417" s="1718"/>
      <c r="HCX417" s="246"/>
      <c r="HCY417" s="246" t="str">
        <f>BS!$D$5</f>
        <v>31 March 2026</v>
      </c>
      <c r="HCZ417" s="247" t="str">
        <f>BS!$E$5</f>
        <v>31 March 2025</v>
      </c>
      <c r="HDA417" s="1717"/>
      <c r="HDB417" s="1718"/>
      <c r="HDC417" s="1718"/>
      <c r="HDD417" s="1718"/>
      <c r="HDE417" s="1718"/>
      <c r="HDF417" s="246"/>
      <c r="HDG417" s="246" t="str">
        <f>BS!$D$5</f>
        <v>31 March 2026</v>
      </c>
      <c r="HDH417" s="247" t="str">
        <f>BS!$E$5</f>
        <v>31 March 2025</v>
      </c>
      <c r="HDI417" s="1717"/>
      <c r="HDJ417" s="1718"/>
      <c r="HDK417" s="1718"/>
      <c r="HDL417" s="1718"/>
      <c r="HDM417" s="1718"/>
      <c r="HDN417" s="246"/>
      <c r="HDO417" s="246" t="str">
        <f>BS!$D$5</f>
        <v>31 March 2026</v>
      </c>
      <c r="HDP417" s="247" t="str">
        <f>BS!$E$5</f>
        <v>31 March 2025</v>
      </c>
      <c r="HDQ417" s="1717"/>
      <c r="HDR417" s="1718"/>
      <c r="HDS417" s="1718"/>
      <c r="HDT417" s="1718"/>
      <c r="HDU417" s="1718"/>
      <c r="HDV417" s="246"/>
      <c r="HDW417" s="246" t="str">
        <f>BS!$D$5</f>
        <v>31 March 2026</v>
      </c>
      <c r="HDX417" s="247" t="str">
        <f>BS!$E$5</f>
        <v>31 March 2025</v>
      </c>
      <c r="HDY417" s="1717"/>
      <c r="HDZ417" s="1718"/>
      <c r="HEA417" s="1718"/>
      <c r="HEB417" s="1718"/>
      <c r="HEC417" s="1718"/>
      <c r="HED417" s="246"/>
      <c r="HEE417" s="246" t="str">
        <f>BS!$D$5</f>
        <v>31 March 2026</v>
      </c>
      <c r="HEF417" s="247" t="str">
        <f>BS!$E$5</f>
        <v>31 March 2025</v>
      </c>
      <c r="HEG417" s="1717"/>
      <c r="HEH417" s="1718"/>
      <c r="HEI417" s="1718"/>
      <c r="HEJ417" s="1718"/>
      <c r="HEK417" s="1718"/>
      <c r="HEL417" s="246"/>
      <c r="HEM417" s="246" t="str">
        <f>BS!$D$5</f>
        <v>31 March 2026</v>
      </c>
      <c r="HEN417" s="247" t="str">
        <f>BS!$E$5</f>
        <v>31 March 2025</v>
      </c>
      <c r="HEO417" s="1717"/>
      <c r="HEP417" s="1718"/>
      <c r="HEQ417" s="1718"/>
      <c r="HER417" s="1718"/>
      <c r="HES417" s="1718"/>
      <c r="HET417" s="246"/>
      <c r="HEU417" s="246" t="str">
        <f>BS!$D$5</f>
        <v>31 March 2026</v>
      </c>
      <c r="HEV417" s="247" t="str">
        <f>BS!$E$5</f>
        <v>31 March 2025</v>
      </c>
      <c r="HEW417" s="1717"/>
      <c r="HEX417" s="1718"/>
      <c r="HEY417" s="1718"/>
      <c r="HEZ417" s="1718"/>
      <c r="HFA417" s="1718"/>
      <c r="HFB417" s="246"/>
      <c r="HFC417" s="246" t="str">
        <f>BS!$D$5</f>
        <v>31 March 2026</v>
      </c>
      <c r="HFD417" s="247" t="str">
        <f>BS!$E$5</f>
        <v>31 March 2025</v>
      </c>
      <c r="HFE417" s="1717"/>
      <c r="HFF417" s="1718"/>
      <c r="HFG417" s="1718"/>
      <c r="HFH417" s="1718"/>
      <c r="HFI417" s="1718"/>
      <c r="HFJ417" s="246"/>
      <c r="HFK417" s="246" t="str">
        <f>BS!$D$5</f>
        <v>31 March 2026</v>
      </c>
      <c r="HFL417" s="247" t="str">
        <f>BS!$E$5</f>
        <v>31 March 2025</v>
      </c>
      <c r="HFM417" s="1717"/>
      <c r="HFN417" s="1718"/>
      <c r="HFO417" s="1718"/>
      <c r="HFP417" s="1718"/>
      <c r="HFQ417" s="1718"/>
      <c r="HFR417" s="246"/>
      <c r="HFS417" s="246" t="str">
        <f>BS!$D$5</f>
        <v>31 March 2026</v>
      </c>
      <c r="HFT417" s="247" t="str">
        <f>BS!$E$5</f>
        <v>31 March 2025</v>
      </c>
      <c r="HFU417" s="1717"/>
      <c r="HFV417" s="1718"/>
      <c r="HFW417" s="1718"/>
      <c r="HFX417" s="1718"/>
      <c r="HFY417" s="1718"/>
      <c r="HFZ417" s="246"/>
      <c r="HGA417" s="246" t="str">
        <f>BS!$D$5</f>
        <v>31 March 2026</v>
      </c>
      <c r="HGB417" s="247" t="str">
        <f>BS!$E$5</f>
        <v>31 March 2025</v>
      </c>
      <c r="HGC417" s="1717"/>
      <c r="HGD417" s="1718"/>
      <c r="HGE417" s="1718"/>
      <c r="HGF417" s="1718"/>
      <c r="HGG417" s="1718"/>
      <c r="HGH417" s="246"/>
      <c r="HGI417" s="246" t="str">
        <f>BS!$D$5</f>
        <v>31 March 2026</v>
      </c>
      <c r="HGJ417" s="247" t="str">
        <f>BS!$E$5</f>
        <v>31 March 2025</v>
      </c>
      <c r="HGK417" s="1717"/>
      <c r="HGL417" s="1718"/>
      <c r="HGM417" s="1718"/>
      <c r="HGN417" s="1718"/>
      <c r="HGO417" s="1718"/>
      <c r="HGP417" s="246"/>
      <c r="HGQ417" s="246" t="str">
        <f>BS!$D$5</f>
        <v>31 March 2026</v>
      </c>
      <c r="HGR417" s="247" t="str">
        <f>BS!$E$5</f>
        <v>31 March 2025</v>
      </c>
      <c r="HGS417" s="1717"/>
      <c r="HGT417" s="1718"/>
      <c r="HGU417" s="1718"/>
      <c r="HGV417" s="1718"/>
      <c r="HGW417" s="1718"/>
      <c r="HGX417" s="246"/>
      <c r="HGY417" s="246" t="str">
        <f>BS!$D$5</f>
        <v>31 March 2026</v>
      </c>
      <c r="HGZ417" s="247" t="str">
        <f>BS!$E$5</f>
        <v>31 March 2025</v>
      </c>
      <c r="HHA417" s="1717"/>
      <c r="HHB417" s="1718"/>
      <c r="HHC417" s="1718"/>
      <c r="HHD417" s="1718"/>
      <c r="HHE417" s="1718"/>
      <c r="HHF417" s="246"/>
      <c r="HHG417" s="246" t="str">
        <f>BS!$D$5</f>
        <v>31 March 2026</v>
      </c>
      <c r="HHH417" s="247" t="str">
        <f>BS!$E$5</f>
        <v>31 March 2025</v>
      </c>
      <c r="HHI417" s="1717"/>
      <c r="HHJ417" s="1718"/>
      <c r="HHK417" s="1718"/>
      <c r="HHL417" s="1718"/>
      <c r="HHM417" s="1718"/>
      <c r="HHN417" s="246"/>
      <c r="HHO417" s="246" t="str">
        <f>BS!$D$5</f>
        <v>31 March 2026</v>
      </c>
      <c r="HHP417" s="247" t="str">
        <f>BS!$E$5</f>
        <v>31 March 2025</v>
      </c>
      <c r="HHQ417" s="1717"/>
      <c r="HHR417" s="1718"/>
      <c r="HHS417" s="1718"/>
      <c r="HHT417" s="1718"/>
      <c r="HHU417" s="1718"/>
      <c r="HHV417" s="246"/>
      <c r="HHW417" s="246" t="str">
        <f>BS!$D$5</f>
        <v>31 March 2026</v>
      </c>
      <c r="HHX417" s="247" t="str">
        <f>BS!$E$5</f>
        <v>31 March 2025</v>
      </c>
      <c r="HHY417" s="1717"/>
      <c r="HHZ417" s="1718"/>
      <c r="HIA417" s="1718"/>
      <c r="HIB417" s="1718"/>
      <c r="HIC417" s="1718"/>
      <c r="HID417" s="246"/>
      <c r="HIE417" s="246" t="str">
        <f>BS!$D$5</f>
        <v>31 March 2026</v>
      </c>
      <c r="HIF417" s="247" t="str">
        <f>BS!$E$5</f>
        <v>31 March 2025</v>
      </c>
      <c r="HIG417" s="1717"/>
      <c r="HIH417" s="1718"/>
      <c r="HII417" s="1718"/>
      <c r="HIJ417" s="1718"/>
      <c r="HIK417" s="1718"/>
      <c r="HIL417" s="246"/>
      <c r="HIM417" s="246" t="str">
        <f>BS!$D$5</f>
        <v>31 March 2026</v>
      </c>
      <c r="HIN417" s="247" t="str">
        <f>BS!$E$5</f>
        <v>31 March 2025</v>
      </c>
      <c r="HIO417" s="1717"/>
      <c r="HIP417" s="1718"/>
      <c r="HIQ417" s="1718"/>
      <c r="HIR417" s="1718"/>
      <c r="HIS417" s="1718"/>
      <c r="HIT417" s="246"/>
      <c r="HIU417" s="246" t="str">
        <f>BS!$D$5</f>
        <v>31 March 2026</v>
      </c>
      <c r="HIV417" s="247" t="str">
        <f>BS!$E$5</f>
        <v>31 March 2025</v>
      </c>
      <c r="HIW417" s="1717"/>
      <c r="HIX417" s="1718"/>
      <c r="HIY417" s="1718"/>
      <c r="HIZ417" s="1718"/>
      <c r="HJA417" s="1718"/>
      <c r="HJB417" s="246"/>
      <c r="HJC417" s="246" t="str">
        <f>BS!$D$5</f>
        <v>31 March 2026</v>
      </c>
      <c r="HJD417" s="247" t="str">
        <f>BS!$E$5</f>
        <v>31 March 2025</v>
      </c>
      <c r="HJE417" s="1717"/>
      <c r="HJF417" s="1718"/>
      <c r="HJG417" s="1718"/>
      <c r="HJH417" s="1718"/>
      <c r="HJI417" s="1718"/>
      <c r="HJJ417" s="246"/>
      <c r="HJK417" s="246" t="str">
        <f>BS!$D$5</f>
        <v>31 March 2026</v>
      </c>
      <c r="HJL417" s="247" t="str">
        <f>BS!$E$5</f>
        <v>31 March 2025</v>
      </c>
      <c r="HJM417" s="1717"/>
      <c r="HJN417" s="1718"/>
      <c r="HJO417" s="1718"/>
      <c r="HJP417" s="1718"/>
      <c r="HJQ417" s="1718"/>
      <c r="HJR417" s="246"/>
      <c r="HJS417" s="246" t="str">
        <f>BS!$D$5</f>
        <v>31 March 2026</v>
      </c>
      <c r="HJT417" s="247" t="str">
        <f>BS!$E$5</f>
        <v>31 March 2025</v>
      </c>
      <c r="HJU417" s="1717"/>
      <c r="HJV417" s="1718"/>
      <c r="HJW417" s="1718"/>
      <c r="HJX417" s="1718"/>
      <c r="HJY417" s="1718"/>
      <c r="HJZ417" s="246"/>
      <c r="HKA417" s="246" t="str">
        <f>BS!$D$5</f>
        <v>31 March 2026</v>
      </c>
      <c r="HKB417" s="247" t="str">
        <f>BS!$E$5</f>
        <v>31 March 2025</v>
      </c>
      <c r="HKC417" s="1717"/>
      <c r="HKD417" s="1718"/>
      <c r="HKE417" s="1718"/>
      <c r="HKF417" s="1718"/>
      <c r="HKG417" s="1718"/>
      <c r="HKH417" s="246"/>
      <c r="HKI417" s="246" t="str">
        <f>BS!$D$5</f>
        <v>31 March 2026</v>
      </c>
      <c r="HKJ417" s="247" t="str">
        <f>BS!$E$5</f>
        <v>31 March 2025</v>
      </c>
      <c r="HKK417" s="1717"/>
      <c r="HKL417" s="1718"/>
      <c r="HKM417" s="1718"/>
      <c r="HKN417" s="1718"/>
      <c r="HKO417" s="1718"/>
      <c r="HKP417" s="246"/>
      <c r="HKQ417" s="246" t="str">
        <f>BS!$D$5</f>
        <v>31 March 2026</v>
      </c>
      <c r="HKR417" s="247" t="str">
        <f>BS!$E$5</f>
        <v>31 March 2025</v>
      </c>
      <c r="HKS417" s="1717"/>
      <c r="HKT417" s="1718"/>
      <c r="HKU417" s="1718"/>
      <c r="HKV417" s="1718"/>
      <c r="HKW417" s="1718"/>
      <c r="HKX417" s="246"/>
      <c r="HKY417" s="246" t="str">
        <f>BS!$D$5</f>
        <v>31 March 2026</v>
      </c>
      <c r="HKZ417" s="247" t="str">
        <f>BS!$E$5</f>
        <v>31 March 2025</v>
      </c>
      <c r="HLA417" s="1717"/>
      <c r="HLB417" s="1718"/>
      <c r="HLC417" s="1718"/>
      <c r="HLD417" s="1718"/>
      <c r="HLE417" s="1718"/>
      <c r="HLF417" s="246"/>
      <c r="HLG417" s="246" t="str">
        <f>BS!$D$5</f>
        <v>31 March 2026</v>
      </c>
      <c r="HLH417" s="247" t="str">
        <f>BS!$E$5</f>
        <v>31 March 2025</v>
      </c>
      <c r="HLI417" s="1717"/>
      <c r="HLJ417" s="1718"/>
      <c r="HLK417" s="1718"/>
      <c r="HLL417" s="1718"/>
      <c r="HLM417" s="1718"/>
      <c r="HLN417" s="246"/>
      <c r="HLO417" s="246" t="str">
        <f>BS!$D$5</f>
        <v>31 March 2026</v>
      </c>
      <c r="HLP417" s="247" t="str">
        <f>BS!$E$5</f>
        <v>31 March 2025</v>
      </c>
      <c r="HLQ417" s="1717"/>
      <c r="HLR417" s="1718"/>
      <c r="HLS417" s="1718"/>
      <c r="HLT417" s="1718"/>
      <c r="HLU417" s="1718"/>
      <c r="HLV417" s="246"/>
      <c r="HLW417" s="246" t="str">
        <f>BS!$D$5</f>
        <v>31 March 2026</v>
      </c>
      <c r="HLX417" s="247" t="str">
        <f>BS!$E$5</f>
        <v>31 March 2025</v>
      </c>
      <c r="HLY417" s="1717"/>
      <c r="HLZ417" s="1718"/>
      <c r="HMA417" s="1718"/>
      <c r="HMB417" s="1718"/>
      <c r="HMC417" s="1718"/>
      <c r="HMD417" s="246"/>
      <c r="HME417" s="246" t="str">
        <f>BS!$D$5</f>
        <v>31 March 2026</v>
      </c>
      <c r="HMF417" s="247" t="str">
        <f>BS!$E$5</f>
        <v>31 March 2025</v>
      </c>
      <c r="HMG417" s="1717"/>
      <c r="HMH417" s="1718"/>
      <c r="HMI417" s="1718"/>
      <c r="HMJ417" s="1718"/>
      <c r="HMK417" s="1718"/>
      <c r="HML417" s="246"/>
      <c r="HMM417" s="246" t="str">
        <f>BS!$D$5</f>
        <v>31 March 2026</v>
      </c>
      <c r="HMN417" s="247" t="str">
        <f>BS!$E$5</f>
        <v>31 March 2025</v>
      </c>
      <c r="HMO417" s="1717"/>
      <c r="HMP417" s="1718"/>
      <c r="HMQ417" s="1718"/>
      <c r="HMR417" s="1718"/>
      <c r="HMS417" s="1718"/>
      <c r="HMT417" s="246"/>
      <c r="HMU417" s="246" t="str">
        <f>BS!$D$5</f>
        <v>31 March 2026</v>
      </c>
      <c r="HMV417" s="247" t="str">
        <f>BS!$E$5</f>
        <v>31 March 2025</v>
      </c>
      <c r="HMW417" s="1717"/>
      <c r="HMX417" s="1718"/>
      <c r="HMY417" s="1718"/>
      <c r="HMZ417" s="1718"/>
      <c r="HNA417" s="1718"/>
      <c r="HNB417" s="246"/>
      <c r="HNC417" s="246" t="str">
        <f>BS!$D$5</f>
        <v>31 March 2026</v>
      </c>
      <c r="HND417" s="247" t="str">
        <f>BS!$E$5</f>
        <v>31 March 2025</v>
      </c>
      <c r="HNE417" s="1717"/>
      <c r="HNF417" s="1718"/>
      <c r="HNG417" s="1718"/>
      <c r="HNH417" s="1718"/>
      <c r="HNI417" s="1718"/>
      <c r="HNJ417" s="246"/>
      <c r="HNK417" s="246" t="str">
        <f>BS!$D$5</f>
        <v>31 March 2026</v>
      </c>
      <c r="HNL417" s="247" t="str">
        <f>BS!$E$5</f>
        <v>31 March 2025</v>
      </c>
      <c r="HNM417" s="1717"/>
      <c r="HNN417" s="1718"/>
      <c r="HNO417" s="1718"/>
      <c r="HNP417" s="1718"/>
      <c r="HNQ417" s="1718"/>
      <c r="HNR417" s="246"/>
      <c r="HNS417" s="246" t="str">
        <f>BS!$D$5</f>
        <v>31 March 2026</v>
      </c>
      <c r="HNT417" s="247" t="str">
        <f>BS!$E$5</f>
        <v>31 March 2025</v>
      </c>
      <c r="HNU417" s="1717"/>
      <c r="HNV417" s="1718"/>
      <c r="HNW417" s="1718"/>
      <c r="HNX417" s="1718"/>
      <c r="HNY417" s="1718"/>
      <c r="HNZ417" s="246"/>
      <c r="HOA417" s="246" t="str">
        <f>BS!$D$5</f>
        <v>31 March 2026</v>
      </c>
      <c r="HOB417" s="247" t="str">
        <f>BS!$E$5</f>
        <v>31 March 2025</v>
      </c>
      <c r="HOC417" s="1717"/>
      <c r="HOD417" s="1718"/>
      <c r="HOE417" s="1718"/>
      <c r="HOF417" s="1718"/>
      <c r="HOG417" s="1718"/>
      <c r="HOH417" s="246"/>
      <c r="HOI417" s="246" t="str">
        <f>BS!$D$5</f>
        <v>31 March 2026</v>
      </c>
      <c r="HOJ417" s="247" t="str">
        <f>BS!$E$5</f>
        <v>31 March 2025</v>
      </c>
      <c r="HOK417" s="1717"/>
      <c r="HOL417" s="1718"/>
      <c r="HOM417" s="1718"/>
      <c r="HON417" s="1718"/>
      <c r="HOO417" s="1718"/>
      <c r="HOP417" s="246"/>
      <c r="HOQ417" s="246" t="str">
        <f>BS!$D$5</f>
        <v>31 March 2026</v>
      </c>
      <c r="HOR417" s="247" t="str">
        <f>BS!$E$5</f>
        <v>31 March 2025</v>
      </c>
      <c r="HOS417" s="1717"/>
      <c r="HOT417" s="1718"/>
      <c r="HOU417" s="1718"/>
      <c r="HOV417" s="1718"/>
      <c r="HOW417" s="1718"/>
      <c r="HOX417" s="246"/>
      <c r="HOY417" s="246" t="str">
        <f>BS!$D$5</f>
        <v>31 March 2026</v>
      </c>
      <c r="HOZ417" s="247" t="str">
        <f>BS!$E$5</f>
        <v>31 March 2025</v>
      </c>
      <c r="HPA417" s="1717"/>
      <c r="HPB417" s="1718"/>
      <c r="HPC417" s="1718"/>
      <c r="HPD417" s="1718"/>
      <c r="HPE417" s="1718"/>
      <c r="HPF417" s="246"/>
      <c r="HPG417" s="246" t="str">
        <f>BS!$D$5</f>
        <v>31 March 2026</v>
      </c>
      <c r="HPH417" s="247" t="str">
        <f>BS!$E$5</f>
        <v>31 March 2025</v>
      </c>
      <c r="HPI417" s="1717"/>
      <c r="HPJ417" s="1718"/>
      <c r="HPK417" s="1718"/>
      <c r="HPL417" s="1718"/>
      <c r="HPM417" s="1718"/>
      <c r="HPN417" s="246"/>
      <c r="HPO417" s="246" t="str">
        <f>BS!$D$5</f>
        <v>31 March 2026</v>
      </c>
      <c r="HPP417" s="247" t="str">
        <f>BS!$E$5</f>
        <v>31 March 2025</v>
      </c>
      <c r="HPQ417" s="1717"/>
      <c r="HPR417" s="1718"/>
      <c r="HPS417" s="1718"/>
      <c r="HPT417" s="1718"/>
      <c r="HPU417" s="1718"/>
      <c r="HPV417" s="246"/>
      <c r="HPW417" s="246" t="str">
        <f>BS!$D$5</f>
        <v>31 March 2026</v>
      </c>
      <c r="HPX417" s="247" t="str">
        <f>BS!$E$5</f>
        <v>31 March 2025</v>
      </c>
      <c r="HPY417" s="1717"/>
      <c r="HPZ417" s="1718"/>
      <c r="HQA417" s="1718"/>
      <c r="HQB417" s="1718"/>
      <c r="HQC417" s="1718"/>
      <c r="HQD417" s="246"/>
      <c r="HQE417" s="246" t="str">
        <f>BS!$D$5</f>
        <v>31 March 2026</v>
      </c>
      <c r="HQF417" s="247" t="str">
        <f>BS!$E$5</f>
        <v>31 March 2025</v>
      </c>
      <c r="HQG417" s="1717"/>
      <c r="HQH417" s="1718"/>
      <c r="HQI417" s="1718"/>
      <c r="HQJ417" s="1718"/>
      <c r="HQK417" s="1718"/>
      <c r="HQL417" s="246"/>
      <c r="HQM417" s="246" t="str">
        <f>BS!$D$5</f>
        <v>31 March 2026</v>
      </c>
      <c r="HQN417" s="247" t="str">
        <f>BS!$E$5</f>
        <v>31 March 2025</v>
      </c>
      <c r="HQO417" s="1717"/>
      <c r="HQP417" s="1718"/>
      <c r="HQQ417" s="1718"/>
      <c r="HQR417" s="1718"/>
      <c r="HQS417" s="1718"/>
      <c r="HQT417" s="246"/>
      <c r="HQU417" s="246" t="str">
        <f>BS!$D$5</f>
        <v>31 March 2026</v>
      </c>
      <c r="HQV417" s="247" t="str">
        <f>BS!$E$5</f>
        <v>31 March 2025</v>
      </c>
      <c r="HQW417" s="1717"/>
      <c r="HQX417" s="1718"/>
      <c r="HQY417" s="1718"/>
      <c r="HQZ417" s="1718"/>
      <c r="HRA417" s="1718"/>
      <c r="HRB417" s="246"/>
      <c r="HRC417" s="246" t="str">
        <f>BS!$D$5</f>
        <v>31 March 2026</v>
      </c>
      <c r="HRD417" s="247" t="str">
        <f>BS!$E$5</f>
        <v>31 March 2025</v>
      </c>
      <c r="HRE417" s="1717"/>
      <c r="HRF417" s="1718"/>
      <c r="HRG417" s="1718"/>
      <c r="HRH417" s="1718"/>
      <c r="HRI417" s="1718"/>
      <c r="HRJ417" s="246"/>
      <c r="HRK417" s="246" t="str">
        <f>BS!$D$5</f>
        <v>31 March 2026</v>
      </c>
      <c r="HRL417" s="247" t="str">
        <f>BS!$E$5</f>
        <v>31 March 2025</v>
      </c>
      <c r="HRM417" s="1717"/>
      <c r="HRN417" s="1718"/>
      <c r="HRO417" s="1718"/>
      <c r="HRP417" s="1718"/>
      <c r="HRQ417" s="1718"/>
      <c r="HRR417" s="246"/>
      <c r="HRS417" s="246" t="str">
        <f>BS!$D$5</f>
        <v>31 March 2026</v>
      </c>
      <c r="HRT417" s="247" t="str">
        <f>BS!$E$5</f>
        <v>31 March 2025</v>
      </c>
      <c r="HRU417" s="1717"/>
      <c r="HRV417" s="1718"/>
      <c r="HRW417" s="1718"/>
      <c r="HRX417" s="1718"/>
      <c r="HRY417" s="1718"/>
      <c r="HRZ417" s="246"/>
      <c r="HSA417" s="246" t="str">
        <f>BS!$D$5</f>
        <v>31 March 2026</v>
      </c>
      <c r="HSB417" s="247" t="str">
        <f>BS!$E$5</f>
        <v>31 March 2025</v>
      </c>
      <c r="HSC417" s="1717"/>
      <c r="HSD417" s="1718"/>
      <c r="HSE417" s="1718"/>
      <c r="HSF417" s="1718"/>
      <c r="HSG417" s="1718"/>
      <c r="HSH417" s="246"/>
      <c r="HSI417" s="246" t="str">
        <f>BS!$D$5</f>
        <v>31 March 2026</v>
      </c>
      <c r="HSJ417" s="247" t="str">
        <f>BS!$E$5</f>
        <v>31 March 2025</v>
      </c>
      <c r="HSK417" s="1717"/>
      <c r="HSL417" s="1718"/>
      <c r="HSM417" s="1718"/>
      <c r="HSN417" s="1718"/>
      <c r="HSO417" s="1718"/>
      <c r="HSP417" s="246"/>
      <c r="HSQ417" s="246" t="str">
        <f>BS!$D$5</f>
        <v>31 March 2026</v>
      </c>
      <c r="HSR417" s="247" t="str">
        <f>BS!$E$5</f>
        <v>31 March 2025</v>
      </c>
      <c r="HSS417" s="1717"/>
      <c r="HST417" s="1718"/>
      <c r="HSU417" s="1718"/>
      <c r="HSV417" s="1718"/>
      <c r="HSW417" s="1718"/>
      <c r="HSX417" s="246"/>
      <c r="HSY417" s="246" t="str">
        <f>BS!$D$5</f>
        <v>31 March 2026</v>
      </c>
      <c r="HSZ417" s="247" t="str">
        <f>BS!$E$5</f>
        <v>31 March 2025</v>
      </c>
      <c r="HTA417" s="1717"/>
      <c r="HTB417" s="1718"/>
      <c r="HTC417" s="1718"/>
      <c r="HTD417" s="1718"/>
      <c r="HTE417" s="1718"/>
      <c r="HTF417" s="246"/>
      <c r="HTG417" s="246" t="str">
        <f>BS!$D$5</f>
        <v>31 March 2026</v>
      </c>
      <c r="HTH417" s="247" t="str">
        <f>BS!$E$5</f>
        <v>31 March 2025</v>
      </c>
      <c r="HTI417" s="1717"/>
      <c r="HTJ417" s="1718"/>
      <c r="HTK417" s="1718"/>
      <c r="HTL417" s="1718"/>
      <c r="HTM417" s="1718"/>
      <c r="HTN417" s="246"/>
      <c r="HTO417" s="246" t="str">
        <f>BS!$D$5</f>
        <v>31 March 2026</v>
      </c>
      <c r="HTP417" s="247" t="str">
        <f>BS!$E$5</f>
        <v>31 March 2025</v>
      </c>
      <c r="HTQ417" s="1717"/>
      <c r="HTR417" s="1718"/>
      <c r="HTS417" s="1718"/>
      <c r="HTT417" s="1718"/>
      <c r="HTU417" s="1718"/>
      <c r="HTV417" s="246"/>
      <c r="HTW417" s="246" t="str">
        <f>BS!$D$5</f>
        <v>31 March 2026</v>
      </c>
      <c r="HTX417" s="247" t="str">
        <f>BS!$E$5</f>
        <v>31 March 2025</v>
      </c>
      <c r="HTY417" s="1717"/>
      <c r="HTZ417" s="1718"/>
      <c r="HUA417" s="1718"/>
      <c r="HUB417" s="1718"/>
      <c r="HUC417" s="1718"/>
      <c r="HUD417" s="246"/>
      <c r="HUE417" s="246" t="str">
        <f>BS!$D$5</f>
        <v>31 March 2026</v>
      </c>
      <c r="HUF417" s="247" t="str">
        <f>BS!$E$5</f>
        <v>31 March 2025</v>
      </c>
      <c r="HUG417" s="1717"/>
      <c r="HUH417" s="1718"/>
      <c r="HUI417" s="1718"/>
      <c r="HUJ417" s="1718"/>
      <c r="HUK417" s="1718"/>
      <c r="HUL417" s="246"/>
      <c r="HUM417" s="246" t="str">
        <f>BS!$D$5</f>
        <v>31 March 2026</v>
      </c>
      <c r="HUN417" s="247" t="str">
        <f>BS!$E$5</f>
        <v>31 March 2025</v>
      </c>
      <c r="HUO417" s="1717"/>
      <c r="HUP417" s="1718"/>
      <c r="HUQ417" s="1718"/>
      <c r="HUR417" s="1718"/>
      <c r="HUS417" s="1718"/>
      <c r="HUT417" s="246"/>
      <c r="HUU417" s="246" t="str">
        <f>BS!$D$5</f>
        <v>31 March 2026</v>
      </c>
      <c r="HUV417" s="247" t="str">
        <f>BS!$E$5</f>
        <v>31 March 2025</v>
      </c>
      <c r="HUW417" s="1717"/>
      <c r="HUX417" s="1718"/>
      <c r="HUY417" s="1718"/>
      <c r="HUZ417" s="1718"/>
      <c r="HVA417" s="1718"/>
      <c r="HVB417" s="246"/>
      <c r="HVC417" s="246" t="str">
        <f>BS!$D$5</f>
        <v>31 March 2026</v>
      </c>
      <c r="HVD417" s="247" t="str">
        <f>BS!$E$5</f>
        <v>31 March 2025</v>
      </c>
      <c r="HVE417" s="1717"/>
      <c r="HVF417" s="1718"/>
      <c r="HVG417" s="1718"/>
      <c r="HVH417" s="1718"/>
      <c r="HVI417" s="1718"/>
      <c r="HVJ417" s="246"/>
      <c r="HVK417" s="246" t="str">
        <f>BS!$D$5</f>
        <v>31 March 2026</v>
      </c>
      <c r="HVL417" s="247" t="str">
        <f>BS!$E$5</f>
        <v>31 March 2025</v>
      </c>
      <c r="HVM417" s="1717"/>
      <c r="HVN417" s="1718"/>
      <c r="HVO417" s="1718"/>
      <c r="HVP417" s="1718"/>
      <c r="HVQ417" s="1718"/>
      <c r="HVR417" s="246"/>
      <c r="HVS417" s="246" t="str">
        <f>BS!$D$5</f>
        <v>31 March 2026</v>
      </c>
      <c r="HVT417" s="247" t="str">
        <f>BS!$E$5</f>
        <v>31 March 2025</v>
      </c>
      <c r="HVU417" s="1717"/>
      <c r="HVV417" s="1718"/>
      <c r="HVW417" s="1718"/>
      <c r="HVX417" s="1718"/>
      <c r="HVY417" s="1718"/>
      <c r="HVZ417" s="246"/>
      <c r="HWA417" s="246" t="str">
        <f>BS!$D$5</f>
        <v>31 March 2026</v>
      </c>
      <c r="HWB417" s="247" t="str">
        <f>BS!$E$5</f>
        <v>31 March 2025</v>
      </c>
      <c r="HWC417" s="1717"/>
      <c r="HWD417" s="1718"/>
      <c r="HWE417" s="1718"/>
      <c r="HWF417" s="1718"/>
      <c r="HWG417" s="1718"/>
      <c r="HWH417" s="246"/>
      <c r="HWI417" s="246" t="str">
        <f>BS!$D$5</f>
        <v>31 March 2026</v>
      </c>
      <c r="HWJ417" s="247" t="str">
        <f>BS!$E$5</f>
        <v>31 March 2025</v>
      </c>
      <c r="HWK417" s="1717"/>
      <c r="HWL417" s="1718"/>
      <c r="HWM417" s="1718"/>
      <c r="HWN417" s="1718"/>
      <c r="HWO417" s="1718"/>
      <c r="HWP417" s="246"/>
      <c r="HWQ417" s="246" t="str">
        <f>BS!$D$5</f>
        <v>31 March 2026</v>
      </c>
      <c r="HWR417" s="247" t="str">
        <f>BS!$E$5</f>
        <v>31 March 2025</v>
      </c>
      <c r="HWS417" s="1717"/>
      <c r="HWT417" s="1718"/>
      <c r="HWU417" s="1718"/>
      <c r="HWV417" s="1718"/>
      <c r="HWW417" s="1718"/>
      <c r="HWX417" s="246"/>
      <c r="HWY417" s="246" t="str">
        <f>BS!$D$5</f>
        <v>31 March 2026</v>
      </c>
      <c r="HWZ417" s="247" t="str">
        <f>BS!$E$5</f>
        <v>31 March 2025</v>
      </c>
      <c r="HXA417" s="1717"/>
      <c r="HXB417" s="1718"/>
      <c r="HXC417" s="1718"/>
      <c r="HXD417" s="1718"/>
      <c r="HXE417" s="1718"/>
      <c r="HXF417" s="246"/>
      <c r="HXG417" s="246" t="str">
        <f>BS!$D$5</f>
        <v>31 March 2026</v>
      </c>
      <c r="HXH417" s="247" t="str">
        <f>BS!$E$5</f>
        <v>31 March 2025</v>
      </c>
      <c r="HXI417" s="1717"/>
      <c r="HXJ417" s="1718"/>
      <c r="HXK417" s="1718"/>
      <c r="HXL417" s="1718"/>
      <c r="HXM417" s="1718"/>
      <c r="HXN417" s="246"/>
      <c r="HXO417" s="246" t="str">
        <f>BS!$D$5</f>
        <v>31 March 2026</v>
      </c>
      <c r="HXP417" s="247" t="str">
        <f>BS!$E$5</f>
        <v>31 March 2025</v>
      </c>
      <c r="HXQ417" s="1717"/>
      <c r="HXR417" s="1718"/>
      <c r="HXS417" s="1718"/>
      <c r="HXT417" s="1718"/>
      <c r="HXU417" s="1718"/>
      <c r="HXV417" s="246"/>
      <c r="HXW417" s="246" t="str">
        <f>BS!$D$5</f>
        <v>31 March 2026</v>
      </c>
      <c r="HXX417" s="247" t="str">
        <f>BS!$E$5</f>
        <v>31 March 2025</v>
      </c>
      <c r="HXY417" s="1717"/>
      <c r="HXZ417" s="1718"/>
      <c r="HYA417" s="1718"/>
      <c r="HYB417" s="1718"/>
      <c r="HYC417" s="1718"/>
      <c r="HYD417" s="246"/>
      <c r="HYE417" s="246" t="str">
        <f>BS!$D$5</f>
        <v>31 March 2026</v>
      </c>
      <c r="HYF417" s="247" t="str">
        <f>BS!$E$5</f>
        <v>31 March 2025</v>
      </c>
      <c r="HYG417" s="1717"/>
      <c r="HYH417" s="1718"/>
      <c r="HYI417" s="1718"/>
      <c r="HYJ417" s="1718"/>
      <c r="HYK417" s="1718"/>
      <c r="HYL417" s="246"/>
      <c r="HYM417" s="246" t="str">
        <f>BS!$D$5</f>
        <v>31 March 2026</v>
      </c>
      <c r="HYN417" s="247" t="str">
        <f>BS!$E$5</f>
        <v>31 March 2025</v>
      </c>
      <c r="HYO417" s="1717"/>
      <c r="HYP417" s="1718"/>
      <c r="HYQ417" s="1718"/>
      <c r="HYR417" s="1718"/>
      <c r="HYS417" s="1718"/>
      <c r="HYT417" s="246"/>
      <c r="HYU417" s="246" t="str">
        <f>BS!$D$5</f>
        <v>31 March 2026</v>
      </c>
      <c r="HYV417" s="247" t="str">
        <f>BS!$E$5</f>
        <v>31 March 2025</v>
      </c>
      <c r="HYW417" s="1717"/>
      <c r="HYX417" s="1718"/>
      <c r="HYY417" s="1718"/>
      <c r="HYZ417" s="1718"/>
      <c r="HZA417" s="1718"/>
      <c r="HZB417" s="246"/>
      <c r="HZC417" s="246" t="str">
        <f>BS!$D$5</f>
        <v>31 March 2026</v>
      </c>
      <c r="HZD417" s="247" t="str">
        <f>BS!$E$5</f>
        <v>31 March 2025</v>
      </c>
      <c r="HZE417" s="1717"/>
      <c r="HZF417" s="1718"/>
      <c r="HZG417" s="1718"/>
      <c r="HZH417" s="1718"/>
      <c r="HZI417" s="1718"/>
      <c r="HZJ417" s="246"/>
      <c r="HZK417" s="246" t="str">
        <f>BS!$D$5</f>
        <v>31 March 2026</v>
      </c>
      <c r="HZL417" s="247" t="str">
        <f>BS!$E$5</f>
        <v>31 March 2025</v>
      </c>
      <c r="HZM417" s="1717"/>
      <c r="HZN417" s="1718"/>
      <c r="HZO417" s="1718"/>
      <c r="HZP417" s="1718"/>
      <c r="HZQ417" s="1718"/>
      <c r="HZR417" s="246"/>
      <c r="HZS417" s="246" t="str">
        <f>BS!$D$5</f>
        <v>31 March 2026</v>
      </c>
      <c r="HZT417" s="247" t="str">
        <f>BS!$E$5</f>
        <v>31 March 2025</v>
      </c>
      <c r="HZU417" s="1717"/>
      <c r="HZV417" s="1718"/>
      <c r="HZW417" s="1718"/>
      <c r="HZX417" s="1718"/>
      <c r="HZY417" s="1718"/>
      <c r="HZZ417" s="246"/>
      <c r="IAA417" s="246" t="str">
        <f>BS!$D$5</f>
        <v>31 March 2026</v>
      </c>
      <c r="IAB417" s="247" t="str">
        <f>BS!$E$5</f>
        <v>31 March 2025</v>
      </c>
      <c r="IAC417" s="1717"/>
      <c r="IAD417" s="1718"/>
      <c r="IAE417" s="1718"/>
      <c r="IAF417" s="1718"/>
      <c r="IAG417" s="1718"/>
      <c r="IAH417" s="246"/>
      <c r="IAI417" s="246" t="str">
        <f>BS!$D$5</f>
        <v>31 March 2026</v>
      </c>
      <c r="IAJ417" s="247" t="str">
        <f>BS!$E$5</f>
        <v>31 March 2025</v>
      </c>
      <c r="IAK417" s="1717"/>
      <c r="IAL417" s="1718"/>
      <c r="IAM417" s="1718"/>
      <c r="IAN417" s="1718"/>
      <c r="IAO417" s="1718"/>
      <c r="IAP417" s="246"/>
      <c r="IAQ417" s="246" t="str">
        <f>BS!$D$5</f>
        <v>31 March 2026</v>
      </c>
      <c r="IAR417" s="247" t="str">
        <f>BS!$E$5</f>
        <v>31 March 2025</v>
      </c>
      <c r="IAS417" s="1717"/>
      <c r="IAT417" s="1718"/>
      <c r="IAU417" s="1718"/>
      <c r="IAV417" s="1718"/>
      <c r="IAW417" s="1718"/>
      <c r="IAX417" s="246"/>
      <c r="IAY417" s="246" t="str">
        <f>BS!$D$5</f>
        <v>31 March 2026</v>
      </c>
      <c r="IAZ417" s="247" t="str">
        <f>BS!$E$5</f>
        <v>31 March 2025</v>
      </c>
      <c r="IBA417" s="1717"/>
      <c r="IBB417" s="1718"/>
      <c r="IBC417" s="1718"/>
      <c r="IBD417" s="1718"/>
      <c r="IBE417" s="1718"/>
      <c r="IBF417" s="246"/>
      <c r="IBG417" s="246" t="str">
        <f>BS!$D$5</f>
        <v>31 March 2026</v>
      </c>
      <c r="IBH417" s="247" t="str">
        <f>BS!$E$5</f>
        <v>31 March 2025</v>
      </c>
      <c r="IBI417" s="1717"/>
      <c r="IBJ417" s="1718"/>
      <c r="IBK417" s="1718"/>
      <c r="IBL417" s="1718"/>
      <c r="IBM417" s="1718"/>
      <c r="IBN417" s="246"/>
      <c r="IBO417" s="246" t="str">
        <f>BS!$D$5</f>
        <v>31 March 2026</v>
      </c>
      <c r="IBP417" s="247" t="str">
        <f>BS!$E$5</f>
        <v>31 March 2025</v>
      </c>
      <c r="IBQ417" s="1717"/>
      <c r="IBR417" s="1718"/>
      <c r="IBS417" s="1718"/>
      <c r="IBT417" s="1718"/>
      <c r="IBU417" s="1718"/>
      <c r="IBV417" s="246"/>
      <c r="IBW417" s="246" t="str">
        <f>BS!$D$5</f>
        <v>31 March 2026</v>
      </c>
      <c r="IBX417" s="247" t="str">
        <f>BS!$E$5</f>
        <v>31 March 2025</v>
      </c>
      <c r="IBY417" s="1717"/>
      <c r="IBZ417" s="1718"/>
      <c r="ICA417" s="1718"/>
      <c r="ICB417" s="1718"/>
      <c r="ICC417" s="1718"/>
      <c r="ICD417" s="246"/>
      <c r="ICE417" s="246" t="str">
        <f>BS!$D$5</f>
        <v>31 March 2026</v>
      </c>
      <c r="ICF417" s="247" t="str">
        <f>BS!$E$5</f>
        <v>31 March 2025</v>
      </c>
      <c r="ICG417" s="1717"/>
      <c r="ICH417" s="1718"/>
      <c r="ICI417" s="1718"/>
      <c r="ICJ417" s="1718"/>
      <c r="ICK417" s="1718"/>
      <c r="ICL417" s="246"/>
      <c r="ICM417" s="246" t="str">
        <f>BS!$D$5</f>
        <v>31 March 2026</v>
      </c>
      <c r="ICN417" s="247" t="str">
        <f>BS!$E$5</f>
        <v>31 March 2025</v>
      </c>
      <c r="ICO417" s="1717"/>
      <c r="ICP417" s="1718"/>
      <c r="ICQ417" s="1718"/>
      <c r="ICR417" s="1718"/>
      <c r="ICS417" s="1718"/>
      <c r="ICT417" s="246"/>
      <c r="ICU417" s="246" t="str">
        <f>BS!$D$5</f>
        <v>31 March 2026</v>
      </c>
      <c r="ICV417" s="247" t="str">
        <f>BS!$E$5</f>
        <v>31 March 2025</v>
      </c>
      <c r="ICW417" s="1717"/>
      <c r="ICX417" s="1718"/>
      <c r="ICY417" s="1718"/>
      <c r="ICZ417" s="1718"/>
      <c r="IDA417" s="1718"/>
      <c r="IDB417" s="246"/>
      <c r="IDC417" s="246" t="str">
        <f>BS!$D$5</f>
        <v>31 March 2026</v>
      </c>
      <c r="IDD417" s="247" t="str">
        <f>BS!$E$5</f>
        <v>31 March 2025</v>
      </c>
      <c r="IDE417" s="1717"/>
      <c r="IDF417" s="1718"/>
      <c r="IDG417" s="1718"/>
      <c r="IDH417" s="1718"/>
      <c r="IDI417" s="1718"/>
      <c r="IDJ417" s="246"/>
      <c r="IDK417" s="246" t="str">
        <f>BS!$D$5</f>
        <v>31 March 2026</v>
      </c>
      <c r="IDL417" s="247" t="str">
        <f>BS!$E$5</f>
        <v>31 March 2025</v>
      </c>
      <c r="IDM417" s="1717"/>
      <c r="IDN417" s="1718"/>
      <c r="IDO417" s="1718"/>
      <c r="IDP417" s="1718"/>
      <c r="IDQ417" s="1718"/>
      <c r="IDR417" s="246"/>
      <c r="IDS417" s="246" t="str">
        <f>BS!$D$5</f>
        <v>31 March 2026</v>
      </c>
      <c r="IDT417" s="247" t="str">
        <f>BS!$E$5</f>
        <v>31 March 2025</v>
      </c>
      <c r="IDU417" s="1717"/>
      <c r="IDV417" s="1718"/>
      <c r="IDW417" s="1718"/>
      <c r="IDX417" s="1718"/>
      <c r="IDY417" s="1718"/>
      <c r="IDZ417" s="246"/>
      <c r="IEA417" s="246" t="str">
        <f>BS!$D$5</f>
        <v>31 March 2026</v>
      </c>
      <c r="IEB417" s="247" t="str">
        <f>BS!$E$5</f>
        <v>31 March 2025</v>
      </c>
      <c r="IEC417" s="1717"/>
      <c r="IED417" s="1718"/>
      <c r="IEE417" s="1718"/>
      <c r="IEF417" s="1718"/>
      <c r="IEG417" s="1718"/>
      <c r="IEH417" s="246"/>
      <c r="IEI417" s="246" t="str">
        <f>BS!$D$5</f>
        <v>31 March 2026</v>
      </c>
      <c r="IEJ417" s="247" t="str">
        <f>BS!$E$5</f>
        <v>31 March 2025</v>
      </c>
      <c r="IEK417" s="1717"/>
      <c r="IEL417" s="1718"/>
      <c r="IEM417" s="1718"/>
      <c r="IEN417" s="1718"/>
      <c r="IEO417" s="1718"/>
      <c r="IEP417" s="246"/>
      <c r="IEQ417" s="246" t="str">
        <f>BS!$D$5</f>
        <v>31 March 2026</v>
      </c>
      <c r="IER417" s="247" t="str">
        <f>BS!$E$5</f>
        <v>31 March 2025</v>
      </c>
      <c r="IES417" s="1717"/>
      <c r="IET417" s="1718"/>
      <c r="IEU417" s="1718"/>
      <c r="IEV417" s="1718"/>
      <c r="IEW417" s="1718"/>
      <c r="IEX417" s="246"/>
      <c r="IEY417" s="246" t="str">
        <f>BS!$D$5</f>
        <v>31 March 2026</v>
      </c>
      <c r="IEZ417" s="247" t="str">
        <f>BS!$E$5</f>
        <v>31 March 2025</v>
      </c>
      <c r="IFA417" s="1717"/>
      <c r="IFB417" s="1718"/>
      <c r="IFC417" s="1718"/>
      <c r="IFD417" s="1718"/>
      <c r="IFE417" s="1718"/>
      <c r="IFF417" s="246"/>
      <c r="IFG417" s="246" t="str">
        <f>BS!$D$5</f>
        <v>31 March 2026</v>
      </c>
      <c r="IFH417" s="247" t="str">
        <f>BS!$E$5</f>
        <v>31 March 2025</v>
      </c>
      <c r="IFI417" s="1717"/>
      <c r="IFJ417" s="1718"/>
      <c r="IFK417" s="1718"/>
      <c r="IFL417" s="1718"/>
      <c r="IFM417" s="1718"/>
      <c r="IFN417" s="246"/>
      <c r="IFO417" s="246" t="str">
        <f>BS!$D$5</f>
        <v>31 March 2026</v>
      </c>
      <c r="IFP417" s="247" t="str">
        <f>BS!$E$5</f>
        <v>31 March 2025</v>
      </c>
      <c r="IFQ417" s="1717"/>
      <c r="IFR417" s="1718"/>
      <c r="IFS417" s="1718"/>
      <c r="IFT417" s="1718"/>
      <c r="IFU417" s="1718"/>
      <c r="IFV417" s="246"/>
      <c r="IFW417" s="246" t="str">
        <f>BS!$D$5</f>
        <v>31 March 2026</v>
      </c>
      <c r="IFX417" s="247" t="str">
        <f>BS!$E$5</f>
        <v>31 March 2025</v>
      </c>
      <c r="IFY417" s="1717"/>
      <c r="IFZ417" s="1718"/>
      <c r="IGA417" s="1718"/>
      <c r="IGB417" s="1718"/>
      <c r="IGC417" s="1718"/>
      <c r="IGD417" s="246"/>
      <c r="IGE417" s="246" t="str">
        <f>BS!$D$5</f>
        <v>31 March 2026</v>
      </c>
      <c r="IGF417" s="247" t="str">
        <f>BS!$E$5</f>
        <v>31 March 2025</v>
      </c>
      <c r="IGG417" s="1717"/>
      <c r="IGH417" s="1718"/>
      <c r="IGI417" s="1718"/>
      <c r="IGJ417" s="1718"/>
      <c r="IGK417" s="1718"/>
      <c r="IGL417" s="246"/>
      <c r="IGM417" s="246" t="str">
        <f>BS!$D$5</f>
        <v>31 March 2026</v>
      </c>
      <c r="IGN417" s="247" t="str">
        <f>BS!$E$5</f>
        <v>31 March 2025</v>
      </c>
      <c r="IGO417" s="1717"/>
      <c r="IGP417" s="1718"/>
      <c r="IGQ417" s="1718"/>
      <c r="IGR417" s="1718"/>
      <c r="IGS417" s="1718"/>
      <c r="IGT417" s="246"/>
      <c r="IGU417" s="246" t="str">
        <f>BS!$D$5</f>
        <v>31 March 2026</v>
      </c>
      <c r="IGV417" s="247" t="str">
        <f>BS!$E$5</f>
        <v>31 March 2025</v>
      </c>
      <c r="IGW417" s="1717"/>
      <c r="IGX417" s="1718"/>
      <c r="IGY417" s="1718"/>
      <c r="IGZ417" s="1718"/>
      <c r="IHA417" s="1718"/>
      <c r="IHB417" s="246"/>
      <c r="IHC417" s="246" t="str">
        <f>BS!$D$5</f>
        <v>31 March 2026</v>
      </c>
      <c r="IHD417" s="247" t="str">
        <f>BS!$E$5</f>
        <v>31 March 2025</v>
      </c>
      <c r="IHE417" s="1717"/>
      <c r="IHF417" s="1718"/>
      <c r="IHG417" s="1718"/>
      <c r="IHH417" s="1718"/>
      <c r="IHI417" s="1718"/>
      <c r="IHJ417" s="246"/>
      <c r="IHK417" s="246" t="str">
        <f>BS!$D$5</f>
        <v>31 March 2026</v>
      </c>
      <c r="IHL417" s="247" t="str">
        <f>BS!$E$5</f>
        <v>31 March 2025</v>
      </c>
      <c r="IHM417" s="1717"/>
      <c r="IHN417" s="1718"/>
      <c r="IHO417" s="1718"/>
      <c r="IHP417" s="1718"/>
      <c r="IHQ417" s="1718"/>
      <c r="IHR417" s="246"/>
      <c r="IHS417" s="246" t="str">
        <f>BS!$D$5</f>
        <v>31 March 2026</v>
      </c>
      <c r="IHT417" s="247" t="str">
        <f>BS!$E$5</f>
        <v>31 March 2025</v>
      </c>
      <c r="IHU417" s="1717"/>
      <c r="IHV417" s="1718"/>
      <c r="IHW417" s="1718"/>
      <c r="IHX417" s="1718"/>
      <c r="IHY417" s="1718"/>
      <c r="IHZ417" s="246"/>
      <c r="IIA417" s="246" t="str">
        <f>BS!$D$5</f>
        <v>31 March 2026</v>
      </c>
      <c r="IIB417" s="247" t="str">
        <f>BS!$E$5</f>
        <v>31 March 2025</v>
      </c>
      <c r="IIC417" s="1717"/>
      <c r="IID417" s="1718"/>
      <c r="IIE417" s="1718"/>
      <c r="IIF417" s="1718"/>
      <c r="IIG417" s="1718"/>
      <c r="IIH417" s="246"/>
      <c r="III417" s="246" t="str">
        <f>BS!$D$5</f>
        <v>31 March 2026</v>
      </c>
      <c r="IIJ417" s="247" t="str">
        <f>BS!$E$5</f>
        <v>31 March 2025</v>
      </c>
      <c r="IIK417" s="1717"/>
      <c r="IIL417" s="1718"/>
      <c r="IIM417" s="1718"/>
      <c r="IIN417" s="1718"/>
      <c r="IIO417" s="1718"/>
      <c r="IIP417" s="246"/>
      <c r="IIQ417" s="246" t="str">
        <f>BS!$D$5</f>
        <v>31 March 2026</v>
      </c>
      <c r="IIR417" s="247" t="str">
        <f>BS!$E$5</f>
        <v>31 March 2025</v>
      </c>
      <c r="IIS417" s="1717"/>
      <c r="IIT417" s="1718"/>
      <c r="IIU417" s="1718"/>
      <c r="IIV417" s="1718"/>
      <c r="IIW417" s="1718"/>
      <c r="IIX417" s="246"/>
      <c r="IIY417" s="246" t="str">
        <f>BS!$D$5</f>
        <v>31 March 2026</v>
      </c>
      <c r="IIZ417" s="247" t="str">
        <f>BS!$E$5</f>
        <v>31 March 2025</v>
      </c>
      <c r="IJA417" s="1717"/>
      <c r="IJB417" s="1718"/>
      <c r="IJC417" s="1718"/>
      <c r="IJD417" s="1718"/>
      <c r="IJE417" s="1718"/>
      <c r="IJF417" s="246"/>
      <c r="IJG417" s="246" t="str">
        <f>BS!$D$5</f>
        <v>31 March 2026</v>
      </c>
      <c r="IJH417" s="247" t="str">
        <f>BS!$E$5</f>
        <v>31 March 2025</v>
      </c>
      <c r="IJI417" s="1717"/>
      <c r="IJJ417" s="1718"/>
      <c r="IJK417" s="1718"/>
      <c r="IJL417" s="1718"/>
      <c r="IJM417" s="1718"/>
      <c r="IJN417" s="246"/>
      <c r="IJO417" s="246" t="str">
        <f>BS!$D$5</f>
        <v>31 March 2026</v>
      </c>
      <c r="IJP417" s="247" t="str">
        <f>BS!$E$5</f>
        <v>31 March 2025</v>
      </c>
      <c r="IJQ417" s="1717"/>
      <c r="IJR417" s="1718"/>
      <c r="IJS417" s="1718"/>
      <c r="IJT417" s="1718"/>
      <c r="IJU417" s="1718"/>
      <c r="IJV417" s="246"/>
      <c r="IJW417" s="246" t="str">
        <f>BS!$D$5</f>
        <v>31 March 2026</v>
      </c>
      <c r="IJX417" s="247" t="str">
        <f>BS!$E$5</f>
        <v>31 March 2025</v>
      </c>
      <c r="IJY417" s="1717"/>
      <c r="IJZ417" s="1718"/>
      <c r="IKA417" s="1718"/>
      <c r="IKB417" s="1718"/>
      <c r="IKC417" s="1718"/>
      <c r="IKD417" s="246"/>
      <c r="IKE417" s="246" t="str">
        <f>BS!$D$5</f>
        <v>31 March 2026</v>
      </c>
      <c r="IKF417" s="247" t="str">
        <f>BS!$E$5</f>
        <v>31 March 2025</v>
      </c>
      <c r="IKG417" s="1717"/>
      <c r="IKH417" s="1718"/>
      <c r="IKI417" s="1718"/>
      <c r="IKJ417" s="1718"/>
      <c r="IKK417" s="1718"/>
      <c r="IKL417" s="246"/>
      <c r="IKM417" s="246" t="str">
        <f>BS!$D$5</f>
        <v>31 March 2026</v>
      </c>
      <c r="IKN417" s="247" t="str">
        <f>BS!$E$5</f>
        <v>31 March 2025</v>
      </c>
      <c r="IKO417" s="1717"/>
      <c r="IKP417" s="1718"/>
      <c r="IKQ417" s="1718"/>
      <c r="IKR417" s="1718"/>
      <c r="IKS417" s="1718"/>
      <c r="IKT417" s="246"/>
      <c r="IKU417" s="246" t="str">
        <f>BS!$D$5</f>
        <v>31 March 2026</v>
      </c>
      <c r="IKV417" s="247" t="str">
        <f>BS!$E$5</f>
        <v>31 March 2025</v>
      </c>
      <c r="IKW417" s="1717"/>
      <c r="IKX417" s="1718"/>
      <c r="IKY417" s="1718"/>
      <c r="IKZ417" s="1718"/>
      <c r="ILA417" s="1718"/>
      <c r="ILB417" s="246"/>
      <c r="ILC417" s="246" t="str">
        <f>BS!$D$5</f>
        <v>31 March 2026</v>
      </c>
      <c r="ILD417" s="247" t="str">
        <f>BS!$E$5</f>
        <v>31 March 2025</v>
      </c>
      <c r="ILE417" s="1717"/>
      <c r="ILF417" s="1718"/>
      <c r="ILG417" s="1718"/>
      <c r="ILH417" s="1718"/>
      <c r="ILI417" s="1718"/>
      <c r="ILJ417" s="246"/>
      <c r="ILK417" s="246" t="str">
        <f>BS!$D$5</f>
        <v>31 March 2026</v>
      </c>
      <c r="ILL417" s="247" t="str">
        <f>BS!$E$5</f>
        <v>31 March 2025</v>
      </c>
      <c r="ILM417" s="1717"/>
      <c r="ILN417" s="1718"/>
      <c r="ILO417" s="1718"/>
      <c r="ILP417" s="1718"/>
      <c r="ILQ417" s="1718"/>
      <c r="ILR417" s="246"/>
      <c r="ILS417" s="246" t="str">
        <f>BS!$D$5</f>
        <v>31 March 2026</v>
      </c>
      <c r="ILT417" s="247" t="str">
        <f>BS!$E$5</f>
        <v>31 March 2025</v>
      </c>
      <c r="ILU417" s="1717"/>
      <c r="ILV417" s="1718"/>
      <c r="ILW417" s="1718"/>
      <c r="ILX417" s="1718"/>
      <c r="ILY417" s="1718"/>
      <c r="ILZ417" s="246"/>
      <c r="IMA417" s="246" t="str">
        <f>BS!$D$5</f>
        <v>31 March 2026</v>
      </c>
      <c r="IMB417" s="247" t="str">
        <f>BS!$E$5</f>
        <v>31 March 2025</v>
      </c>
      <c r="IMC417" s="1717"/>
      <c r="IMD417" s="1718"/>
      <c r="IME417" s="1718"/>
      <c r="IMF417" s="1718"/>
      <c r="IMG417" s="1718"/>
      <c r="IMH417" s="246"/>
      <c r="IMI417" s="246" t="str">
        <f>BS!$D$5</f>
        <v>31 March 2026</v>
      </c>
      <c r="IMJ417" s="247" t="str">
        <f>BS!$E$5</f>
        <v>31 March 2025</v>
      </c>
      <c r="IMK417" s="1717"/>
      <c r="IML417" s="1718"/>
      <c r="IMM417" s="1718"/>
      <c r="IMN417" s="1718"/>
      <c r="IMO417" s="1718"/>
      <c r="IMP417" s="246"/>
      <c r="IMQ417" s="246" t="str">
        <f>BS!$D$5</f>
        <v>31 March 2026</v>
      </c>
      <c r="IMR417" s="247" t="str">
        <f>BS!$E$5</f>
        <v>31 March 2025</v>
      </c>
      <c r="IMS417" s="1717"/>
      <c r="IMT417" s="1718"/>
      <c r="IMU417" s="1718"/>
      <c r="IMV417" s="1718"/>
      <c r="IMW417" s="1718"/>
      <c r="IMX417" s="246"/>
      <c r="IMY417" s="246" t="str">
        <f>BS!$D$5</f>
        <v>31 March 2026</v>
      </c>
      <c r="IMZ417" s="247" t="str">
        <f>BS!$E$5</f>
        <v>31 March 2025</v>
      </c>
      <c r="INA417" s="1717"/>
      <c r="INB417" s="1718"/>
      <c r="INC417" s="1718"/>
      <c r="IND417" s="1718"/>
      <c r="INE417" s="1718"/>
      <c r="INF417" s="246"/>
      <c r="ING417" s="246" t="str">
        <f>BS!$D$5</f>
        <v>31 March 2026</v>
      </c>
      <c r="INH417" s="247" t="str">
        <f>BS!$E$5</f>
        <v>31 March 2025</v>
      </c>
      <c r="INI417" s="1717"/>
      <c r="INJ417" s="1718"/>
      <c r="INK417" s="1718"/>
      <c r="INL417" s="1718"/>
      <c r="INM417" s="1718"/>
      <c r="INN417" s="246"/>
      <c r="INO417" s="246" t="str">
        <f>BS!$D$5</f>
        <v>31 March 2026</v>
      </c>
      <c r="INP417" s="247" t="str">
        <f>BS!$E$5</f>
        <v>31 March 2025</v>
      </c>
      <c r="INQ417" s="1717"/>
      <c r="INR417" s="1718"/>
      <c r="INS417" s="1718"/>
      <c r="INT417" s="1718"/>
      <c r="INU417" s="1718"/>
      <c r="INV417" s="246"/>
      <c r="INW417" s="246" t="str">
        <f>BS!$D$5</f>
        <v>31 March 2026</v>
      </c>
      <c r="INX417" s="247" t="str">
        <f>BS!$E$5</f>
        <v>31 March 2025</v>
      </c>
      <c r="INY417" s="1717"/>
      <c r="INZ417" s="1718"/>
      <c r="IOA417" s="1718"/>
      <c r="IOB417" s="1718"/>
      <c r="IOC417" s="1718"/>
      <c r="IOD417" s="246"/>
      <c r="IOE417" s="246" t="str">
        <f>BS!$D$5</f>
        <v>31 March 2026</v>
      </c>
      <c r="IOF417" s="247" t="str">
        <f>BS!$E$5</f>
        <v>31 March 2025</v>
      </c>
      <c r="IOG417" s="1717"/>
      <c r="IOH417" s="1718"/>
      <c r="IOI417" s="1718"/>
      <c r="IOJ417" s="1718"/>
      <c r="IOK417" s="1718"/>
      <c r="IOL417" s="246"/>
      <c r="IOM417" s="246" t="str">
        <f>BS!$D$5</f>
        <v>31 March 2026</v>
      </c>
      <c r="ION417" s="247" t="str">
        <f>BS!$E$5</f>
        <v>31 March 2025</v>
      </c>
      <c r="IOO417" s="1717"/>
      <c r="IOP417" s="1718"/>
      <c r="IOQ417" s="1718"/>
      <c r="IOR417" s="1718"/>
      <c r="IOS417" s="1718"/>
      <c r="IOT417" s="246"/>
      <c r="IOU417" s="246" t="str">
        <f>BS!$D$5</f>
        <v>31 March 2026</v>
      </c>
      <c r="IOV417" s="247" t="str">
        <f>BS!$E$5</f>
        <v>31 March 2025</v>
      </c>
      <c r="IOW417" s="1717"/>
      <c r="IOX417" s="1718"/>
      <c r="IOY417" s="1718"/>
      <c r="IOZ417" s="1718"/>
      <c r="IPA417" s="1718"/>
      <c r="IPB417" s="246"/>
      <c r="IPC417" s="246" t="str">
        <f>BS!$D$5</f>
        <v>31 March 2026</v>
      </c>
      <c r="IPD417" s="247" t="str">
        <f>BS!$E$5</f>
        <v>31 March 2025</v>
      </c>
      <c r="IPE417" s="1717"/>
      <c r="IPF417" s="1718"/>
      <c r="IPG417" s="1718"/>
      <c r="IPH417" s="1718"/>
      <c r="IPI417" s="1718"/>
      <c r="IPJ417" s="246"/>
      <c r="IPK417" s="246" t="str">
        <f>BS!$D$5</f>
        <v>31 March 2026</v>
      </c>
      <c r="IPL417" s="247" t="str">
        <f>BS!$E$5</f>
        <v>31 March 2025</v>
      </c>
      <c r="IPM417" s="1717"/>
      <c r="IPN417" s="1718"/>
      <c r="IPO417" s="1718"/>
      <c r="IPP417" s="1718"/>
      <c r="IPQ417" s="1718"/>
      <c r="IPR417" s="246"/>
      <c r="IPS417" s="246" t="str">
        <f>BS!$D$5</f>
        <v>31 March 2026</v>
      </c>
      <c r="IPT417" s="247" t="str">
        <f>BS!$E$5</f>
        <v>31 March 2025</v>
      </c>
      <c r="IPU417" s="1717"/>
      <c r="IPV417" s="1718"/>
      <c r="IPW417" s="1718"/>
      <c r="IPX417" s="1718"/>
      <c r="IPY417" s="1718"/>
      <c r="IPZ417" s="246"/>
      <c r="IQA417" s="246" t="str">
        <f>BS!$D$5</f>
        <v>31 March 2026</v>
      </c>
      <c r="IQB417" s="247" t="str">
        <f>BS!$E$5</f>
        <v>31 March 2025</v>
      </c>
      <c r="IQC417" s="1717"/>
      <c r="IQD417" s="1718"/>
      <c r="IQE417" s="1718"/>
      <c r="IQF417" s="1718"/>
      <c r="IQG417" s="1718"/>
      <c r="IQH417" s="246"/>
      <c r="IQI417" s="246" t="str">
        <f>BS!$D$5</f>
        <v>31 March 2026</v>
      </c>
      <c r="IQJ417" s="247" t="str">
        <f>BS!$E$5</f>
        <v>31 March 2025</v>
      </c>
      <c r="IQK417" s="1717"/>
      <c r="IQL417" s="1718"/>
      <c r="IQM417" s="1718"/>
      <c r="IQN417" s="1718"/>
      <c r="IQO417" s="1718"/>
      <c r="IQP417" s="246"/>
      <c r="IQQ417" s="246" t="str">
        <f>BS!$D$5</f>
        <v>31 March 2026</v>
      </c>
      <c r="IQR417" s="247" t="str">
        <f>BS!$E$5</f>
        <v>31 March 2025</v>
      </c>
      <c r="IQS417" s="1717"/>
      <c r="IQT417" s="1718"/>
      <c r="IQU417" s="1718"/>
      <c r="IQV417" s="1718"/>
      <c r="IQW417" s="1718"/>
      <c r="IQX417" s="246"/>
      <c r="IQY417" s="246" t="str">
        <f>BS!$D$5</f>
        <v>31 March 2026</v>
      </c>
      <c r="IQZ417" s="247" t="str">
        <f>BS!$E$5</f>
        <v>31 March 2025</v>
      </c>
      <c r="IRA417" s="1717"/>
      <c r="IRB417" s="1718"/>
      <c r="IRC417" s="1718"/>
      <c r="IRD417" s="1718"/>
      <c r="IRE417" s="1718"/>
      <c r="IRF417" s="246"/>
      <c r="IRG417" s="246" t="str">
        <f>BS!$D$5</f>
        <v>31 March 2026</v>
      </c>
      <c r="IRH417" s="247" t="str">
        <f>BS!$E$5</f>
        <v>31 March 2025</v>
      </c>
      <c r="IRI417" s="1717"/>
      <c r="IRJ417" s="1718"/>
      <c r="IRK417" s="1718"/>
      <c r="IRL417" s="1718"/>
      <c r="IRM417" s="1718"/>
      <c r="IRN417" s="246"/>
      <c r="IRO417" s="246" t="str">
        <f>BS!$D$5</f>
        <v>31 March 2026</v>
      </c>
      <c r="IRP417" s="247" t="str">
        <f>BS!$E$5</f>
        <v>31 March 2025</v>
      </c>
      <c r="IRQ417" s="1717"/>
      <c r="IRR417" s="1718"/>
      <c r="IRS417" s="1718"/>
      <c r="IRT417" s="1718"/>
      <c r="IRU417" s="1718"/>
      <c r="IRV417" s="246"/>
      <c r="IRW417" s="246" t="str">
        <f>BS!$D$5</f>
        <v>31 March 2026</v>
      </c>
      <c r="IRX417" s="247" t="str">
        <f>BS!$E$5</f>
        <v>31 March 2025</v>
      </c>
      <c r="IRY417" s="1717"/>
      <c r="IRZ417" s="1718"/>
      <c r="ISA417" s="1718"/>
      <c r="ISB417" s="1718"/>
      <c r="ISC417" s="1718"/>
      <c r="ISD417" s="246"/>
      <c r="ISE417" s="246" t="str">
        <f>BS!$D$5</f>
        <v>31 March 2026</v>
      </c>
      <c r="ISF417" s="247" t="str">
        <f>BS!$E$5</f>
        <v>31 March 2025</v>
      </c>
      <c r="ISG417" s="1717"/>
      <c r="ISH417" s="1718"/>
      <c r="ISI417" s="1718"/>
      <c r="ISJ417" s="1718"/>
      <c r="ISK417" s="1718"/>
      <c r="ISL417" s="246"/>
      <c r="ISM417" s="246" t="str">
        <f>BS!$D$5</f>
        <v>31 March 2026</v>
      </c>
      <c r="ISN417" s="247" t="str">
        <f>BS!$E$5</f>
        <v>31 March 2025</v>
      </c>
      <c r="ISO417" s="1717"/>
      <c r="ISP417" s="1718"/>
      <c r="ISQ417" s="1718"/>
      <c r="ISR417" s="1718"/>
      <c r="ISS417" s="1718"/>
      <c r="IST417" s="246"/>
      <c r="ISU417" s="246" t="str">
        <f>BS!$D$5</f>
        <v>31 March 2026</v>
      </c>
      <c r="ISV417" s="247" t="str">
        <f>BS!$E$5</f>
        <v>31 March 2025</v>
      </c>
      <c r="ISW417" s="1717"/>
      <c r="ISX417" s="1718"/>
      <c r="ISY417" s="1718"/>
      <c r="ISZ417" s="1718"/>
      <c r="ITA417" s="1718"/>
      <c r="ITB417" s="246"/>
      <c r="ITC417" s="246" t="str">
        <f>BS!$D$5</f>
        <v>31 March 2026</v>
      </c>
      <c r="ITD417" s="247" t="str">
        <f>BS!$E$5</f>
        <v>31 March 2025</v>
      </c>
      <c r="ITE417" s="1717"/>
      <c r="ITF417" s="1718"/>
      <c r="ITG417" s="1718"/>
      <c r="ITH417" s="1718"/>
      <c r="ITI417" s="1718"/>
      <c r="ITJ417" s="246"/>
      <c r="ITK417" s="246" t="str">
        <f>BS!$D$5</f>
        <v>31 March 2026</v>
      </c>
      <c r="ITL417" s="247" t="str">
        <f>BS!$E$5</f>
        <v>31 March 2025</v>
      </c>
      <c r="ITM417" s="1717"/>
      <c r="ITN417" s="1718"/>
      <c r="ITO417" s="1718"/>
      <c r="ITP417" s="1718"/>
      <c r="ITQ417" s="1718"/>
      <c r="ITR417" s="246"/>
      <c r="ITS417" s="246" t="str">
        <f>BS!$D$5</f>
        <v>31 March 2026</v>
      </c>
      <c r="ITT417" s="247" t="str">
        <f>BS!$E$5</f>
        <v>31 March 2025</v>
      </c>
      <c r="ITU417" s="1717"/>
      <c r="ITV417" s="1718"/>
      <c r="ITW417" s="1718"/>
      <c r="ITX417" s="1718"/>
      <c r="ITY417" s="1718"/>
      <c r="ITZ417" s="246"/>
      <c r="IUA417" s="246" t="str">
        <f>BS!$D$5</f>
        <v>31 March 2026</v>
      </c>
      <c r="IUB417" s="247" t="str">
        <f>BS!$E$5</f>
        <v>31 March 2025</v>
      </c>
      <c r="IUC417" s="1717"/>
      <c r="IUD417" s="1718"/>
      <c r="IUE417" s="1718"/>
      <c r="IUF417" s="1718"/>
      <c r="IUG417" s="1718"/>
      <c r="IUH417" s="246"/>
      <c r="IUI417" s="246" t="str">
        <f>BS!$D$5</f>
        <v>31 March 2026</v>
      </c>
      <c r="IUJ417" s="247" t="str">
        <f>BS!$E$5</f>
        <v>31 March 2025</v>
      </c>
      <c r="IUK417" s="1717"/>
      <c r="IUL417" s="1718"/>
      <c r="IUM417" s="1718"/>
      <c r="IUN417" s="1718"/>
      <c r="IUO417" s="1718"/>
      <c r="IUP417" s="246"/>
      <c r="IUQ417" s="246" t="str">
        <f>BS!$D$5</f>
        <v>31 March 2026</v>
      </c>
      <c r="IUR417" s="247" t="str">
        <f>BS!$E$5</f>
        <v>31 March 2025</v>
      </c>
      <c r="IUS417" s="1717"/>
      <c r="IUT417" s="1718"/>
      <c r="IUU417" s="1718"/>
      <c r="IUV417" s="1718"/>
      <c r="IUW417" s="1718"/>
      <c r="IUX417" s="246"/>
      <c r="IUY417" s="246" t="str">
        <f>BS!$D$5</f>
        <v>31 March 2026</v>
      </c>
      <c r="IUZ417" s="247" t="str">
        <f>BS!$E$5</f>
        <v>31 March 2025</v>
      </c>
      <c r="IVA417" s="1717"/>
      <c r="IVB417" s="1718"/>
      <c r="IVC417" s="1718"/>
      <c r="IVD417" s="1718"/>
      <c r="IVE417" s="1718"/>
      <c r="IVF417" s="246"/>
      <c r="IVG417" s="246" t="str">
        <f>BS!$D$5</f>
        <v>31 March 2026</v>
      </c>
      <c r="IVH417" s="247" t="str">
        <f>BS!$E$5</f>
        <v>31 March 2025</v>
      </c>
      <c r="IVI417" s="1717"/>
      <c r="IVJ417" s="1718"/>
      <c r="IVK417" s="1718"/>
      <c r="IVL417" s="1718"/>
      <c r="IVM417" s="1718"/>
      <c r="IVN417" s="246"/>
      <c r="IVO417" s="246" t="str">
        <f>BS!$D$5</f>
        <v>31 March 2026</v>
      </c>
      <c r="IVP417" s="247" t="str">
        <f>BS!$E$5</f>
        <v>31 March 2025</v>
      </c>
      <c r="IVQ417" s="1717"/>
      <c r="IVR417" s="1718"/>
      <c r="IVS417" s="1718"/>
      <c r="IVT417" s="1718"/>
      <c r="IVU417" s="1718"/>
      <c r="IVV417" s="246"/>
      <c r="IVW417" s="246" t="str">
        <f>BS!$D$5</f>
        <v>31 March 2026</v>
      </c>
      <c r="IVX417" s="247" t="str">
        <f>BS!$E$5</f>
        <v>31 March 2025</v>
      </c>
      <c r="IVY417" s="1717"/>
      <c r="IVZ417" s="1718"/>
      <c r="IWA417" s="1718"/>
      <c r="IWB417" s="1718"/>
      <c r="IWC417" s="1718"/>
      <c r="IWD417" s="246"/>
      <c r="IWE417" s="246" t="str">
        <f>BS!$D$5</f>
        <v>31 March 2026</v>
      </c>
      <c r="IWF417" s="247" t="str">
        <f>BS!$E$5</f>
        <v>31 March 2025</v>
      </c>
      <c r="IWG417" s="1717"/>
      <c r="IWH417" s="1718"/>
      <c r="IWI417" s="1718"/>
      <c r="IWJ417" s="1718"/>
      <c r="IWK417" s="1718"/>
      <c r="IWL417" s="246"/>
      <c r="IWM417" s="246" t="str">
        <f>BS!$D$5</f>
        <v>31 March 2026</v>
      </c>
      <c r="IWN417" s="247" t="str">
        <f>BS!$E$5</f>
        <v>31 March 2025</v>
      </c>
      <c r="IWO417" s="1717"/>
      <c r="IWP417" s="1718"/>
      <c r="IWQ417" s="1718"/>
      <c r="IWR417" s="1718"/>
      <c r="IWS417" s="1718"/>
      <c r="IWT417" s="246"/>
      <c r="IWU417" s="246" t="str">
        <f>BS!$D$5</f>
        <v>31 March 2026</v>
      </c>
      <c r="IWV417" s="247" t="str">
        <f>BS!$E$5</f>
        <v>31 March 2025</v>
      </c>
      <c r="IWW417" s="1717"/>
      <c r="IWX417" s="1718"/>
      <c r="IWY417" s="1718"/>
      <c r="IWZ417" s="1718"/>
      <c r="IXA417" s="1718"/>
      <c r="IXB417" s="246"/>
      <c r="IXC417" s="246" t="str">
        <f>BS!$D$5</f>
        <v>31 March 2026</v>
      </c>
      <c r="IXD417" s="247" t="str">
        <f>BS!$E$5</f>
        <v>31 March 2025</v>
      </c>
      <c r="IXE417" s="1717"/>
      <c r="IXF417" s="1718"/>
      <c r="IXG417" s="1718"/>
      <c r="IXH417" s="1718"/>
      <c r="IXI417" s="1718"/>
      <c r="IXJ417" s="246"/>
      <c r="IXK417" s="246" t="str">
        <f>BS!$D$5</f>
        <v>31 March 2026</v>
      </c>
      <c r="IXL417" s="247" t="str">
        <f>BS!$E$5</f>
        <v>31 March 2025</v>
      </c>
      <c r="IXM417" s="1717"/>
      <c r="IXN417" s="1718"/>
      <c r="IXO417" s="1718"/>
      <c r="IXP417" s="1718"/>
      <c r="IXQ417" s="1718"/>
      <c r="IXR417" s="246"/>
      <c r="IXS417" s="246" t="str">
        <f>BS!$D$5</f>
        <v>31 March 2026</v>
      </c>
      <c r="IXT417" s="247" t="str">
        <f>BS!$E$5</f>
        <v>31 March 2025</v>
      </c>
      <c r="IXU417" s="1717"/>
      <c r="IXV417" s="1718"/>
      <c r="IXW417" s="1718"/>
      <c r="IXX417" s="1718"/>
      <c r="IXY417" s="1718"/>
      <c r="IXZ417" s="246"/>
      <c r="IYA417" s="246" t="str">
        <f>BS!$D$5</f>
        <v>31 March 2026</v>
      </c>
      <c r="IYB417" s="247" t="str">
        <f>BS!$E$5</f>
        <v>31 March 2025</v>
      </c>
      <c r="IYC417" s="1717"/>
      <c r="IYD417" s="1718"/>
      <c r="IYE417" s="1718"/>
      <c r="IYF417" s="1718"/>
      <c r="IYG417" s="1718"/>
      <c r="IYH417" s="246"/>
      <c r="IYI417" s="246" t="str">
        <f>BS!$D$5</f>
        <v>31 March 2026</v>
      </c>
      <c r="IYJ417" s="247" t="str">
        <f>BS!$E$5</f>
        <v>31 March 2025</v>
      </c>
      <c r="IYK417" s="1717"/>
      <c r="IYL417" s="1718"/>
      <c r="IYM417" s="1718"/>
      <c r="IYN417" s="1718"/>
      <c r="IYO417" s="1718"/>
      <c r="IYP417" s="246"/>
      <c r="IYQ417" s="246" t="str">
        <f>BS!$D$5</f>
        <v>31 March 2026</v>
      </c>
      <c r="IYR417" s="247" t="str">
        <f>BS!$E$5</f>
        <v>31 March 2025</v>
      </c>
      <c r="IYS417" s="1717"/>
      <c r="IYT417" s="1718"/>
      <c r="IYU417" s="1718"/>
      <c r="IYV417" s="1718"/>
      <c r="IYW417" s="1718"/>
      <c r="IYX417" s="246"/>
      <c r="IYY417" s="246" t="str">
        <f>BS!$D$5</f>
        <v>31 March 2026</v>
      </c>
      <c r="IYZ417" s="247" t="str">
        <f>BS!$E$5</f>
        <v>31 March 2025</v>
      </c>
      <c r="IZA417" s="1717"/>
      <c r="IZB417" s="1718"/>
      <c r="IZC417" s="1718"/>
      <c r="IZD417" s="1718"/>
      <c r="IZE417" s="1718"/>
      <c r="IZF417" s="246"/>
      <c r="IZG417" s="246" t="str">
        <f>BS!$D$5</f>
        <v>31 March 2026</v>
      </c>
      <c r="IZH417" s="247" t="str">
        <f>BS!$E$5</f>
        <v>31 March 2025</v>
      </c>
      <c r="IZI417" s="1717"/>
      <c r="IZJ417" s="1718"/>
      <c r="IZK417" s="1718"/>
      <c r="IZL417" s="1718"/>
      <c r="IZM417" s="1718"/>
      <c r="IZN417" s="246"/>
      <c r="IZO417" s="246" t="str">
        <f>BS!$D$5</f>
        <v>31 March 2026</v>
      </c>
      <c r="IZP417" s="247" t="str">
        <f>BS!$E$5</f>
        <v>31 March 2025</v>
      </c>
      <c r="IZQ417" s="1717"/>
      <c r="IZR417" s="1718"/>
      <c r="IZS417" s="1718"/>
      <c r="IZT417" s="1718"/>
      <c r="IZU417" s="1718"/>
      <c r="IZV417" s="246"/>
      <c r="IZW417" s="246" t="str">
        <f>BS!$D$5</f>
        <v>31 March 2026</v>
      </c>
      <c r="IZX417" s="247" t="str">
        <f>BS!$E$5</f>
        <v>31 March 2025</v>
      </c>
      <c r="IZY417" s="1717"/>
      <c r="IZZ417" s="1718"/>
      <c r="JAA417" s="1718"/>
      <c r="JAB417" s="1718"/>
      <c r="JAC417" s="1718"/>
      <c r="JAD417" s="246"/>
      <c r="JAE417" s="246" t="str">
        <f>BS!$D$5</f>
        <v>31 March 2026</v>
      </c>
      <c r="JAF417" s="247" t="str">
        <f>BS!$E$5</f>
        <v>31 March 2025</v>
      </c>
      <c r="JAG417" s="1717"/>
      <c r="JAH417" s="1718"/>
      <c r="JAI417" s="1718"/>
      <c r="JAJ417" s="1718"/>
      <c r="JAK417" s="1718"/>
      <c r="JAL417" s="246"/>
      <c r="JAM417" s="246" t="str">
        <f>BS!$D$5</f>
        <v>31 March 2026</v>
      </c>
      <c r="JAN417" s="247" t="str">
        <f>BS!$E$5</f>
        <v>31 March 2025</v>
      </c>
      <c r="JAO417" s="1717"/>
      <c r="JAP417" s="1718"/>
      <c r="JAQ417" s="1718"/>
      <c r="JAR417" s="1718"/>
      <c r="JAS417" s="1718"/>
      <c r="JAT417" s="246"/>
      <c r="JAU417" s="246" t="str">
        <f>BS!$D$5</f>
        <v>31 March 2026</v>
      </c>
      <c r="JAV417" s="247" t="str">
        <f>BS!$E$5</f>
        <v>31 March 2025</v>
      </c>
      <c r="JAW417" s="1717"/>
      <c r="JAX417" s="1718"/>
      <c r="JAY417" s="1718"/>
      <c r="JAZ417" s="1718"/>
      <c r="JBA417" s="1718"/>
      <c r="JBB417" s="246"/>
      <c r="JBC417" s="246" t="str">
        <f>BS!$D$5</f>
        <v>31 March 2026</v>
      </c>
      <c r="JBD417" s="247" t="str">
        <f>BS!$E$5</f>
        <v>31 March 2025</v>
      </c>
      <c r="JBE417" s="1717"/>
      <c r="JBF417" s="1718"/>
      <c r="JBG417" s="1718"/>
      <c r="JBH417" s="1718"/>
      <c r="JBI417" s="1718"/>
      <c r="JBJ417" s="246"/>
      <c r="JBK417" s="246" t="str">
        <f>BS!$D$5</f>
        <v>31 March 2026</v>
      </c>
      <c r="JBL417" s="247" t="str">
        <f>BS!$E$5</f>
        <v>31 March 2025</v>
      </c>
      <c r="JBM417" s="1717"/>
      <c r="JBN417" s="1718"/>
      <c r="JBO417" s="1718"/>
      <c r="JBP417" s="1718"/>
      <c r="JBQ417" s="1718"/>
      <c r="JBR417" s="246"/>
      <c r="JBS417" s="246" t="str">
        <f>BS!$D$5</f>
        <v>31 March 2026</v>
      </c>
      <c r="JBT417" s="247" t="str">
        <f>BS!$E$5</f>
        <v>31 March 2025</v>
      </c>
      <c r="JBU417" s="1717"/>
      <c r="JBV417" s="1718"/>
      <c r="JBW417" s="1718"/>
      <c r="JBX417" s="1718"/>
      <c r="JBY417" s="1718"/>
      <c r="JBZ417" s="246"/>
      <c r="JCA417" s="246" t="str">
        <f>BS!$D$5</f>
        <v>31 March 2026</v>
      </c>
      <c r="JCB417" s="247" t="str">
        <f>BS!$E$5</f>
        <v>31 March 2025</v>
      </c>
      <c r="JCC417" s="1717"/>
      <c r="JCD417" s="1718"/>
      <c r="JCE417" s="1718"/>
      <c r="JCF417" s="1718"/>
      <c r="JCG417" s="1718"/>
      <c r="JCH417" s="246"/>
      <c r="JCI417" s="246" t="str">
        <f>BS!$D$5</f>
        <v>31 March 2026</v>
      </c>
      <c r="JCJ417" s="247" t="str">
        <f>BS!$E$5</f>
        <v>31 March 2025</v>
      </c>
      <c r="JCK417" s="1717"/>
      <c r="JCL417" s="1718"/>
      <c r="JCM417" s="1718"/>
      <c r="JCN417" s="1718"/>
      <c r="JCO417" s="1718"/>
      <c r="JCP417" s="246"/>
      <c r="JCQ417" s="246" t="str">
        <f>BS!$D$5</f>
        <v>31 March 2026</v>
      </c>
      <c r="JCR417" s="247" t="str">
        <f>BS!$E$5</f>
        <v>31 March 2025</v>
      </c>
      <c r="JCS417" s="1717"/>
      <c r="JCT417" s="1718"/>
      <c r="JCU417" s="1718"/>
      <c r="JCV417" s="1718"/>
      <c r="JCW417" s="1718"/>
      <c r="JCX417" s="246"/>
      <c r="JCY417" s="246" t="str">
        <f>BS!$D$5</f>
        <v>31 March 2026</v>
      </c>
      <c r="JCZ417" s="247" t="str">
        <f>BS!$E$5</f>
        <v>31 March 2025</v>
      </c>
      <c r="JDA417" s="1717"/>
      <c r="JDB417" s="1718"/>
      <c r="JDC417" s="1718"/>
      <c r="JDD417" s="1718"/>
      <c r="JDE417" s="1718"/>
      <c r="JDF417" s="246"/>
      <c r="JDG417" s="246" t="str">
        <f>BS!$D$5</f>
        <v>31 March 2026</v>
      </c>
      <c r="JDH417" s="247" t="str">
        <f>BS!$E$5</f>
        <v>31 March 2025</v>
      </c>
      <c r="JDI417" s="1717"/>
      <c r="JDJ417" s="1718"/>
      <c r="JDK417" s="1718"/>
      <c r="JDL417" s="1718"/>
      <c r="JDM417" s="1718"/>
      <c r="JDN417" s="246"/>
      <c r="JDO417" s="246" t="str">
        <f>BS!$D$5</f>
        <v>31 March 2026</v>
      </c>
      <c r="JDP417" s="247" t="str">
        <f>BS!$E$5</f>
        <v>31 March 2025</v>
      </c>
      <c r="JDQ417" s="1717"/>
      <c r="JDR417" s="1718"/>
      <c r="JDS417" s="1718"/>
      <c r="JDT417" s="1718"/>
      <c r="JDU417" s="1718"/>
      <c r="JDV417" s="246"/>
      <c r="JDW417" s="246" t="str">
        <f>BS!$D$5</f>
        <v>31 March 2026</v>
      </c>
      <c r="JDX417" s="247" t="str">
        <f>BS!$E$5</f>
        <v>31 March 2025</v>
      </c>
      <c r="JDY417" s="1717"/>
      <c r="JDZ417" s="1718"/>
      <c r="JEA417" s="1718"/>
      <c r="JEB417" s="1718"/>
      <c r="JEC417" s="1718"/>
      <c r="JED417" s="246"/>
      <c r="JEE417" s="246" t="str">
        <f>BS!$D$5</f>
        <v>31 March 2026</v>
      </c>
      <c r="JEF417" s="247" t="str">
        <f>BS!$E$5</f>
        <v>31 March 2025</v>
      </c>
      <c r="JEG417" s="1717"/>
      <c r="JEH417" s="1718"/>
      <c r="JEI417" s="1718"/>
      <c r="JEJ417" s="1718"/>
      <c r="JEK417" s="1718"/>
      <c r="JEL417" s="246"/>
      <c r="JEM417" s="246" t="str">
        <f>BS!$D$5</f>
        <v>31 March 2026</v>
      </c>
      <c r="JEN417" s="247" t="str">
        <f>BS!$E$5</f>
        <v>31 March 2025</v>
      </c>
      <c r="JEO417" s="1717"/>
      <c r="JEP417" s="1718"/>
      <c r="JEQ417" s="1718"/>
      <c r="JER417" s="1718"/>
      <c r="JES417" s="1718"/>
      <c r="JET417" s="246"/>
      <c r="JEU417" s="246" t="str">
        <f>BS!$D$5</f>
        <v>31 March 2026</v>
      </c>
      <c r="JEV417" s="247" t="str">
        <f>BS!$E$5</f>
        <v>31 March 2025</v>
      </c>
      <c r="JEW417" s="1717"/>
      <c r="JEX417" s="1718"/>
      <c r="JEY417" s="1718"/>
      <c r="JEZ417" s="1718"/>
      <c r="JFA417" s="1718"/>
      <c r="JFB417" s="246"/>
      <c r="JFC417" s="246" t="str">
        <f>BS!$D$5</f>
        <v>31 March 2026</v>
      </c>
      <c r="JFD417" s="247" t="str">
        <f>BS!$E$5</f>
        <v>31 March 2025</v>
      </c>
      <c r="JFE417" s="1717"/>
      <c r="JFF417" s="1718"/>
      <c r="JFG417" s="1718"/>
      <c r="JFH417" s="1718"/>
      <c r="JFI417" s="1718"/>
      <c r="JFJ417" s="246"/>
      <c r="JFK417" s="246" t="str">
        <f>BS!$D$5</f>
        <v>31 March 2026</v>
      </c>
      <c r="JFL417" s="247" t="str">
        <f>BS!$E$5</f>
        <v>31 March 2025</v>
      </c>
      <c r="JFM417" s="1717"/>
      <c r="JFN417" s="1718"/>
      <c r="JFO417" s="1718"/>
      <c r="JFP417" s="1718"/>
      <c r="JFQ417" s="1718"/>
      <c r="JFR417" s="246"/>
      <c r="JFS417" s="246" t="str">
        <f>BS!$D$5</f>
        <v>31 March 2026</v>
      </c>
      <c r="JFT417" s="247" t="str">
        <f>BS!$E$5</f>
        <v>31 March 2025</v>
      </c>
      <c r="JFU417" s="1717"/>
      <c r="JFV417" s="1718"/>
      <c r="JFW417" s="1718"/>
      <c r="JFX417" s="1718"/>
      <c r="JFY417" s="1718"/>
      <c r="JFZ417" s="246"/>
      <c r="JGA417" s="246" t="str">
        <f>BS!$D$5</f>
        <v>31 March 2026</v>
      </c>
      <c r="JGB417" s="247" t="str">
        <f>BS!$E$5</f>
        <v>31 March 2025</v>
      </c>
      <c r="JGC417" s="1717"/>
      <c r="JGD417" s="1718"/>
      <c r="JGE417" s="1718"/>
      <c r="JGF417" s="1718"/>
      <c r="JGG417" s="1718"/>
      <c r="JGH417" s="246"/>
      <c r="JGI417" s="246" t="str">
        <f>BS!$D$5</f>
        <v>31 March 2026</v>
      </c>
      <c r="JGJ417" s="247" t="str">
        <f>BS!$E$5</f>
        <v>31 March 2025</v>
      </c>
      <c r="JGK417" s="1717"/>
      <c r="JGL417" s="1718"/>
      <c r="JGM417" s="1718"/>
      <c r="JGN417" s="1718"/>
      <c r="JGO417" s="1718"/>
      <c r="JGP417" s="246"/>
      <c r="JGQ417" s="246" t="str">
        <f>BS!$D$5</f>
        <v>31 March 2026</v>
      </c>
      <c r="JGR417" s="247" t="str">
        <f>BS!$E$5</f>
        <v>31 March 2025</v>
      </c>
      <c r="JGS417" s="1717"/>
      <c r="JGT417" s="1718"/>
      <c r="JGU417" s="1718"/>
      <c r="JGV417" s="1718"/>
      <c r="JGW417" s="1718"/>
      <c r="JGX417" s="246"/>
      <c r="JGY417" s="246" t="str">
        <f>BS!$D$5</f>
        <v>31 March 2026</v>
      </c>
      <c r="JGZ417" s="247" t="str">
        <f>BS!$E$5</f>
        <v>31 March 2025</v>
      </c>
      <c r="JHA417" s="1717"/>
      <c r="JHB417" s="1718"/>
      <c r="JHC417" s="1718"/>
      <c r="JHD417" s="1718"/>
      <c r="JHE417" s="1718"/>
      <c r="JHF417" s="246"/>
      <c r="JHG417" s="246" t="str">
        <f>BS!$D$5</f>
        <v>31 March 2026</v>
      </c>
      <c r="JHH417" s="247" t="str">
        <f>BS!$E$5</f>
        <v>31 March 2025</v>
      </c>
      <c r="JHI417" s="1717"/>
      <c r="JHJ417" s="1718"/>
      <c r="JHK417" s="1718"/>
      <c r="JHL417" s="1718"/>
      <c r="JHM417" s="1718"/>
      <c r="JHN417" s="246"/>
      <c r="JHO417" s="246" t="str">
        <f>BS!$D$5</f>
        <v>31 March 2026</v>
      </c>
      <c r="JHP417" s="247" t="str">
        <f>BS!$E$5</f>
        <v>31 March 2025</v>
      </c>
      <c r="JHQ417" s="1717"/>
      <c r="JHR417" s="1718"/>
      <c r="JHS417" s="1718"/>
      <c r="JHT417" s="1718"/>
      <c r="JHU417" s="1718"/>
      <c r="JHV417" s="246"/>
      <c r="JHW417" s="246" t="str">
        <f>BS!$D$5</f>
        <v>31 March 2026</v>
      </c>
      <c r="JHX417" s="247" t="str">
        <f>BS!$E$5</f>
        <v>31 March 2025</v>
      </c>
      <c r="JHY417" s="1717"/>
      <c r="JHZ417" s="1718"/>
      <c r="JIA417" s="1718"/>
      <c r="JIB417" s="1718"/>
      <c r="JIC417" s="1718"/>
      <c r="JID417" s="246"/>
      <c r="JIE417" s="246" t="str">
        <f>BS!$D$5</f>
        <v>31 March 2026</v>
      </c>
      <c r="JIF417" s="247" t="str">
        <f>BS!$E$5</f>
        <v>31 March 2025</v>
      </c>
      <c r="JIG417" s="1717"/>
      <c r="JIH417" s="1718"/>
      <c r="JII417" s="1718"/>
      <c r="JIJ417" s="1718"/>
      <c r="JIK417" s="1718"/>
      <c r="JIL417" s="246"/>
      <c r="JIM417" s="246" t="str">
        <f>BS!$D$5</f>
        <v>31 March 2026</v>
      </c>
      <c r="JIN417" s="247" t="str">
        <f>BS!$E$5</f>
        <v>31 March 2025</v>
      </c>
      <c r="JIO417" s="1717"/>
      <c r="JIP417" s="1718"/>
      <c r="JIQ417" s="1718"/>
      <c r="JIR417" s="1718"/>
      <c r="JIS417" s="1718"/>
      <c r="JIT417" s="246"/>
      <c r="JIU417" s="246" t="str">
        <f>BS!$D$5</f>
        <v>31 March 2026</v>
      </c>
      <c r="JIV417" s="247" t="str">
        <f>BS!$E$5</f>
        <v>31 March 2025</v>
      </c>
      <c r="JIW417" s="1717"/>
      <c r="JIX417" s="1718"/>
      <c r="JIY417" s="1718"/>
      <c r="JIZ417" s="1718"/>
      <c r="JJA417" s="1718"/>
      <c r="JJB417" s="246"/>
      <c r="JJC417" s="246" t="str">
        <f>BS!$D$5</f>
        <v>31 March 2026</v>
      </c>
      <c r="JJD417" s="247" t="str">
        <f>BS!$E$5</f>
        <v>31 March 2025</v>
      </c>
      <c r="JJE417" s="1717"/>
      <c r="JJF417" s="1718"/>
      <c r="JJG417" s="1718"/>
      <c r="JJH417" s="1718"/>
      <c r="JJI417" s="1718"/>
      <c r="JJJ417" s="246"/>
      <c r="JJK417" s="246" t="str">
        <f>BS!$D$5</f>
        <v>31 March 2026</v>
      </c>
      <c r="JJL417" s="247" t="str">
        <f>BS!$E$5</f>
        <v>31 March 2025</v>
      </c>
      <c r="JJM417" s="1717"/>
      <c r="JJN417" s="1718"/>
      <c r="JJO417" s="1718"/>
      <c r="JJP417" s="1718"/>
      <c r="JJQ417" s="1718"/>
      <c r="JJR417" s="246"/>
      <c r="JJS417" s="246" t="str">
        <f>BS!$D$5</f>
        <v>31 March 2026</v>
      </c>
      <c r="JJT417" s="247" t="str">
        <f>BS!$E$5</f>
        <v>31 March 2025</v>
      </c>
      <c r="JJU417" s="1717"/>
      <c r="JJV417" s="1718"/>
      <c r="JJW417" s="1718"/>
      <c r="JJX417" s="1718"/>
      <c r="JJY417" s="1718"/>
      <c r="JJZ417" s="246"/>
      <c r="JKA417" s="246" t="str">
        <f>BS!$D$5</f>
        <v>31 March 2026</v>
      </c>
      <c r="JKB417" s="247" t="str">
        <f>BS!$E$5</f>
        <v>31 March 2025</v>
      </c>
      <c r="JKC417" s="1717"/>
      <c r="JKD417" s="1718"/>
      <c r="JKE417" s="1718"/>
      <c r="JKF417" s="1718"/>
      <c r="JKG417" s="1718"/>
      <c r="JKH417" s="246"/>
      <c r="JKI417" s="246" t="str">
        <f>BS!$D$5</f>
        <v>31 March 2026</v>
      </c>
      <c r="JKJ417" s="247" t="str">
        <f>BS!$E$5</f>
        <v>31 March 2025</v>
      </c>
      <c r="JKK417" s="1717"/>
      <c r="JKL417" s="1718"/>
      <c r="JKM417" s="1718"/>
      <c r="JKN417" s="1718"/>
      <c r="JKO417" s="1718"/>
      <c r="JKP417" s="246"/>
      <c r="JKQ417" s="246" t="str">
        <f>BS!$D$5</f>
        <v>31 March 2026</v>
      </c>
      <c r="JKR417" s="247" t="str">
        <f>BS!$E$5</f>
        <v>31 March 2025</v>
      </c>
      <c r="JKS417" s="1717"/>
      <c r="JKT417" s="1718"/>
      <c r="JKU417" s="1718"/>
      <c r="JKV417" s="1718"/>
      <c r="JKW417" s="1718"/>
      <c r="JKX417" s="246"/>
      <c r="JKY417" s="246" t="str">
        <f>BS!$D$5</f>
        <v>31 March 2026</v>
      </c>
      <c r="JKZ417" s="247" t="str">
        <f>BS!$E$5</f>
        <v>31 March 2025</v>
      </c>
      <c r="JLA417" s="1717"/>
      <c r="JLB417" s="1718"/>
      <c r="JLC417" s="1718"/>
      <c r="JLD417" s="1718"/>
      <c r="JLE417" s="1718"/>
      <c r="JLF417" s="246"/>
      <c r="JLG417" s="246" t="str">
        <f>BS!$D$5</f>
        <v>31 March 2026</v>
      </c>
      <c r="JLH417" s="247" t="str">
        <f>BS!$E$5</f>
        <v>31 March 2025</v>
      </c>
      <c r="JLI417" s="1717"/>
      <c r="JLJ417" s="1718"/>
      <c r="JLK417" s="1718"/>
      <c r="JLL417" s="1718"/>
      <c r="JLM417" s="1718"/>
      <c r="JLN417" s="246"/>
      <c r="JLO417" s="246" t="str">
        <f>BS!$D$5</f>
        <v>31 March 2026</v>
      </c>
      <c r="JLP417" s="247" t="str">
        <f>BS!$E$5</f>
        <v>31 March 2025</v>
      </c>
      <c r="JLQ417" s="1717"/>
      <c r="JLR417" s="1718"/>
      <c r="JLS417" s="1718"/>
      <c r="JLT417" s="1718"/>
      <c r="JLU417" s="1718"/>
      <c r="JLV417" s="246"/>
      <c r="JLW417" s="246" t="str">
        <f>BS!$D$5</f>
        <v>31 March 2026</v>
      </c>
      <c r="JLX417" s="247" t="str">
        <f>BS!$E$5</f>
        <v>31 March 2025</v>
      </c>
      <c r="JLY417" s="1717"/>
      <c r="JLZ417" s="1718"/>
      <c r="JMA417" s="1718"/>
      <c r="JMB417" s="1718"/>
      <c r="JMC417" s="1718"/>
      <c r="JMD417" s="246"/>
      <c r="JME417" s="246" t="str">
        <f>BS!$D$5</f>
        <v>31 March 2026</v>
      </c>
      <c r="JMF417" s="247" t="str">
        <f>BS!$E$5</f>
        <v>31 March 2025</v>
      </c>
      <c r="JMG417" s="1717"/>
      <c r="JMH417" s="1718"/>
      <c r="JMI417" s="1718"/>
      <c r="JMJ417" s="1718"/>
      <c r="JMK417" s="1718"/>
      <c r="JML417" s="246"/>
      <c r="JMM417" s="246" t="str">
        <f>BS!$D$5</f>
        <v>31 March 2026</v>
      </c>
      <c r="JMN417" s="247" t="str">
        <f>BS!$E$5</f>
        <v>31 March 2025</v>
      </c>
      <c r="JMO417" s="1717"/>
      <c r="JMP417" s="1718"/>
      <c r="JMQ417" s="1718"/>
      <c r="JMR417" s="1718"/>
      <c r="JMS417" s="1718"/>
      <c r="JMT417" s="246"/>
      <c r="JMU417" s="246" t="str">
        <f>BS!$D$5</f>
        <v>31 March 2026</v>
      </c>
      <c r="JMV417" s="247" t="str">
        <f>BS!$E$5</f>
        <v>31 March 2025</v>
      </c>
      <c r="JMW417" s="1717"/>
      <c r="JMX417" s="1718"/>
      <c r="JMY417" s="1718"/>
      <c r="JMZ417" s="1718"/>
      <c r="JNA417" s="1718"/>
      <c r="JNB417" s="246"/>
      <c r="JNC417" s="246" t="str">
        <f>BS!$D$5</f>
        <v>31 March 2026</v>
      </c>
      <c r="JND417" s="247" t="str">
        <f>BS!$E$5</f>
        <v>31 March 2025</v>
      </c>
      <c r="JNE417" s="1717"/>
      <c r="JNF417" s="1718"/>
      <c r="JNG417" s="1718"/>
      <c r="JNH417" s="1718"/>
      <c r="JNI417" s="1718"/>
      <c r="JNJ417" s="246"/>
      <c r="JNK417" s="246" t="str">
        <f>BS!$D$5</f>
        <v>31 March 2026</v>
      </c>
      <c r="JNL417" s="247" t="str">
        <f>BS!$E$5</f>
        <v>31 March 2025</v>
      </c>
      <c r="JNM417" s="1717"/>
      <c r="JNN417" s="1718"/>
      <c r="JNO417" s="1718"/>
      <c r="JNP417" s="1718"/>
      <c r="JNQ417" s="1718"/>
      <c r="JNR417" s="246"/>
      <c r="JNS417" s="246" t="str">
        <f>BS!$D$5</f>
        <v>31 March 2026</v>
      </c>
      <c r="JNT417" s="247" t="str">
        <f>BS!$E$5</f>
        <v>31 March 2025</v>
      </c>
      <c r="JNU417" s="1717"/>
      <c r="JNV417" s="1718"/>
      <c r="JNW417" s="1718"/>
      <c r="JNX417" s="1718"/>
      <c r="JNY417" s="1718"/>
      <c r="JNZ417" s="246"/>
      <c r="JOA417" s="246" t="str">
        <f>BS!$D$5</f>
        <v>31 March 2026</v>
      </c>
      <c r="JOB417" s="247" t="str">
        <f>BS!$E$5</f>
        <v>31 March 2025</v>
      </c>
      <c r="JOC417" s="1717"/>
      <c r="JOD417" s="1718"/>
      <c r="JOE417" s="1718"/>
      <c r="JOF417" s="1718"/>
      <c r="JOG417" s="1718"/>
      <c r="JOH417" s="246"/>
      <c r="JOI417" s="246" t="str">
        <f>BS!$D$5</f>
        <v>31 March 2026</v>
      </c>
      <c r="JOJ417" s="247" t="str">
        <f>BS!$E$5</f>
        <v>31 March 2025</v>
      </c>
      <c r="JOK417" s="1717"/>
      <c r="JOL417" s="1718"/>
      <c r="JOM417" s="1718"/>
      <c r="JON417" s="1718"/>
      <c r="JOO417" s="1718"/>
      <c r="JOP417" s="246"/>
      <c r="JOQ417" s="246" t="str">
        <f>BS!$D$5</f>
        <v>31 March 2026</v>
      </c>
      <c r="JOR417" s="247" t="str">
        <f>BS!$E$5</f>
        <v>31 March 2025</v>
      </c>
      <c r="JOS417" s="1717"/>
      <c r="JOT417" s="1718"/>
      <c r="JOU417" s="1718"/>
      <c r="JOV417" s="1718"/>
      <c r="JOW417" s="1718"/>
      <c r="JOX417" s="246"/>
      <c r="JOY417" s="246" t="str">
        <f>BS!$D$5</f>
        <v>31 March 2026</v>
      </c>
      <c r="JOZ417" s="247" t="str">
        <f>BS!$E$5</f>
        <v>31 March 2025</v>
      </c>
      <c r="JPA417" s="1717"/>
      <c r="JPB417" s="1718"/>
      <c r="JPC417" s="1718"/>
      <c r="JPD417" s="1718"/>
      <c r="JPE417" s="1718"/>
      <c r="JPF417" s="246"/>
      <c r="JPG417" s="246" t="str">
        <f>BS!$D$5</f>
        <v>31 March 2026</v>
      </c>
      <c r="JPH417" s="247" t="str">
        <f>BS!$E$5</f>
        <v>31 March 2025</v>
      </c>
      <c r="JPI417" s="1717"/>
      <c r="JPJ417" s="1718"/>
      <c r="JPK417" s="1718"/>
      <c r="JPL417" s="1718"/>
      <c r="JPM417" s="1718"/>
      <c r="JPN417" s="246"/>
      <c r="JPO417" s="246" t="str">
        <f>BS!$D$5</f>
        <v>31 March 2026</v>
      </c>
      <c r="JPP417" s="247" t="str">
        <f>BS!$E$5</f>
        <v>31 March 2025</v>
      </c>
      <c r="JPQ417" s="1717"/>
      <c r="JPR417" s="1718"/>
      <c r="JPS417" s="1718"/>
      <c r="JPT417" s="1718"/>
      <c r="JPU417" s="1718"/>
      <c r="JPV417" s="246"/>
      <c r="JPW417" s="246" t="str">
        <f>BS!$D$5</f>
        <v>31 March 2026</v>
      </c>
      <c r="JPX417" s="247" t="str">
        <f>BS!$E$5</f>
        <v>31 March 2025</v>
      </c>
      <c r="JPY417" s="1717"/>
      <c r="JPZ417" s="1718"/>
      <c r="JQA417" s="1718"/>
      <c r="JQB417" s="1718"/>
      <c r="JQC417" s="1718"/>
      <c r="JQD417" s="246"/>
      <c r="JQE417" s="246" t="str">
        <f>BS!$D$5</f>
        <v>31 March 2026</v>
      </c>
      <c r="JQF417" s="247" t="str">
        <f>BS!$E$5</f>
        <v>31 March 2025</v>
      </c>
      <c r="JQG417" s="1717"/>
      <c r="JQH417" s="1718"/>
      <c r="JQI417" s="1718"/>
      <c r="JQJ417" s="1718"/>
      <c r="JQK417" s="1718"/>
      <c r="JQL417" s="246"/>
      <c r="JQM417" s="246" t="str">
        <f>BS!$D$5</f>
        <v>31 March 2026</v>
      </c>
      <c r="JQN417" s="247" t="str">
        <f>BS!$E$5</f>
        <v>31 March 2025</v>
      </c>
      <c r="JQO417" s="1717"/>
      <c r="JQP417" s="1718"/>
      <c r="JQQ417" s="1718"/>
      <c r="JQR417" s="1718"/>
      <c r="JQS417" s="1718"/>
      <c r="JQT417" s="246"/>
      <c r="JQU417" s="246" t="str">
        <f>BS!$D$5</f>
        <v>31 March 2026</v>
      </c>
      <c r="JQV417" s="247" t="str">
        <f>BS!$E$5</f>
        <v>31 March 2025</v>
      </c>
      <c r="JQW417" s="1717"/>
      <c r="JQX417" s="1718"/>
      <c r="JQY417" s="1718"/>
      <c r="JQZ417" s="1718"/>
      <c r="JRA417" s="1718"/>
      <c r="JRB417" s="246"/>
      <c r="JRC417" s="246" t="str">
        <f>BS!$D$5</f>
        <v>31 March 2026</v>
      </c>
      <c r="JRD417" s="247" t="str">
        <f>BS!$E$5</f>
        <v>31 March 2025</v>
      </c>
      <c r="JRE417" s="1717"/>
      <c r="JRF417" s="1718"/>
      <c r="JRG417" s="1718"/>
      <c r="JRH417" s="1718"/>
      <c r="JRI417" s="1718"/>
      <c r="JRJ417" s="246"/>
      <c r="JRK417" s="246" t="str">
        <f>BS!$D$5</f>
        <v>31 March 2026</v>
      </c>
      <c r="JRL417" s="247" t="str">
        <f>BS!$E$5</f>
        <v>31 March 2025</v>
      </c>
      <c r="JRM417" s="1717"/>
      <c r="JRN417" s="1718"/>
      <c r="JRO417" s="1718"/>
      <c r="JRP417" s="1718"/>
      <c r="JRQ417" s="1718"/>
      <c r="JRR417" s="246"/>
      <c r="JRS417" s="246" t="str">
        <f>BS!$D$5</f>
        <v>31 March 2026</v>
      </c>
      <c r="JRT417" s="247" t="str">
        <f>BS!$E$5</f>
        <v>31 March 2025</v>
      </c>
      <c r="JRU417" s="1717"/>
      <c r="JRV417" s="1718"/>
      <c r="JRW417" s="1718"/>
      <c r="JRX417" s="1718"/>
      <c r="JRY417" s="1718"/>
      <c r="JRZ417" s="246"/>
      <c r="JSA417" s="246" t="str">
        <f>BS!$D$5</f>
        <v>31 March 2026</v>
      </c>
      <c r="JSB417" s="247" t="str">
        <f>BS!$E$5</f>
        <v>31 March 2025</v>
      </c>
      <c r="JSC417" s="1717"/>
      <c r="JSD417" s="1718"/>
      <c r="JSE417" s="1718"/>
      <c r="JSF417" s="1718"/>
      <c r="JSG417" s="1718"/>
      <c r="JSH417" s="246"/>
      <c r="JSI417" s="246" t="str">
        <f>BS!$D$5</f>
        <v>31 March 2026</v>
      </c>
      <c r="JSJ417" s="247" t="str">
        <f>BS!$E$5</f>
        <v>31 March 2025</v>
      </c>
      <c r="JSK417" s="1717"/>
      <c r="JSL417" s="1718"/>
      <c r="JSM417" s="1718"/>
      <c r="JSN417" s="1718"/>
      <c r="JSO417" s="1718"/>
      <c r="JSP417" s="246"/>
      <c r="JSQ417" s="246" t="str">
        <f>BS!$D$5</f>
        <v>31 March 2026</v>
      </c>
      <c r="JSR417" s="247" t="str">
        <f>BS!$E$5</f>
        <v>31 March 2025</v>
      </c>
      <c r="JSS417" s="1717"/>
      <c r="JST417" s="1718"/>
      <c r="JSU417" s="1718"/>
      <c r="JSV417" s="1718"/>
      <c r="JSW417" s="1718"/>
      <c r="JSX417" s="246"/>
      <c r="JSY417" s="246" t="str">
        <f>BS!$D$5</f>
        <v>31 March 2026</v>
      </c>
      <c r="JSZ417" s="247" t="str">
        <f>BS!$E$5</f>
        <v>31 March 2025</v>
      </c>
      <c r="JTA417" s="1717"/>
      <c r="JTB417" s="1718"/>
      <c r="JTC417" s="1718"/>
      <c r="JTD417" s="1718"/>
      <c r="JTE417" s="1718"/>
      <c r="JTF417" s="246"/>
      <c r="JTG417" s="246" t="str">
        <f>BS!$D$5</f>
        <v>31 March 2026</v>
      </c>
      <c r="JTH417" s="247" t="str">
        <f>BS!$E$5</f>
        <v>31 March 2025</v>
      </c>
      <c r="JTI417" s="1717"/>
      <c r="JTJ417" s="1718"/>
      <c r="JTK417" s="1718"/>
      <c r="JTL417" s="1718"/>
      <c r="JTM417" s="1718"/>
      <c r="JTN417" s="246"/>
      <c r="JTO417" s="246" t="str">
        <f>BS!$D$5</f>
        <v>31 March 2026</v>
      </c>
      <c r="JTP417" s="247" t="str">
        <f>BS!$E$5</f>
        <v>31 March 2025</v>
      </c>
      <c r="JTQ417" s="1717"/>
      <c r="JTR417" s="1718"/>
      <c r="JTS417" s="1718"/>
      <c r="JTT417" s="1718"/>
      <c r="JTU417" s="1718"/>
      <c r="JTV417" s="246"/>
      <c r="JTW417" s="246" t="str">
        <f>BS!$D$5</f>
        <v>31 March 2026</v>
      </c>
      <c r="JTX417" s="247" t="str">
        <f>BS!$E$5</f>
        <v>31 March 2025</v>
      </c>
      <c r="JTY417" s="1717"/>
      <c r="JTZ417" s="1718"/>
      <c r="JUA417" s="1718"/>
      <c r="JUB417" s="1718"/>
      <c r="JUC417" s="1718"/>
      <c r="JUD417" s="246"/>
      <c r="JUE417" s="246" t="str">
        <f>BS!$D$5</f>
        <v>31 March 2026</v>
      </c>
      <c r="JUF417" s="247" t="str">
        <f>BS!$E$5</f>
        <v>31 March 2025</v>
      </c>
      <c r="JUG417" s="1717"/>
      <c r="JUH417" s="1718"/>
      <c r="JUI417" s="1718"/>
      <c r="JUJ417" s="1718"/>
      <c r="JUK417" s="1718"/>
      <c r="JUL417" s="246"/>
      <c r="JUM417" s="246" t="str">
        <f>BS!$D$5</f>
        <v>31 March 2026</v>
      </c>
      <c r="JUN417" s="247" t="str">
        <f>BS!$E$5</f>
        <v>31 March 2025</v>
      </c>
      <c r="JUO417" s="1717"/>
      <c r="JUP417" s="1718"/>
      <c r="JUQ417" s="1718"/>
      <c r="JUR417" s="1718"/>
      <c r="JUS417" s="1718"/>
      <c r="JUT417" s="246"/>
      <c r="JUU417" s="246" t="str">
        <f>BS!$D$5</f>
        <v>31 March 2026</v>
      </c>
      <c r="JUV417" s="247" t="str">
        <f>BS!$E$5</f>
        <v>31 March 2025</v>
      </c>
      <c r="JUW417" s="1717"/>
      <c r="JUX417" s="1718"/>
      <c r="JUY417" s="1718"/>
      <c r="JUZ417" s="1718"/>
      <c r="JVA417" s="1718"/>
      <c r="JVB417" s="246"/>
      <c r="JVC417" s="246" t="str">
        <f>BS!$D$5</f>
        <v>31 March 2026</v>
      </c>
      <c r="JVD417" s="247" t="str">
        <f>BS!$E$5</f>
        <v>31 March 2025</v>
      </c>
      <c r="JVE417" s="1717"/>
      <c r="JVF417" s="1718"/>
      <c r="JVG417" s="1718"/>
      <c r="JVH417" s="1718"/>
      <c r="JVI417" s="1718"/>
      <c r="JVJ417" s="246"/>
      <c r="JVK417" s="246" t="str">
        <f>BS!$D$5</f>
        <v>31 March 2026</v>
      </c>
      <c r="JVL417" s="247" t="str">
        <f>BS!$E$5</f>
        <v>31 March 2025</v>
      </c>
      <c r="JVM417" s="1717"/>
      <c r="JVN417" s="1718"/>
      <c r="JVO417" s="1718"/>
      <c r="JVP417" s="1718"/>
      <c r="JVQ417" s="1718"/>
      <c r="JVR417" s="246"/>
      <c r="JVS417" s="246" t="str">
        <f>BS!$D$5</f>
        <v>31 March 2026</v>
      </c>
      <c r="JVT417" s="247" t="str">
        <f>BS!$E$5</f>
        <v>31 March 2025</v>
      </c>
      <c r="JVU417" s="1717"/>
      <c r="JVV417" s="1718"/>
      <c r="JVW417" s="1718"/>
      <c r="JVX417" s="1718"/>
      <c r="JVY417" s="1718"/>
      <c r="JVZ417" s="246"/>
      <c r="JWA417" s="246" t="str">
        <f>BS!$D$5</f>
        <v>31 March 2026</v>
      </c>
      <c r="JWB417" s="247" t="str">
        <f>BS!$E$5</f>
        <v>31 March 2025</v>
      </c>
      <c r="JWC417" s="1717"/>
      <c r="JWD417" s="1718"/>
      <c r="JWE417" s="1718"/>
      <c r="JWF417" s="1718"/>
      <c r="JWG417" s="1718"/>
      <c r="JWH417" s="246"/>
      <c r="JWI417" s="246" t="str">
        <f>BS!$D$5</f>
        <v>31 March 2026</v>
      </c>
      <c r="JWJ417" s="247" t="str">
        <f>BS!$E$5</f>
        <v>31 March 2025</v>
      </c>
      <c r="JWK417" s="1717"/>
      <c r="JWL417" s="1718"/>
      <c r="JWM417" s="1718"/>
      <c r="JWN417" s="1718"/>
      <c r="JWO417" s="1718"/>
      <c r="JWP417" s="246"/>
      <c r="JWQ417" s="246" t="str">
        <f>BS!$D$5</f>
        <v>31 March 2026</v>
      </c>
      <c r="JWR417" s="247" t="str">
        <f>BS!$E$5</f>
        <v>31 March 2025</v>
      </c>
      <c r="JWS417" s="1717"/>
      <c r="JWT417" s="1718"/>
      <c r="JWU417" s="1718"/>
      <c r="JWV417" s="1718"/>
      <c r="JWW417" s="1718"/>
      <c r="JWX417" s="246"/>
      <c r="JWY417" s="246" t="str">
        <f>BS!$D$5</f>
        <v>31 March 2026</v>
      </c>
      <c r="JWZ417" s="247" t="str">
        <f>BS!$E$5</f>
        <v>31 March 2025</v>
      </c>
      <c r="JXA417" s="1717"/>
      <c r="JXB417" s="1718"/>
      <c r="JXC417" s="1718"/>
      <c r="JXD417" s="1718"/>
      <c r="JXE417" s="1718"/>
      <c r="JXF417" s="246"/>
      <c r="JXG417" s="246" t="str">
        <f>BS!$D$5</f>
        <v>31 March 2026</v>
      </c>
      <c r="JXH417" s="247" t="str">
        <f>BS!$E$5</f>
        <v>31 March 2025</v>
      </c>
      <c r="JXI417" s="1717"/>
      <c r="JXJ417" s="1718"/>
      <c r="JXK417" s="1718"/>
      <c r="JXL417" s="1718"/>
      <c r="JXM417" s="1718"/>
      <c r="JXN417" s="246"/>
      <c r="JXO417" s="246" t="str">
        <f>BS!$D$5</f>
        <v>31 March 2026</v>
      </c>
      <c r="JXP417" s="247" t="str">
        <f>BS!$E$5</f>
        <v>31 March 2025</v>
      </c>
      <c r="JXQ417" s="1717"/>
      <c r="JXR417" s="1718"/>
      <c r="JXS417" s="1718"/>
      <c r="JXT417" s="1718"/>
      <c r="JXU417" s="1718"/>
      <c r="JXV417" s="246"/>
      <c r="JXW417" s="246" t="str">
        <f>BS!$D$5</f>
        <v>31 March 2026</v>
      </c>
      <c r="JXX417" s="247" t="str">
        <f>BS!$E$5</f>
        <v>31 March 2025</v>
      </c>
      <c r="JXY417" s="1717"/>
      <c r="JXZ417" s="1718"/>
      <c r="JYA417" s="1718"/>
      <c r="JYB417" s="1718"/>
      <c r="JYC417" s="1718"/>
      <c r="JYD417" s="246"/>
      <c r="JYE417" s="246" t="str">
        <f>BS!$D$5</f>
        <v>31 March 2026</v>
      </c>
      <c r="JYF417" s="247" t="str">
        <f>BS!$E$5</f>
        <v>31 March 2025</v>
      </c>
      <c r="JYG417" s="1717"/>
      <c r="JYH417" s="1718"/>
      <c r="JYI417" s="1718"/>
      <c r="JYJ417" s="1718"/>
      <c r="JYK417" s="1718"/>
      <c r="JYL417" s="246"/>
      <c r="JYM417" s="246" t="str">
        <f>BS!$D$5</f>
        <v>31 March 2026</v>
      </c>
      <c r="JYN417" s="247" t="str">
        <f>BS!$E$5</f>
        <v>31 March 2025</v>
      </c>
      <c r="JYO417" s="1717"/>
      <c r="JYP417" s="1718"/>
      <c r="JYQ417" s="1718"/>
      <c r="JYR417" s="1718"/>
      <c r="JYS417" s="1718"/>
      <c r="JYT417" s="246"/>
      <c r="JYU417" s="246" t="str">
        <f>BS!$D$5</f>
        <v>31 March 2026</v>
      </c>
      <c r="JYV417" s="247" t="str">
        <f>BS!$E$5</f>
        <v>31 March 2025</v>
      </c>
      <c r="JYW417" s="1717"/>
      <c r="JYX417" s="1718"/>
      <c r="JYY417" s="1718"/>
      <c r="JYZ417" s="1718"/>
      <c r="JZA417" s="1718"/>
      <c r="JZB417" s="246"/>
      <c r="JZC417" s="246" t="str">
        <f>BS!$D$5</f>
        <v>31 March 2026</v>
      </c>
      <c r="JZD417" s="247" t="str">
        <f>BS!$E$5</f>
        <v>31 March 2025</v>
      </c>
      <c r="JZE417" s="1717"/>
      <c r="JZF417" s="1718"/>
      <c r="JZG417" s="1718"/>
      <c r="JZH417" s="1718"/>
      <c r="JZI417" s="1718"/>
      <c r="JZJ417" s="246"/>
      <c r="JZK417" s="246" t="str">
        <f>BS!$D$5</f>
        <v>31 March 2026</v>
      </c>
      <c r="JZL417" s="247" t="str">
        <f>BS!$E$5</f>
        <v>31 March 2025</v>
      </c>
      <c r="JZM417" s="1717"/>
      <c r="JZN417" s="1718"/>
      <c r="JZO417" s="1718"/>
      <c r="JZP417" s="1718"/>
      <c r="JZQ417" s="1718"/>
      <c r="JZR417" s="246"/>
      <c r="JZS417" s="246" t="str">
        <f>BS!$D$5</f>
        <v>31 March 2026</v>
      </c>
      <c r="JZT417" s="247" t="str">
        <f>BS!$E$5</f>
        <v>31 March 2025</v>
      </c>
      <c r="JZU417" s="1717"/>
      <c r="JZV417" s="1718"/>
      <c r="JZW417" s="1718"/>
      <c r="JZX417" s="1718"/>
      <c r="JZY417" s="1718"/>
      <c r="JZZ417" s="246"/>
      <c r="KAA417" s="246" t="str">
        <f>BS!$D$5</f>
        <v>31 March 2026</v>
      </c>
      <c r="KAB417" s="247" t="str">
        <f>BS!$E$5</f>
        <v>31 March 2025</v>
      </c>
      <c r="KAC417" s="1717"/>
      <c r="KAD417" s="1718"/>
      <c r="KAE417" s="1718"/>
      <c r="KAF417" s="1718"/>
      <c r="KAG417" s="1718"/>
      <c r="KAH417" s="246"/>
      <c r="KAI417" s="246" t="str">
        <f>BS!$D$5</f>
        <v>31 March 2026</v>
      </c>
      <c r="KAJ417" s="247" t="str">
        <f>BS!$E$5</f>
        <v>31 March 2025</v>
      </c>
      <c r="KAK417" s="1717"/>
      <c r="KAL417" s="1718"/>
      <c r="KAM417" s="1718"/>
      <c r="KAN417" s="1718"/>
      <c r="KAO417" s="1718"/>
      <c r="KAP417" s="246"/>
      <c r="KAQ417" s="246" t="str">
        <f>BS!$D$5</f>
        <v>31 March 2026</v>
      </c>
      <c r="KAR417" s="247" t="str">
        <f>BS!$E$5</f>
        <v>31 March 2025</v>
      </c>
      <c r="KAS417" s="1717"/>
      <c r="KAT417" s="1718"/>
      <c r="KAU417" s="1718"/>
      <c r="KAV417" s="1718"/>
      <c r="KAW417" s="1718"/>
      <c r="KAX417" s="246"/>
      <c r="KAY417" s="246" t="str">
        <f>BS!$D$5</f>
        <v>31 March 2026</v>
      </c>
      <c r="KAZ417" s="247" t="str">
        <f>BS!$E$5</f>
        <v>31 March 2025</v>
      </c>
      <c r="KBA417" s="1717"/>
      <c r="KBB417" s="1718"/>
      <c r="KBC417" s="1718"/>
      <c r="KBD417" s="1718"/>
      <c r="KBE417" s="1718"/>
      <c r="KBF417" s="246"/>
      <c r="KBG417" s="246" t="str">
        <f>BS!$D$5</f>
        <v>31 March 2026</v>
      </c>
      <c r="KBH417" s="247" t="str">
        <f>BS!$E$5</f>
        <v>31 March 2025</v>
      </c>
      <c r="KBI417" s="1717"/>
      <c r="KBJ417" s="1718"/>
      <c r="KBK417" s="1718"/>
      <c r="KBL417" s="1718"/>
      <c r="KBM417" s="1718"/>
      <c r="KBN417" s="246"/>
      <c r="KBO417" s="246" t="str">
        <f>BS!$D$5</f>
        <v>31 March 2026</v>
      </c>
      <c r="KBP417" s="247" t="str">
        <f>BS!$E$5</f>
        <v>31 March 2025</v>
      </c>
      <c r="KBQ417" s="1717"/>
      <c r="KBR417" s="1718"/>
      <c r="KBS417" s="1718"/>
      <c r="KBT417" s="1718"/>
      <c r="KBU417" s="1718"/>
      <c r="KBV417" s="246"/>
      <c r="KBW417" s="246" t="str">
        <f>BS!$D$5</f>
        <v>31 March 2026</v>
      </c>
      <c r="KBX417" s="247" t="str">
        <f>BS!$E$5</f>
        <v>31 March 2025</v>
      </c>
      <c r="KBY417" s="1717"/>
      <c r="KBZ417" s="1718"/>
      <c r="KCA417" s="1718"/>
      <c r="KCB417" s="1718"/>
      <c r="KCC417" s="1718"/>
      <c r="KCD417" s="246"/>
      <c r="KCE417" s="246" t="str">
        <f>BS!$D$5</f>
        <v>31 March 2026</v>
      </c>
      <c r="KCF417" s="247" t="str">
        <f>BS!$E$5</f>
        <v>31 March 2025</v>
      </c>
      <c r="KCG417" s="1717"/>
      <c r="KCH417" s="1718"/>
      <c r="KCI417" s="1718"/>
      <c r="KCJ417" s="1718"/>
      <c r="KCK417" s="1718"/>
      <c r="KCL417" s="246"/>
      <c r="KCM417" s="246" t="str">
        <f>BS!$D$5</f>
        <v>31 March 2026</v>
      </c>
      <c r="KCN417" s="247" t="str">
        <f>BS!$E$5</f>
        <v>31 March 2025</v>
      </c>
      <c r="KCO417" s="1717"/>
      <c r="KCP417" s="1718"/>
      <c r="KCQ417" s="1718"/>
      <c r="KCR417" s="1718"/>
      <c r="KCS417" s="1718"/>
      <c r="KCT417" s="246"/>
      <c r="KCU417" s="246" t="str">
        <f>BS!$D$5</f>
        <v>31 March 2026</v>
      </c>
      <c r="KCV417" s="247" t="str">
        <f>BS!$E$5</f>
        <v>31 March 2025</v>
      </c>
      <c r="KCW417" s="1717"/>
      <c r="KCX417" s="1718"/>
      <c r="KCY417" s="1718"/>
      <c r="KCZ417" s="1718"/>
      <c r="KDA417" s="1718"/>
      <c r="KDB417" s="246"/>
      <c r="KDC417" s="246" t="str">
        <f>BS!$D$5</f>
        <v>31 March 2026</v>
      </c>
      <c r="KDD417" s="247" t="str">
        <f>BS!$E$5</f>
        <v>31 March 2025</v>
      </c>
      <c r="KDE417" s="1717"/>
      <c r="KDF417" s="1718"/>
      <c r="KDG417" s="1718"/>
      <c r="KDH417" s="1718"/>
      <c r="KDI417" s="1718"/>
      <c r="KDJ417" s="246"/>
      <c r="KDK417" s="246" t="str">
        <f>BS!$D$5</f>
        <v>31 March 2026</v>
      </c>
      <c r="KDL417" s="247" t="str">
        <f>BS!$E$5</f>
        <v>31 March 2025</v>
      </c>
      <c r="KDM417" s="1717"/>
      <c r="KDN417" s="1718"/>
      <c r="KDO417" s="1718"/>
      <c r="KDP417" s="1718"/>
      <c r="KDQ417" s="1718"/>
      <c r="KDR417" s="246"/>
      <c r="KDS417" s="246" t="str">
        <f>BS!$D$5</f>
        <v>31 March 2026</v>
      </c>
      <c r="KDT417" s="247" t="str">
        <f>BS!$E$5</f>
        <v>31 March 2025</v>
      </c>
      <c r="KDU417" s="1717"/>
      <c r="KDV417" s="1718"/>
      <c r="KDW417" s="1718"/>
      <c r="KDX417" s="1718"/>
      <c r="KDY417" s="1718"/>
      <c r="KDZ417" s="246"/>
      <c r="KEA417" s="246" t="str">
        <f>BS!$D$5</f>
        <v>31 March 2026</v>
      </c>
      <c r="KEB417" s="247" t="str">
        <f>BS!$E$5</f>
        <v>31 March 2025</v>
      </c>
      <c r="KEC417" s="1717"/>
      <c r="KED417" s="1718"/>
      <c r="KEE417" s="1718"/>
      <c r="KEF417" s="1718"/>
      <c r="KEG417" s="1718"/>
      <c r="KEH417" s="246"/>
      <c r="KEI417" s="246" t="str">
        <f>BS!$D$5</f>
        <v>31 March 2026</v>
      </c>
      <c r="KEJ417" s="247" t="str">
        <f>BS!$E$5</f>
        <v>31 March 2025</v>
      </c>
      <c r="KEK417" s="1717"/>
      <c r="KEL417" s="1718"/>
      <c r="KEM417" s="1718"/>
      <c r="KEN417" s="1718"/>
      <c r="KEO417" s="1718"/>
      <c r="KEP417" s="246"/>
      <c r="KEQ417" s="246" t="str">
        <f>BS!$D$5</f>
        <v>31 March 2026</v>
      </c>
      <c r="KER417" s="247" t="str">
        <f>BS!$E$5</f>
        <v>31 March 2025</v>
      </c>
      <c r="KES417" s="1717"/>
      <c r="KET417" s="1718"/>
      <c r="KEU417" s="1718"/>
      <c r="KEV417" s="1718"/>
      <c r="KEW417" s="1718"/>
      <c r="KEX417" s="246"/>
      <c r="KEY417" s="246" t="str">
        <f>BS!$D$5</f>
        <v>31 March 2026</v>
      </c>
      <c r="KEZ417" s="247" t="str">
        <f>BS!$E$5</f>
        <v>31 March 2025</v>
      </c>
      <c r="KFA417" s="1717"/>
      <c r="KFB417" s="1718"/>
      <c r="KFC417" s="1718"/>
      <c r="KFD417" s="1718"/>
      <c r="KFE417" s="1718"/>
      <c r="KFF417" s="246"/>
      <c r="KFG417" s="246" t="str">
        <f>BS!$D$5</f>
        <v>31 March 2026</v>
      </c>
      <c r="KFH417" s="247" t="str">
        <f>BS!$E$5</f>
        <v>31 March 2025</v>
      </c>
      <c r="KFI417" s="1717"/>
      <c r="KFJ417" s="1718"/>
      <c r="KFK417" s="1718"/>
      <c r="KFL417" s="1718"/>
      <c r="KFM417" s="1718"/>
      <c r="KFN417" s="246"/>
      <c r="KFO417" s="246" t="str">
        <f>BS!$D$5</f>
        <v>31 March 2026</v>
      </c>
      <c r="KFP417" s="247" t="str">
        <f>BS!$E$5</f>
        <v>31 March 2025</v>
      </c>
      <c r="KFQ417" s="1717"/>
      <c r="KFR417" s="1718"/>
      <c r="KFS417" s="1718"/>
      <c r="KFT417" s="1718"/>
      <c r="KFU417" s="1718"/>
      <c r="KFV417" s="246"/>
      <c r="KFW417" s="246" t="str">
        <f>BS!$D$5</f>
        <v>31 March 2026</v>
      </c>
      <c r="KFX417" s="247" t="str">
        <f>BS!$E$5</f>
        <v>31 March 2025</v>
      </c>
      <c r="KFY417" s="1717"/>
      <c r="KFZ417" s="1718"/>
      <c r="KGA417" s="1718"/>
      <c r="KGB417" s="1718"/>
      <c r="KGC417" s="1718"/>
      <c r="KGD417" s="246"/>
      <c r="KGE417" s="246" t="str">
        <f>BS!$D$5</f>
        <v>31 March 2026</v>
      </c>
      <c r="KGF417" s="247" t="str">
        <f>BS!$E$5</f>
        <v>31 March 2025</v>
      </c>
      <c r="KGG417" s="1717"/>
      <c r="KGH417" s="1718"/>
      <c r="KGI417" s="1718"/>
      <c r="KGJ417" s="1718"/>
      <c r="KGK417" s="1718"/>
      <c r="KGL417" s="246"/>
      <c r="KGM417" s="246" t="str">
        <f>BS!$D$5</f>
        <v>31 March 2026</v>
      </c>
      <c r="KGN417" s="247" t="str">
        <f>BS!$E$5</f>
        <v>31 March 2025</v>
      </c>
      <c r="KGO417" s="1717"/>
      <c r="KGP417" s="1718"/>
      <c r="KGQ417" s="1718"/>
      <c r="KGR417" s="1718"/>
      <c r="KGS417" s="1718"/>
      <c r="KGT417" s="246"/>
      <c r="KGU417" s="246" t="str">
        <f>BS!$D$5</f>
        <v>31 March 2026</v>
      </c>
      <c r="KGV417" s="247" t="str">
        <f>BS!$E$5</f>
        <v>31 March 2025</v>
      </c>
      <c r="KGW417" s="1717"/>
      <c r="KGX417" s="1718"/>
      <c r="KGY417" s="1718"/>
      <c r="KGZ417" s="1718"/>
      <c r="KHA417" s="1718"/>
      <c r="KHB417" s="246"/>
      <c r="KHC417" s="246" t="str">
        <f>BS!$D$5</f>
        <v>31 March 2026</v>
      </c>
      <c r="KHD417" s="247" t="str">
        <f>BS!$E$5</f>
        <v>31 March 2025</v>
      </c>
      <c r="KHE417" s="1717"/>
      <c r="KHF417" s="1718"/>
      <c r="KHG417" s="1718"/>
      <c r="KHH417" s="1718"/>
      <c r="KHI417" s="1718"/>
      <c r="KHJ417" s="246"/>
      <c r="KHK417" s="246" t="str">
        <f>BS!$D$5</f>
        <v>31 March 2026</v>
      </c>
      <c r="KHL417" s="247" t="str">
        <f>BS!$E$5</f>
        <v>31 March 2025</v>
      </c>
      <c r="KHM417" s="1717"/>
      <c r="KHN417" s="1718"/>
      <c r="KHO417" s="1718"/>
      <c r="KHP417" s="1718"/>
      <c r="KHQ417" s="1718"/>
      <c r="KHR417" s="246"/>
      <c r="KHS417" s="246" t="str">
        <f>BS!$D$5</f>
        <v>31 March 2026</v>
      </c>
      <c r="KHT417" s="247" t="str">
        <f>BS!$E$5</f>
        <v>31 March 2025</v>
      </c>
      <c r="KHU417" s="1717"/>
      <c r="KHV417" s="1718"/>
      <c r="KHW417" s="1718"/>
      <c r="KHX417" s="1718"/>
      <c r="KHY417" s="1718"/>
      <c r="KHZ417" s="246"/>
      <c r="KIA417" s="246" t="str">
        <f>BS!$D$5</f>
        <v>31 March 2026</v>
      </c>
      <c r="KIB417" s="247" t="str">
        <f>BS!$E$5</f>
        <v>31 March 2025</v>
      </c>
      <c r="KIC417" s="1717"/>
      <c r="KID417" s="1718"/>
      <c r="KIE417" s="1718"/>
      <c r="KIF417" s="1718"/>
      <c r="KIG417" s="1718"/>
      <c r="KIH417" s="246"/>
      <c r="KII417" s="246" t="str">
        <f>BS!$D$5</f>
        <v>31 March 2026</v>
      </c>
      <c r="KIJ417" s="247" t="str">
        <f>BS!$E$5</f>
        <v>31 March 2025</v>
      </c>
      <c r="KIK417" s="1717"/>
      <c r="KIL417" s="1718"/>
      <c r="KIM417" s="1718"/>
      <c r="KIN417" s="1718"/>
      <c r="KIO417" s="1718"/>
      <c r="KIP417" s="246"/>
      <c r="KIQ417" s="246" t="str">
        <f>BS!$D$5</f>
        <v>31 March 2026</v>
      </c>
      <c r="KIR417" s="247" t="str">
        <f>BS!$E$5</f>
        <v>31 March 2025</v>
      </c>
      <c r="KIS417" s="1717"/>
      <c r="KIT417" s="1718"/>
      <c r="KIU417" s="1718"/>
      <c r="KIV417" s="1718"/>
      <c r="KIW417" s="1718"/>
      <c r="KIX417" s="246"/>
      <c r="KIY417" s="246" t="str">
        <f>BS!$D$5</f>
        <v>31 March 2026</v>
      </c>
      <c r="KIZ417" s="247" t="str">
        <f>BS!$E$5</f>
        <v>31 March 2025</v>
      </c>
      <c r="KJA417" s="1717"/>
      <c r="KJB417" s="1718"/>
      <c r="KJC417" s="1718"/>
      <c r="KJD417" s="1718"/>
      <c r="KJE417" s="1718"/>
      <c r="KJF417" s="246"/>
      <c r="KJG417" s="246" t="str">
        <f>BS!$D$5</f>
        <v>31 March 2026</v>
      </c>
      <c r="KJH417" s="247" t="str">
        <f>BS!$E$5</f>
        <v>31 March 2025</v>
      </c>
      <c r="KJI417" s="1717"/>
      <c r="KJJ417" s="1718"/>
      <c r="KJK417" s="1718"/>
      <c r="KJL417" s="1718"/>
      <c r="KJM417" s="1718"/>
      <c r="KJN417" s="246"/>
      <c r="KJO417" s="246" t="str">
        <f>BS!$D$5</f>
        <v>31 March 2026</v>
      </c>
      <c r="KJP417" s="247" t="str">
        <f>BS!$E$5</f>
        <v>31 March 2025</v>
      </c>
      <c r="KJQ417" s="1717"/>
      <c r="KJR417" s="1718"/>
      <c r="KJS417" s="1718"/>
      <c r="KJT417" s="1718"/>
      <c r="KJU417" s="1718"/>
      <c r="KJV417" s="246"/>
      <c r="KJW417" s="246" t="str">
        <f>BS!$D$5</f>
        <v>31 March 2026</v>
      </c>
      <c r="KJX417" s="247" t="str">
        <f>BS!$E$5</f>
        <v>31 March 2025</v>
      </c>
      <c r="KJY417" s="1717"/>
      <c r="KJZ417" s="1718"/>
      <c r="KKA417" s="1718"/>
      <c r="KKB417" s="1718"/>
      <c r="KKC417" s="1718"/>
      <c r="KKD417" s="246"/>
      <c r="KKE417" s="246" t="str">
        <f>BS!$D$5</f>
        <v>31 March 2026</v>
      </c>
      <c r="KKF417" s="247" t="str">
        <f>BS!$E$5</f>
        <v>31 March 2025</v>
      </c>
      <c r="KKG417" s="1717"/>
      <c r="KKH417" s="1718"/>
      <c r="KKI417" s="1718"/>
      <c r="KKJ417" s="1718"/>
      <c r="KKK417" s="1718"/>
      <c r="KKL417" s="246"/>
      <c r="KKM417" s="246" t="str">
        <f>BS!$D$5</f>
        <v>31 March 2026</v>
      </c>
      <c r="KKN417" s="247" t="str">
        <f>BS!$E$5</f>
        <v>31 March 2025</v>
      </c>
      <c r="KKO417" s="1717"/>
      <c r="KKP417" s="1718"/>
      <c r="KKQ417" s="1718"/>
      <c r="KKR417" s="1718"/>
      <c r="KKS417" s="1718"/>
      <c r="KKT417" s="246"/>
      <c r="KKU417" s="246" t="str">
        <f>BS!$D$5</f>
        <v>31 March 2026</v>
      </c>
      <c r="KKV417" s="247" t="str">
        <f>BS!$E$5</f>
        <v>31 March 2025</v>
      </c>
      <c r="KKW417" s="1717"/>
      <c r="KKX417" s="1718"/>
      <c r="KKY417" s="1718"/>
      <c r="KKZ417" s="1718"/>
      <c r="KLA417" s="1718"/>
      <c r="KLB417" s="246"/>
      <c r="KLC417" s="246" t="str">
        <f>BS!$D$5</f>
        <v>31 March 2026</v>
      </c>
      <c r="KLD417" s="247" t="str">
        <f>BS!$E$5</f>
        <v>31 March 2025</v>
      </c>
      <c r="KLE417" s="1717"/>
      <c r="KLF417" s="1718"/>
      <c r="KLG417" s="1718"/>
      <c r="KLH417" s="1718"/>
      <c r="KLI417" s="1718"/>
      <c r="KLJ417" s="246"/>
      <c r="KLK417" s="246" t="str">
        <f>BS!$D$5</f>
        <v>31 March 2026</v>
      </c>
      <c r="KLL417" s="247" t="str">
        <f>BS!$E$5</f>
        <v>31 March 2025</v>
      </c>
      <c r="KLM417" s="1717"/>
      <c r="KLN417" s="1718"/>
      <c r="KLO417" s="1718"/>
      <c r="KLP417" s="1718"/>
      <c r="KLQ417" s="1718"/>
      <c r="KLR417" s="246"/>
      <c r="KLS417" s="246" t="str">
        <f>BS!$D$5</f>
        <v>31 March 2026</v>
      </c>
      <c r="KLT417" s="247" t="str">
        <f>BS!$E$5</f>
        <v>31 March 2025</v>
      </c>
      <c r="KLU417" s="1717"/>
      <c r="KLV417" s="1718"/>
      <c r="KLW417" s="1718"/>
      <c r="KLX417" s="1718"/>
      <c r="KLY417" s="1718"/>
      <c r="KLZ417" s="246"/>
      <c r="KMA417" s="246" t="str">
        <f>BS!$D$5</f>
        <v>31 March 2026</v>
      </c>
      <c r="KMB417" s="247" t="str">
        <f>BS!$E$5</f>
        <v>31 March 2025</v>
      </c>
      <c r="KMC417" s="1717"/>
      <c r="KMD417" s="1718"/>
      <c r="KME417" s="1718"/>
      <c r="KMF417" s="1718"/>
      <c r="KMG417" s="1718"/>
      <c r="KMH417" s="246"/>
      <c r="KMI417" s="246" t="str">
        <f>BS!$D$5</f>
        <v>31 March 2026</v>
      </c>
      <c r="KMJ417" s="247" t="str">
        <f>BS!$E$5</f>
        <v>31 March 2025</v>
      </c>
      <c r="KMK417" s="1717"/>
      <c r="KML417" s="1718"/>
      <c r="KMM417" s="1718"/>
      <c r="KMN417" s="1718"/>
      <c r="KMO417" s="1718"/>
      <c r="KMP417" s="246"/>
      <c r="KMQ417" s="246" t="str">
        <f>BS!$D$5</f>
        <v>31 March 2026</v>
      </c>
      <c r="KMR417" s="247" t="str">
        <f>BS!$E$5</f>
        <v>31 March 2025</v>
      </c>
      <c r="KMS417" s="1717"/>
      <c r="KMT417" s="1718"/>
      <c r="KMU417" s="1718"/>
      <c r="KMV417" s="1718"/>
      <c r="KMW417" s="1718"/>
      <c r="KMX417" s="246"/>
      <c r="KMY417" s="246" t="str">
        <f>BS!$D$5</f>
        <v>31 March 2026</v>
      </c>
      <c r="KMZ417" s="247" t="str">
        <f>BS!$E$5</f>
        <v>31 March 2025</v>
      </c>
      <c r="KNA417" s="1717"/>
      <c r="KNB417" s="1718"/>
      <c r="KNC417" s="1718"/>
      <c r="KND417" s="1718"/>
      <c r="KNE417" s="1718"/>
      <c r="KNF417" s="246"/>
      <c r="KNG417" s="246" t="str">
        <f>BS!$D$5</f>
        <v>31 March 2026</v>
      </c>
      <c r="KNH417" s="247" t="str">
        <f>BS!$E$5</f>
        <v>31 March 2025</v>
      </c>
      <c r="KNI417" s="1717"/>
      <c r="KNJ417" s="1718"/>
      <c r="KNK417" s="1718"/>
      <c r="KNL417" s="1718"/>
      <c r="KNM417" s="1718"/>
      <c r="KNN417" s="246"/>
      <c r="KNO417" s="246" t="str">
        <f>BS!$D$5</f>
        <v>31 March 2026</v>
      </c>
      <c r="KNP417" s="247" t="str">
        <f>BS!$E$5</f>
        <v>31 March 2025</v>
      </c>
      <c r="KNQ417" s="1717"/>
      <c r="KNR417" s="1718"/>
      <c r="KNS417" s="1718"/>
      <c r="KNT417" s="1718"/>
      <c r="KNU417" s="1718"/>
      <c r="KNV417" s="246"/>
      <c r="KNW417" s="246" t="str">
        <f>BS!$D$5</f>
        <v>31 March 2026</v>
      </c>
      <c r="KNX417" s="247" t="str">
        <f>BS!$E$5</f>
        <v>31 March 2025</v>
      </c>
      <c r="KNY417" s="1717"/>
      <c r="KNZ417" s="1718"/>
      <c r="KOA417" s="1718"/>
      <c r="KOB417" s="1718"/>
      <c r="KOC417" s="1718"/>
      <c r="KOD417" s="246"/>
      <c r="KOE417" s="246" t="str">
        <f>BS!$D$5</f>
        <v>31 March 2026</v>
      </c>
      <c r="KOF417" s="247" t="str">
        <f>BS!$E$5</f>
        <v>31 March 2025</v>
      </c>
      <c r="KOG417" s="1717"/>
      <c r="KOH417" s="1718"/>
      <c r="KOI417" s="1718"/>
      <c r="KOJ417" s="1718"/>
      <c r="KOK417" s="1718"/>
      <c r="KOL417" s="246"/>
      <c r="KOM417" s="246" t="str">
        <f>BS!$D$5</f>
        <v>31 March 2026</v>
      </c>
      <c r="KON417" s="247" t="str">
        <f>BS!$E$5</f>
        <v>31 March 2025</v>
      </c>
      <c r="KOO417" s="1717"/>
      <c r="KOP417" s="1718"/>
      <c r="KOQ417" s="1718"/>
      <c r="KOR417" s="1718"/>
      <c r="KOS417" s="1718"/>
      <c r="KOT417" s="246"/>
      <c r="KOU417" s="246" t="str">
        <f>BS!$D$5</f>
        <v>31 March 2026</v>
      </c>
      <c r="KOV417" s="247" t="str">
        <f>BS!$E$5</f>
        <v>31 March 2025</v>
      </c>
      <c r="KOW417" s="1717"/>
      <c r="KOX417" s="1718"/>
      <c r="KOY417" s="1718"/>
      <c r="KOZ417" s="1718"/>
      <c r="KPA417" s="1718"/>
      <c r="KPB417" s="246"/>
      <c r="KPC417" s="246" t="str">
        <f>BS!$D$5</f>
        <v>31 March 2026</v>
      </c>
      <c r="KPD417" s="247" t="str">
        <f>BS!$E$5</f>
        <v>31 March 2025</v>
      </c>
      <c r="KPE417" s="1717"/>
      <c r="KPF417" s="1718"/>
      <c r="KPG417" s="1718"/>
      <c r="KPH417" s="1718"/>
      <c r="KPI417" s="1718"/>
      <c r="KPJ417" s="246"/>
      <c r="KPK417" s="246" t="str">
        <f>BS!$D$5</f>
        <v>31 March 2026</v>
      </c>
      <c r="KPL417" s="247" t="str">
        <f>BS!$E$5</f>
        <v>31 March 2025</v>
      </c>
      <c r="KPM417" s="1717"/>
      <c r="KPN417" s="1718"/>
      <c r="KPO417" s="1718"/>
      <c r="KPP417" s="1718"/>
      <c r="KPQ417" s="1718"/>
      <c r="KPR417" s="246"/>
      <c r="KPS417" s="246" t="str">
        <f>BS!$D$5</f>
        <v>31 March 2026</v>
      </c>
      <c r="KPT417" s="247" t="str">
        <f>BS!$E$5</f>
        <v>31 March 2025</v>
      </c>
      <c r="KPU417" s="1717"/>
      <c r="KPV417" s="1718"/>
      <c r="KPW417" s="1718"/>
      <c r="KPX417" s="1718"/>
      <c r="KPY417" s="1718"/>
      <c r="KPZ417" s="246"/>
      <c r="KQA417" s="246" t="str">
        <f>BS!$D$5</f>
        <v>31 March 2026</v>
      </c>
      <c r="KQB417" s="247" t="str">
        <f>BS!$E$5</f>
        <v>31 March 2025</v>
      </c>
      <c r="KQC417" s="1717"/>
      <c r="KQD417" s="1718"/>
      <c r="KQE417" s="1718"/>
      <c r="KQF417" s="1718"/>
      <c r="KQG417" s="1718"/>
      <c r="KQH417" s="246"/>
      <c r="KQI417" s="246" t="str">
        <f>BS!$D$5</f>
        <v>31 March 2026</v>
      </c>
      <c r="KQJ417" s="247" t="str">
        <f>BS!$E$5</f>
        <v>31 March 2025</v>
      </c>
      <c r="KQK417" s="1717"/>
      <c r="KQL417" s="1718"/>
      <c r="KQM417" s="1718"/>
      <c r="KQN417" s="1718"/>
      <c r="KQO417" s="1718"/>
      <c r="KQP417" s="246"/>
      <c r="KQQ417" s="246" t="str">
        <f>BS!$D$5</f>
        <v>31 March 2026</v>
      </c>
      <c r="KQR417" s="247" t="str">
        <f>BS!$E$5</f>
        <v>31 March 2025</v>
      </c>
      <c r="KQS417" s="1717"/>
      <c r="KQT417" s="1718"/>
      <c r="KQU417" s="1718"/>
      <c r="KQV417" s="1718"/>
      <c r="KQW417" s="1718"/>
      <c r="KQX417" s="246"/>
      <c r="KQY417" s="246" t="str">
        <f>BS!$D$5</f>
        <v>31 March 2026</v>
      </c>
      <c r="KQZ417" s="247" t="str">
        <f>BS!$E$5</f>
        <v>31 March 2025</v>
      </c>
      <c r="KRA417" s="1717"/>
      <c r="KRB417" s="1718"/>
      <c r="KRC417" s="1718"/>
      <c r="KRD417" s="1718"/>
      <c r="KRE417" s="1718"/>
      <c r="KRF417" s="246"/>
      <c r="KRG417" s="246" t="str">
        <f>BS!$D$5</f>
        <v>31 March 2026</v>
      </c>
      <c r="KRH417" s="247" t="str">
        <f>BS!$E$5</f>
        <v>31 March 2025</v>
      </c>
      <c r="KRI417" s="1717"/>
      <c r="KRJ417" s="1718"/>
      <c r="KRK417" s="1718"/>
      <c r="KRL417" s="1718"/>
      <c r="KRM417" s="1718"/>
      <c r="KRN417" s="246"/>
      <c r="KRO417" s="246" t="str">
        <f>BS!$D$5</f>
        <v>31 March 2026</v>
      </c>
      <c r="KRP417" s="247" t="str">
        <f>BS!$E$5</f>
        <v>31 March 2025</v>
      </c>
      <c r="KRQ417" s="1717"/>
      <c r="KRR417" s="1718"/>
      <c r="KRS417" s="1718"/>
      <c r="KRT417" s="1718"/>
      <c r="KRU417" s="1718"/>
      <c r="KRV417" s="246"/>
      <c r="KRW417" s="246" t="str">
        <f>BS!$D$5</f>
        <v>31 March 2026</v>
      </c>
      <c r="KRX417" s="247" t="str">
        <f>BS!$E$5</f>
        <v>31 March 2025</v>
      </c>
      <c r="KRY417" s="1717"/>
      <c r="KRZ417" s="1718"/>
      <c r="KSA417" s="1718"/>
      <c r="KSB417" s="1718"/>
      <c r="KSC417" s="1718"/>
      <c r="KSD417" s="246"/>
      <c r="KSE417" s="246" t="str">
        <f>BS!$D$5</f>
        <v>31 March 2026</v>
      </c>
      <c r="KSF417" s="247" t="str">
        <f>BS!$E$5</f>
        <v>31 March 2025</v>
      </c>
      <c r="KSG417" s="1717"/>
      <c r="KSH417" s="1718"/>
      <c r="KSI417" s="1718"/>
      <c r="KSJ417" s="1718"/>
      <c r="KSK417" s="1718"/>
      <c r="KSL417" s="246"/>
      <c r="KSM417" s="246" t="str">
        <f>BS!$D$5</f>
        <v>31 March 2026</v>
      </c>
      <c r="KSN417" s="247" t="str">
        <f>BS!$E$5</f>
        <v>31 March 2025</v>
      </c>
      <c r="KSO417" s="1717"/>
      <c r="KSP417" s="1718"/>
      <c r="KSQ417" s="1718"/>
      <c r="KSR417" s="1718"/>
      <c r="KSS417" s="1718"/>
      <c r="KST417" s="246"/>
      <c r="KSU417" s="246" t="str">
        <f>BS!$D$5</f>
        <v>31 March 2026</v>
      </c>
      <c r="KSV417" s="247" t="str">
        <f>BS!$E$5</f>
        <v>31 March 2025</v>
      </c>
      <c r="KSW417" s="1717"/>
      <c r="KSX417" s="1718"/>
      <c r="KSY417" s="1718"/>
      <c r="KSZ417" s="1718"/>
      <c r="KTA417" s="1718"/>
      <c r="KTB417" s="246"/>
      <c r="KTC417" s="246" t="str">
        <f>BS!$D$5</f>
        <v>31 March 2026</v>
      </c>
      <c r="KTD417" s="247" t="str">
        <f>BS!$E$5</f>
        <v>31 March 2025</v>
      </c>
      <c r="KTE417" s="1717"/>
      <c r="KTF417" s="1718"/>
      <c r="KTG417" s="1718"/>
      <c r="KTH417" s="1718"/>
      <c r="KTI417" s="1718"/>
      <c r="KTJ417" s="246"/>
      <c r="KTK417" s="246" t="str">
        <f>BS!$D$5</f>
        <v>31 March 2026</v>
      </c>
      <c r="KTL417" s="247" t="str">
        <f>BS!$E$5</f>
        <v>31 March 2025</v>
      </c>
      <c r="KTM417" s="1717"/>
      <c r="KTN417" s="1718"/>
      <c r="KTO417" s="1718"/>
      <c r="KTP417" s="1718"/>
      <c r="KTQ417" s="1718"/>
      <c r="KTR417" s="246"/>
      <c r="KTS417" s="246" t="str">
        <f>BS!$D$5</f>
        <v>31 March 2026</v>
      </c>
      <c r="KTT417" s="247" t="str">
        <f>BS!$E$5</f>
        <v>31 March 2025</v>
      </c>
      <c r="KTU417" s="1717"/>
      <c r="KTV417" s="1718"/>
      <c r="KTW417" s="1718"/>
      <c r="KTX417" s="1718"/>
      <c r="KTY417" s="1718"/>
      <c r="KTZ417" s="246"/>
      <c r="KUA417" s="246" t="str">
        <f>BS!$D$5</f>
        <v>31 March 2026</v>
      </c>
      <c r="KUB417" s="247" t="str">
        <f>BS!$E$5</f>
        <v>31 March 2025</v>
      </c>
      <c r="KUC417" s="1717"/>
      <c r="KUD417" s="1718"/>
      <c r="KUE417" s="1718"/>
      <c r="KUF417" s="1718"/>
      <c r="KUG417" s="1718"/>
      <c r="KUH417" s="246"/>
      <c r="KUI417" s="246" t="str">
        <f>BS!$D$5</f>
        <v>31 March 2026</v>
      </c>
      <c r="KUJ417" s="247" t="str">
        <f>BS!$E$5</f>
        <v>31 March 2025</v>
      </c>
      <c r="KUK417" s="1717"/>
      <c r="KUL417" s="1718"/>
      <c r="KUM417" s="1718"/>
      <c r="KUN417" s="1718"/>
      <c r="KUO417" s="1718"/>
      <c r="KUP417" s="246"/>
      <c r="KUQ417" s="246" t="str">
        <f>BS!$D$5</f>
        <v>31 March 2026</v>
      </c>
      <c r="KUR417" s="247" t="str">
        <f>BS!$E$5</f>
        <v>31 March 2025</v>
      </c>
      <c r="KUS417" s="1717"/>
      <c r="KUT417" s="1718"/>
      <c r="KUU417" s="1718"/>
      <c r="KUV417" s="1718"/>
      <c r="KUW417" s="1718"/>
      <c r="KUX417" s="246"/>
      <c r="KUY417" s="246" t="str">
        <f>BS!$D$5</f>
        <v>31 March 2026</v>
      </c>
      <c r="KUZ417" s="247" t="str">
        <f>BS!$E$5</f>
        <v>31 March 2025</v>
      </c>
      <c r="KVA417" s="1717"/>
      <c r="KVB417" s="1718"/>
      <c r="KVC417" s="1718"/>
      <c r="KVD417" s="1718"/>
      <c r="KVE417" s="1718"/>
      <c r="KVF417" s="246"/>
      <c r="KVG417" s="246" t="str">
        <f>BS!$D$5</f>
        <v>31 March 2026</v>
      </c>
      <c r="KVH417" s="247" t="str">
        <f>BS!$E$5</f>
        <v>31 March 2025</v>
      </c>
      <c r="KVI417" s="1717"/>
      <c r="KVJ417" s="1718"/>
      <c r="KVK417" s="1718"/>
      <c r="KVL417" s="1718"/>
      <c r="KVM417" s="1718"/>
      <c r="KVN417" s="246"/>
      <c r="KVO417" s="246" t="str">
        <f>BS!$D$5</f>
        <v>31 March 2026</v>
      </c>
      <c r="KVP417" s="247" t="str">
        <f>BS!$E$5</f>
        <v>31 March 2025</v>
      </c>
      <c r="KVQ417" s="1717"/>
      <c r="KVR417" s="1718"/>
      <c r="KVS417" s="1718"/>
      <c r="KVT417" s="1718"/>
      <c r="KVU417" s="1718"/>
      <c r="KVV417" s="246"/>
      <c r="KVW417" s="246" t="str">
        <f>BS!$D$5</f>
        <v>31 March 2026</v>
      </c>
      <c r="KVX417" s="247" t="str">
        <f>BS!$E$5</f>
        <v>31 March 2025</v>
      </c>
      <c r="KVY417" s="1717"/>
      <c r="KVZ417" s="1718"/>
      <c r="KWA417" s="1718"/>
      <c r="KWB417" s="1718"/>
      <c r="KWC417" s="1718"/>
      <c r="KWD417" s="246"/>
      <c r="KWE417" s="246" t="str">
        <f>BS!$D$5</f>
        <v>31 March 2026</v>
      </c>
      <c r="KWF417" s="247" t="str">
        <f>BS!$E$5</f>
        <v>31 March 2025</v>
      </c>
      <c r="KWG417" s="1717"/>
      <c r="KWH417" s="1718"/>
      <c r="KWI417" s="1718"/>
      <c r="KWJ417" s="1718"/>
      <c r="KWK417" s="1718"/>
      <c r="KWL417" s="246"/>
      <c r="KWM417" s="246" t="str">
        <f>BS!$D$5</f>
        <v>31 March 2026</v>
      </c>
      <c r="KWN417" s="247" t="str">
        <f>BS!$E$5</f>
        <v>31 March 2025</v>
      </c>
      <c r="KWO417" s="1717"/>
      <c r="KWP417" s="1718"/>
      <c r="KWQ417" s="1718"/>
      <c r="KWR417" s="1718"/>
      <c r="KWS417" s="1718"/>
      <c r="KWT417" s="246"/>
      <c r="KWU417" s="246" t="str">
        <f>BS!$D$5</f>
        <v>31 March 2026</v>
      </c>
      <c r="KWV417" s="247" t="str">
        <f>BS!$E$5</f>
        <v>31 March 2025</v>
      </c>
      <c r="KWW417" s="1717"/>
      <c r="KWX417" s="1718"/>
      <c r="KWY417" s="1718"/>
      <c r="KWZ417" s="1718"/>
      <c r="KXA417" s="1718"/>
      <c r="KXB417" s="246"/>
      <c r="KXC417" s="246" t="str">
        <f>BS!$D$5</f>
        <v>31 March 2026</v>
      </c>
      <c r="KXD417" s="247" t="str">
        <f>BS!$E$5</f>
        <v>31 March 2025</v>
      </c>
      <c r="KXE417" s="1717"/>
      <c r="KXF417" s="1718"/>
      <c r="KXG417" s="1718"/>
      <c r="KXH417" s="1718"/>
      <c r="KXI417" s="1718"/>
      <c r="KXJ417" s="246"/>
      <c r="KXK417" s="246" t="str">
        <f>BS!$D$5</f>
        <v>31 March 2026</v>
      </c>
      <c r="KXL417" s="247" t="str">
        <f>BS!$E$5</f>
        <v>31 March 2025</v>
      </c>
      <c r="KXM417" s="1717"/>
      <c r="KXN417" s="1718"/>
      <c r="KXO417" s="1718"/>
      <c r="KXP417" s="1718"/>
      <c r="KXQ417" s="1718"/>
      <c r="KXR417" s="246"/>
      <c r="KXS417" s="246" t="str">
        <f>BS!$D$5</f>
        <v>31 March 2026</v>
      </c>
      <c r="KXT417" s="247" t="str">
        <f>BS!$E$5</f>
        <v>31 March 2025</v>
      </c>
      <c r="KXU417" s="1717"/>
      <c r="KXV417" s="1718"/>
      <c r="KXW417" s="1718"/>
      <c r="KXX417" s="1718"/>
      <c r="KXY417" s="1718"/>
      <c r="KXZ417" s="246"/>
      <c r="KYA417" s="246" t="str">
        <f>BS!$D$5</f>
        <v>31 March 2026</v>
      </c>
      <c r="KYB417" s="247" t="str">
        <f>BS!$E$5</f>
        <v>31 March 2025</v>
      </c>
      <c r="KYC417" s="1717"/>
      <c r="KYD417" s="1718"/>
      <c r="KYE417" s="1718"/>
      <c r="KYF417" s="1718"/>
      <c r="KYG417" s="1718"/>
      <c r="KYH417" s="246"/>
      <c r="KYI417" s="246" t="str">
        <f>BS!$D$5</f>
        <v>31 March 2026</v>
      </c>
      <c r="KYJ417" s="247" t="str">
        <f>BS!$E$5</f>
        <v>31 March 2025</v>
      </c>
      <c r="KYK417" s="1717"/>
      <c r="KYL417" s="1718"/>
      <c r="KYM417" s="1718"/>
      <c r="KYN417" s="1718"/>
      <c r="KYO417" s="1718"/>
      <c r="KYP417" s="246"/>
      <c r="KYQ417" s="246" t="str">
        <f>BS!$D$5</f>
        <v>31 March 2026</v>
      </c>
      <c r="KYR417" s="247" t="str">
        <f>BS!$E$5</f>
        <v>31 March 2025</v>
      </c>
      <c r="KYS417" s="1717"/>
      <c r="KYT417" s="1718"/>
      <c r="KYU417" s="1718"/>
      <c r="KYV417" s="1718"/>
      <c r="KYW417" s="1718"/>
      <c r="KYX417" s="246"/>
      <c r="KYY417" s="246" t="str">
        <f>BS!$D$5</f>
        <v>31 March 2026</v>
      </c>
      <c r="KYZ417" s="247" t="str">
        <f>BS!$E$5</f>
        <v>31 March 2025</v>
      </c>
      <c r="KZA417" s="1717"/>
      <c r="KZB417" s="1718"/>
      <c r="KZC417" s="1718"/>
      <c r="KZD417" s="1718"/>
      <c r="KZE417" s="1718"/>
      <c r="KZF417" s="246"/>
      <c r="KZG417" s="246" t="str">
        <f>BS!$D$5</f>
        <v>31 March 2026</v>
      </c>
      <c r="KZH417" s="247" t="str">
        <f>BS!$E$5</f>
        <v>31 March 2025</v>
      </c>
      <c r="KZI417" s="1717"/>
      <c r="KZJ417" s="1718"/>
      <c r="KZK417" s="1718"/>
      <c r="KZL417" s="1718"/>
      <c r="KZM417" s="1718"/>
      <c r="KZN417" s="246"/>
      <c r="KZO417" s="246" t="str">
        <f>BS!$D$5</f>
        <v>31 March 2026</v>
      </c>
      <c r="KZP417" s="247" t="str">
        <f>BS!$E$5</f>
        <v>31 March 2025</v>
      </c>
      <c r="KZQ417" s="1717"/>
      <c r="KZR417" s="1718"/>
      <c r="KZS417" s="1718"/>
      <c r="KZT417" s="1718"/>
      <c r="KZU417" s="1718"/>
      <c r="KZV417" s="246"/>
      <c r="KZW417" s="246" t="str">
        <f>BS!$D$5</f>
        <v>31 March 2026</v>
      </c>
      <c r="KZX417" s="247" t="str">
        <f>BS!$E$5</f>
        <v>31 March 2025</v>
      </c>
      <c r="KZY417" s="1717"/>
      <c r="KZZ417" s="1718"/>
      <c r="LAA417" s="1718"/>
      <c r="LAB417" s="1718"/>
      <c r="LAC417" s="1718"/>
      <c r="LAD417" s="246"/>
      <c r="LAE417" s="246" t="str">
        <f>BS!$D$5</f>
        <v>31 March 2026</v>
      </c>
      <c r="LAF417" s="247" t="str">
        <f>BS!$E$5</f>
        <v>31 March 2025</v>
      </c>
      <c r="LAG417" s="1717"/>
      <c r="LAH417" s="1718"/>
      <c r="LAI417" s="1718"/>
      <c r="LAJ417" s="1718"/>
      <c r="LAK417" s="1718"/>
      <c r="LAL417" s="246"/>
      <c r="LAM417" s="246" t="str">
        <f>BS!$D$5</f>
        <v>31 March 2026</v>
      </c>
      <c r="LAN417" s="247" t="str">
        <f>BS!$E$5</f>
        <v>31 March 2025</v>
      </c>
      <c r="LAO417" s="1717"/>
      <c r="LAP417" s="1718"/>
      <c r="LAQ417" s="1718"/>
      <c r="LAR417" s="1718"/>
      <c r="LAS417" s="1718"/>
      <c r="LAT417" s="246"/>
      <c r="LAU417" s="246" t="str">
        <f>BS!$D$5</f>
        <v>31 March 2026</v>
      </c>
      <c r="LAV417" s="247" t="str">
        <f>BS!$E$5</f>
        <v>31 March 2025</v>
      </c>
      <c r="LAW417" s="1717"/>
      <c r="LAX417" s="1718"/>
      <c r="LAY417" s="1718"/>
      <c r="LAZ417" s="1718"/>
      <c r="LBA417" s="1718"/>
      <c r="LBB417" s="246"/>
      <c r="LBC417" s="246" t="str">
        <f>BS!$D$5</f>
        <v>31 March 2026</v>
      </c>
      <c r="LBD417" s="247" t="str">
        <f>BS!$E$5</f>
        <v>31 March 2025</v>
      </c>
      <c r="LBE417" s="1717"/>
      <c r="LBF417" s="1718"/>
      <c r="LBG417" s="1718"/>
      <c r="LBH417" s="1718"/>
      <c r="LBI417" s="1718"/>
      <c r="LBJ417" s="246"/>
      <c r="LBK417" s="246" t="str">
        <f>BS!$D$5</f>
        <v>31 March 2026</v>
      </c>
      <c r="LBL417" s="247" t="str">
        <f>BS!$E$5</f>
        <v>31 March 2025</v>
      </c>
      <c r="LBM417" s="1717"/>
      <c r="LBN417" s="1718"/>
      <c r="LBO417" s="1718"/>
      <c r="LBP417" s="1718"/>
      <c r="LBQ417" s="1718"/>
      <c r="LBR417" s="246"/>
      <c r="LBS417" s="246" t="str">
        <f>BS!$D$5</f>
        <v>31 March 2026</v>
      </c>
      <c r="LBT417" s="247" t="str">
        <f>BS!$E$5</f>
        <v>31 March 2025</v>
      </c>
      <c r="LBU417" s="1717"/>
      <c r="LBV417" s="1718"/>
      <c r="LBW417" s="1718"/>
      <c r="LBX417" s="1718"/>
      <c r="LBY417" s="1718"/>
      <c r="LBZ417" s="246"/>
      <c r="LCA417" s="246" t="str">
        <f>BS!$D$5</f>
        <v>31 March 2026</v>
      </c>
      <c r="LCB417" s="247" t="str">
        <f>BS!$E$5</f>
        <v>31 March 2025</v>
      </c>
      <c r="LCC417" s="1717"/>
      <c r="LCD417" s="1718"/>
      <c r="LCE417" s="1718"/>
      <c r="LCF417" s="1718"/>
      <c r="LCG417" s="1718"/>
      <c r="LCH417" s="246"/>
      <c r="LCI417" s="246" t="str">
        <f>BS!$D$5</f>
        <v>31 March 2026</v>
      </c>
      <c r="LCJ417" s="247" t="str">
        <f>BS!$E$5</f>
        <v>31 March 2025</v>
      </c>
      <c r="LCK417" s="1717"/>
      <c r="LCL417" s="1718"/>
      <c r="LCM417" s="1718"/>
      <c r="LCN417" s="1718"/>
      <c r="LCO417" s="1718"/>
      <c r="LCP417" s="246"/>
      <c r="LCQ417" s="246" t="str">
        <f>BS!$D$5</f>
        <v>31 March 2026</v>
      </c>
      <c r="LCR417" s="247" t="str">
        <f>BS!$E$5</f>
        <v>31 March 2025</v>
      </c>
      <c r="LCS417" s="1717"/>
      <c r="LCT417" s="1718"/>
      <c r="LCU417" s="1718"/>
      <c r="LCV417" s="1718"/>
      <c r="LCW417" s="1718"/>
      <c r="LCX417" s="246"/>
      <c r="LCY417" s="246" t="str">
        <f>BS!$D$5</f>
        <v>31 March 2026</v>
      </c>
      <c r="LCZ417" s="247" t="str">
        <f>BS!$E$5</f>
        <v>31 March 2025</v>
      </c>
      <c r="LDA417" s="1717"/>
      <c r="LDB417" s="1718"/>
      <c r="LDC417" s="1718"/>
      <c r="LDD417" s="1718"/>
      <c r="LDE417" s="1718"/>
      <c r="LDF417" s="246"/>
      <c r="LDG417" s="246" t="str">
        <f>BS!$D$5</f>
        <v>31 March 2026</v>
      </c>
      <c r="LDH417" s="247" t="str">
        <f>BS!$E$5</f>
        <v>31 March 2025</v>
      </c>
      <c r="LDI417" s="1717"/>
      <c r="LDJ417" s="1718"/>
      <c r="LDK417" s="1718"/>
      <c r="LDL417" s="1718"/>
      <c r="LDM417" s="1718"/>
      <c r="LDN417" s="246"/>
      <c r="LDO417" s="246" t="str">
        <f>BS!$D$5</f>
        <v>31 March 2026</v>
      </c>
      <c r="LDP417" s="247" t="str">
        <f>BS!$E$5</f>
        <v>31 March 2025</v>
      </c>
      <c r="LDQ417" s="1717"/>
      <c r="LDR417" s="1718"/>
      <c r="LDS417" s="1718"/>
      <c r="LDT417" s="1718"/>
      <c r="LDU417" s="1718"/>
      <c r="LDV417" s="246"/>
      <c r="LDW417" s="246" t="str">
        <f>BS!$D$5</f>
        <v>31 March 2026</v>
      </c>
      <c r="LDX417" s="247" t="str">
        <f>BS!$E$5</f>
        <v>31 March 2025</v>
      </c>
      <c r="LDY417" s="1717"/>
      <c r="LDZ417" s="1718"/>
      <c r="LEA417" s="1718"/>
      <c r="LEB417" s="1718"/>
      <c r="LEC417" s="1718"/>
      <c r="LED417" s="246"/>
      <c r="LEE417" s="246" t="str">
        <f>BS!$D$5</f>
        <v>31 March 2026</v>
      </c>
      <c r="LEF417" s="247" t="str">
        <f>BS!$E$5</f>
        <v>31 March 2025</v>
      </c>
      <c r="LEG417" s="1717"/>
      <c r="LEH417" s="1718"/>
      <c r="LEI417" s="1718"/>
      <c r="LEJ417" s="1718"/>
      <c r="LEK417" s="1718"/>
      <c r="LEL417" s="246"/>
      <c r="LEM417" s="246" t="str">
        <f>BS!$D$5</f>
        <v>31 March 2026</v>
      </c>
      <c r="LEN417" s="247" t="str">
        <f>BS!$E$5</f>
        <v>31 March 2025</v>
      </c>
      <c r="LEO417" s="1717"/>
      <c r="LEP417" s="1718"/>
      <c r="LEQ417" s="1718"/>
      <c r="LER417" s="1718"/>
      <c r="LES417" s="1718"/>
      <c r="LET417" s="246"/>
      <c r="LEU417" s="246" t="str">
        <f>BS!$D$5</f>
        <v>31 March 2026</v>
      </c>
      <c r="LEV417" s="247" t="str">
        <f>BS!$E$5</f>
        <v>31 March 2025</v>
      </c>
      <c r="LEW417" s="1717"/>
      <c r="LEX417" s="1718"/>
      <c r="LEY417" s="1718"/>
      <c r="LEZ417" s="1718"/>
      <c r="LFA417" s="1718"/>
      <c r="LFB417" s="246"/>
      <c r="LFC417" s="246" t="str">
        <f>BS!$D$5</f>
        <v>31 March 2026</v>
      </c>
      <c r="LFD417" s="247" t="str">
        <f>BS!$E$5</f>
        <v>31 March 2025</v>
      </c>
      <c r="LFE417" s="1717"/>
      <c r="LFF417" s="1718"/>
      <c r="LFG417" s="1718"/>
      <c r="LFH417" s="1718"/>
      <c r="LFI417" s="1718"/>
      <c r="LFJ417" s="246"/>
      <c r="LFK417" s="246" t="str">
        <f>BS!$D$5</f>
        <v>31 March 2026</v>
      </c>
      <c r="LFL417" s="247" t="str">
        <f>BS!$E$5</f>
        <v>31 March 2025</v>
      </c>
      <c r="LFM417" s="1717"/>
      <c r="LFN417" s="1718"/>
      <c r="LFO417" s="1718"/>
      <c r="LFP417" s="1718"/>
      <c r="LFQ417" s="1718"/>
      <c r="LFR417" s="246"/>
      <c r="LFS417" s="246" t="str">
        <f>BS!$D$5</f>
        <v>31 March 2026</v>
      </c>
      <c r="LFT417" s="247" t="str">
        <f>BS!$E$5</f>
        <v>31 March 2025</v>
      </c>
      <c r="LFU417" s="1717"/>
      <c r="LFV417" s="1718"/>
      <c r="LFW417" s="1718"/>
      <c r="LFX417" s="1718"/>
      <c r="LFY417" s="1718"/>
      <c r="LFZ417" s="246"/>
      <c r="LGA417" s="246" t="str">
        <f>BS!$D$5</f>
        <v>31 March 2026</v>
      </c>
      <c r="LGB417" s="247" t="str">
        <f>BS!$E$5</f>
        <v>31 March 2025</v>
      </c>
      <c r="LGC417" s="1717"/>
      <c r="LGD417" s="1718"/>
      <c r="LGE417" s="1718"/>
      <c r="LGF417" s="1718"/>
      <c r="LGG417" s="1718"/>
      <c r="LGH417" s="246"/>
      <c r="LGI417" s="246" t="str">
        <f>BS!$D$5</f>
        <v>31 March 2026</v>
      </c>
      <c r="LGJ417" s="247" t="str">
        <f>BS!$E$5</f>
        <v>31 March 2025</v>
      </c>
      <c r="LGK417" s="1717"/>
      <c r="LGL417" s="1718"/>
      <c r="LGM417" s="1718"/>
      <c r="LGN417" s="1718"/>
      <c r="LGO417" s="1718"/>
      <c r="LGP417" s="246"/>
      <c r="LGQ417" s="246" t="str">
        <f>BS!$D$5</f>
        <v>31 March 2026</v>
      </c>
      <c r="LGR417" s="247" t="str">
        <f>BS!$E$5</f>
        <v>31 March 2025</v>
      </c>
      <c r="LGS417" s="1717"/>
      <c r="LGT417" s="1718"/>
      <c r="LGU417" s="1718"/>
      <c r="LGV417" s="1718"/>
      <c r="LGW417" s="1718"/>
      <c r="LGX417" s="246"/>
      <c r="LGY417" s="246" t="str">
        <f>BS!$D$5</f>
        <v>31 March 2026</v>
      </c>
      <c r="LGZ417" s="247" t="str">
        <f>BS!$E$5</f>
        <v>31 March 2025</v>
      </c>
      <c r="LHA417" s="1717"/>
      <c r="LHB417" s="1718"/>
      <c r="LHC417" s="1718"/>
      <c r="LHD417" s="1718"/>
      <c r="LHE417" s="1718"/>
      <c r="LHF417" s="246"/>
      <c r="LHG417" s="246" t="str">
        <f>BS!$D$5</f>
        <v>31 March 2026</v>
      </c>
      <c r="LHH417" s="247" t="str">
        <f>BS!$E$5</f>
        <v>31 March 2025</v>
      </c>
      <c r="LHI417" s="1717"/>
      <c r="LHJ417" s="1718"/>
      <c r="LHK417" s="1718"/>
      <c r="LHL417" s="1718"/>
      <c r="LHM417" s="1718"/>
      <c r="LHN417" s="246"/>
      <c r="LHO417" s="246" t="str">
        <f>BS!$D$5</f>
        <v>31 March 2026</v>
      </c>
      <c r="LHP417" s="247" t="str">
        <f>BS!$E$5</f>
        <v>31 March 2025</v>
      </c>
      <c r="LHQ417" s="1717"/>
      <c r="LHR417" s="1718"/>
      <c r="LHS417" s="1718"/>
      <c r="LHT417" s="1718"/>
      <c r="LHU417" s="1718"/>
      <c r="LHV417" s="246"/>
      <c r="LHW417" s="246" t="str">
        <f>BS!$D$5</f>
        <v>31 March 2026</v>
      </c>
      <c r="LHX417" s="247" t="str">
        <f>BS!$E$5</f>
        <v>31 March 2025</v>
      </c>
      <c r="LHY417" s="1717"/>
      <c r="LHZ417" s="1718"/>
      <c r="LIA417" s="1718"/>
      <c r="LIB417" s="1718"/>
      <c r="LIC417" s="1718"/>
      <c r="LID417" s="246"/>
      <c r="LIE417" s="246" t="str">
        <f>BS!$D$5</f>
        <v>31 March 2026</v>
      </c>
      <c r="LIF417" s="247" t="str">
        <f>BS!$E$5</f>
        <v>31 March 2025</v>
      </c>
      <c r="LIG417" s="1717"/>
      <c r="LIH417" s="1718"/>
      <c r="LII417" s="1718"/>
      <c r="LIJ417" s="1718"/>
      <c r="LIK417" s="1718"/>
      <c r="LIL417" s="246"/>
      <c r="LIM417" s="246" t="str">
        <f>BS!$D$5</f>
        <v>31 March 2026</v>
      </c>
      <c r="LIN417" s="247" t="str">
        <f>BS!$E$5</f>
        <v>31 March 2025</v>
      </c>
      <c r="LIO417" s="1717"/>
      <c r="LIP417" s="1718"/>
      <c r="LIQ417" s="1718"/>
      <c r="LIR417" s="1718"/>
      <c r="LIS417" s="1718"/>
      <c r="LIT417" s="246"/>
      <c r="LIU417" s="246" t="str">
        <f>BS!$D$5</f>
        <v>31 March 2026</v>
      </c>
      <c r="LIV417" s="247" t="str">
        <f>BS!$E$5</f>
        <v>31 March 2025</v>
      </c>
      <c r="LIW417" s="1717"/>
      <c r="LIX417" s="1718"/>
      <c r="LIY417" s="1718"/>
      <c r="LIZ417" s="1718"/>
      <c r="LJA417" s="1718"/>
      <c r="LJB417" s="246"/>
      <c r="LJC417" s="246" t="str">
        <f>BS!$D$5</f>
        <v>31 March 2026</v>
      </c>
      <c r="LJD417" s="247" t="str">
        <f>BS!$E$5</f>
        <v>31 March 2025</v>
      </c>
      <c r="LJE417" s="1717"/>
      <c r="LJF417" s="1718"/>
      <c r="LJG417" s="1718"/>
      <c r="LJH417" s="1718"/>
      <c r="LJI417" s="1718"/>
      <c r="LJJ417" s="246"/>
      <c r="LJK417" s="246" t="str">
        <f>BS!$D$5</f>
        <v>31 March 2026</v>
      </c>
      <c r="LJL417" s="247" t="str">
        <f>BS!$E$5</f>
        <v>31 March 2025</v>
      </c>
      <c r="LJM417" s="1717"/>
      <c r="LJN417" s="1718"/>
      <c r="LJO417" s="1718"/>
      <c r="LJP417" s="1718"/>
      <c r="LJQ417" s="1718"/>
      <c r="LJR417" s="246"/>
      <c r="LJS417" s="246" t="str">
        <f>BS!$D$5</f>
        <v>31 March 2026</v>
      </c>
      <c r="LJT417" s="247" t="str">
        <f>BS!$E$5</f>
        <v>31 March 2025</v>
      </c>
      <c r="LJU417" s="1717"/>
      <c r="LJV417" s="1718"/>
      <c r="LJW417" s="1718"/>
      <c r="LJX417" s="1718"/>
      <c r="LJY417" s="1718"/>
      <c r="LJZ417" s="246"/>
      <c r="LKA417" s="246" t="str">
        <f>BS!$D$5</f>
        <v>31 March 2026</v>
      </c>
      <c r="LKB417" s="247" t="str">
        <f>BS!$E$5</f>
        <v>31 March 2025</v>
      </c>
      <c r="LKC417" s="1717"/>
      <c r="LKD417" s="1718"/>
      <c r="LKE417" s="1718"/>
      <c r="LKF417" s="1718"/>
      <c r="LKG417" s="1718"/>
      <c r="LKH417" s="246"/>
      <c r="LKI417" s="246" t="str">
        <f>BS!$D$5</f>
        <v>31 March 2026</v>
      </c>
      <c r="LKJ417" s="247" t="str">
        <f>BS!$E$5</f>
        <v>31 March 2025</v>
      </c>
      <c r="LKK417" s="1717"/>
      <c r="LKL417" s="1718"/>
      <c r="LKM417" s="1718"/>
      <c r="LKN417" s="1718"/>
      <c r="LKO417" s="1718"/>
      <c r="LKP417" s="246"/>
      <c r="LKQ417" s="246" t="str">
        <f>BS!$D$5</f>
        <v>31 March 2026</v>
      </c>
      <c r="LKR417" s="247" t="str">
        <f>BS!$E$5</f>
        <v>31 March 2025</v>
      </c>
      <c r="LKS417" s="1717"/>
      <c r="LKT417" s="1718"/>
      <c r="LKU417" s="1718"/>
      <c r="LKV417" s="1718"/>
      <c r="LKW417" s="1718"/>
      <c r="LKX417" s="246"/>
      <c r="LKY417" s="246" t="str">
        <f>BS!$D$5</f>
        <v>31 March 2026</v>
      </c>
      <c r="LKZ417" s="247" t="str">
        <f>BS!$E$5</f>
        <v>31 March 2025</v>
      </c>
      <c r="LLA417" s="1717"/>
      <c r="LLB417" s="1718"/>
      <c r="LLC417" s="1718"/>
      <c r="LLD417" s="1718"/>
      <c r="LLE417" s="1718"/>
      <c r="LLF417" s="246"/>
      <c r="LLG417" s="246" t="str">
        <f>BS!$D$5</f>
        <v>31 March 2026</v>
      </c>
      <c r="LLH417" s="247" t="str">
        <f>BS!$E$5</f>
        <v>31 March 2025</v>
      </c>
      <c r="LLI417" s="1717"/>
      <c r="LLJ417" s="1718"/>
      <c r="LLK417" s="1718"/>
      <c r="LLL417" s="1718"/>
      <c r="LLM417" s="1718"/>
      <c r="LLN417" s="246"/>
      <c r="LLO417" s="246" t="str">
        <f>BS!$D$5</f>
        <v>31 March 2026</v>
      </c>
      <c r="LLP417" s="247" t="str">
        <f>BS!$E$5</f>
        <v>31 March 2025</v>
      </c>
      <c r="LLQ417" s="1717"/>
      <c r="LLR417" s="1718"/>
      <c r="LLS417" s="1718"/>
      <c r="LLT417" s="1718"/>
      <c r="LLU417" s="1718"/>
      <c r="LLV417" s="246"/>
      <c r="LLW417" s="246" t="str">
        <f>BS!$D$5</f>
        <v>31 March 2026</v>
      </c>
      <c r="LLX417" s="247" t="str">
        <f>BS!$E$5</f>
        <v>31 March 2025</v>
      </c>
      <c r="LLY417" s="1717"/>
      <c r="LLZ417" s="1718"/>
      <c r="LMA417" s="1718"/>
      <c r="LMB417" s="1718"/>
      <c r="LMC417" s="1718"/>
      <c r="LMD417" s="246"/>
      <c r="LME417" s="246" t="str">
        <f>BS!$D$5</f>
        <v>31 March 2026</v>
      </c>
      <c r="LMF417" s="247" t="str">
        <f>BS!$E$5</f>
        <v>31 March 2025</v>
      </c>
      <c r="LMG417" s="1717"/>
      <c r="LMH417" s="1718"/>
      <c r="LMI417" s="1718"/>
      <c r="LMJ417" s="1718"/>
      <c r="LMK417" s="1718"/>
      <c r="LML417" s="246"/>
      <c r="LMM417" s="246" t="str">
        <f>BS!$D$5</f>
        <v>31 March 2026</v>
      </c>
      <c r="LMN417" s="247" t="str">
        <f>BS!$E$5</f>
        <v>31 March 2025</v>
      </c>
      <c r="LMO417" s="1717"/>
      <c r="LMP417" s="1718"/>
      <c r="LMQ417" s="1718"/>
      <c r="LMR417" s="1718"/>
      <c r="LMS417" s="1718"/>
      <c r="LMT417" s="246"/>
      <c r="LMU417" s="246" t="str">
        <f>BS!$D$5</f>
        <v>31 March 2026</v>
      </c>
      <c r="LMV417" s="247" t="str">
        <f>BS!$E$5</f>
        <v>31 March 2025</v>
      </c>
      <c r="LMW417" s="1717"/>
      <c r="LMX417" s="1718"/>
      <c r="LMY417" s="1718"/>
      <c r="LMZ417" s="1718"/>
      <c r="LNA417" s="1718"/>
      <c r="LNB417" s="246"/>
      <c r="LNC417" s="246" t="str">
        <f>BS!$D$5</f>
        <v>31 March 2026</v>
      </c>
      <c r="LND417" s="247" t="str">
        <f>BS!$E$5</f>
        <v>31 March 2025</v>
      </c>
      <c r="LNE417" s="1717"/>
      <c r="LNF417" s="1718"/>
      <c r="LNG417" s="1718"/>
      <c r="LNH417" s="1718"/>
      <c r="LNI417" s="1718"/>
      <c r="LNJ417" s="246"/>
      <c r="LNK417" s="246" t="str">
        <f>BS!$D$5</f>
        <v>31 March 2026</v>
      </c>
      <c r="LNL417" s="247" t="str">
        <f>BS!$E$5</f>
        <v>31 March 2025</v>
      </c>
      <c r="LNM417" s="1717"/>
      <c r="LNN417" s="1718"/>
      <c r="LNO417" s="1718"/>
      <c r="LNP417" s="1718"/>
      <c r="LNQ417" s="1718"/>
      <c r="LNR417" s="246"/>
      <c r="LNS417" s="246" t="str">
        <f>BS!$D$5</f>
        <v>31 March 2026</v>
      </c>
      <c r="LNT417" s="247" t="str">
        <f>BS!$E$5</f>
        <v>31 March 2025</v>
      </c>
      <c r="LNU417" s="1717"/>
      <c r="LNV417" s="1718"/>
      <c r="LNW417" s="1718"/>
      <c r="LNX417" s="1718"/>
      <c r="LNY417" s="1718"/>
      <c r="LNZ417" s="246"/>
      <c r="LOA417" s="246" t="str">
        <f>BS!$D$5</f>
        <v>31 March 2026</v>
      </c>
      <c r="LOB417" s="247" t="str">
        <f>BS!$E$5</f>
        <v>31 March 2025</v>
      </c>
      <c r="LOC417" s="1717"/>
      <c r="LOD417" s="1718"/>
      <c r="LOE417" s="1718"/>
      <c r="LOF417" s="1718"/>
      <c r="LOG417" s="1718"/>
      <c r="LOH417" s="246"/>
      <c r="LOI417" s="246" t="str">
        <f>BS!$D$5</f>
        <v>31 March 2026</v>
      </c>
      <c r="LOJ417" s="247" t="str">
        <f>BS!$E$5</f>
        <v>31 March 2025</v>
      </c>
      <c r="LOK417" s="1717"/>
      <c r="LOL417" s="1718"/>
      <c r="LOM417" s="1718"/>
      <c r="LON417" s="1718"/>
      <c r="LOO417" s="1718"/>
      <c r="LOP417" s="246"/>
      <c r="LOQ417" s="246" t="str">
        <f>BS!$D$5</f>
        <v>31 March 2026</v>
      </c>
      <c r="LOR417" s="247" t="str">
        <f>BS!$E$5</f>
        <v>31 March 2025</v>
      </c>
      <c r="LOS417" s="1717"/>
      <c r="LOT417" s="1718"/>
      <c r="LOU417" s="1718"/>
      <c r="LOV417" s="1718"/>
      <c r="LOW417" s="1718"/>
      <c r="LOX417" s="246"/>
      <c r="LOY417" s="246" t="str">
        <f>BS!$D$5</f>
        <v>31 March 2026</v>
      </c>
      <c r="LOZ417" s="247" t="str">
        <f>BS!$E$5</f>
        <v>31 March 2025</v>
      </c>
      <c r="LPA417" s="1717"/>
      <c r="LPB417" s="1718"/>
      <c r="LPC417" s="1718"/>
      <c r="LPD417" s="1718"/>
      <c r="LPE417" s="1718"/>
      <c r="LPF417" s="246"/>
      <c r="LPG417" s="246" t="str">
        <f>BS!$D$5</f>
        <v>31 March 2026</v>
      </c>
      <c r="LPH417" s="247" t="str">
        <f>BS!$E$5</f>
        <v>31 March 2025</v>
      </c>
      <c r="LPI417" s="1717"/>
      <c r="LPJ417" s="1718"/>
      <c r="LPK417" s="1718"/>
      <c r="LPL417" s="1718"/>
      <c r="LPM417" s="1718"/>
      <c r="LPN417" s="246"/>
      <c r="LPO417" s="246" t="str">
        <f>BS!$D$5</f>
        <v>31 March 2026</v>
      </c>
      <c r="LPP417" s="247" t="str">
        <f>BS!$E$5</f>
        <v>31 March 2025</v>
      </c>
      <c r="LPQ417" s="1717"/>
      <c r="LPR417" s="1718"/>
      <c r="LPS417" s="1718"/>
      <c r="LPT417" s="1718"/>
      <c r="LPU417" s="1718"/>
      <c r="LPV417" s="246"/>
      <c r="LPW417" s="246" t="str">
        <f>BS!$D$5</f>
        <v>31 March 2026</v>
      </c>
      <c r="LPX417" s="247" t="str">
        <f>BS!$E$5</f>
        <v>31 March 2025</v>
      </c>
      <c r="LPY417" s="1717"/>
      <c r="LPZ417" s="1718"/>
      <c r="LQA417" s="1718"/>
      <c r="LQB417" s="1718"/>
      <c r="LQC417" s="1718"/>
      <c r="LQD417" s="246"/>
      <c r="LQE417" s="246" t="str">
        <f>BS!$D$5</f>
        <v>31 March 2026</v>
      </c>
      <c r="LQF417" s="247" t="str">
        <f>BS!$E$5</f>
        <v>31 March 2025</v>
      </c>
      <c r="LQG417" s="1717"/>
      <c r="LQH417" s="1718"/>
      <c r="LQI417" s="1718"/>
      <c r="LQJ417" s="1718"/>
      <c r="LQK417" s="1718"/>
      <c r="LQL417" s="246"/>
      <c r="LQM417" s="246" t="str">
        <f>BS!$D$5</f>
        <v>31 March 2026</v>
      </c>
      <c r="LQN417" s="247" t="str">
        <f>BS!$E$5</f>
        <v>31 March 2025</v>
      </c>
      <c r="LQO417" s="1717"/>
      <c r="LQP417" s="1718"/>
      <c r="LQQ417" s="1718"/>
      <c r="LQR417" s="1718"/>
      <c r="LQS417" s="1718"/>
      <c r="LQT417" s="246"/>
      <c r="LQU417" s="246" t="str">
        <f>BS!$D$5</f>
        <v>31 March 2026</v>
      </c>
      <c r="LQV417" s="247" t="str">
        <f>BS!$E$5</f>
        <v>31 March 2025</v>
      </c>
      <c r="LQW417" s="1717"/>
      <c r="LQX417" s="1718"/>
      <c r="LQY417" s="1718"/>
      <c r="LQZ417" s="1718"/>
      <c r="LRA417" s="1718"/>
      <c r="LRB417" s="246"/>
      <c r="LRC417" s="246" t="str">
        <f>BS!$D$5</f>
        <v>31 March 2026</v>
      </c>
      <c r="LRD417" s="247" t="str">
        <f>BS!$E$5</f>
        <v>31 March 2025</v>
      </c>
      <c r="LRE417" s="1717"/>
      <c r="LRF417" s="1718"/>
      <c r="LRG417" s="1718"/>
      <c r="LRH417" s="1718"/>
      <c r="LRI417" s="1718"/>
      <c r="LRJ417" s="246"/>
      <c r="LRK417" s="246" t="str">
        <f>BS!$D$5</f>
        <v>31 March 2026</v>
      </c>
      <c r="LRL417" s="247" t="str">
        <f>BS!$E$5</f>
        <v>31 March 2025</v>
      </c>
      <c r="LRM417" s="1717"/>
      <c r="LRN417" s="1718"/>
      <c r="LRO417" s="1718"/>
      <c r="LRP417" s="1718"/>
      <c r="LRQ417" s="1718"/>
      <c r="LRR417" s="246"/>
      <c r="LRS417" s="246" t="str">
        <f>BS!$D$5</f>
        <v>31 March 2026</v>
      </c>
      <c r="LRT417" s="247" t="str">
        <f>BS!$E$5</f>
        <v>31 March 2025</v>
      </c>
      <c r="LRU417" s="1717"/>
      <c r="LRV417" s="1718"/>
      <c r="LRW417" s="1718"/>
      <c r="LRX417" s="1718"/>
      <c r="LRY417" s="1718"/>
      <c r="LRZ417" s="246"/>
      <c r="LSA417" s="246" t="str">
        <f>BS!$D$5</f>
        <v>31 March 2026</v>
      </c>
      <c r="LSB417" s="247" t="str">
        <f>BS!$E$5</f>
        <v>31 March 2025</v>
      </c>
      <c r="LSC417" s="1717"/>
      <c r="LSD417" s="1718"/>
      <c r="LSE417" s="1718"/>
      <c r="LSF417" s="1718"/>
      <c r="LSG417" s="1718"/>
      <c r="LSH417" s="246"/>
      <c r="LSI417" s="246" t="str">
        <f>BS!$D$5</f>
        <v>31 March 2026</v>
      </c>
      <c r="LSJ417" s="247" t="str">
        <f>BS!$E$5</f>
        <v>31 March 2025</v>
      </c>
      <c r="LSK417" s="1717"/>
      <c r="LSL417" s="1718"/>
      <c r="LSM417" s="1718"/>
      <c r="LSN417" s="1718"/>
      <c r="LSO417" s="1718"/>
      <c r="LSP417" s="246"/>
      <c r="LSQ417" s="246" t="str">
        <f>BS!$D$5</f>
        <v>31 March 2026</v>
      </c>
      <c r="LSR417" s="247" t="str">
        <f>BS!$E$5</f>
        <v>31 March 2025</v>
      </c>
      <c r="LSS417" s="1717"/>
      <c r="LST417" s="1718"/>
      <c r="LSU417" s="1718"/>
      <c r="LSV417" s="1718"/>
      <c r="LSW417" s="1718"/>
      <c r="LSX417" s="246"/>
      <c r="LSY417" s="246" t="str">
        <f>BS!$D$5</f>
        <v>31 March 2026</v>
      </c>
      <c r="LSZ417" s="247" t="str">
        <f>BS!$E$5</f>
        <v>31 March 2025</v>
      </c>
      <c r="LTA417" s="1717"/>
      <c r="LTB417" s="1718"/>
      <c r="LTC417" s="1718"/>
      <c r="LTD417" s="1718"/>
      <c r="LTE417" s="1718"/>
      <c r="LTF417" s="246"/>
      <c r="LTG417" s="246" t="str">
        <f>BS!$D$5</f>
        <v>31 March 2026</v>
      </c>
      <c r="LTH417" s="247" t="str">
        <f>BS!$E$5</f>
        <v>31 March 2025</v>
      </c>
      <c r="LTI417" s="1717"/>
      <c r="LTJ417" s="1718"/>
      <c r="LTK417" s="1718"/>
      <c r="LTL417" s="1718"/>
      <c r="LTM417" s="1718"/>
      <c r="LTN417" s="246"/>
      <c r="LTO417" s="246" t="str">
        <f>BS!$D$5</f>
        <v>31 March 2026</v>
      </c>
      <c r="LTP417" s="247" t="str">
        <f>BS!$E$5</f>
        <v>31 March 2025</v>
      </c>
      <c r="LTQ417" s="1717"/>
      <c r="LTR417" s="1718"/>
      <c r="LTS417" s="1718"/>
      <c r="LTT417" s="1718"/>
      <c r="LTU417" s="1718"/>
      <c r="LTV417" s="246"/>
      <c r="LTW417" s="246" t="str">
        <f>BS!$D$5</f>
        <v>31 March 2026</v>
      </c>
      <c r="LTX417" s="247" t="str">
        <f>BS!$E$5</f>
        <v>31 March 2025</v>
      </c>
      <c r="LTY417" s="1717"/>
      <c r="LTZ417" s="1718"/>
      <c r="LUA417" s="1718"/>
      <c r="LUB417" s="1718"/>
      <c r="LUC417" s="1718"/>
      <c r="LUD417" s="246"/>
      <c r="LUE417" s="246" t="str">
        <f>BS!$D$5</f>
        <v>31 March 2026</v>
      </c>
      <c r="LUF417" s="247" t="str">
        <f>BS!$E$5</f>
        <v>31 March 2025</v>
      </c>
      <c r="LUG417" s="1717"/>
      <c r="LUH417" s="1718"/>
      <c r="LUI417" s="1718"/>
      <c r="LUJ417" s="1718"/>
      <c r="LUK417" s="1718"/>
      <c r="LUL417" s="246"/>
      <c r="LUM417" s="246" t="str">
        <f>BS!$D$5</f>
        <v>31 March 2026</v>
      </c>
      <c r="LUN417" s="247" t="str">
        <f>BS!$E$5</f>
        <v>31 March 2025</v>
      </c>
      <c r="LUO417" s="1717"/>
      <c r="LUP417" s="1718"/>
      <c r="LUQ417" s="1718"/>
      <c r="LUR417" s="1718"/>
      <c r="LUS417" s="1718"/>
      <c r="LUT417" s="246"/>
      <c r="LUU417" s="246" t="str">
        <f>BS!$D$5</f>
        <v>31 March 2026</v>
      </c>
      <c r="LUV417" s="247" t="str">
        <f>BS!$E$5</f>
        <v>31 March 2025</v>
      </c>
      <c r="LUW417" s="1717"/>
      <c r="LUX417" s="1718"/>
      <c r="LUY417" s="1718"/>
      <c r="LUZ417" s="1718"/>
      <c r="LVA417" s="1718"/>
      <c r="LVB417" s="246"/>
      <c r="LVC417" s="246" t="str">
        <f>BS!$D$5</f>
        <v>31 March 2026</v>
      </c>
      <c r="LVD417" s="247" t="str">
        <f>BS!$E$5</f>
        <v>31 March 2025</v>
      </c>
      <c r="LVE417" s="1717"/>
      <c r="LVF417" s="1718"/>
      <c r="LVG417" s="1718"/>
      <c r="LVH417" s="1718"/>
      <c r="LVI417" s="1718"/>
      <c r="LVJ417" s="246"/>
      <c r="LVK417" s="246" t="str">
        <f>BS!$D$5</f>
        <v>31 March 2026</v>
      </c>
      <c r="LVL417" s="247" t="str">
        <f>BS!$E$5</f>
        <v>31 March 2025</v>
      </c>
      <c r="LVM417" s="1717"/>
      <c r="LVN417" s="1718"/>
      <c r="LVO417" s="1718"/>
      <c r="LVP417" s="1718"/>
      <c r="LVQ417" s="1718"/>
      <c r="LVR417" s="246"/>
      <c r="LVS417" s="246" t="str">
        <f>BS!$D$5</f>
        <v>31 March 2026</v>
      </c>
      <c r="LVT417" s="247" t="str">
        <f>BS!$E$5</f>
        <v>31 March 2025</v>
      </c>
      <c r="LVU417" s="1717"/>
      <c r="LVV417" s="1718"/>
      <c r="LVW417" s="1718"/>
      <c r="LVX417" s="1718"/>
      <c r="LVY417" s="1718"/>
      <c r="LVZ417" s="246"/>
      <c r="LWA417" s="246" t="str">
        <f>BS!$D$5</f>
        <v>31 March 2026</v>
      </c>
      <c r="LWB417" s="247" t="str">
        <f>BS!$E$5</f>
        <v>31 March 2025</v>
      </c>
      <c r="LWC417" s="1717"/>
      <c r="LWD417" s="1718"/>
      <c r="LWE417" s="1718"/>
      <c r="LWF417" s="1718"/>
      <c r="LWG417" s="1718"/>
      <c r="LWH417" s="246"/>
      <c r="LWI417" s="246" t="str">
        <f>BS!$D$5</f>
        <v>31 March 2026</v>
      </c>
      <c r="LWJ417" s="247" t="str">
        <f>BS!$E$5</f>
        <v>31 March 2025</v>
      </c>
      <c r="LWK417" s="1717"/>
      <c r="LWL417" s="1718"/>
      <c r="LWM417" s="1718"/>
      <c r="LWN417" s="1718"/>
      <c r="LWO417" s="1718"/>
      <c r="LWP417" s="246"/>
      <c r="LWQ417" s="246" t="str">
        <f>BS!$D$5</f>
        <v>31 March 2026</v>
      </c>
      <c r="LWR417" s="247" t="str">
        <f>BS!$E$5</f>
        <v>31 March 2025</v>
      </c>
      <c r="LWS417" s="1717"/>
      <c r="LWT417" s="1718"/>
      <c r="LWU417" s="1718"/>
      <c r="LWV417" s="1718"/>
      <c r="LWW417" s="1718"/>
      <c r="LWX417" s="246"/>
      <c r="LWY417" s="246" t="str">
        <f>BS!$D$5</f>
        <v>31 March 2026</v>
      </c>
      <c r="LWZ417" s="247" t="str">
        <f>BS!$E$5</f>
        <v>31 March 2025</v>
      </c>
      <c r="LXA417" s="1717"/>
      <c r="LXB417" s="1718"/>
      <c r="LXC417" s="1718"/>
      <c r="LXD417" s="1718"/>
      <c r="LXE417" s="1718"/>
      <c r="LXF417" s="246"/>
      <c r="LXG417" s="246" t="str">
        <f>BS!$D$5</f>
        <v>31 March 2026</v>
      </c>
      <c r="LXH417" s="247" t="str">
        <f>BS!$E$5</f>
        <v>31 March 2025</v>
      </c>
      <c r="LXI417" s="1717"/>
      <c r="LXJ417" s="1718"/>
      <c r="LXK417" s="1718"/>
      <c r="LXL417" s="1718"/>
      <c r="LXM417" s="1718"/>
      <c r="LXN417" s="246"/>
      <c r="LXO417" s="246" t="str">
        <f>BS!$D$5</f>
        <v>31 March 2026</v>
      </c>
      <c r="LXP417" s="247" t="str">
        <f>BS!$E$5</f>
        <v>31 March 2025</v>
      </c>
      <c r="LXQ417" s="1717"/>
      <c r="LXR417" s="1718"/>
      <c r="LXS417" s="1718"/>
      <c r="LXT417" s="1718"/>
      <c r="LXU417" s="1718"/>
      <c r="LXV417" s="246"/>
      <c r="LXW417" s="246" t="str">
        <f>BS!$D$5</f>
        <v>31 March 2026</v>
      </c>
      <c r="LXX417" s="247" t="str">
        <f>BS!$E$5</f>
        <v>31 March 2025</v>
      </c>
      <c r="LXY417" s="1717"/>
      <c r="LXZ417" s="1718"/>
      <c r="LYA417" s="1718"/>
      <c r="LYB417" s="1718"/>
      <c r="LYC417" s="1718"/>
      <c r="LYD417" s="246"/>
      <c r="LYE417" s="246" t="str">
        <f>BS!$D$5</f>
        <v>31 March 2026</v>
      </c>
      <c r="LYF417" s="247" t="str">
        <f>BS!$E$5</f>
        <v>31 March 2025</v>
      </c>
      <c r="LYG417" s="1717"/>
      <c r="LYH417" s="1718"/>
      <c r="LYI417" s="1718"/>
      <c r="LYJ417" s="1718"/>
      <c r="LYK417" s="1718"/>
      <c r="LYL417" s="246"/>
      <c r="LYM417" s="246" t="str">
        <f>BS!$D$5</f>
        <v>31 March 2026</v>
      </c>
      <c r="LYN417" s="247" t="str">
        <f>BS!$E$5</f>
        <v>31 March 2025</v>
      </c>
      <c r="LYO417" s="1717"/>
      <c r="LYP417" s="1718"/>
      <c r="LYQ417" s="1718"/>
      <c r="LYR417" s="1718"/>
      <c r="LYS417" s="1718"/>
      <c r="LYT417" s="246"/>
      <c r="LYU417" s="246" t="str">
        <f>BS!$D$5</f>
        <v>31 March 2026</v>
      </c>
      <c r="LYV417" s="247" t="str">
        <f>BS!$E$5</f>
        <v>31 March 2025</v>
      </c>
      <c r="LYW417" s="1717"/>
      <c r="LYX417" s="1718"/>
      <c r="LYY417" s="1718"/>
      <c r="LYZ417" s="1718"/>
      <c r="LZA417" s="1718"/>
      <c r="LZB417" s="246"/>
      <c r="LZC417" s="246" t="str">
        <f>BS!$D$5</f>
        <v>31 March 2026</v>
      </c>
      <c r="LZD417" s="247" t="str">
        <f>BS!$E$5</f>
        <v>31 March 2025</v>
      </c>
      <c r="LZE417" s="1717"/>
      <c r="LZF417" s="1718"/>
      <c r="LZG417" s="1718"/>
      <c r="LZH417" s="1718"/>
      <c r="LZI417" s="1718"/>
      <c r="LZJ417" s="246"/>
      <c r="LZK417" s="246" t="str">
        <f>BS!$D$5</f>
        <v>31 March 2026</v>
      </c>
      <c r="LZL417" s="247" t="str">
        <f>BS!$E$5</f>
        <v>31 March 2025</v>
      </c>
      <c r="LZM417" s="1717"/>
      <c r="LZN417" s="1718"/>
      <c r="LZO417" s="1718"/>
      <c r="LZP417" s="1718"/>
      <c r="LZQ417" s="1718"/>
      <c r="LZR417" s="246"/>
      <c r="LZS417" s="246" t="str">
        <f>BS!$D$5</f>
        <v>31 March 2026</v>
      </c>
      <c r="LZT417" s="247" t="str">
        <f>BS!$E$5</f>
        <v>31 March 2025</v>
      </c>
      <c r="LZU417" s="1717"/>
      <c r="LZV417" s="1718"/>
      <c r="LZW417" s="1718"/>
      <c r="LZX417" s="1718"/>
      <c r="LZY417" s="1718"/>
      <c r="LZZ417" s="246"/>
      <c r="MAA417" s="246" t="str">
        <f>BS!$D$5</f>
        <v>31 March 2026</v>
      </c>
      <c r="MAB417" s="247" t="str">
        <f>BS!$E$5</f>
        <v>31 March 2025</v>
      </c>
      <c r="MAC417" s="1717"/>
      <c r="MAD417" s="1718"/>
      <c r="MAE417" s="1718"/>
      <c r="MAF417" s="1718"/>
      <c r="MAG417" s="1718"/>
      <c r="MAH417" s="246"/>
      <c r="MAI417" s="246" t="str">
        <f>BS!$D$5</f>
        <v>31 March 2026</v>
      </c>
      <c r="MAJ417" s="247" t="str">
        <f>BS!$E$5</f>
        <v>31 March 2025</v>
      </c>
      <c r="MAK417" s="1717"/>
      <c r="MAL417" s="1718"/>
      <c r="MAM417" s="1718"/>
      <c r="MAN417" s="1718"/>
      <c r="MAO417" s="1718"/>
      <c r="MAP417" s="246"/>
      <c r="MAQ417" s="246" t="str">
        <f>BS!$D$5</f>
        <v>31 March 2026</v>
      </c>
      <c r="MAR417" s="247" t="str">
        <f>BS!$E$5</f>
        <v>31 March 2025</v>
      </c>
      <c r="MAS417" s="1717"/>
      <c r="MAT417" s="1718"/>
      <c r="MAU417" s="1718"/>
      <c r="MAV417" s="1718"/>
      <c r="MAW417" s="1718"/>
      <c r="MAX417" s="246"/>
      <c r="MAY417" s="246" t="str">
        <f>BS!$D$5</f>
        <v>31 March 2026</v>
      </c>
      <c r="MAZ417" s="247" t="str">
        <f>BS!$E$5</f>
        <v>31 March 2025</v>
      </c>
      <c r="MBA417" s="1717"/>
      <c r="MBB417" s="1718"/>
      <c r="MBC417" s="1718"/>
      <c r="MBD417" s="1718"/>
      <c r="MBE417" s="1718"/>
      <c r="MBF417" s="246"/>
      <c r="MBG417" s="246" t="str">
        <f>BS!$D$5</f>
        <v>31 March 2026</v>
      </c>
      <c r="MBH417" s="247" t="str">
        <f>BS!$E$5</f>
        <v>31 March 2025</v>
      </c>
      <c r="MBI417" s="1717"/>
      <c r="MBJ417" s="1718"/>
      <c r="MBK417" s="1718"/>
      <c r="MBL417" s="1718"/>
      <c r="MBM417" s="1718"/>
      <c r="MBN417" s="246"/>
      <c r="MBO417" s="246" t="str">
        <f>BS!$D$5</f>
        <v>31 March 2026</v>
      </c>
      <c r="MBP417" s="247" t="str">
        <f>BS!$E$5</f>
        <v>31 March 2025</v>
      </c>
      <c r="MBQ417" s="1717"/>
      <c r="MBR417" s="1718"/>
      <c r="MBS417" s="1718"/>
      <c r="MBT417" s="1718"/>
      <c r="MBU417" s="1718"/>
      <c r="MBV417" s="246"/>
      <c r="MBW417" s="246" t="str">
        <f>BS!$D$5</f>
        <v>31 March 2026</v>
      </c>
      <c r="MBX417" s="247" t="str">
        <f>BS!$E$5</f>
        <v>31 March 2025</v>
      </c>
      <c r="MBY417" s="1717"/>
      <c r="MBZ417" s="1718"/>
      <c r="MCA417" s="1718"/>
      <c r="MCB417" s="1718"/>
      <c r="MCC417" s="1718"/>
      <c r="MCD417" s="246"/>
      <c r="MCE417" s="246" t="str">
        <f>BS!$D$5</f>
        <v>31 March 2026</v>
      </c>
      <c r="MCF417" s="247" t="str">
        <f>BS!$E$5</f>
        <v>31 March 2025</v>
      </c>
      <c r="MCG417" s="1717"/>
      <c r="MCH417" s="1718"/>
      <c r="MCI417" s="1718"/>
      <c r="MCJ417" s="1718"/>
      <c r="MCK417" s="1718"/>
      <c r="MCL417" s="246"/>
      <c r="MCM417" s="246" t="str">
        <f>BS!$D$5</f>
        <v>31 March 2026</v>
      </c>
      <c r="MCN417" s="247" t="str">
        <f>BS!$E$5</f>
        <v>31 March 2025</v>
      </c>
      <c r="MCO417" s="1717"/>
      <c r="MCP417" s="1718"/>
      <c r="MCQ417" s="1718"/>
      <c r="MCR417" s="1718"/>
      <c r="MCS417" s="1718"/>
      <c r="MCT417" s="246"/>
      <c r="MCU417" s="246" t="str">
        <f>BS!$D$5</f>
        <v>31 March 2026</v>
      </c>
      <c r="MCV417" s="247" t="str">
        <f>BS!$E$5</f>
        <v>31 March 2025</v>
      </c>
      <c r="MCW417" s="1717"/>
      <c r="MCX417" s="1718"/>
      <c r="MCY417" s="1718"/>
      <c r="MCZ417" s="1718"/>
      <c r="MDA417" s="1718"/>
      <c r="MDB417" s="246"/>
      <c r="MDC417" s="246" t="str">
        <f>BS!$D$5</f>
        <v>31 March 2026</v>
      </c>
      <c r="MDD417" s="247" t="str">
        <f>BS!$E$5</f>
        <v>31 March 2025</v>
      </c>
      <c r="MDE417" s="1717"/>
      <c r="MDF417" s="1718"/>
      <c r="MDG417" s="1718"/>
      <c r="MDH417" s="1718"/>
      <c r="MDI417" s="1718"/>
      <c r="MDJ417" s="246"/>
      <c r="MDK417" s="246" t="str">
        <f>BS!$D$5</f>
        <v>31 March 2026</v>
      </c>
      <c r="MDL417" s="247" t="str">
        <f>BS!$E$5</f>
        <v>31 March 2025</v>
      </c>
      <c r="MDM417" s="1717"/>
      <c r="MDN417" s="1718"/>
      <c r="MDO417" s="1718"/>
      <c r="MDP417" s="1718"/>
      <c r="MDQ417" s="1718"/>
      <c r="MDR417" s="246"/>
      <c r="MDS417" s="246" t="str">
        <f>BS!$D$5</f>
        <v>31 March 2026</v>
      </c>
      <c r="MDT417" s="247" t="str">
        <f>BS!$E$5</f>
        <v>31 March 2025</v>
      </c>
      <c r="MDU417" s="1717"/>
      <c r="MDV417" s="1718"/>
      <c r="MDW417" s="1718"/>
      <c r="MDX417" s="1718"/>
      <c r="MDY417" s="1718"/>
      <c r="MDZ417" s="246"/>
      <c r="MEA417" s="246" t="str">
        <f>BS!$D$5</f>
        <v>31 March 2026</v>
      </c>
      <c r="MEB417" s="247" t="str">
        <f>BS!$E$5</f>
        <v>31 March 2025</v>
      </c>
      <c r="MEC417" s="1717"/>
      <c r="MED417" s="1718"/>
      <c r="MEE417" s="1718"/>
      <c r="MEF417" s="1718"/>
      <c r="MEG417" s="1718"/>
      <c r="MEH417" s="246"/>
      <c r="MEI417" s="246" t="str">
        <f>BS!$D$5</f>
        <v>31 March 2026</v>
      </c>
      <c r="MEJ417" s="247" t="str">
        <f>BS!$E$5</f>
        <v>31 March 2025</v>
      </c>
      <c r="MEK417" s="1717"/>
      <c r="MEL417" s="1718"/>
      <c r="MEM417" s="1718"/>
      <c r="MEN417" s="1718"/>
      <c r="MEO417" s="1718"/>
      <c r="MEP417" s="246"/>
      <c r="MEQ417" s="246" t="str">
        <f>BS!$D$5</f>
        <v>31 March 2026</v>
      </c>
      <c r="MER417" s="247" t="str">
        <f>BS!$E$5</f>
        <v>31 March 2025</v>
      </c>
      <c r="MES417" s="1717"/>
      <c r="MET417" s="1718"/>
      <c r="MEU417" s="1718"/>
      <c r="MEV417" s="1718"/>
      <c r="MEW417" s="1718"/>
      <c r="MEX417" s="246"/>
      <c r="MEY417" s="246" t="str">
        <f>BS!$D$5</f>
        <v>31 March 2026</v>
      </c>
      <c r="MEZ417" s="247" t="str">
        <f>BS!$E$5</f>
        <v>31 March 2025</v>
      </c>
      <c r="MFA417" s="1717"/>
      <c r="MFB417" s="1718"/>
      <c r="MFC417" s="1718"/>
      <c r="MFD417" s="1718"/>
      <c r="MFE417" s="1718"/>
      <c r="MFF417" s="246"/>
      <c r="MFG417" s="246" t="str">
        <f>BS!$D$5</f>
        <v>31 March 2026</v>
      </c>
      <c r="MFH417" s="247" t="str">
        <f>BS!$E$5</f>
        <v>31 March 2025</v>
      </c>
      <c r="MFI417" s="1717"/>
      <c r="MFJ417" s="1718"/>
      <c r="MFK417" s="1718"/>
      <c r="MFL417" s="1718"/>
      <c r="MFM417" s="1718"/>
      <c r="MFN417" s="246"/>
      <c r="MFO417" s="246" t="str">
        <f>BS!$D$5</f>
        <v>31 March 2026</v>
      </c>
      <c r="MFP417" s="247" t="str">
        <f>BS!$E$5</f>
        <v>31 March 2025</v>
      </c>
      <c r="MFQ417" s="1717"/>
      <c r="MFR417" s="1718"/>
      <c r="MFS417" s="1718"/>
      <c r="MFT417" s="1718"/>
      <c r="MFU417" s="1718"/>
      <c r="MFV417" s="246"/>
      <c r="MFW417" s="246" t="str">
        <f>BS!$D$5</f>
        <v>31 March 2026</v>
      </c>
      <c r="MFX417" s="247" t="str">
        <f>BS!$E$5</f>
        <v>31 March 2025</v>
      </c>
      <c r="MFY417" s="1717"/>
      <c r="MFZ417" s="1718"/>
      <c r="MGA417" s="1718"/>
      <c r="MGB417" s="1718"/>
      <c r="MGC417" s="1718"/>
      <c r="MGD417" s="246"/>
      <c r="MGE417" s="246" t="str">
        <f>BS!$D$5</f>
        <v>31 March 2026</v>
      </c>
      <c r="MGF417" s="247" t="str">
        <f>BS!$E$5</f>
        <v>31 March 2025</v>
      </c>
      <c r="MGG417" s="1717"/>
      <c r="MGH417" s="1718"/>
      <c r="MGI417" s="1718"/>
      <c r="MGJ417" s="1718"/>
      <c r="MGK417" s="1718"/>
      <c r="MGL417" s="246"/>
      <c r="MGM417" s="246" t="str">
        <f>BS!$D$5</f>
        <v>31 March 2026</v>
      </c>
      <c r="MGN417" s="247" t="str">
        <f>BS!$E$5</f>
        <v>31 March 2025</v>
      </c>
      <c r="MGO417" s="1717"/>
      <c r="MGP417" s="1718"/>
      <c r="MGQ417" s="1718"/>
      <c r="MGR417" s="1718"/>
      <c r="MGS417" s="1718"/>
      <c r="MGT417" s="246"/>
      <c r="MGU417" s="246" t="str">
        <f>BS!$D$5</f>
        <v>31 March 2026</v>
      </c>
      <c r="MGV417" s="247" t="str">
        <f>BS!$E$5</f>
        <v>31 March 2025</v>
      </c>
      <c r="MGW417" s="1717"/>
      <c r="MGX417" s="1718"/>
      <c r="MGY417" s="1718"/>
      <c r="MGZ417" s="1718"/>
      <c r="MHA417" s="1718"/>
      <c r="MHB417" s="246"/>
      <c r="MHC417" s="246" t="str">
        <f>BS!$D$5</f>
        <v>31 March 2026</v>
      </c>
      <c r="MHD417" s="247" t="str">
        <f>BS!$E$5</f>
        <v>31 March 2025</v>
      </c>
      <c r="MHE417" s="1717"/>
      <c r="MHF417" s="1718"/>
      <c r="MHG417" s="1718"/>
      <c r="MHH417" s="1718"/>
      <c r="MHI417" s="1718"/>
      <c r="MHJ417" s="246"/>
      <c r="MHK417" s="246" t="str">
        <f>BS!$D$5</f>
        <v>31 March 2026</v>
      </c>
      <c r="MHL417" s="247" t="str">
        <f>BS!$E$5</f>
        <v>31 March 2025</v>
      </c>
      <c r="MHM417" s="1717"/>
      <c r="MHN417" s="1718"/>
      <c r="MHO417" s="1718"/>
      <c r="MHP417" s="1718"/>
      <c r="MHQ417" s="1718"/>
      <c r="MHR417" s="246"/>
      <c r="MHS417" s="246" t="str">
        <f>BS!$D$5</f>
        <v>31 March 2026</v>
      </c>
      <c r="MHT417" s="247" t="str">
        <f>BS!$E$5</f>
        <v>31 March 2025</v>
      </c>
      <c r="MHU417" s="1717"/>
      <c r="MHV417" s="1718"/>
      <c r="MHW417" s="1718"/>
      <c r="MHX417" s="1718"/>
      <c r="MHY417" s="1718"/>
      <c r="MHZ417" s="246"/>
      <c r="MIA417" s="246" t="str">
        <f>BS!$D$5</f>
        <v>31 March 2026</v>
      </c>
      <c r="MIB417" s="247" t="str">
        <f>BS!$E$5</f>
        <v>31 March 2025</v>
      </c>
      <c r="MIC417" s="1717"/>
      <c r="MID417" s="1718"/>
      <c r="MIE417" s="1718"/>
      <c r="MIF417" s="1718"/>
      <c r="MIG417" s="1718"/>
      <c r="MIH417" s="246"/>
      <c r="MII417" s="246" t="str">
        <f>BS!$D$5</f>
        <v>31 March 2026</v>
      </c>
      <c r="MIJ417" s="247" t="str">
        <f>BS!$E$5</f>
        <v>31 March 2025</v>
      </c>
      <c r="MIK417" s="1717"/>
      <c r="MIL417" s="1718"/>
      <c r="MIM417" s="1718"/>
      <c r="MIN417" s="1718"/>
      <c r="MIO417" s="1718"/>
      <c r="MIP417" s="246"/>
      <c r="MIQ417" s="246" t="str">
        <f>BS!$D$5</f>
        <v>31 March 2026</v>
      </c>
      <c r="MIR417" s="247" t="str">
        <f>BS!$E$5</f>
        <v>31 March 2025</v>
      </c>
      <c r="MIS417" s="1717"/>
      <c r="MIT417" s="1718"/>
      <c r="MIU417" s="1718"/>
      <c r="MIV417" s="1718"/>
      <c r="MIW417" s="1718"/>
      <c r="MIX417" s="246"/>
      <c r="MIY417" s="246" t="str">
        <f>BS!$D$5</f>
        <v>31 March 2026</v>
      </c>
      <c r="MIZ417" s="247" t="str">
        <f>BS!$E$5</f>
        <v>31 March 2025</v>
      </c>
      <c r="MJA417" s="1717"/>
      <c r="MJB417" s="1718"/>
      <c r="MJC417" s="1718"/>
      <c r="MJD417" s="1718"/>
      <c r="MJE417" s="1718"/>
      <c r="MJF417" s="246"/>
      <c r="MJG417" s="246" t="str">
        <f>BS!$D$5</f>
        <v>31 March 2026</v>
      </c>
      <c r="MJH417" s="247" t="str">
        <f>BS!$E$5</f>
        <v>31 March 2025</v>
      </c>
      <c r="MJI417" s="1717"/>
      <c r="MJJ417" s="1718"/>
      <c r="MJK417" s="1718"/>
      <c r="MJL417" s="1718"/>
      <c r="MJM417" s="1718"/>
      <c r="MJN417" s="246"/>
      <c r="MJO417" s="246" t="str">
        <f>BS!$D$5</f>
        <v>31 March 2026</v>
      </c>
      <c r="MJP417" s="247" t="str">
        <f>BS!$E$5</f>
        <v>31 March 2025</v>
      </c>
      <c r="MJQ417" s="1717"/>
      <c r="MJR417" s="1718"/>
      <c r="MJS417" s="1718"/>
      <c r="MJT417" s="1718"/>
      <c r="MJU417" s="1718"/>
      <c r="MJV417" s="246"/>
      <c r="MJW417" s="246" t="str">
        <f>BS!$D$5</f>
        <v>31 March 2026</v>
      </c>
      <c r="MJX417" s="247" t="str">
        <f>BS!$E$5</f>
        <v>31 March 2025</v>
      </c>
      <c r="MJY417" s="1717"/>
      <c r="MJZ417" s="1718"/>
      <c r="MKA417" s="1718"/>
      <c r="MKB417" s="1718"/>
      <c r="MKC417" s="1718"/>
      <c r="MKD417" s="246"/>
      <c r="MKE417" s="246" t="str">
        <f>BS!$D$5</f>
        <v>31 March 2026</v>
      </c>
      <c r="MKF417" s="247" t="str">
        <f>BS!$E$5</f>
        <v>31 March 2025</v>
      </c>
      <c r="MKG417" s="1717"/>
      <c r="MKH417" s="1718"/>
      <c r="MKI417" s="1718"/>
      <c r="MKJ417" s="1718"/>
      <c r="MKK417" s="1718"/>
      <c r="MKL417" s="246"/>
      <c r="MKM417" s="246" t="str">
        <f>BS!$D$5</f>
        <v>31 March 2026</v>
      </c>
      <c r="MKN417" s="247" t="str">
        <f>BS!$E$5</f>
        <v>31 March 2025</v>
      </c>
      <c r="MKO417" s="1717"/>
      <c r="MKP417" s="1718"/>
      <c r="MKQ417" s="1718"/>
      <c r="MKR417" s="1718"/>
      <c r="MKS417" s="1718"/>
      <c r="MKT417" s="246"/>
      <c r="MKU417" s="246" t="str">
        <f>BS!$D$5</f>
        <v>31 March 2026</v>
      </c>
      <c r="MKV417" s="247" t="str">
        <f>BS!$E$5</f>
        <v>31 March 2025</v>
      </c>
      <c r="MKW417" s="1717"/>
      <c r="MKX417" s="1718"/>
      <c r="MKY417" s="1718"/>
      <c r="MKZ417" s="1718"/>
      <c r="MLA417" s="1718"/>
      <c r="MLB417" s="246"/>
      <c r="MLC417" s="246" t="str">
        <f>BS!$D$5</f>
        <v>31 March 2026</v>
      </c>
      <c r="MLD417" s="247" t="str">
        <f>BS!$E$5</f>
        <v>31 March 2025</v>
      </c>
      <c r="MLE417" s="1717"/>
      <c r="MLF417" s="1718"/>
      <c r="MLG417" s="1718"/>
      <c r="MLH417" s="1718"/>
      <c r="MLI417" s="1718"/>
      <c r="MLJ417" s="246"/>
      <c r="MLK417" s="246" t="str">
        <f>BS!$D$5</f>
        <v>31 March 2026</v>
      </c>
      <c r="MLL417" s="247" t="str">
        <f>BS!$E$5</f>
        <v>31 March 2025</v>
      </c>
      <c r="MLM417" s="1717"/>
      <c r="MLN417" s="1718"/>
      <c r="MLO417" s="1718"/>
      <c r="MLP417" s="1718"/>
      <c r="MLQ417" s="1718"/>
      <c r="MLR417" s="246"/>
      <c r="MLS417" s="246" t="str">
        <f>BS!$D$5</f>
        <v>31 March 2026</v>
      </c>
      <c r="MLT417" s="247" t="str">
        <f>BS!$E$5</f>
        <v>31 March 2025</v>
      </c>
      <c r="MLU417" s="1717"/>
      <c r="MLV417" s="1718"/>
      <c r="MLW417" s="1718"/>
      <c r="MLX417" s="1718"/>
      <c r="MLY417" s="1718"/>
      <c r="MLZ417" s="246"/>
      <c r="MMA417" s="246" t="str">
        <f>BS!$D$5</f>
        <v>31 March 2026</v>
      </c>
      <c r="MMB417" s="247" t="str">
        <f>BS!$E$5</f>
        <v>31 March 2025</v>
      </c>
      <c r="MMC417" s="1717"/>
      <c r="MMD417" s="1718"/>
      <c r="MME417" s="1718"/>
      <c r="MMF417" s="1718"/>
      <c r="MMG417" s="1718"/>
      <c r="MMH417" s="246"/>
      <c r="MMI417" s="246" t="str">
        <f>BS!$D$5</f>
        <v>31 March 2026</v>
      </c>
      <c r="MMJ417" s="247" t="str">
        <f>BS!$E$5</f>
        <v>31 March 2025</v>
      </c>
      <c r="MMK417" s="1717"/>
      <c r="MML417" s="1718"/>
      <c r="MMM417" s="1718"/>
      <c r="MMN417" s="1718"/>
      <c r="MMO417" s="1718"/>
      <c r="MMP417" s="246"/>
      <c r="MMQ417" s="246" t="str">
        <f>BS!$D$5</f>
        <v>31 March 2026</v>
      </c>
      <c r="MMR417" s="247" t="str">
        <f>BS!$E$5</f>
        <v>31 March 2025</v>
      </c>
      <c r="MMS417" s="1717"/>
      <c r="MMT417" s="1718"/>
      <c r="MMU417" s="1718"/>
      <c r="MMV417" s="1718"/>
      <c r="MMW417" s="1718"/>
      <c r="MMX417" s="246"/>
      <c r="MMY417" s="246" t="str">
        <f>BS!$D$5</f>
        <v>31 March 2026</v>
      </c>
      <c r="MMZ417" s="247" t="str">
        <f>BS!$E$5</f>
        <v>31 March 2025</v>
      </c>
      <c r="MNA417" s="1717"/>
      <c r="MNB417" s="1718"/>
      <c r="MNC417" s="1718"/>
      <c r="MND417" s="1718"/>
      <c r="MNE417" s="1718"/>
      <c r="MNF417" s="246"/>
      <c r="MNG417" s="246" t="str">
        <f>BS!$D$5</f>
        <v>31 March 2026</v>
      </c>
      <c r="MNH417" s="247" t="str">
        <f>BS!$E$5</f>
        <v>31 March 2025</v>
      </c>
      <c r="MNI417" s="1717"/>
      <c r="MNJ417" s="1718"/>
      <c r="MNK417" s="1718"/>
      <c r="MNL417" s="1718"/>
      <c r="MNM417" s="1718"/>
      <c r="MNN417" s="246"/>
      <c r="MNO417" s="246" t="str">
        <f>BS!$D$5</f>
        <v>31 March 2026</v>
      </c>
      <c r="MNP417" s="247" t="str">
        <f>BS!$E$5</f>
        <v>31 March 2025</v>
      </c>
      <c r="MNQ417" s="1717"/>
      <c r="MNR417" s="1718"/>
      <c r="MNS417" s="1718"/>
      <c r="MNT417" s="1718"/>
      <c r="MNU417" s="1718"/>
      <c r="MNV417" s="246"/>
      <c r="MNW417" s="246" t="str">
        <f>BS!$D$5</f>
        <v>31 March 2026</v>
      </c>
      <c r="MNX417" s="247" t="str">
        <f>BS!$E$5</f>
        <v>31 March 2025</v>
      </c>
      <c r="MNY417" s="1717"/>
      <c r="MNZ417" s="1718"/>
      <c r="MOA417" s="1718"/>
      <c r="MOB417" s="1718"/>
      <c r="MOC417" s="1718"/>
      <c r="MOD417" s="246"/>
      <c r="MOE417" s="246" t="str">
        <f>BS!$D$5</f>
        <v>31 March 2026</v>
      </c>
      <c r="MOF417" s="247" t="str">
        <f>BS!$E$5</f>
        <v>31 March 2025</v>
      </c>
      <c r="MOG417" s="1717"/>
      <c r="MOH417" s="1718"/>
      <c r="MOI417" s="1718"/>
      <c r="MOJ417" s="1718"/>
      <c r="MOK417" s="1718"/>
      <c r="MOL417" s="246"/>
      <c r="MOM417" s="246" t="str">
        <f>BS!$D$5</f>
        <v>31 March 2026</v>
      </c>
      <c r="MON417" s="247" t="str">
        <f>BS!$E$5</f>
        <v>31 March 2025</v>
      </c>
      <c r="MOO417" s="1717"/>
      <c r="MOP417" s="1718"/>
      <c r="MOQ417" s="1718"/>
      <c r="MOR417" s="1718"/>
      <c r="MOS417" s="1718"/>
      <c r="MOT417" s="246"/>
      <c r="MOU417" s="246" t="str">
        <f>BS!$D$5</f>
        <v>31 March 2026</v>
      </c>
      <c r="MOV417" s="247" t="str">
        <f>BS!$E$5</f>
        <v>31 March 2025</v>
      </c>
      <c r="MOW417" s="1717"/>
      <c r="MOX417" s="1718"/>
      <c r="MOY417" s="1718"/>
      <c r="MOZ417" s="1718"/>
      <c r="MPA417" s="1718"/>
      <c r="MPB417" s="246"/>
      <c r="MPC417" s="246" t="str">
        <f>BS!$D$5</f>
        <v>31 March 2026</v>
      </c>
      <c r="MPD417" s="247" t="str">
        <f>BS!$E$5</f>
        <v>31 March 2025</v>
      </c>
      <c r="MPE417" s="1717"/>
      <c r="MPF417" s="1718"/>
      <c r="MPG417" s="1718"/>
      <c r="MPH417" s="1718"/>
      <c r="MPI417" s="1718"/>
      <c r="MPJ417" s="246"/>
      <c r="MPK417" s="246" t="str">
        <f>BS!$D$5</f>
        <v>31 March 2026</v>
      </c>
      <c r="MPL417" s="247" t="str">
        <f>BS!$E$5</f>
        <v>31 March 2025</v>
      </c>
      <c r="MPM417" s="1717"/>
      <c r="MPN417" s="1718"/>
      <c r="MPO417" s="1718"/>
      <c r="MPP417" s="1718"/>
      <c r="MPQ417" s="1718"/>
      <c r="MPR417" s="246"/>
      <c r="MPS417" s="246" t="str">
        <f>BS!$D$5</f>
        <v>31 March 2026</v>
      </c>
      <c r="MPT417" s="247" t="str">
        <f>BS!$E$5</f>
        <v>31 March 2025</v>
      </c>
      <c r="MPU417" s="1717"/>
      <c r="MPV417" s="1718"/>
      <c r="MPW417" s="1718"/>
      <c r="MPX417" s="1718"/>
      <c r="MPY417" s="1718"/>
      <c r="MPZ417" s="246"/>
      <c r="MQA417" s="246" t="str">
        <f>BS!$D$5</f>
        <v>31 March 2026</v>
      </c>
      <c r="MQB417" s="247" t="str">
        <f>BS!$E$5</f>
        <v>31 March 2025</v>
      </c>
      <c r="MQC417" s="1717"/>
      <c r="MQD417" s="1718"/>
      <c r="MQE417" s="1718"/>
      <c r="MQF417" s="1718"/>
      <c r="MQG417" s="1718"/>
      <c r="MQH417" s="246"/>
      <c r="MQI417" s="246" t="str">
        <f>BS!$D$5</f>
        <v>31 March 2026</v>
      </c>
      <c r="MQJ417" s="247" t="str">
        <f>BS!$E$5</f>
        <v>31 March 2025</v>
      </c>
      <c r="MQK417" s="1717"/>
      <c r="MQL417" s="1718"/>
      <c r="MQM417" s="1718"/>
      <c r="MQN417" s="1718"/>
      <c r="MQO417" s="1718"/>
      <c r="MQP417" s="246"/>
      <c r="MQQ417" s="246" t="str">
        <f>BS!$D$5</f>
        <v>31 March 2026</v>
      </c>
      <c r="MQR417" s="247" t="str">
        <f>BS!$E$5</f>
        <v>31 March 2025</v>
      </c>
      <c r="MQS417" s="1717"/>
      <c r="MQT417" s="1718"/>
      <c r="MQU417" s="1718"/>
      <c r="MQV417" s="1718"/>
      <c r="MQW417" s="1718"/>
      <c r="MQX417" s="246"/>
      <c r="MQY417" s="246" t="str">
        <f>BS!$D$5</f>
        <v>31 March 2026</v>
      </c>
      <c r="MQZ417" s="247" t="str">
        <f>BS!$E$5</f>
        <v>31 March 2025</v>
      </c>
      <c r="MRA417" s="1717"/>
      <c r="MRB417" s="1718"/>
      <c r="MRC417" s="1718"/>
      <c r="MRD417" s="1718"/>
      <c r="MRE417" s="1718"/>
      <c r="MRF417" s="246"/>
      <c r="MRG417" s="246" t="str">
        <f>BS!$D$5</f>
        <v>31 March 2026</v>
      </c>
      <c r="MRH417" s="247" t="str">
        <f>BS!$E$5</f>
        <v>31 March 2025</v>
      </c>
      <c r="MRI417" s="1717"/>
      <c r="MRJ417" s="1718"/>
      <c r="MRK417" s="1718"/>
      <c r="MRL417" s="1718"/>
      <c r="MRM417" s="1718"/>
      <c r="MRN417" s="246"/>
      <c r="MRO417" s="246" t="str">
        <f>BS!$D$5</f>
        <v>31 March 2026</v>
      </c>
      <c r="MRP417" s="247" t="str">
        <f>BS!$E$5</f>
        <v>31 March 2025</v>
      </c>
      <c r="MRQ417" s="1717"/>
      <c r="MRR417" s="1718"/>
      <c r="MRS417" s="1718"/>
      <c r="MRT417" s="1718"/>
      <c r="MRU417" s="1718"/>
      <c r="MRV417" s="246"/>
      <c r="MRW417" s="246" t="str">
        <f>BS!$D$5</f>
        <v>31 March 2026</v>
      </c>
      <c r="MRX417" s="247" t="str">
        <f>BS!$E$5</f>
        <v>31 March 2025</v>
      </c>
      <c r="MRY417" s="1717"/>
      <c r="MRZ417" s="1718"/>
      <c r="MSA417" s="1718"/>
      <c r="MSB417" s="1718"/>
      <c r="MSC417" s="1718"/>
      <c r="MSD417" s="246"/>
      <c r="MSE417" s="246" t="str">
        <f>BS!$D$5</f>
        <v>31 March 2026</v>
      </c>
      <c r="MSF417" s="247" t="str">
        <f>BS!$E$5</f>
        <v>31 March 2025</v>
      </c>
      <c r="MSG417" s="1717"/>
      <c r="MSH417" s="1718"/>
      <c r="MSI417" s="1718"/>
      <c r="MSJ417" s="1718"/>
      <c r="MSK417" s="1718"/>
      <c r="MSL417" s="246"/>
      <c r="MSM417" s="246" t="str">
        <f>BS!$D$5</f>
        <v>31 March 2026</v>
      </c>
      <c r="MSN417" s="247" t="str">
        <f>BS!$E$5</f>
        <v>31 March 2025</v>
      </c>
      <c r="MSO417" s="1717"/>
      <c r="MSP417" s="1718"/>
      <c r="MSQ417" s="1718"/>
      <c r="MSR417" s="1718"/>
      <c r="MSS417" s="1718"/>
      <c r="MST417" s="246"/>
      <c r="MSU417" s="246" t="str">
        <f>BS!$D$5</f>
        <v>31 March 2026</v>
      </c>
      <c r="MSV417" s="247" t="str">
        <f>BS!$E$5</f>
        <v>31 March 2025</v>
      </c>
      <c r="MSW417" s="1717"/>
      <c r="MSX417" s="1718"/>
      <c r="MSY417" s="1718"/>
      <c r="MSZ417" s="1718"/>
      <c r="MTA417" s="1718"/>
      <c r="MTB417" s="246"/>
      <c r="MTC417" s="246" t="str">
        <f>BS!$D$5</f>
        <v>31 March 2026</v>
      </c>
      <c r="MTD417" s="247" t="str">
        <f>BS!$E$5</f>
        <v>31 March 2025</v>
      </c>
      <c r="MTE417" s="1717"/>
      <c r="MTF417" s="1718"/>
      <c r="MTG417" s="1718"/>
      <c r="MTH417" s="1718"/>
      <c r="MTI417" s="1718"/>
      <c r="MTJ417" s="246"/>
      <c r="MTK417" s="246" t="str">
        <f>BS!$D$5</f>
        <v>31 March 2026</v>
      </c>
      <c r="MTL417" s="247" t="str">
        <f>BS!$E$5</f>
        <v>31 March 2025</v>
      </c>
      <c r="MTM417" s="1717"/>
      <c r="MTN417" s="1718"/>
      <c r="MTO417" s="1718"/>
      <c r="MTP417" s="1718"/>
      <c r="MTQ417" s="1718"/>
      <c r="MTR417" s="246"/>
      <c r="MTS417" s="246" t="str">
        <f>BS!$D$5</f>
        <v>31 March 2026</v>
      </c>
      <c r="MTT417" s="247" t="str">
        <f>BS!$E$5</f>
        <v>31 March 2025</v>
      </c>
      <c r="MTU417" s="1717"/>
      <c r="MTV417" s="1718"/>
      <c r="MTW417" s="1718"/>
      <c r="MTX417" s="1718"/>
      <c r="MTY417" s="1718"/>
      <c r="MTZ417" s="246"/>
      <c r="MUA417" s="246" t="str">
        <f>BS!$D$5</f>
        <v>31 March 2026</v>
      </c>
      <c r="MUB417" s="247" t="str">
        <f>BS!$E$5</f>
        <v>31 March 2025</v>
      </c>
      <c r="MUC417" s="1717"/>
      <c r="MUD417" s="1718"/>
      <c r="MUE417" s="1718"/>
      <c r="MUF417" s="1718"/>
      <c r="MUG417" s="1718"/>
      <c r="MUH417" s="246"/>
      <c r="MUI417" s="246" t="str">
        <f>BS!$D$5</f>
        <v>31 March 2026</v>
      </c>
      <c r="MUJ417" s="247" t="str">
        <f>BS!$E$5</f>
        <v>31 March 2025</v>
      </c>
      <c r="MUK417" s="1717"/>
      <c r="MUL417" s="1718"/>
      <c r="MUM417" s="1718"/>
      <c r="MUN417" s="1718"/>
      <c r="MUO417" s="1718"/>
      <c r="MUP417" s="246"/>
      <c r="MUQ417" s="246" t="str">
        <f>BS!$D$5</f>
        <v>31 March 2026</v>
      </c>
      <c r="MUR417" s="247" t="str">
        <f>BS!$E$5</f>
        <v>31 March 2025</v>
      </c>
      <c r="MUS417" s="1717"/>
      <c r="MUT417" s="1718"/>
      <c r="MUU417" s="1718"/>
      <c r="MUV417" s="1718"/>
      <c r="MUW417" s="1718"/>
      <c r="MUX417" s="246"/>
      <c r="MUY417" s="246" t="str">
        <f>BS!$D$5</f>
        <v>31 March 2026</v>
      </c>
      <c r="MUZ417" s="247" t="str">
        <f>BS!$E$5</f>
        <v>31 March 2025</v>
      </c>
      <c r="MVA417" s="1717"/>
      <c r="MVB417" s="1718"/>
      <c r="MVC417" s="1718"/>
      <c r="MVD417" s="1718"/>
      <c r="MVE417" s="1718"/>
      <c r="MVF417" s="246"/>
      <c r="MVG417" s="246" t="str">
        <f>BS!$D$5</f>
        <v>31 March 2026</v>
      </c>
      <c r="MVH417" s="247" t="str">
        <f>BS!$E$5</f>
        <v>31 March 2025</v>
      </c>
      <c r="MVI417" s="1717"/>
      <c r="MVJ417" s="1718"/>
      <c r="MVK417" s="1718"/>
      <c r="MVL417" s="1718"/>
      <c r="MVM417" s="1718"/>
      <c r="MVN417" s="246"/>
      <c r="MVO417" s="246" t="str">
        <f>BS!$D$5</f>
        <v>31 March 2026</v>
      </c>
      <c r="MVP417" s="247" t="str">
        <f>BS!$E$5</f>
        <v>31 March 2025</v>
      </c>
      <c r="MVQ417" s="1717"/>
      <c r="MVR417" s="1718"/>
      <c r="MVS417" s="1718"/>
      <c r="MVT417" s="1718"/>
      <c r="MVU417" s="1718"/>
      <c r="MVV417" s="246"/>
      <c r="MVW417" s="246" t="str">
        <f>BS!$D$5</f>
        <v>31 March 2026</v>
      </c>
      <c r="MVX417" s="247" t="str">
        <f>BS!$E$5</f>
        <v>31 March 2025</v>
      </c>
      <c r="MVY417" s="1717"/>
      <c r="MVZ417" s="1718"/>
      <c r="MWA417" s="1718"/>
      <c r="MWB417" s="1718"/>
      <c r="MWC417" s="1718"/>
      <c r="MWD417" s="246"/>
      <c r="MWE417" s="246" t="str">
        <f>BS!$D$5</f>
        <v>31 March 2026</v>
      </c>
      <c r="MWF417" s="247" t="str">
        <f>BS!$E$5</f>
        <v>31 March 2025</v>
      </c>
      <c r="MWG417" s="1717"/>
      <c r="MWH417" s="1718"/>
      <c r="MWI417" s="1718"/>
      <c r="MWJ417" s="1718"/>
      <c r="MWK417" s="1718"/>
      <c r="MWL417" s="246"/>
      <c r="MWM417" s="246" t="str">
        <f>BS!$D$5</f>
        <v>31 March 2026</v>
      </c>
      <c r="MWN417" s="247" t="str">
        <f>BS!$E$5</f>
        <v>31 March 2025</v>
      </c>
      <c r="MWO417" s="1717"/>
      <c r="MWP417" s="1718"/>
      <c r="MWQ417" s="1718"/>
      <c r="MWR417" s="1718"/>
      <c r="MWS417" s="1718"/>
      <c r="MWT417" s="246"/>
      <c r="MWU417" s="246" t="str">
        <f>BS!$D$5</f>
        <v>31 March 2026</v>
      </c>
      <c r="MWV417" s="247" t="str">
        <f>BS!$E$5</f>
        <v>31 March 2025</v>
      </c>
      <c r="MWW417" s="1717"/>
      <c r="MWX417" s="1718"/>
      <c r="MWY417" s="1718"/>
      <c r="MWZ417" s="1718"/>
      <c r="MXA417" s="1718"/>
      <c r="MXB417" s="246"/>
      <c r="MXC417" s="246" t="str">
        <f>BS!$D$5</f>
        <v>31 March 2026</v>
      </c>
      <c r="MXD417" s="247" t="str">
        <f>BS!$E$5</f>
        <v>31 March 2025</v>
      </c>
      <c r="MXE417" s="1717"/>
      <c r="MXF417" s="1718"/>
      <c r="MXG417" s="1718"/>
      <c r="MXH417" s="1718"/>
      <c r="MXI417" s="1718"/>
      <c r="MXJ417" s="246"/>
      <c r="MXK417" s="246" t="str">
        <f>BS!$D$5</f>
        <v>31 March 2026</v>
      </c>
      <c r="MXL417" s="247" t="str">
        <f>BS!$E$5</f>
        <v>31 March 2025</v>
      </c>
      <c r="MXM417" s="1717"/>
      <c r="MXN417" s="1718"/>
      <c r="MXO417" s="1718"/>
      <c r="MXP417" s="1718"/>
      <c r="MXQ417" s="1718"/>
      <c r="MXR417" s="246"/>
      <c r="MXS417" s="246" t="str">
        <f>BS!$D$5</f>
        <v>31 March 2026</v>
      </c>
      <c r="MXT417" s="247" t="str">
        <f>BS!$E$5</f>
        <v>31 March 2025</v>
      </c>
      <c r="MXU417" s="1717"/>
      <c r="MXV417" s="1718"/>
      <c r="MXW417" s="1718"/>
      <c r="MXX417" s="1718"/>
      <c r="MXY417" s="1718"/>
      <c r="MXZ417" s="246"/>
      <c r="MYA417" s="246" t="str">
        <f>BS!$D$5</f>
        <v>31 March 2026</v>
      </c>
      <c r="MYB417" s="247" t="str">
        <f>BS!$E$5</f>
        <v>31 March 2025</v>
      </c>
      <c r="MYC417" s="1717"/>
      <c r="MYD417" s="1718"/>
      <c r="MYE417" s="1718"/>
      <c r="MYF417" s="1718"/>
      <c r="MYG417" s="1718"/>
      <c r="MYH417" s="246"/>
      <c r="MYI417" s="246" t="str">
        <f>BS!$D$5</f>
        <v>31 March 2026</v>
      </c>
      <c r="MYJ417" s="247" t="str">
        <f>BS!$E$5</f>
        <v>31 March 2025</v>
      </c>
      <c r="MYK417" s="1717"/>
      <c r="MYL417" s="1718"/>
      <c r="MYM417" s="1718"/>
      <c r="MYN417" s="1718"/>
      <c r="MYO417" s="1718"/>
      <c r="MYP417" s="246"/>
      <c r="MYQ417" s="246" t="str">
        <f>BS!$D$5</f>
        <v>31 March 2026</v>
      </c>
      <c r="MYR417" s="247" t="str">
        <f>BS!$E$5</f>
        <v>31 March 2025</v>
      </c>
      <c r="MYS417" s="1717"/>
      <c r="MYT417" s="1718"/>
      <c r="MYU417" s="1718"/>
      <c r="MYV417" s="1718"/>
      <c r="MYW417" s="1718"/>
      <c r="MYX417" s="246"/>
      <c r="MYY417" s="246" t="str">
        <f>BS!$D$5</f>
        <v>31 March 2026</v>
      </c>
      <c r="MYZ417" s="247" t="str">
        <f>BS!$E$5</f>
        <v>31 March 2025</v>
      </c>
      <c r="MZA417" s="1717"/>
      <c r="MZB417" s="1718"/>
      <c r="MZC417" s="1718"/>
      <c r="MZD417" s="1718"/>
      <c r="MZE417" s="1718"/>
      <c r="MZF417" s="246"/>
      <c r="MZG417" s="246" t="str">
        <f>BS!$D$5</f>
        <v>31 March 2026</v>
      </c>
      <c r="MZH417" s="247" t="str">
        <f>BS!$E$5</f>
        <v>31 March 2025</v>
      </c>
      <c r="MZI417" s="1717"/>
      <c r="MZJ417" s="1718"/>
      <c r="MZK417" s="1718"/>
      <c r="MZL417" s="1718"/>
      <c r="MZM417" s="1718"/>
      <c r="MZN417" s="246"/>
      <c r="MZO417" s="246" t="str">
        <f>BS!$D$5</f>
        <v>31 March 2026</v>
      </c>
      <c r="MZP417" s="247" t="str">
        <f>BS!$E$5</f>
        <v>31 March 2025</v>
      </c>
      <c r="MZQ417" s="1717"/>
      <c r="MZR417" s="1718"/>
      <c r="MZS417" s="1718"/>
      <c r="MZT417" s="1718"/>
      <c r="MZU417" s="1718"/>
      <c r="MZV417" s="246"/>
      <c r="MZW417" s="246" t="str">
        <f>BS!$D$5</f>
        <v>31 March 2026</v>
      </c>
      <c r="MZX417" s="247" t="str">
        <f>BS!$E$5</f>
        <v>31 March 2025</v>
      </c>
      <c r="MZY417" s="1717"/>
      <c r="MZZ417" s="1718"/>
      <c r="NAA417" s="1718"/>
      <c r="NAB417" s="1718"/>
      <c r="NAC417" s="1718"/>
      <c r="NAD417" s="246"/>
      <c r="NAE417" s="246" t="str">
        <f>BS!$D$5</f>
        <v>31 March 2026</v>
      </c>
      <c r="NAF417" s="247" t="str">
        <f>BS!$E$5</f>
        <v>31 March 2025</v>
      </c>
      <c r="NAG417" s="1717"/>
      <c r="NAH417" s="1718"/>
      <c r="NAI417" s="1718"/>
      <c r="NAJ417" s="1718"/>
      <c r="NAK417" s="1718"/>
      <c r="NAL417" s="246"/>
      <c r="NAM417" s="246" t="str">
        <f>BS!$D$5</f>
        <v>31 March 2026</v>
      </c>
      <c r="NAN417" s="247" t="str">
        <f>BS!$E$5</f>
        <v>31 March 2025</v>
      </c>
      <c r="NAO417" s="1717"/>
      <c r="NAP417" s="1718"/>
      <c r="NAQ417" s="1718"/>
      <c r="NAR417" s="1718"/>
      <c r="NAS417" s="1718"/>
      <c r="NAT417" s="246"/>
      <c r="NAU417" s="246" t="str">
        <f>BS!$D$5</f>
        <v>31 March 2026</v>
      </c>
      <c r="NAV417" s="247" t="str">
        <f>BS!$E$5</f>
        <v>31 March 2025</v>
      </c>
      <c r="NAW417" s="1717"/>
      <c r="NAX417" s="1718"/>
      <c r="NAY417" s="1718"/>
      <c r="NAZ417" s="1718"/>
      <c r="NBA417" s="1718"/>
      <c r="NBB417" s="246"/>
      <c r="NBC417" s="246" t="str">
        <f>BS!$D$5</f>
        <v>31 March 2026</v>
      </c>
      <c r="NBD417" s="247" t="str">
        <f>BS!$E$5</f>
        <v>31 March 2025</v>
      </c>
      <c r="NBE417" s="1717"/>
      <c r="NBF417" s="1718"/>
      <c r="NBG417" s="1718"/>
      <c r="NBH417" s="1718"/>
      <c r="NBI417" s="1718"/>
      <c r="NBJ417" s="246"/>
      <c r="NBK417" s="246" t="str">
        <f>BS!$D$5</f>
        <v>31 March 2026</v>
      </c>
      <c r="NBL417" s="247" t="str">
        <f>BS!$E$5</f>
        <v>31 March 2025</v>
      </c>
      <c r="NBM417" s="1717"/>
      <c r="NBN417" s="1718"/>
      <c r="NBO417" s="1718"/>
      <c r="NBP417" s="1718"/>
      <c r="NBQ417" s="1718"/>
      <c r="NBR417" s="246"/>
      <c r="NBS417" s="246" t="str">
        <f>BS!$D$5</f>
        <v>31 March 2026</v>
      </c>
      <c r="NBT417" s="247" t="str">
        <f>BS!$E$5</f>
        <v>31 March 2025</v>
      </c>
      <c r="NBU417" s="1717"/>
      <c r="NBV417" s="1718"/>
      <c r="NBW417" s="1718"/>
      <c r="NBX417" s="1718"/>
      <c r="NBY417" s="1718"/>
      <c r="NBZ417" s="246"/>
      <c r="NCA417" s="246" t="str">
        <f>BS!$D$5</f>
        <v>31 March 2026</v>
      </c>
      <c r="NCB417" s="247" t="str">
        <f>BS!$E$5</f>
        <v>31 March 2025</v>
      </c>
      <c r="NCC417" s="1717"/>
      <c r="NCD417" s="1718"/>
      <c r="NCE417" s="1718"/>
      <c r="NCF417" s="1718"/>
      <c r="NCG417" s="1718"/>
      <c r="NCH417" s="246"/>
      <c r="NCI417" s="246" t="str">
        <f>BS!$D$5</f>
        <v>31 March 2026</v>
      </c>
      <c r="NCJ417" s="247" t="str">
        <f>BS!$E$5</f>
        <v>31 March 2025</v>
      </c>
      <c r="NCK417" s="1717"/>
      <c r="NCL417" s="1718"/>
      <c r="NCM417" s="1718"/>
      <c r="NCN417" s="1718"/>
      <c r="NCO417" s="1718"/>
      <c r="NCP417" s="246"/>
      <c r="NCQ417" s="246" t="str">
        <f>BS!$D$5</f>
        <v>31 March 2026</v>
      </c>
      <c r="NCR417" s="247" t="str">
        <f>BS!$E$5</f>
        <v>31 March 2025</v>
      </c>
      <c r="NCS417" s="1717"/>
      <c r="NCT417" s="1718"/>
      <c r="NCU417" s="1718"/>
      <c r="NCV417" s="1718"/>
      <c r="NCW417" s="1718"/>
      <c r="NCX417" s="246"/>
      <c r="NCY417" s="246" t="str">
        <f>BS!$D$5</f>
        <v>31 March 2026</v>
      </c>
      <c r="NCZ417" s="247" t="str">
        <f>BS!$E$5</f>
        <v>31 March 2025</v>
      </c>
      <c r="NDA417" s="1717"/>
      <c r="NDB417" s="1718"/>
      <c r="NDC417" s="1718"/>
      <c r="NDD417" s="1718"/>
      <c r="NDE417" s="1718"/>
      <c r="NDF417" s="246"/>
      <c r="NDG417" s="246" t="str">
        <f>BS!$D$5</f>
        <v>31 March 2026</v>
      </c>
      <c r="NDH417" s="247" t="str">
        <f>BS!$E$5</f>
        <v>31 March 2025</v>
      </c>
      <c r="NDI417" s="1717"/>
      <c r="NDJ417" s="1718"/>
      <c r="NDK417" s="1718"/>
      <c r="NDL417" s="1718"/>
      <c r="NDM417" s="1718"/>
      <c r="NDN417" s="246"/>
      <c r="NDO417" s="246" t="str">
        <f>BS!$D$5</f>
        <v>31 March 2026</v>
      </c>
      <c r="NDP417" s="247" t="str">
        <f>BS!$E$5</f>
        <v>31 March 2025</v>
      </c>
      <c r="NDQ417" s="1717"/>
      <c r="NDR417" s="1718"/>
      <c r="NDS417" s="1718"/>
      <c r="NDT417" s="1718"/>
      <c r="NDU417" s="1718"/>
      <c r="NDV417" s="246"/>
      <c r="NDW417" s="246" t="str">
        <f>BS!$D$5</f>
        <v>31 March 2026</v>
      </c>
      <c r="NDX417" s="247" t="str">
        <f>BS!$E$5</f>
        <v>31 March 2025</v>
      </c>
      <c r="NDY417" s="1717"/>
      <c r="NDZ417" s="1718"/>
      <c r="NEA417" s="1718"/>
      <c r="NEB417" s="1718"/>
      <c r="NEC417" s="1718"/>
      <c r="NED417" s="246"/>
      <c r="NEE417" s="246" t="str">
        <f>BS!$D$5</f>
        <v>31 March 2026</v>
      </c>
      <c r="NEF417" s="247" t="str">
        <f>BS!$E$5</f>
        <v>31 March 2025</v>
      </c>
      <c r="NEG417" s="1717"/>
      <c r="NEH417" s="1718"/>
      <c r="NEI417" s="1718"/>
      <c r="NEJ417" s="1718"/>
      <c r="NEK417" s="1718"/>
      <c r="NEL417" s="246"/>
      <c r="NEM417" s="246" t="str">
        <f>BS!$D$5</f>
        <v>31 March 2026</v>
      </c>
      <c r="NEN417" s="247" t="str">
        <f>BS!$E$5</f>
        <v>31 March 2025</v>
      </c>
      <c r="NEO417" s="1717"/>
      <c r="NEP417" s="1718"/>
      <c r="NEQ417" s="1718"/>
      <c r="NER417" s="1718"/>
      <c r="NES417" s="1718"/>
      <c r="NET417" s="246"/>
      <c r="NEU417" s="246" t="str">
        <f>BS!$D$5</f>
        <v>31 March 2026</v>
      </c>
      <c r="NEV417" s="247" t="str">
        <f>BS!$E$5</f>
        <v>31 March 2025</v>
      </c>
      <c r="NEW417" s="1717"/>
      <c r="NEX417" s="1718"/>
      <c r="NEY417" s="1718"/>
      <c r="NEZ417" s="1718"/>
      <c r="NFA417" s="1718"/>
      <c r="NFB417" s="246"/>
      <c r="NFC417" s="246" t="str">
        <f>BS!$D$5</f>
        <v>31 March 2026</v>
      </c>
      <c r="NFD417" s="247" t="str">
        <f>BS!$E$5</f>
        <v>31 March 2025</v>
      </c>
      <c r="NFE417" s="1717"/>
      <c r="NFF417" s="1718"/>
      <c r="NFG417" s="1718"/>
      <c r="NFH417" s="1718"/>
      <c r="NFI417" s="1718"/>
      <c r="NFJ417" s="246"/>
      <c r="NFK417" s="246" t="str">
        <f>BS!$D$5</f>
        <v>31 March 2026</v>
      </c>
      <c r="NFL417" s="247" t="str">
        <f>BS!$E$5</f>
        <v>31 March 2025</v>
      </c>
      <c r="NFM417" s="1717"/>
      <c r="NFN417" s="1718"/>
      <c r="NFO417" s="1718"/>
      <c r="NFP417" s="1718"/>
      <c r="NFQ417" s="1718"/>
      <c r="NFR417" s="246"/>
      <c r="NFS417" s="246" t="str">
        <f>BS!$D$5</f>
        <v>31 March 2026</v>
      </c>
      <c r="NFT417" s="247" t="str">
        <f>BS!$E$5</f>
        <v>31 March 2025</v>
      </c>
      <c r="NFU417" s="1717"/>
      <c r="NFV417" s="1718"/>
      <c r="NFW417" s="1718"/>
      <c r="NFX417" s="1718"/>
      <c r="NFY417" s="1718"/>
      <c r="NFZ417" s="246"/>
      <c r="NGA417" s="246" t="str">
        <f>BS!$D$5</f>
        <v>31 March 2026</v>
      </c>
      <c r="NGB417" s="247" t="str">
        <f>BS!$E$5</f>
        <v>31 March 2025</v>
      </c>
      <c r="NGC417" s="1717"/>
      <c r="NGD417" s="1718"/>
      <c r="NGE417" s="1718"/>
      <c r="NGF417" s="1718"/>
      <c r="NGG417" s="1718"/>
      <c r="NGH417" s="246"/>
      <c r="NGI417" s="246" t="str">
        <f>BS!$D$5</f>
        <v>31 March 2026</v>
      </c>
      <c r="NGJ417" s="247" t="str">
        <f>BS!$E$5</f>
        <v>31 March 2025</v>
      </c>
      <c r="NGK417" s="1717"/>
      <c r="NGL417" s="1718"/>
      <c r="NGM417" s="1718"/>
      <c r="NGN417" s="1718"/>
      <c r="NGO417" s="1718"/>
      <c r="NGP417" s="246"/>
      <c r="NGQ417" s="246" t="str">
        <f>BS!$D$5</f>
        <v>31 March 2026</v>
      </c>
      <c r="NGR417" s="247" t="str">
        <f>BS!$E$5</f>
        <v>31 March 2025</v>
      </c>
      <c r="NGS417" s="1717"/>
      <c r="NGT417" s="1718"/>
      <c r="NGU417" s="1718"/>
      <c r="NGV417" s="1718"/>
      <c r="NGW417" s="1718"/>
      <c r="NGX417" s="246"/>
      <c r="NGY417" s="246" t="str">
        <f>BS!$D$5</f>
        <v>31 March 2026</v>
      </c>
      <c r="NGZ417" s="247" t="str">
        <f>BS!$E$5</f>
        <v>31 March 2025</v>
      </c>
      <c r="NHA417" s="1717"/>
      <c r="NHB417" s="1718"/>
      <c r="NHC417" s="1718"/>
      <c r="NHD417" s="1718"/>
      <c r="NHE417" s="1718"/>
      <c r="NHF417" s="246"/>
      <c r="NHG417" s="246" t="str">
        <f>BS!$D$5</f>
        <v>31 March 2026</v>
      </c>
      <c r="NHH417" s="247" t="str">
        <f>BS!$E$5</f>
        <v>31 March 2025</v>
      </c>
      <c r="NHI417" s="1717"/>
      <c r="NHJ417" s="1718"/>
      <c r="NHK417" s="1718"/>
      <c r="NHL417" s="1718"/>
      <c r="NHM417" s="1718"/>
      <c r="NHN417" s="246"/>
      <c r="NHO417" s="246" t="str">
        <f>BS!$D$5</f>
        <v>31 March 2026</v>
      </c>
      <c r="NHP417" s="247" t="str">
        <f>BS!$E$5</f>
        <v>31 March 2025</v>
      </c>
      <c r="NHQ417" s="1717"/>
      <c r="NHR417" s="1718"/>
      <c r="NHS417" s="1718"/>
      <c r="NHT417" s="1718"/>
      <c r="NHU417" s="1718"/>
      <c r="NHV417" s="246"/>
      <c r="NHW417" s="246" t="str">
        <f>BS!$D$5</f>
        <v>31 March 2026</v>
      </c>
      <c r="NHX417" s="247" t="str">
        <f>BS!$E$5</f>
        <v>31 March 2025</v>
      </c>
      <c r="NHY417" s="1717"/>
      <c r="NHZ417" s="1718"/>
      <c r="NIA417" s="1718"/>
      <c r="NIB417" s="1718"/>
      <c r="NIC417" s="1718"/>
      <c r="NID417" s="246"/>
      <c r="NIE417" s="246" t="str">
        <f>BS!$D$5</f>
        <v>31 March 2026</v>
      </c>
      <c r="NIF417" s="247" t="str">
        <f>BS!$E$5</f>
        <v>31 March 2025</v>
      </c>
      <c r="NIG417" s="1717"/>
      <c r="NIH417" s="1718"/>
      <c r="NII417" s="1718"/>
      <c r="NIJ417" s="1718"/>
      <c r="NIK417" s="1718"/>
      <c r="NIL417" s="246"/>
      <c r="NIM417" s="246" t="str">
        <f>BS!$D$5</f>
        <v>31 March 2026</v>
      </c>
      <c r="NIN417" s="247" t="str">
        <f>BS!$E$5</f>
        <v>31 March 2025</v>
      </c>
      <c r="NIO417" s="1717"/>
      <c r="NIP417" s="1718"/>
      <c r="NIQ417" s="1718"/>
      <c r="NIR417" s="1718"/>
      <c r="NIS417" s="1718"/>
      <c r="NIT417" s="246"/>
      <c r="NIU417" s="246" t="str">
        <f>BS!$D$5</f>
        <v>31 March 2026</v>
      </c>
      <c r="NIV417" s="247" t="str">
        <f>BS!$E$5</f>
        <v>31 March 2025</v>
      </c>
      <c r="NIW417" s="1717"/>
      <c r="NIX417" s="1718"/>
      <c r="NIY417" s="1718"/>
      <c r="NIZ417" s="1718"/>
      <c r="NJA417" s="1718"/>
      <c r="NJB417" s="246"/>
      <c r="NJC417" s="246" t="str">
        <f>BS!$D$5</f>
        <v>31 March 2026</v>
      </c>
      <c r="NJD417" s="247" t="str">
        <f>BS!$E$5</f>
        <v>31 March 2025</v>
      </c>
      <c r="NJE417" s="1717"/>
      <c r="NJF417" s="1718"/>
      <c r="NJG417" s="1718"/>
      <c r="NJH417" s="1718"/>
      <c r="NJI417" s="1718"/>
      <c r="NJJ417" s="246"/>
      <c r="NJK417" s="246" t="str">
        <f>BS!$D$5</f>
        <v>31 March 2026</v>
      </c>
      <c r="NJL417" s="247" t="str">
        <f>BS!$E$5</f>
        <v>31 March 2025</v>
      </c>
      <c r="NJM417" s="1717"/>
      <c r="NJN417" s="1718"/>
      <c r="NJO417" s="1718"/>
      <c r="NJP417" s="1718"/>
      <c r="NJQ417" s="1718"/>
      <c r="NJR417" s="246"/>
      <c r="NJS417" s="246" t="str">
        <f>BS!$D$5</f>
        <v>31 March 2026</v>
      </c>
      <c r="NJT417" s="247" t="str">
        <f>BS!$E$5</f>
        <v>31 March 2025</v>
      </c>
      <c r="NJU417" s="1717"/>
      <c r="NJV417" s="1718"/>
      <c r="NJW417" s="1718"/>
      <c r="NJX417" s="1718"/>
      <c r="NJY417" s="1718"/>
      <c r="NJZ417" s="246"/>
      <c r="NKA417" s="246" t="str">
        <f>BS!$D$5</f>
        <v>31 March 2026</v>
      </c>
      <c r="NKB417" s="247" t="str">
        <f>BS!$E$5</f>
        <v>31 March 2025</v>
      </c>
      <c r="NKC417" s="1717"/>
      <c r="NKD417" s="1718"/>
      <c r="NKE417" s="1718"/>
      <c r="NKF417" s="1718"/>
      <c r="NKG417" s="1718"/>
      <c r="NKH417" s="246"/>
      <c r="NKI417" s="246" t="str">
        <f>BS!$D$5</f>
        <v>31 March 2026</v>
      </c>
      <c r="NKJ417" s="247" t="str">
        <f>BS!$E$5</f>
        <v>31 March 2025</v>
      </c>
      <c r="NKK417" s="1717"/>
      <c r="NKL417" s="1718"/>
      <c r="NKM417" s="1718"/>
      <c r="NKN417" s="1718"/>
      <c r="NKO417" s="1718"/>
      <c r="NKP417" s="246"/>
      <c r="NKQ417" s="246" t="str">
        <f>BS!$D$5</f>
        <v>31 March 2026</v>
      </c>
      <c r="NKR417" s="247" t="str">
        <f>BS!$E$5</f>
        <v>31 March 2025</v>
      </c>
      <c r="NKS417" s="1717"/>
      <c r="NKT417" s="1718"/>
      <c r="NKU417" s="1718"/>
      <c r="NKV417" s="1718"/>
      <c r="NKW417" s="1718"/>
      <c r="NKX417" s="246"/>
      <c r="NKY417" s="246" t="str">
        <f>BS!$D$5</f>
        <v>31 March 2026</v>
      </c>
      <c r="NKZ417" s="247" t="str">
        <f>BS!$E$5</f>
        <v>31 March 2025</v>
      </c>
      <c r="NLA417" s="1717"/>
      <c r="NLB417" s="1718"/>
      <c r="NLC417" s="1718"/>
      <c r="NLD417" s="1718"/>
      <c r="NLE417" s="1718"/>
      <c r="NLF417" s="246"/>
      <c r="NLG417" s="246" t="str">
        <f>BS!$D$5</f>
        <v>31 March 2026</v>
      </c>
      <c r="NLH417" s="247" t="str">
        <f>BS!$E$5</f>
        <v>31 March 2025</v>
      </c>
      <c r="NLI417" s="1717"/>
      <c r="NLJ417" s="1718"/>
      <c r="NLK417" s="1718"/>
      <c r="NLL417" s="1718"/>
      <c r="NLM417" s="1718"/>
      <c r="NLN417" s="246"/>
      <c r="NLO417" s="246" t="str">
        <f>BS!$D$5</f>
        <v>31 March 2026</v>
      </c>
      <c r="NLP417" s="247" t="str">
        <f>BS!$E$5</f>
        <v>31 March 2025</v>
      </c>
      <c r="NLQ417" s="1717"/>
      <c r="NLR417" s="1718"/>
      <c r="NLS417" s="1718"/>
      <c r="NLT417" s="1718"/>
      <c r="NLU417" s="1718"/>
      <c r="NLV417" s="246"/>
      <c r="NLW417" s="246" t="str">
        <f>BS!$D$5</f>
        <v>31 March 2026</v>
      </c>
      <c r="NLX417" s="247" t="str">
        <f>BS!$E$5</f>
        <v>31 March 2025</v>
      </c>
      <c r="NLY417" s="1717"/>
      <c r="NLZ417" s="1718"/>
      <c r="NMA417" s="1718"/>
      <c r="NMB417" s="1718"/>
      <c r="NMC417" s="1718"/>
      <c r="NMD417" s="246"/>
      <c r="NME417" s="246" t="str">
        <f>BS!$D$5</f>
        <v>31 March 2026</v>
      </c>
      <c r="NMF417" s="247" t="str">
        <f>BS!$E$5</f>
        <v>31 March 2025</v>
      </c>
      <c r="NMG417" s="1717"/>
      <c r="NMH417" s="1718"/>
      <c r="NMI417" s="1718"/>
      <c r="NMJ417" s="1718"/>
      <c r="NMK417" s="1718"/>
      <c r="NML417" s="246"/>
      <c r="NMM417" s="246" t="str">
        <f>BS!$D$5</f>
        <v>31 March 2026</v>
      </c>
      <c r="NMN417" s="247" t="str">
        <f>BS!$E$5</f>
        <v>31 March 2025</v>
      </c>
      <c r="NMO417" s="1717"/>
      <c r="NMP417" s="1718"/>
      <c r="NMQ417" s="1718"/>
      <c r="NMR417" s="1718"/>
      <c r="NMS417" s="1718"/>
      <c r="NMT417" s="246"/>
      <c r="NMU417" s="246" t="str">
        <f>BS!$D$5</f>
        <v>31 March 2026</v>
      </c>
      <c r="NMV417" s="247" t="str">
        <f>BS!$E$5</f>
        <v>31 March 2025</v>
      </c>
      <c r="NMW417" s="1717"/>
      <c r="NMX417" s="1718"/>
      <c r="NMY417" s="1718"/>
      <c r="NMZ417" s="1718"/>
      <c r="NNA417" s="1718"/>
      <c r="NNB417" s="246"/>
      <c r="NNC417" s="246" t="str">
        <f>BS!$D$5</f>
        <v>31 March 2026</v>
      </c>
      <c r="NND417" s="247" t="str">
        <f>BS!$E$5</f>
        <v>31 March 2025</v>
      </c>
      <c r="NNE417" s="1717"/>
      <c r="NNF417" s="1718"/>
      <c r="NNG417" s="1718"/>
      <c r="NNH417" s="1718"/>
      <c r="NNI417" s="1718"/>
      <c r="NNJ417" s="246"/>
      <c r="NNK417" s="246" t="str">
        <f>BS!$D$5</f>
        <v>31 March 2026</v>
      </c>
      <c r="NNL417" s="247" t="str">
        <f>BS!$E$5</f>
        <v>31 March 2025</v>
      </c>
      <c r="NNM417" s="1717"/>
      <c r="NNN417" s="1718"/>
      <c r="NNO417" s="1718"/>
      <c r="NNP417" s="1718"/>
      <c r="NNQ417" s="1718"/>
      <c r="NNR417" s="246"/>
      <c r="NNS417" s="246" t="str">
        <f>BS!$D$5</f>
        <v>31 March 2026</v>
      </c>
      <c r="NNT417" s="247" t="str">
        <f>BS!$E$5</f>
        <v>31 March 2025</v>
      </c>
      <c r="NNU417" s="1717"/>
      <c r="NNV417" s="1718"/>
      <c r="NNW417" s="1718"/>
      <c r="NNX417" s="1718"/>
      <c r="NNY417" s="1718"/>
      <c r="NNZ417" s="246"/>
      <c r="NOA417" s="246" t="str">
        <f>BS!$D$5</f>
        <v>31 March 2026</v>
      </c>
      <c r="NOB417" s="247" t="str">
        <f>BS!$E$5</f>
        <v>31 March 2025</v>
      </c>
      <c r="NOC417" s="1717"/>
      <c r="NOD417" s="1718"/>
      <c r="NOE417" s="1718"/>
      <c r="NOF417" s="1718"/>
      <c r="NOG417" s="1718"/>
      <c r="NOH417" s="246"/>
      <c r="NOI417" s="246" t="str">
        <f>BS!$D$5</f>
        <v>31 March 2026</v>
      </c>
      <c r="NOJ417" s="247" t="str">
        <f>BS!$E$5</f>
        <v>31 March 2025</v>
      </c>
      <c r="NOK417" s="1717"/>
      <c r="NOL417" s="1718"/>
      <c r="NOM417" s="1718"/>
      <c r="NON417" s="1718"/>
      <c r="NOO417" s="1718"/>
      <c r="NOP417" s="246"/>
      <c r="NOQ417" s="246" t="str">
        <f>BS!$D$5</f>
        <v>31 March 2026</v>
      </c>
      <c r="NOR417" s="247" t="str">
        <f>BS!$E$5</f>
        <v>31 March 2025</v>
      </c>
      <c r="NOS417" s="1717"/>
      <c r="NOT417" s="1718"/>
      <c r="NOU417" s="1718"/>
      <c r="NOV417" s="1718"/>
      <c r="NOW417" s="1718"/>
      <c r="NOX417" s="246"/>
      <c r="NOY417" s="246" t="str">
        <f>BS!$D$5</f>
        <v>31 March 2026</v>
      </c>
      <c r="NOZ417" s="247" t="str">
        <f>BS!$E$5</f>
        <v>31 March 2025</v>
      </c>
      <c r="NPA417" s="1717"/>
      <c r="NPB417" s="1718"/>
      <c r="NPC417" s="1718"/>
      <c r="NPD417" s="1718"/>
      <c r="NPE417" s="1718"/>
      <c r="NPF417" s="246"/>
      <c r="NPG417" s="246" t="str">
        <f>BS!$D$5</f>
        <v>31 March 2026</v>
      </c>
      <c r="NPH417" s="247" t="str">
        <f>BS!$E$5</f>
        <v>31 March 2025</v>
      </c>
      <c r="NPI417" s="1717"/>
      <c r="NPJ417" s="1718"/>
      <c r="NPK417" s="1718"/>
      <c r="NPL417" s="1718"/>
      <c r="NPM417" s="1718"/>
      <c r="NPN417" s="246"/>
      <c r="NPO417" s="246" t="str">
        <f>BS!$D$5</f>
        <v>31 March 2026</v>
      </c>
      <c r="NPP417" s="247" t="str">
        <f>BS!$E$5</f>
        <v>31 March 2025</v>
      </c>
      <c r="NPQ417" s="1717"/>
      <c r="NPR417" s="1718"/>
      <c r="NPS417" s="1718"/>
      <c r="NPT417" s="1718"/>
      <c r="NPU417" s="1718"/>
      <c r="NPV417" s="246"/>
      <c r="NPW417" s="246" t="str">
        <f>BS!$D$5</f>
        <v>31 March 2026</v>
      </c>
      <c r="NPX417" s="247" t="str">
        <f>BS!$E$5</f>
        <v>31 March 2025</v>
      </c>
      <c r="NPY417" s="1717"/>
      <c r="NPZ417" s="1718"/>
      <c r="NQA417" s="1718"/>
      <c r="NQB417" s="1718"/>
      <c r="NQC417" s="1718"/>
      <c r="NQD417" s="246"/>
      <c r="NQE417" s="246" t="str">
        <f>BS!$D$5</f>
        <v>31 March 2026</v>
      </c>
      <c r="NQF417" s="247" t="str">
        <f>BS!$E$5</f>
        <v>31 March 2025</v>
      </c>
      <c r="NQG417" s="1717"/>
      <c r="NQH417" s="1718"/>
      <c r="NQI417" s="1718"/>
      <c r="NQJ417" s="1718"/>
      <c r="NQK417" s="1718"/>
      <c r="NQL417" s="246"/>
      <c r="NQM417" s="246" t="str">
        <f>BS!$D$5</f>
        <v>31 March 2026</v>
      </c>
      <c r="NQN417" s="247" t="str">
        <f>BS!$E$5</f>
        <v>31 March 2025</v>
      </c>
      <c r="NQO417" s="1717"/>
      <c r="NQP417" s="1718"/>
      <c r="NQQ417" s="1718"/>
      <c r="NQR417" s="1718"/>
      <c r="NQS417" s="1718"/>
      <c r="NQT417" s="246"/>
      <c r="NQU417" s="246" t="str">
        <f>BS!$D$5</f>
        <v>31 March 2026</v>
      </c>
      <c r="NQV417" s="247" t="str">
        <f>BS!$E$5</f>
        <v>31 March 2025</v>
      </c>
      <c r="NQW417" s="1717"/>
      <c r="NQX417" s="1718"/>
      <c r="NQY417" s="1718"/>
      <c r="NQZ417" s="1718"/>
      <c r="NRA417" s="1718"/>
      <c r="NRB417" s="246"/>
      <c r="NRC417" s="246" t="str">
        <f>BS!$D$5</f>
        <v>31 March 2026</v>
      </c>
      <c r="NRD417" s="247" t="str">
        <f>BS!$E$5</f>
        <v>31 March 2025</v>
      </c>
      <c r="NRE417" s="1717"/>
      <c r="NRF417" s="1718"/>
      <c r="NRG417" s="1718"/>
      <c r="NRH417" s="1718"/>
      <c r="NRI417" s="1718"/>
      <c r="NRJ417" s="246"/>
      <c r="NRK417" s="246" t="str">
        <f>BS!$D$5</f>
        <v>31 March 2026</v>
      </c>
      <c r="NRL417" s="247" t="str">
        <f>BS!$E$5</f>
        <v>31 March 2025</v>
      </c>
      <c r="NRM417" s="1717"/>
      <c r="NRN417" s="1718"/>
      <c r="NRO417" s="1718"/>
      <c r="NRP417" s="1718"/>
      <c r="NRQ417" s="1718"/>
      <c r="NRR417" s="246"/>
      <c r="NRS417" s="246" t="str">
        <f>BS!$D$5</f>
        <v>31 March 2026</v>
      </c>
      <c r="NRT417" s="247" t="str">
        <f>BS!$E$5</f>
        <v>31 March 2025</v>
      </c>
      <c r="NRU417" s="1717"/>
      <c r="NRV417" s="1718"/>
      <c r="NRW417" s="1718"/>
      <c r="NRX417" s="1718"/>
      <c r="NRY417" s="1718"/>
      <c r="NRZ417" s="246"/>
      <c r="NSA417" s="246" t="str">
        <f>BS!$D$5</f>
        <v>31 March 2026</v>
      </c>
      <c r="NSB417" s="247" t="str">
        <f>BS!$E$5</f>
        <v>31 March 2025</v>
      </c>
      <c r="NSC417" s="1717"/>
      <c r="NSD417" s="1718"/>
      <c r="NSE417" s="1718"/>
      <c r="NSF417" s="1718"/>
      <c r="NSG417" s="1718"/>
      <c r="NSH417" s="246"/>
      <c r="NSI417" s="246" t="str">
        <f>BS!$D$5</f>
        <v>31 March 2026</v>
      </c>
      <c r="NSJ417" s="247" t="str">
        <f>BS!$E$5</f>
        <v>31 March 2025</v>
      </c>
      <c r="NSK417" s="1717"/>
      <c r="NSL417" s="1718"/>
      <c r="NSM417" s="1718"/>
      <c r="NSN417" s="1718"/>
      <c r="NSO417" s="1718"/>
      <c r="NSP417" s="246"/>
      <c r="NSQ417" s="246" t="str">
        <f>BS!$D$5</f>
        <v>31 March 2026</v>
      </c>
      <c r="NSR417" s="247" t="str">
        <f>BS!$E$5</f>
        <v>31 March 2025</v>
      </c>
      <c r="NSS417" s="1717"/>
      <c r="NST417" s="1718"/>
      <c r="NSU417" s="1718"/>
      <c r="NSV417" s="1718"/>
      <c r="NSW417" s="1718"/>
      <c r="NSX417" s="246"/>
      <c r="NSY417" s="246" t="str">
        <f>BS!$D$5</f>
        <v>31 March 2026</v>
      </c>
      <c r="NSZ417" s="247" t="str">
        <f>BS!$E$5</f>
        <v>31 March 2025</v>
      </c>
      <c r="NTA417" s="1717"/>
      <c r="NTB417" s="1718"/>
      <c r="NTC417" s="1718"/>
      <c r="NTD417" s="1718"/>
      <c r="NTE417" s="1718"/>
      <c r="NTF417" s="246"/>
      <c r="NTG417" s="246" t="str">
        <f>BS!$D$5</f>
        <v>31 March 2026</v>
      </c>
      <c r="NTH417" s="247" t="str">
        <f>BS!$E$5</f>
        <v>31 March 2025</v>
      </c>
      <c r="NTI417" s="1717"/>
      <c r="NTJ417" s="1718"/>
      <c r="NTK417" s="1718"/>
      <c r="NTL417" s="1718"/>
      <c r="NTM417" s="1718"/>
      <c r="NTN417" s="246"/>
      <c r="NTO417" s="246" t="str">
        <f>BS!$D$5</f>
        <v>31 March 2026</v>
      </c>
      <c r="NTP417" s="247" t="str">
        <f>BS!$E$5</f>
        <v>31 March 2025</v>
      </c>
      <c r="NTQ417" s="1717"/>
      <c r="NTR417" s="1718"/>
      <c r="NTS417" s="1718"/>
      <c r="NTT417" s="1718"/>
      <c r="NTU417" s="1718"/>
      <c r="NTV417" s="246"/>
      <c r="NTW417" s="246" t="str">
        <f>BS!$D$5</f>
        <v>31 March 2026</v>
      </c>
      <c r="NTX417" s="247" t="str">
        <f>BS!$E$5</f>
        <v>31 March 2025</v>
      </c>
      <c r="NTY417" s="1717"/>
      <c r="NTZ417" s="1718"/>
      <c r="NUA417" s="1718"/>
      <c r="NUB417" s="1718"/>
      <c r="NUC417" s="1718"/>
      <c r="NUD417" s="246"/>
      <c r="NUE417" s="246" t="str">
        <f>BS!$D$5</f>
        <v>31 March 2026</v>
      </c>
      <c r="NUF417" s="247" t="str">
        <f>BS!$E$5</f>
        <v>31 March 2025</v>
      </c>
      <c r="NUG417" s="1717"/>
      <c r="NUH417" s="1718"/>
      <c r="NUI417" s="1718"/>
      <c r="NUJ417" s="1718"/>
      <c r="NUK417" s="1718"/>
      <c r="NUL417" s="246"/>
      <c r="NUM417" s="246" t="str">
        <f>BS!$D$5</f>
        <v>31 March 2026</v>
      </c>
      <c r="NUN417" s="247" t="str">
        <f>BS!$E$5</f>
        <v>31 March 2025</v>
      </c>
      <c r="NUO417" s="1717"/>
      <c r="NUP417" s="1718"/>
      <c r="NUQ417" s="1718"/>
      <c r="NUR417" s="1718"/>
      <c r="NUS417" s="1718"/>
      <c r="NUT417" s="246"/>
      <c r="NUU417" s="246" t="str">
        <f>BS!$D$5</f>
        <v>31 March 2026</v>
      </c>
      <c r="NUV417" s="247" t="str">
        <f>BS!$E$5</f>
        <v>31 March 2025</v>
      </c>
      <c r="NUW417" s="1717"/>
      <c r="NUX417" s="1718"/>
      <c r="NUY417" s="1718"/>
      <c r="NUZ417" s="1718"/>
      <c r="NVA417" s="1718"/>
      <c r="NVB417" s="246"/>
      <c r="NVC417" s="246" t="str">
        <f>BS!$D$5</f>
        <v>31 March 2026</v>
      </c>
      <c r="NVD417" s="247" t="str">
        <f>BS!$E$5</f>
        <v>31 March 2025</v>
      </c>
      <c r="NVE417" s="1717"/>
      <c r="NVF417" s="1718"/>
      <c r="NVG417" s="1718"/>
      <c r="NVH417" s="1718"/>
      <c r="NVI417" s="1718"/>
      <c r="NVJ417" s="246"/>
      <c r="NVK417" s="246" t="str">
        <f>BS!$D$5</f>
        <v>31 March 2026</v>
      </c>
      <c r="NVL417" s="247" t="str">
        <f>BS!$E$5</f>
        <v>31 March 2025</v>
      </c>
      <c r="NVM417" s="1717"/>
      <c r="NVN417" s="1718"/>
      <c r="NVO417" s="1718"/>
      <c r="NVP417" s="1718"/>
      <c r="NVQ417" s="1718"/>
      <c r="NVR417" s="246"/>
      <c r="NVS417" s="246" t="str">
        <f>BS!$D$5</f>
        <v>31 March 2026</v>
      </c>
      <c r="NVT417" s="247" t="str">
        <f>BS!$E$5</f>
        <v>31 March 2025</v>
      </c>
      <c r="NVU417" s="1717"/>
      <c r="NVV417" s="1718"/>
      <c r="NVW417" s="1718"/>
      <c r="NVX417" s="1718"/>
      <c r="NVY417" s="1718"/>
      <c r="NVZ417" s="246"/>
      <c r="NWA417" s="246" t="str">
        <f>BS!$D$5</f>
        <v>31 March 2026</v>
      </c>
      <c r="NWB417" s="247" t="str">
        <f>BS!$E$5</f>
        <v>31 March 2025</v>
      </c>
      <c r="NWC417" s="1717"/>
      <c r="NWD417" s="1718"/>
      <c r="NWE417" s="1718"/>
      <c r="NWF417" s="1718"/>
      <c r="NWG417" s="1718"/>
      <c r="NWH417" s="246"/>
      <c r="NWI417" s="246" t="str">
        <f>BS!$D$5</f>
        <v>31 March 2026</v>
      </c>
      <c r="NWJ417" s="247" t="str">
        <f>BS!$E$5</f>
        <v>31 March 2025</v>
      </c>
      <c r="NWK417" s="1717"/>
      <c r="NWL417" s="1718"/>
      <c r="NWM417" s="1718"/>
      <c r="NWN417" s="1718"/>
      <c r="NWO417" s="1718"/>
      <c r="NWP417" s="246"/>
      <c r="NWQ417" s="246" t="str">
        <f>BS!$D$5</f>
        <v>31 March 2026</v>
      </c>
      <c r="NWR417" s="247" t="str">
        <f>BS!$E$5</f>
        <v>31 March 2025</v>
      </c>
      <c r="NWS417" s="1717"/>
      <c r="NWT417" s="1718"/>
      <c r="NWU417" s="1718"/>
      <c r="NWV417" s="1718"/>
      <c r="NWW417" s="1718"/>
      <c r="NWX417" s="246"/>
      <c r="NWY417" s="246" t="str">
        <f>BS!$D$5</f>
        <v>31 March 2026</v>
      </c>
      <c r="NWZ417" s="247" t="str">
        <f>BS!$E$5</f>
        <v>31 March 2025</v>
      </c>
      <c r="NXA417" s="1717"/>
      <c r="NXB417" s="1718"/>
      <c r="NXC417" s="1718"/>
      <c r="NXD417" s="1718"/>
      <c r="NXE417" s="1718"/>
      <c r="NXF417" s="246"/>
      <c r="NXG417" s="246" t="str">
        <f>BS!$D$5</f>
        <v>31 March 2026</v>
      </c>
      <c r="NXH417" s="247" t="str">
        <f>BS!$E$5</f>
        <v>31 March 2025</v>
      </c>
      <c r="NXI417" s="1717"/>
      <c r="NXJ417" s="1718"/>
      <c r="NXK417" s="1718"/>
      <c r="NXL417" s="1718"/>
      <c r="NXM417" s="1718"/>
      <c r="NXN417" s="246"/>
      <c r="NXO417" s="246" t="str">
        <f>BS!$D$5</f>
        <v>31 March 2026</v>
      </c>
      <c r="NXP417" s="247" t="str">
        <f>BS!$E$5</f>
        <v>31 March 2025</v>
      </c>
      <c r="NXQ417" s="1717"/>
      <c r="NXR417" s="1718"/>
      <c r="NXS417" s="1718"/>
      <c r="NXT417" s="1718"/>
      <c r="NXU417" s="1718"/>
      <c r="NXV417" s="246"/>
      <c r="NXW417" s="246" t="str">
        <f>BS!$D$5</f>
        <v>31 March 2026</v>
      </c>
      <c r="NXX417" s="247" t="str">
        <f>BS!$E$5</f>
        <v>31 March 2025</v>
      </c>
      <c r="NXY417" s="1717"/>
      <c r="NXZ417" s="1718"/>
      <c r="NYA417" s="1718"/>
      <c r="NYB417" s="1718"/>
      <c r="NYC417" s="1718"/>
      <c r="NYD417" s="246"/>
      <c r="NYE417" s="246" t="str">
        <f>BS!$D$5</f>
        <v>31 March 2026</v>
      </c>
      <c r="NYF417" s="247" t="str">
        <f>BS!$E$5</f>
        <v>31 March 2025</v>
      </c>
      <c r="NYG417" s="1717"/>
      <c r="NYH417" s="1718"/>
      <c r="NYI417" s="1718"/>
      <c r="NYJ417" s="1718"/>
      <c r="NYK417" s="1718"/>
      <c r="NYL417" s="246"/>
      <c r="NYM417" s="246" t="str">
        <f>BS!$D$5</f>
        <v>31 March 2026</v>
      </c>
      <c r="NYN417" s="247" t="str">
        <f>BS!$E$5</f>
        <v>31 March 2025</v>
      </c>
      <c r="NYO417" s="1717"/>
      <c r="NYP417" s="1718"/>
      <c r="NYQ417" s="1718"/>
      <c r="NYR417" s="1718"/>
      <c r="NYS417" s="1718"/>
      <c r="NYT417" s="246"/>
      <c r="NYU417" s="246" t="str">
        <f>BS!$D$5</f>
        <v>31 March 2026</v>
      </c>
      <c r="NYV417" s="247" t="str">
        <f>BS!$E$5</f>
        <v>31 March 2025</v>
      </c>
      <c r="NYW417" s="1717"/>
      <c r="NYX417" s="1718"/>
      <c r="NYY417" s="1718"/>
      <c r="NYZ417" s="1718"/>
      <c r="NZA417" s="1718"/>
      <c r="NZB417" s="246"/>
      <c r="NZC417" s="246" t="str">
        <f>BS!$D$5</f>
        <v>31 March 2026</v>
      </c>
      <c r="NZD417" s="247" t="str">
        <f>BS!$E$5</f>
        <v>31 March 2025</v>
      </c>
      <c r="NZE417" s="1717"/>
      <c r="NZF417" s="1718"/>
      <c r="NZG417" s="1718"/>
      <c r="NZH417" s="1718"/>
      <c r="NZI417" s="1718"/>
      <c r="NZJ417" s="246"/>
      <c r="NZK417" s="246" t="str">
        <f>BS!$D$5</f>
        <v>31 March 2026</v>
      </c>
      <c r="NZL417" s="247" t="str">
        <f>BS!$E$5</f>
        <v>31 March 2025</v>
      </c>
      <c r="NZM417" s="1717"/>
      <c r="NZN417" s="1718"/>
      <c r="NZO417" s="1718"/>
      <c r="NZP417" s="1718"/>
      <c r="NZQ417" s="1718"/>
      <c r="NZR417" s="246"/>
      <c r="NZS417" s="246" t="str">
        <f>BS!$D$5</f>
        <v>31 March 2026</v>
      </c>
      <c r="NZT417" s="247" t="str">
        <f>BS!$E$5</f>
        <v>31 March 2025</v>
      </c>
      <c r="NZU417" s="1717"/>
      <c r="NZV417" s="1718"/>
      <c r="NZW417" s="1718"/>
      <c r="NZX417" s="1718"/>
      <c r="NZY417" s="1718"/>
      <c r="NZZ417" s="246"/>
      <c r="OAA417" s="246" t="str">
        <f>BS!$D$5</f>
        <v>31 March 2026</v>
      </c>
      <c r="OAB417" s="247" t="str">
        <f>BS!$E$5</f>
        <v>31 March 2025</v>
      </c>
      <c r="OAC417" s="1717"/>
      <c r="OAD417" s="1718"/>
      <c r="OAE417" s="1718"/>
      <c r="OAF417" s="1718"/>
      <c r="OAG417" s="1718"/>
      <c r="OAH417" s="246"/>
      <c r="OAI417" s="246" t="str">
        <f>BS!$D$5</f>
        <v>31 March 2026</v>
      </c>
      <c r="OAJ417" s="247" t="str">
        <f>BS!$E$5</f>
        <v>31 March 2025</v>
      </c>
      <c r="OAK417" s="1717"/>
      <c r="OAL417" s="1718"/>
      <c r="OAM417" s="1718"/>
      <c r="OAN417" s="1718"/>
      <c r="OAO417" s="1718"/>
      <c r="OAP417" s="246"/>
      <c r="OAQ417" s="246" t="str">
        <f>BS!$D$5</f>
        <v>31 March 2026</v>
      </c>
      <c r="OAR417" s="247" t="str">
        <f>BS!$E$5</f>
        <v>31 March 2025</v>
      </c>
      <c r="OAS417" s="1717"/>
      <c r="OAT417" s="1718"/>
      <c r="OAU417" s="1718"/>
      <c r="OAV417" s="1718"/>
      <c r="OAW417" s="1718"/>
      <c r="OAX417" s="246"/>
      <c r="OAY417" s="246" t="str">
        <f>BS!$D$5</f>
        <v>31 March 2026</v>
      </c>
      <c r="OAZ417" s="247" t="str">
        <f>BS!$E$5</f>
        <v>31 March 2025</v>
      </c>
      <c r="OBA417" s="1717"/>
      <c r="OBB417" s="1718"/>
      <c r="OBC417" s="1718"/>
      <c r="OBD417" s="1718"/>
      <c r="OBE417" s="1718"/>
      <c r="OBF417" s="246"/>
      <c r="OBG417" s="246" t="str">
        <f>BS!$D$5</f>
        <v>31 March 2026</v>
      </c>
      <c r="OBH417" s="247" t="str">
        <f>BS!$E$5</f>
        <v>31 March 2025</v>
      </c>
      <c r="OBI417" s="1717"/>
      <c r="OBJ417" s="1718"/>
      <c r="OBK417" s="1718"/>
      <c r="OBL417" s="1718"/>
      <c r="OBM417" s="1718"/>
      <c r="OBN417" s="246"/>
      <c r="OBO417" s="246" t="str">
        <f>BS!$D$5</f>
        <v>31 March 2026</v>
      </c>
      <c r="OBP417" s="247" t="str">
        <f>BS!$E$5</f>
        <v>31 March 2025</v>
      </c>
      <c r="OBQ417" s="1717"/>
      <c r="OBR417" s="1718"/>
      <c r="OBS417" s="1718"/>
      <c r="OBT417" s="1718"/>
      <c r="OBU417" s="1718"/>
      <c r="OBV417" s="246"/>
      <c r="OBW417" s="246" t="str">
        <f>BS!$D$5</f>
        <v>31 March 2026</v>
      </c>
      <c r="OBX417" s="247" t="str">
        <f>BS!$E$5</f>
        <v>31 March 2025</v>
      </c>
      <c r="OBY417" s="1717"/>
      <c r="OBZ417" s="1718"/>
      <c r="OCA417" s="1718"/>
      <c r="OCB417" s="1718"/>
      <c r="OCC417" s="1718"/>
      <c r="OCD417" s="246"/>
      <c r="OCE417" s="246" t="str">
        <f>BS!$D$5</f>
        <v>31 March 2026</v>
      </c>
      <c r="OCF417" s="247" t="str">
        <f>BS!$E$5</f>
        <v>31 March 2025</v>
      </c>
      <c r="OCG417" s="1717"/>
      <c r="OCH417" s="1718"/>
      <c r="OCI417" s="1718"/>
      <c r="OCJ417" s="1718"/>
      <c r="OCK417" s="1718"/>
      <c r="OCL417" s="246"/>
      <c r="OCM417" s="246" t="str">
        <f>BS!$D$5</f>
        <v>31 March 2026</v>
      </c>
      <c r="OCN417" s="247" t="str">
        <f>BS!$E$5</f>
        <v>31 March 2025</v>
      </c>
      <c r="OCO417" s="1717"/>
      <c r="OCP417" s="1718"/>
      <c r="OCQ417" s="1718"/>
      <c r="OCR417" s="1718"/>
      <c r="OCS417" s="1718"/>
      <c r="OCT417" s="246"/>
      <c r="OCU417" s="246" t="str">
        <f>BS!$D$5</f>
        <v>31 March 2026</v>
      </c>
      <c r="OCV417" s="247" t="str">
        <f>BS!$E$5</f>
        <v>31 March 2025</v>
      </c>
      <c r="OCW417" s="1717"/>
      <c r="OCX417" s="1718"/>
      <c r="OCY417" s="1718"/>
      <c r="OCZ417" s="1718"/>
      <c r="ODA417" s="1718"/>
      <c r="ODB417" s="246"/>
      <c r="ODC417" s="246" t="str">
        <f>BS!$D$5</f>
        <v>31 March 2026</v>
      </c>
      <c r="ODD417" s="247" t="str">
        <f>BS!$E$5</f>
        <v>31 March 2025</v>
      </c>
      <c r="ODE417" s="1717"/>
      <c r="ODF417" s="1718"/>
      <c r="ODG417" s="1718"/>
      <c r="ODH417" s="1718"/>
      <c r="ODI417" s="1718"/>
      <c r="ODJ417" s="246"/>
      <c r="ODK417" s="246" t="str">
        <f>BS!$D$5</f>
        <v>31 March 2026</v>
      </c>
      <c r="ODL417" s="247" t="str">
        <f>BS!$E$5</f>
        <v>31 March 2025</v>
      </c>
      <c r="ODM417" s="1717"/>
      <c r="ODN417" s="1718"/>
      <c r="ODO417" s="1718"/>
      <c r="ODP417" s="1718"/>
      <c r="ODQ417" s="1718"/>
      <c r="ODR417" s="246"/>
      <c r="ODS417" s="246" t="str">
        <f>BS!$D$5</f>
        <v>31 March 2026</v>
      </c>
      <c r="ODT417" s="247" t="str">
        <f>BS!$E$5</f>
        <v>31 March 2025</v>
      </c>
      <c r="ODU417" s="1717"/>
      <c r="ODV417" s="1718"/>
      <c r="ODW417" s="1718"/>
      <c r="ODX417" s="1718"/>
      <c r="ODY417" s="1718"/>
      <c r="ODZ417" s="246"/>
      <c r="OEA417" s="246" t="str">
        <f>BS!$D$5</f>
        <v>31 March 2026</v>
      </c>
      <c r="OEB417" s="247" t="str">
        <f>BS!$E$5</f>
        <v>31 March 2025</v>
      </c>
      <c r="OEC417" s="1717"/>
      <c r="OED417" s="1718"/>
      <c r="OEE417" s="1718"/>
      <c r="OEF417" s="1718"/>
      <c r="OEG417" s="1718"/>
      <c r="OEH417" s="246"/>
      <c r="OEI417" s="246" t="str">
        <f>BS!$D$5</f>
        <v>31 March 2026</v>
      </c>
      <c r="OEJ417" s="247" t="str">
        <f>BS!$E$5</f>
        <v>31 March 2025</v>
      </c>
      <c r="OEK417" s="1717"/>
      <c r="OEL417" s="1718"/>
      <c r="OEM417" s="1718"/>
      <c r="OEN417" s="1718"/>
      <c r="OEO417" s="1718"/>
      <c r="OEP417" s="246"/>
      <c r="OEQ417" s="246" t="str">
        <f>BS!$D$5</f>
        <v>31 March 2026</v>
      </c>
      <c r="OER417" s="247" t="str">
        <f>BS!$E$5</f>
        <v>31 March 2025</v>
      </c>
      <c r="OES417" s="1717"/>
      <c r="OET417" s="1718"/>
      <c r="OEU417" s="1718"/>
      <c r="OEV417" s="1718"/>
      <c r="OEW417" s="1718"/>
      <c r="OEX417" s="246"/>
      <c r="OEY417" s="246" t="str">
        <f>BS!$D$5</f>
        <v>31 March 2026</v>
      </c>
      <c r="OEZ417" s="247" t="str">
        <f>BS!$E$5</f>
        <v>31 March 2025</v>
      </c>
      <c r="OFA417" s="1717"/>
      <c r="OFB417" s="1718"/>
      <c r="OFC417" s="1718"/>
      <c r="OFD417" s="1718"/>
      <c r="OFE417" s="1718"/>
      <c r="OFF417" s="246"/>
      <c r="OFG417" s="246" t="str">
        <f>BS!$D$5</f>
        <v>31 March 2026</v>
      </c>
      <c r="OFH417" s="247" t="str">
        <f>BS!$E$5</f>
        <v>31 March 2025</v>
      </c>
      <c r="OFI417" s="1717"/>
      <c r="OFJ417" s="1718"/>
      <c r="OFK417" s="1718"/>
      <c r="OFL417" s="1718"/>
      <c r="OFM417" s="1718"/>
      <c r="OFN417" s="246"/>
      <c r="OFO417" s="246" t="str">
        <f>BS!$D$5</f>
        <v>31 March 2026</v>
      </c>
      <c r="OFP417" s="247" t="str">
        <f>BS!$E$5</f>
        <v>31 March 2025</v>
      </c>
      <c r="OFQ417" s="1717"/>
      <c r="OFR417" s="1718"/>
      <c r="OFS417" s="1718"/>
      <c r="OFT417" s="1718"/>
      <c r="OFU417" s="1718"/>
      <c r="OFV417" s="246"/>
      <c r="OFW417" s="246" t="str">
        <f>BS!$D$5</f>
        <v>31 March 2026</v>
      </c>
      <c r="OFX417" s="247" t="str">
        <f>BS!$E$5</f>
        <v>31 March 2025</v>
      </c>
      <c r="OFY417" s="1717"/>
      <c r="OFZ417" s="1718"/>
      <c r="OGA417" s="1718"/>
      <c r="OGB417" s="1718"/>
      <c r="OGC417" s="1718"/>
      <c r="OGD417" s="246"/>
      <c r="OGE417" s="246" t="str">
        <f>BS!$D$5</f>
        <v>31 March 2026</v>
      </c>
      <c r="OGF417" s="247" t="str">
        <f>BS!$E$5</f>
        <v>31 March 2025</v>
      </c>
      <c r="OGG417" s="1717"/>
      <c r="OGH417" s="1718"/>
      <c r="OGI417" s="1718"/>
      <c r="OGJ417" s="1718"/>
      <c r="OGK417" s="1718"/>
      <c r="OGL417" s="246"/>
      <c r="OGM417" s="246" t="str">
        <f>BS!$D$5</f>
        <v>31 March 2026</v>
      </c>
      <c r="OGN417" s="247" t="str">
        <f>BS!$E$5</f>
        <v>31 March 2025</v>
      </c>
      <c r="OGO417" s="1717"/>
      <c r="OGP417" s="1718"/>
      <c r="OGQ417" s="1718"/>
      <c r="OGR417" s="1718"/>
      <c r="OGS417" s="1718"/>
      <c r="OGT417" s="246"/>
      <c r="OGU417" s="246" t="str">
        <f>BS!$D$5</f>
        <v>31 March 2026</v>
      </c>
      <c r="OGV417" s="247" t="str">
        <f>BS!$E$5</f>
        <v>31 March 2025</v>
      </c>
      <c r="OGW417" s="1717"/>
      <c r="OGX417" s="1718"/>
      <c r="OGY417" s="1718"/>
      <c r="OGZ417" s="1718"/>
      <c r="OHA417" s="1718"/>
      <c r="OHB417" s="246"/>
      <c r="OHC417" s="246" t="str">
        <f>BS!$D$5</f>
        <v>31 March 2026</v>
      </c>
      <c r="OHD417" s="247" t="str">
        <f>BS!$E$5</f>
        <v>31 March 2025</v>
      </c>
      <c r="OHE417" s="1717"/>
      <c r="OHF417" s="1718"/>
      <c r="OHG417" s="1718"/>
      <c r="OHH417" s="1718"/>
      <c r="OHI417" s="1718"/>
      <c r="OHJ417" s="246"/>
      <c r="OHK417" s="246" t="str">
        <f>BS!$D$5</f>
        <v>31 March 2026</v>
      </c>
      <c r="OHL417" s="247" t="str">
        <f>BS!$E$5</f>
        <v>31 March 2025</v>
      </c>
      <c r="OHM417" s="1717"/>
      <c r="OHN417" s="1718"/>
      <c r="OHO417" s="1718"/>
      <c r="OHP417" s="1718"/>
      <c r="OHQ417" s="1718"/>
      <c r="OHR417" s="246"/>
      <c r="OHS417" s="246" t="str">
        <f>BS!$D$5</f>
        <v>31 March 2026</v>
      </c>
      <c r="OHT417" s="247" t="str">
        <f>BS!$E$5</f>
        <v>31 March 2025</v>
      </c>
      <c r="OHU417" s="1717"/>
      <c r="OHV417" s="1718"/>
      <c r="OHW417" s="1718"/>
      <c r="OHX417" s="1718"/>
      <c r="OHY417" s="1718"/>
      <c r="OHZ417" s="246"/>
      <c r="OIA417" s="246" t="str">
        <f>BS!$D$5</f>
        <v>31 March 2026</v>
      </c>
      <c r="OIB417" s="247" t="str">
        <f>BS!$E$5</f>
        <v>31 March 2025</v>
      </c>
      <c r="OIC417" s="1717"/>
      <c r="OID417" s="1718"/>
      <c r="OIE417" s="1718"/>
      <c r="OIF417" s="1718"/>
      <c r="OIG417" s="1718"/>
      <c r="OIH417" s="246"/>
      <c r="OII417" s="246" t="str">
        <f>BS!$D$5</f>
        <v>31 March 2026</v>
      </c>
      <c r="OIJ417" s="247" t="str">
        <f>BS!$E$5</f>
        <v>31 March 2025</v>
      </c>
      <c r="OIK417" s="1717"/>
      <c r="OIL417" s="1718"/>
      <c r="OIM417" s="1718"/>
      <c r="OIN417" s="1718"/>
      <c r="OIO417" s="1718"/>
      <c r="OIP417" s="246"/>
      <c r="OIQ417" s="246" t="str">
        <f>BS!$D$5</f>
        <v>31 March 2026</v>
      </c>
      <c r="OIR417" s="247" t="str">
        <f>BS!$E$5</f>
        <v>31 March 2025</v>
      </c>
      <c r="OIS417" s="1717"/>
      <c r="OIT417" s="1718"/>
      <c r="OIU417" s="1718"/>
      <c r="OIV417" s="1718"/>
      <c r="OIW417" s="1718"/>
      <c r="OIX417" s="246"/>
      <c r="OIY417" s="246" t="str">
        <f>BS!$D$5</f>
        <v>31 March 2026</v>
      </c>
      <c r="OIZ417" s="247" t="str">
        <f>BS!$E$5</f>
        <v>31 March 2025</v>
      </c>
      <c r="OJA417" s="1717"/>
      <c r="OJB417" s="1718"/>
      <c r="OJC417" s="1718"/>
      <c r="OJD417" s="1718"/>
      <c r="OJE417" s="1718"/>
      <c r="OJF417" s="246"/>
      <c r="OJG417" s="246" t="str">
        <f>BS!$D$5</f>
        <v>31 March 2026</v>
      </c>
      <c r="OJH417" s="247" t="str">
        <f>BS!$E$5</f>
        <v>31 March 2025</v>
      </c>
      <c r="OJI417" s="1717"/>
      <c r="OJJ417" s="1718"/>
      <c r="OJK417" s="1718"/>
      <c r="OJL417" s="1718"/>
      <c r="OJM417" s="1718"/>
      <c r="OJN417" s="246"/>
      <c r="OJO417" s="246" t="str">
        <f>BS!$D$5</f>
        <v>31 March 2026</v>
      </c>
      <c r="OJP417" s="247" t="str">
        <f>BS!$E$5</f>
        <v>31 March 2025</v>
      </c>
      <c r="OJQ417" s="1717"/>
      <c r="OJR417" s="1718"/>
      <c r="OJS417" s="1718"/>
      <c r="OJT417" s="1718"/>
      <c r="OJU417" s="1718"/>
      <c r="OJV417" s="246"/>
      <c r="OJW417" s="246" t="str">
        <f>BS!$D$5</f>
        <v>31 March 2026</v>
      </c>
      <c r="OJX417" s="247" t="str">
        <f>BS!$E$5</f>
        <v>31 March 2025</v>
      </c>
      <c r="OJY417" s="1717"/>
      <c r="OJZ417" s="1718"/>
      <c r="OKA417" s="1718"/>
      <c r="OKB417" s="1718"/>
      <c r="OKC417" s="1718"/>
      <c r="OKD417" s="246"/>
      <c r="OKE417" s="246" t="str">
        <f>BS!$D$5</f>
        <v>31 March 2026</v>
      </c>
      <c r="OKF417" s="247" t="str">
        <f>BS!$E$5</f>
        <v>31 March 2025</v>
      </c>
      <c r="OKG417" s="1717"/>
      <c r="OKH417" s="1718"/>
      <c r="OKI417" s="1718"/>
      <c r="OKJ417" s="1718"/>
      <c r="OKK417" s="1718"/>
      <c r="OKL417" s="246"/>
      <c r="OKM417" s="246" t="str">
        <f>BS!$D$5</f>
        <v>31 March 2026</v>
      </c>
      <c r="OKN417" s="247" t="str">
        <f>BS!$E$5</f>
        <v>31 March 2025</v>
      </c>
      <c r="OKO417" s="1717"/>
      <c r="OKP417" s="1718"/>
      <c r="OKQ417" s="1718"/>
      <c r="OKR417" s="1718"/>
      <c r="OKS417" s="1718"/>
      <c r="OKT417" s="246"/>
      <c r="OKU417" s="246" t="str">
        <f>BS!$D$5</f>
        <v>31 March 2026</v>
      </c>
      <c r="OKV417" s="247" t="str">
        <f>BS!$E$5</f>
        <v>31 March 2025</v>
      </c>
      <c r="OKW417" s="1717"/>
      <c r="OKX417" s="1718"/>
      <c r="OKY417" s="1718"/>
      <c r="OKZ417" s="1718"/>
      <c r="OLA417" s="1718"/>
      <c r="OLB417" s="246"/>
      <c r="OLC417" s="246" t="str">
        <f>BS!$D$5</f>
        <v>31 March 2026</v>
      </c>
      <c r="OLD417" s="247" t="str">
        <f>BS!$E$5</f>
        <v>31 March 2025</v>
      </c>
      <c r="OLE417" s="1717"/>
      <c r="OLF417" s="1718"/>
      <c r="OLG417" s="1718"/>
      <c r="OLH417" s="1718"/>
      <c r="OLI417" s="1718"/>
      <c r="OLJ417" s="246"/>
      <c r="OLK417" s="246" t="str">
        <f>BS!$D$5</f>
        <v>31 March 2026</v>
      </c>
      <c r="OLL417" s="247" t="str">
        <f>BS!$E$5</f>
        <v>31 March 2025</v>
      </c>
      <c r="OLM417" s="1717"/>
      <c r="OLN417" s="1718"/>
      <c r="OLO417" s="1718"/>
      <c r="OLP417" s="1718"/>
      <c r="OLQ417" s="1718"/>
      <c r="OLR417" s="246"/>
      <c r="OLS417" s="246" t="str">
        <f>BS!$D$5</f>
        <v>31 March 2026</v>
      </c>
      <c r="OLT417" s="247" t="str">
        <f>BS!$E$5</f>
        <v>31 March 2025</v>
      </c>
      <c r="OLU417" s="1717"/>
      <c r="OLV417" s="1718"/>
      <c r="OLW417" s="1718"/>
      <c r="OLX417" s="1718"/>
      <c r="OLY417" s="1718"/>
      <c r="OLZ417" s="246"/>
      <c r="OMA417" s="246" t="str">
        <f>BS!$D$5</f>
        <v>31 March 2026</v>
      </c>
      <c r="OMB417" s="247" t="str">
        <f>BS!$E$5</f>
        <v>31 March 2025</v>
      </c>
      <c r="OMC417" s="1717"/>
      <c r="OMD417" s="1718"/>
      <c r="OME417" s="1718"/>
      <c r="OMF417" s="1718"/>
      <c r="OMG417" s="1718"/>
      <c r="OMH417" s="246"/>
      <c r="OMI417" s="246" t="str">
        <f>BS!$D$5</f>
        <v>31 March 2026</v>
      </c>
      <c r="OMJ417" s="247" t="str">
        <f>BS!$E$5</f>
        <v>31 March 2025</v>
      </c>
      <c r="OMK417" s="1717"/>
      <c r="OML417" s="1718"/>
      <c r="OMM417" s="1718"/>
      <c r="OMN417" s="1718"/>
      <c r="OMO417" s="1718"/>
      <c r="OMP417" s="246"/>
      <c r="OMQ417" s="246" t="str">
        <f>BS!$D$5</f>
        <v>31 March 2026</v>
      </c>
      <c r="OMR417" s="247" t="str">
        <f>BS!$E$5</f>
        <v>31 March 2025</v>
      </c>
      <c r="OMS417" s="1717"/>
      <c r="OMT417" s="1718"/>
      <c r="OMU417" s="1718"/>
      <c r="OMV417" s="1718"/>
      <c r="OMW417" s="1718"/>
      <c r="OMX417" s="246"/>
      <c r="OMY417" s="246" t="str">
        <f>BS!$D$5</f>
        <v>31 March 2026</v>
      </c>
      <c r="OMZ417" s="247" t="str">
        <f>BS!$E$5</f>
        <v>31 March 2025</v>
      </c>
      <c r="ONA417" s="1717"/>
      <c r="ONB417" s="1718"/>
      <c r="ONC417" s="1718"/>
      <c r="OND417" s="1718"/>
      <c r="ONE417" s="1718"/>
      <c r="ONF417" s="246"/>
      <c r="ONG417" s="246" t="str">
        <f>BS!$D$5</f>
        <v>31 March 2026</v>
      </c>
      <c r="ONH417" s="247" t="str">
        <f>BS!$E$5</f>
        <v>31 March 2025</v>
      </c>
      <c r="ONI417" s="1717"/>
      <c r="ONJ417" s="1718"/>
      <c r="ONK417" s="1718"/>
      <c r="ONL417" s="1718"/>
      <c r="ONM417" s="1718"/>
      <c r="ONN417" s="246"/>
      <c r="ONO417" s="246" t="str">
        <f>BS!$D$5</f>
        <v>31 March 2026</v>
      </c>
      <c r="ONP417" s="247" t="str">
        <f>BS!$E$5</f>
        <v>31 March 2025</v>
      </c>
      <c r="ONQ417" s="1717"/>
      <c r="ONR417" s="1718"/>
      <c r="ONS417" s="1718"/>
      <c r="ONT417" s="1718"/>
      <c r="ONU417" s="1718"/>
      <c r="ONV417" s="246"/>
      <c r="ONW417" s="246" t="str">
        <f>BS!$D$5</f>
        <v>31 March 2026</v>
      </c>
      <c r="ONX417" s="247" t="str">
        <f>BS!$E$5</f>
        <v>31 March 2025</v>
      </c>
      <c r="ONY417" s="1717"/>
      <c r="ONZ417" s="1718"/>
      <c r="OOA417" s="1718"/>
      <c r="OOB417" s="1718"/>
      <c r="OOC417" s="1718"/>
      <c r="OOD417" s="246"/>
      <c r="OOE417" s="246" t="str">
        <f>BS!$D$5</f>
        <v>31 March 2026</v>
      </c>
      <c r="OOF417" s="247" t="str">
        <f>BS!$E$5</f>
        <v>31 March 2025</v>
      </c>
      <c r="OOG417" s="1717"/>
      <c r="OOH417" s="1718"/>
      <c r="OOI417" s="1718"/>
      <c r="OOJ417" s="1718"/>
      <c r="OOK417" s="1718"/>
      <c r="OOL417" s="246"/>
      <c r="OOM417" s="246" t="str">
        <f>BS!$D$5</f>
        <v>31 March 2026</v>
      </c>
      <c r="OON417" s="247" t="str">
        <f>BS!$E$5</f>
        <v>31 March 2025</v>
      </c>
      <c r="OOO417" s="1717"/>
      <c r="OOP417" s="1718"/>
      <c r="OOQ417" s="1718"/>
      <c r="OOR417" s="1718"/>
      <c r="OOS417" s="1718"/>
      <c r="OOT417" s="246"/>
      <c r="OOU417" s="246" t="str">
        <f>BS!$D$5</f>
        <v>31 March 2026</v>
      </c>
      <c r="OOV417" s="247" t="str">
        <f>BS!$E$5</f>
        <v>31 March 2025</v>
      </c>
      <c r="OOW417" s="1717"/>
      <c r="OOX417" s="1718"/>
      <c r="OOY417" s="1718"/>
      <c r="OOZ417" s="1718"/>
      <c r="OPA417" s="1718"/>
      <c r="OPB417" s="246"/>
      <c r="OPC417" s="246" t="str">
        <f>BS!$D$5</f>
        <v>31 March 2026</v>
      </c>
      <c r="OPD417" s="247" t="str">
        <f>BS!$E$5</f>
        <v>31 March 2025</v>
      </c>
      <c r="OPE417" s="1717"/>
      <c r="OPF417" s="1718"/>
      <c r="OPG417" s="1718"/>
      <c r="OPH417" s="1718"/>
      <c r="OPI417" s="1718"/>
      <c r="OPJ417" s="246"/>
      <c r="OPK417" s="246" t="str">
        <f>BS!$D$5</f>
        <v>31 March 2026</v>
      </c>
      <c r="OPL417" s="247" t="str">
        <f>BS!$E$5</f>
        <v>31 March 2025</v>
      </c>
      <c r="OPM417" s="1717"/>
      <c r="OPN417" s="1718"/>
      <c r="OPO417" s="1718"/>
      <c r="OPP417" s="1718"/>
      <c r="OPQ417" s="1718"/>
      <c r="OPR417" s="246"/>
      <c r="OPS417" s="246" t="str">
        <f>BS!$D$5</f>
        <v>31 March 2026</v>
      </c>
      <c r="OPT417" s="247" t="str">
        <f>BS!$E$5</f>
        <v>31 March 2025</v>
      </c>
      <c r="OPU417" s="1717"/>
      <c r="OPV417" s="1718"/>
      <c r="OPW417" s="1718"/>
      <c r="OPX417" s="1718"/>
      <c r="OPY417" s="1718"/>
      <c r="OPZ417" s="246"/>
      <c r="OQA417" s="246" t="str">
        <f>BS!$D$5</f>
        <v>31 March 2026</v>
      </c>
      <c r="OQB417" s="247" t="str">
        <f>BS!$E$5</f>
        <v>31 March 2025</v>
      </c>
      <c r="OQC417" s="1717"/>
      <c r="OQD417" s="1718"/>
      <c r="OQE417" s="1718"/>
      <c r="OQF417" s="1718"/>
      <c r="OQG417" s="1718"/>
      <c r="OQH417" s="246"/>
      <c r="OQI417" s="246" t="str">
        <f>BS!$D$5</f>
        <v>31 March 2026</v>
      </c>
      <c r="OQJ417" s="247" t="str">
        <f>BS!$E$5</f>
        <v>31 March 2025</v>
      </c>
      <c r="OQK417" s="1717"/>
      <c r="OQL417" s="1718"/>
      <c r="OQM417" s="1718"/>
      <c r="OQN417" s="1718"/>
      <c r="OQO417" s="1718"/>
      <c r="OQP417" s="246"/>
      <c r="OQQ417" s="246" t="str">
        <f>BS!$D$5</f>
        <v>31 March 2026</v>
      </c>
      <c r="OQR417" s="247" t="str">
        <f>BS!$E$5</f>
        <v>31 March 2025</v>
      </c>
      <c r="OQS417" s="1717"/>
      <c r="OQT417" s="1718"/>
      <c r="OQU417" s="1718"/>
      <c r="OQV417" s="1718"/>
      <c r="OQW417" s="1718"/>
      <c r="OQX417" s="246"/>
      <c r="OQY417" s="246" t="str">
        <f>BS!$D$5</f>
        <v>31 March 2026</v>
      </c>
      <c r="OQZ417" s="247" t="str">
        <f>BS!$E$5</f>
        <v>31 March 2025</v>
      </c>
      <c r="ORA417" s="1717"/>
      <c r="ORB417" s="1718"/>
      <c r="ORC417" s="1718"/>
      <c r="ORD417" s="1718"/>
      <c r="ORE417" s="1718"/>
      <c r="ORF417" s="246"/>
      <c r="ORG417" s="246" t="str">
        <f>BS!$D$5</f>
        <v>31 March 2026</v>
      </c>
      <c r="ORH417" s="247" t="str">
        <f>BS!$E$5</f>
        <v>31 March 2025</v>
      </c>
      <c r="ORI417" s="1717"/>
      <c r="ORJ417" s="1718"/>
      <c r="ORK417" s="1718"/>
      <c r="ORL417" s="1718"/>
      <c r="ORM417" s="1718"/>
      <c r="ORN417" s="246"/>
      <c r="ORO417" s="246" t="str">
        <f>BS!$D$5</f>
        <v>31 March 2026</v>
      </c>
      <c r="ORP417" s="247" t="str">
        <f>BS!$E$5</f>
        <v>31 March 2025</v>
      </c>
      <c r="ORQ417" s="1717"/>
      <c r="ORR417" s="1718"/>
      <c r="ORS417" s="1718"/>
      <c r="ORT417" s="1718"/>
      <c r="ORU417" s="1718"/>
      <c r="ORV417" s="246"/>
      <c r="ORW417" s="246" t="str">
        <f>BS!$D$5</f>
        <v>31 March 2026</v>
      </c>
      <c r="ORX417" s="247" t="str">
        <f>BS!$E$5</f>
        <v>31 March 2025</v>
      </c>
      <c r="ORY417" s="1717"/>
      <c r="ORZ417" s="1718"/>
      <c r="OSA417" s="1718"/>
      <c r="OSB417" s="1718"/>
      <c r="OSC417" s="1718"/>
      <c r="OSD417" s="246"/>
      <c r="OSE417" s="246" t="str">
        <f>BS!$D$5</f>
        <v>31 March 2026</v>
      </c>
      <c r="OSF417" s="247" t="str">
        <f>BS!$E$5</f>
        <v>31 March 2025</v>
      </c>
      <c r="OSG417" s="1717"/>
      <c r="OSH417" s="1718"/>
      <c r="OSI417" s="1718"/>
      <c r="OSJ417" s="1718"/>
      <c r="OSK417" s="1718"/>
      <c r="OSL417" s="246"/>
      <c r="OSM417" s="246" t="str">
        <f>BS!$D$5</f>
        <v>31 March 2026</v>
      </c>
      <c r="OSN417" s="247" t="str">
        <f>BS!$E$5</f>
        <v>31 March 2025</v>
      </c>
      <c r="OSO417" s="1717"/>
      <c r="OSP417" s="1718"/>
      <c r="OSQ417" s="1718"/>
      <c r="OSR417" s="1718"/>
      <c r="OSS417" s="1718"/>
      <c r="OST417" s="246"/>
      <c r="OSU417" s="246" t="str">
        <f>BS!$D$5</f>
        <v>31 March 2026</v>
      </c>
      <c r="OSV417" s="247" t="str">
        <f>BS!$E$5</f>
        <v>31 March 2025</v>
      </c>
      <c r="OSW417" s="1717"/>
      <c r="OSX417" s="1718"/>
      <c r="OSY417" s="1718"/>
      <c r="OSZ417" s="1718"/>
      <c r="OTA417" s="1718"/>
      <c r="OTB417" s="246"/>
      <c r="OTC417" s="246" t="str">
        <f>BS!$D$5</f>
        <v>31 March 2026</v>
      </c>
      <c r="OTD417" s="247" t="str">
        <f>BS!$E$5</f>
        <v>31 March 2025</v>
      </c>
      <c r="OTE417" s="1717"/>
      <c r="OTF417" s="1718"/>
      <c r="OTG417" s="1718"/>
      <c r="OTH417" s="1718"/>
      <c r="OTI417" s="1718"/>
      <c r="OTJ417" s="246"/>
      <c r="OTK417" s="246" t="str">
        <f>BS!$D$5</f>
        <v>31 March 2026</v>
      </c>
      <c r="OTL417" s="247" t="str">
        <f>BS!$E$5</f>
        <v>31 March 2025</v>
      </c>
      <c r="OTM417" s="1717"/>
      <c r="OTN417" s="1718"/>
      <c r="OTO417" s="1718"/>
      <c r="OTP417" s="1718"/>
      <c r="OTQ417" s="1718"/>
      <c r="OTR417" s="246"/>
      <c r="OTS417" s="246" t="str">
        <f>BS!$D$5</f>
        <v>31 March 2026</v>
      </c>
      <c r="OTT417" s="247" t="str">
        <f>BS!$E$5</f>
        <v>31 March 2025</v>
      </c>
      <c r="OTU417" s="1717"/>
      <c r="OTV417" s="1718"/>
      <c r="OTW417" s="1718"/>
      <c r="OTX417" s="1718"/>
      <c r="OTY417" s="1718"/>
      <c r="OTZ417" s="246"/>
      <c r="OUA417" s="246" t="str">
        <f>BS!$D$5</f>
        <v>31 March 2026</v>
      </c>
      <c r="OUB417" s="247" t="str">
        <f>BS!$E$5</f>
        <v>31 March 2025</v>
      </c>
      <c r="OUC417" s="1717"/>
      <c r="OUD417" s="1718"/>
      <c r="OUE417" s="1718"/>
      <c r="OUF417" s="1718"/>
      <c r="OUG417" s="1718"/>
      <c r="OUH417" s="246"/>
      <c r="OUI417" s="246" t="str">
        <f>BS!$D$5</f>
        <v>31 March 2026</v>
      </c>
      <c r="OUJ417" s="247" t="str">
        <f>BS!$E$5</f>
        <v>31 March 2025</v>
      </c>
      <c r="OUK417" s="1717"/>
      <c r="OUL417" s="1718"/>
      <c r="OUM417" s="1718"/>
      <c r="OUN417" s="1718"/>
      <c r="OUO417" s="1718"/>
      <c r="OUP417" s="246"/>
      <c r="OUQ417" s="246" t="str">
        <f>BS!$D$5</f>
        <v>31 March 2026</v>
      </c>
      <c r="OUR417" s="247" t="str">
        <f>BS!$E$5</f>
        <v>31 March 2025</v>
      </c>
      <c r="OUS417" s="1717"/>
      <c r="OUT417" s="1718"/>
      <c r="OUU417" s="1718"/>
      <c r="OUV417" s="1718"/>
      <c r="OUW417" s="1718"/>
      <c r="OUX417" s="246"/>
      <c r="OUY417" s="246" t="str">
        <f>BS!$D$5</f>
        <v>31 March 2026</v>
      </c>
      <c r="OUZ417" s="247" t="str">
        <f>BS!$E$5</f>
        <v>31 March 2025</v>
      </c>
      <c r="OVA417" s="1717"/>
      <c r="OVB417" s="1718"/>
      <c r="OVC417" s="1718"/>
      <c r="OVD417" s="1718"/>
      <c r="OVE417" s="1718"/>
      <c r="OVF417" s="246"/>
      <c r="OVG417" s="246" t="str">
        <f>BS!$D$5</f>
        <v>31 March 2026</v>
      </c>
      <c r="OVH417" s="247" t="str">
        <f>BS!$E$5</f>
        <v>31 March 2025</v>
      </c>
      <c r="OVI417" s="1717"/>
      <c r="OVJ417" s="1718"/>
      <c r="OVK417" s="1718"/>
      <c r="OVL417" s="1718"/>
      <c r="OVM417" s="1718"/>
      <c r="OVN417" s="246"/>
      <c r="OVO417" s="246" t="str">
        <f>BS!$D$5</f>
        <v>31 March 2026</v>
      </c>
      <c r="OVP417" s="247" t="str">
        <f>BS!$E$5</f>
        <v>31 March 2025</v>
      </c>
      <c r="OVQ417" s="1717"/>
      <c r="OVR417" s="1718"/>
      <c r="OVS417" s="1718"/>
      <c r="OVT417" s="1718"/>
      <c r="OVU417" s="1718"/>
      <c r="OVV417" s="246"/>
      <c r="OVW417" s="246" t="str">
        <f>BS!$D$5</f>
        <v>31 March 2026</v>
      </c>
      <c r="OVX417" s="247" t="str">
        <f>BS!$E$5</f>
        <v>31 March 2025</v>
      </c>
      <c r="OVY417" s="1717"/>
      <c r="OVZ417" s="1718"/>
      <c r="OWA417" s="1718"/>
      <c r="OWB417" s="1718"/>
      <c r="OWC417" s="1718"/>
      <c r="OWD417" s="246"/>
      <c r="OWE417" s="246" t="str">
        <f>BS!$D$5</f>
        <v>31 March 2026</v>
      </c>
      <c r="OWF417" s="247" t="str">
        <f>BS!$E$5</f>
        <v>31 March 2025</v>
      </c>
      <c r="OWG417" s="1717"/>
      <c r="OWH417" s="1718"/>
      <c r="OWI417" s="1718"/>
      <c r="OWJ417" s="1718"/>
      <c r="OWK417" s="1718"/>
      <c r="OWL417" s="246"/>
      <c r="OWM417" s="246" t="str">
        <f>BS!$D$5</f>
        <v>31 March 2026</v>
      </c>
      <c r="OWN417" s="247" t="str">
        <f>BS!$E$5</f>
        <v>31 March 2025</v>
      </c>
      <c r="OWO417" s="1717"/>
      <c r="OWP417" s="1718"/>
      <c r="OWQ417" s="1718"/>
      <c r="OWR417" s="1718"/>
      <c r="OWS417" s="1718"/>
      <c r="OWT417" s="246"/>
      <c r="OWU417" s="246" t="str">
        <f>BS!$D$5</f>
        <v>31 March 2026</v>
      </c>
      <c r="OWV417" s="247" t="str">
        <f>BS!$E$5</f>
        <v>31 March 2025</v>
      </c>
      <c r="OWW417" s="1717"/>
      <c r="OWX417" s="1718"/>
      <c r="OWY417" s="1718"/>
      <c r="OWZ417" s="1718"/>
      <c r="OXA417" s="1718"/>
      <c r="OXB417" s="246"/>
      <c r="OXC417" s="246" t="str">
        <f>BS!$D$5</f>
        <v>31 March 2026</v>
      </c>
      <c r="OXD417" s="247" t="str">
        <f>BS!$E$5</f>
        <v>31 March 2025</v>
      </c>
      <c r="OXE417" s="1717"/>
      <c r="OXF417" s="1718"/>
      <c r="OXG417" s="1718"/>
      <c r="OXH417" s="1718"/>
      <c r="OXI417" s="1718"/>
      <c r="OXJ417" s="246"/>
      <c r="OXK417" s="246" t="str">
        <f>BS!$D$5</f>
        <v>31 March 2026</v>
      </c>
      <c r="OXL417" s="247" t="str">
        <f>BS!$E$5</f>
        <v>31 March 2025</v>
      </c>
      <c r="OXM417" s="1717"/>
      <c r="OXN417" s="1718"/>
      <c r="OXO417" s="1718"/>
      <c r="OXP417" s="1718"/>
      <c r="OXQ417" s="1718"/>
      <c r="OXR417" s="246"/>
      <c r="OXS417" s="246" t="str">
        <f>BS!$D$5</f>
        <v>31 March 2026</v>
      </c>
      <c r="OXT417" s="247" t="str">
        <f>BS!$E$5</f>
        <v>31 March 2025</v>
      </c>
      <c r="OXU417" s="1717"/>
      <c r="OXV417" s="1718"/>
      <c r="OXW417" s="1718"/>
      <c r="OXX417" s="1718"/>
      <c r="OXY417" s="1718"/>
      <c r="OXZ417" s="246"/>
      <c r="OYA417" s="246" t="str">
        <f>BS!$D$5</f>
        <v>31 March 2026</v>
      </c>
      <c r="OYB417" s="247" t="str">
        <f>BS!$E$5</f>
        <v>31 March 2025</v>
      </c>
      <c r="OYC417" s="1717"/>
      <c r="OYD417" s="1718"/>
      <c r="OYE417" s="1718"/>
      <c r="OYF417" s="1718"/>
      <c r="OYG417" s="1718"/>
      <c r="OYH417" s="246"/>
      <c r="OYI417" s="246" t="str">
        <f>BS!$D$5</f>
        <v>31 March 2026</v>
      </c>
      <c r="OYJ417" s="247" t="str">
        <f>BS!$E$5</f>
        <v>31 March 2025</v>
      </c>
      <c r="OYK417" s="1717"/>
      <c r="OYL417" s="1718"/>
      <c r="OYM417" s="1718"/>
      <c r="OYN417" s="1718"/>
      <c r="OYO417" s="1718"/>
      <c r="OYP417" s="246"/>
      <c r="OYQ417" s="246" t="str">
        <f>BS!$D$5</f>
        <v>31 March 2026</v>
      </c>
      <c r="OYR417" s="247" t="str">
        <f>BS!$E$5</f>
        <v>31 March 2025</v>
      </c>
      <c r="OYS417" s="1717"/>
      <c r="OYT417" s="1718"/>
      <c r="OYU417" s="1718"/>
      <c r="OYV417" s="1718"/>
      <c r="OYW417" s="1718"/>
      <c r="OYX417" s="246"/>
      <c r="OYY417" s="246" t="str">
        <f>BS!$D$5</f>
        <v>31 March 2026</v>
      </c>
      <c r="OYZ417" s="247" t="str">
        <f>BS!$E$5</f>
        <v>31 March 2025</v>
      </c>
      <c r="OZA417" s="1717"/>
      <c r="OZB417" s="1718"/>
      <c r="OZC417" s="1718"/>
      <c r="OZD417" s="1718"/>
      <c r="OZE417" s="1718"/>
      <c r="OZF417" s="246"/>
      <c r="OZG417" s="246" t="str">
        <f>BS!$D$5</f>
        <v>31 March 2026</v>
      </c>
      <c r="OZH417" s="247" t="str">
        <f>BS!$E$5</f>
        <v>31 March 2025</v>
      </c>
      <c r="OZI417" s="1717"/>
      <c r="OZJ417" s="1718"/>
      <c r="OZK417" s="1718"/>
      <c r="OZL417" s="1718"/>
      <c r="OZM417" s="1718"/>
      <c r="OZN417" s="246"/>
      <c r="OZO417" s="246" t="str">
        <f>BS!$D$5</f>
        <v>31 March 2026</v>
      </c>
      <c r="OZP417" s="247" t="str">
        <f>BS!$E$5</f>
        <v>31 March 2025</v>
      </c>
      <c r="OZQ417" s="1717"/>
      <c r="OZR417" s="1718"/>
      <c r="OZS417" s="1718"/>
      <c r="OZT417" s="1718"/>
      <c r="OZU417" s="1718"/>
      <c r="OZV417" s="246"/>
      <c r="OZW417" s="246" t="str">
        <f>BS!$D$5</f>
        <v>31 March 2026</v>
      </c>
      <c r="OZX417" s="247" t="str">
        <f>BS!$E$5</f>
        <v>31 March 2025</v>
      </c>
      <c r="OZY417" s="1717"/>
      <c r="OZZ417" s="1718"/>
      <c r="PAA417" s="1718"/>
      <c r="PAB417" s="1718"/>
      <c r="PAC417" s="1718"/>
      <c r="PAD417" s="246"/>
      <c r="PAE417" s="246" t="str">
        <f>BS!$D$5</f>
        <v>31 March 2026</v>
      </c>
      <c r="PAF417" s="247" t="str">
        <f>BS!$E$5</f>
        <v>31 March 2025</v>
      </c>
      <c r="PAG417" s="1717"/>
      <c r="PAH417" s="1718"/>
      <c r="PAI417" s="1718"/>
      <c r="PAJ417" s="1718"/>
      <c r="PAK417" s="1718"/>
      <c r="PAL417" s="246"/>
      <c r="PAM417" s="246" t="str">
        <f>BS!$D$5</f>
        <v>31 March 2026</v>
      </c>
      <c r="PAN417" s="247" t="str">
        <f>BS!$E$5</f>
        <v>31 March 2025</v>
      </c>
      <c r="PAO417" s="1717"/>
      <c r="PAP417" s="1718"/>
      <c r="PAQ417" s="1718"/>
      <c r="PAR417" s="1718"/>
      <c r="PAS417" s="1718"/>
      <c r="PAT417" s="246"/>
      <c r="PAU417" s="246" t="str">
        <f>BS!$D$5</f>
        <v>31 March 2026</v>
      </c>
      <c r="PAV417" s="247" t="str">
        <f>BS!$E$5</f>
        <v>31 March 2025</v>
      </c>
      <c r="PAW417" s="1717"/>
      <c r="PAX417" s="1718"/>
      <c r="PAY417" s="1718"/>
      <c r="PAZ417" s="1718"/>
      <c r="PBA417" s="1718"/>
      <c r="PBB417" s="246"/>
      <c r="PBC417" s="246" t="str">
        <f>BS!$D$5</f>
        <v>31 March 2026</v>
      </c>
      <c r="PBD417" s="247" t="str">
        <f>BS!$E$5</f>
        <v>31 March 2025</v>
      </c>
      <c r="PBE417" s="1717"/>
      <c r="PBF417" s="1718"/>
      <c r="PBG417" s="1718"/>
      <c r="PBH417" s="1718"/>
      <c r="PBI417" s="1718"/>
      <c r="PBJ417" s="246"/>
      <c r="PBK417" s="246" t="str">
        <f>BS!$D$5</f>
        <v>31 March 2026</v>
      </c>
      <c r="PBL417" s="247" t="str">
        <f>BS!$E$5</f>
        <v>31 March 2025</v>
      </c>
      <c r="PBM417" s="1717"/>
      <c r="PBN417" s="1718"/>
      <c r="PBO417" s="1718"/>
      <c r="PBP417" s="1718"/>
      <c r="PBQ417" s="1718"/>
      <c r="PBR417" s="246"/>
      <c r="PBS417" s="246" t="str">
        <f>BS!$D$5</f>
        <v>31 March 2026</v>
      </c>
      <c r="PBT417" s="247" t="str">
        <f>BS!$E$5</f>
        <v>31 March 2025</v>
      </c>
      <c r="PBU417" s="1717"/>
      <c r="PBV417" s="1718"/>
      <c r="PBW417" s="1718"/>
      <c r="PBX417" s="1718"/>
      <c r="PBY417" s="1718"/>
      <c r="PBZ417" s="246"/>
      <c r="PCA417" s="246" t="str">
        <f>BS!$D$5</f>
        <v>31 March 2026</v>
      </c>
      <c r="PCB417" s="247" t="str">
        <f>BS!$E$5</f>
        <v>31 March 2025</v>
      </c>
      <c r="PCC417" s="1717"/>
      <c r="PCD417" s="1718"/>
      <c r="PCE417" s="1718"/>
      <c r="PCF417" s="1718"/>
      <c r="PCG417" s="1718"/>
      <c r="PCH417" s="246"/>
      <c r="PCI417" s="246" t="str">
        <f>BS!$D$5</f>
        <v>31 March 2026</v>
      </c>
      <c r="PCJ417" s="247" t="str">
        <f>BS!$E$5</f>
        <v>31 March 2025</v>
      </c>
      <c r="PCK417" s="1717"/>
      <c r="PCL417" s="1718"/>
      <c r="PCM417" s="1718"/>
      <c r="PCN417" s="1718"/>
      <c r="PCO417" s="1718"/>
      <c r="PCP417" s="246"/>
      <c r="PCQ417" s="246" t="str">
        <f>BS!$D$5</f>
        <v>31 March 2026</v>
      </c>
      <c r="PCR417" s="247" t="str">
        <f>BS!$E$5</f>
        <v>31 March 2025</v>
      </c>
      <c r="PCS417" s="1717"/>
      <c r="PCT417" s="1718"/>
      <c r="PCU417" s="1718"/>
      <c r="PCV417" s="1718"/>
      <c r="PCW417" s="1718"/>
      <c r="PCX417" s="246"/>
      <c r="PCY417" s="246" t="str">
        <f>BS!$D$5</f>
        <v>31 March 2026</v>
      </c>
      <c r="PCZ417" s="247" t="str">
        <f>BS!$E$5</f>
        <v>31 March 2025</v>
      </c>
      <c r="PDA417" s="1717"/>
      <c r="PDB417" s="1718"/>
      <c r="PDC417" s="1718"/>
      <c r="PDD417" s="1718"/>
      <c r="PDE417" s="1718"/>
      <c r="PDF417" s="246"/>
      <c r="PDG417" s="246" t="str">
        <f>BS!$D$5</f>
        <v>31 March 2026</v>
      </c>
      <c r="PDH417" s="247" t="str">
        <f>BS!$E$5</f>
        <v>31 March 2025</v>
      </c>
      <c r="PDI417" s="1717"/>
      <c r="PDJ417" s="1718"/>
      <c r="PDK417" s="1718"/>
      <c r="PDL417" s="1718"/>
      <c r="PDM417" s="1718"/>
      <c r="PDN417" s="246"/>
      <c r="PDO417" s="246" t="str">
        <f>BS!$D$5</f>
        <v>31 March 2026</v>
      </c>
      <c r="PDP417" s="247" t="str">
        <f>BS!$E$5</f>
        <v>31 March 2025</v>
      </c>
      <c r="PDQ417" s="1717"/>
      <c r="PDR417" s="1718"/>
      <c r="PDS417" s="1718"/>
      <c r="PDT417" s="1718"/>
      <c r="PDU417" s="1718"/>
      <c r="PDV417" s="246"/>
      <c r="PDW417" s="246" t="str">
        <f>BS!$D$5</f>
        <v>31 March 2026</v>
      </c>
      <c r="PDX417" s="247" t="str">
        <f>BS!$E$5</f>
        <v>31 March 2025</v>
      </c>
      <c r="PDY417" s="1717"/>
      <c r="PDZ417" s="1718"/>
      <c r="PEA417" s="1718"/>
      <c r="PEB417" s="1718"/>
      <c r="PEC417" s="1718"/>
      <c r="PED417" s="246"/>
      <c r="PEE417" s="246" t="str">
        <f>BS!$D$5</f>
        <v>31 March 2026</v>
      </c>
      <c r="PEF417" s="247" t="str">
        <f>BS!$E$5</f>
        <v>31 March 2025</v>
      </c>
      <c r="PEG417" s="1717"/>
      <c r="PEH417" s="1718"/>
      <c r="PEI417" s="1718"/>
      <c r="PEJ417" s="1718"/>
      <c r="PEK417" s="1718"/>
      <c r="PEL417" s="246"/>
      <c r="PEM417" s="246" t="str">
        <f>BS!$D$5</f>
        <v>31 March 2026</v>
      </c>
      <c r="PEN417" s="247" t="str">
        <f>BS!$E$5</f>
        <v>31 March 2025</v>
      </c>
      <c r="PEO417" s="1717"/>
      <c r="PEP417" s="1718"/>
      <c r="PEQ417" s="1718"/>
      <c r="PER417" s="1718"/>
      <c r="PES417" s="1718"/>
      <c r="PET417" s="246"/>
      <c r="PEU417" s="246" t="str">
        <f>BS!$D$5</f>
        <v>31 March 2026</v>
      </c>
      <c r="PEV417" s="247" t="str">
        <f>BS!$E$5</f>
        <v>31 March 2025</v>
      </c>
      <c r="PEW417" s="1717"/>
      <c r="PEX417" s="1718"/>
      <c r="PEY417" s="1718"/>
      <c r="PEZ417" s="1718"/>
      <c r="PFA417" s="1718"/>
      <c r="PFB417" s="246"/>
      <c r="PFC417" s="246" t="str">
        <f>BS!$D$5</f>
        <v>31 March 2026</v>
      </c>
      <c r="PFD417" s="247" t="str">
        <f>BS!$E$5</f>
        <v>31 March 2025</v>
      </c>
      <c r="PFE417" s="1717"/>
      <c r="PFF417" s="1718"/>
      <c r="PFG417" s="1718"/>
      <c r="PFH417" s="1718"/>
      <c r="PFI417" s="1718"/>
      <c r="PFJ417" s="246"/>
      <c r="PFK417" s="246" t="str">
        <f>BS!$D$5</f>
        <v>31 March 2026</v>
      </c>
      <c r="PFL417" s="247" t="str">
        <f>BS!$E$5</f>
        <v>31 March 2025</v>
      </c>
      <c r="PFM417" s="1717"/>
      <c r="PFN417" s="1718"/>
      <c r="PFO417" s="1718"/>
      <c r="PFP417" s="1718"/>
      <c r="PFQ417" s="1718"/>
      <c r="PFR417" s="246"/>
      <c r="PFS417" s="246" t="str">
        <f>BS!$D$5</f>
        <v>31 March 2026</v>
      </c>
      <c r="PFT417" s="247" t="str">
        <f>BS!$E$5</f>
        <v>31 March 2025</v>
      </c>
      <c r="PFU417" s="1717"/>
      <c r="PFV417" s="1718"/>
      <c r="PFW417" s="1718"/>
      <c r="PFX417" s="1718"/>
      <c r="PFY417" s="1718"/>
      <c r="PFZ417" s="246"/>
      <c r="PGA417" s="246" t="str">
        <f>BS!$D$5</f>
        <v>31 March 2026</v>
      </c>
      <c r="PGB417" s="247" t="str">
        <f>BS!$E$5</f>
        <v>31 March 2025</v>
      </c>
      <c r="PGC417" s="1717"/>
      <c r="PGD417" s="1718"/>
      <c r="PGE417" s="1718"/>
      <c r="PGF417" s="1718"/>
      <c r="PGG417" s="1718"/>
      <c r="PGH417" s="246"/>
      <c r="PGI417" s="246" t="str">
        <f>BS!$D$5</f>
        <v>31 March 2026</v>
      </c>
      <c r="PGJ417" s="247" t="str">
        <f>BS!$E$5</f>
        <v>31 March 2025</v>
      </c>
      <c r="PGK417" s="1717"/>
      <c r="PGL417" s="1718"/>
      <c r="PGM417" s="1718"/>
      <c r="PGN417" s="1718"/>
      <c r="PGO417" s="1718"/>
      <c r="PGP417" s="246"/>
      <c r="PGQ417" s="246" t="str">
        <f>BS!$D$5</f>
        <v>31 March 2026</v>
      </c>
      <c r="PGR417" s="247" t="str">
        <f>BS!$E$5</f>
        <v>31 March 2025</v>
      </c>
      <c r="PGS417" s="1717"/>
      <c r="PGT417" s="1718"/>
      <c r="PGU417" s="1718"/>
      <c r="PGV417" s="1718"/>
      <c r="PGW417" s="1718"/>
      <c r="PGX417" s="246"/>
      <c r="PGY417" s="246" t="str">
        <f>BS!$D$5</f>
        <v>31 March 2026</v>
      </c>
      <c r="PGZ417" s="247" t="str">
        <f>BS!$E$5</f>
        <v>31 March 2025</v>
      </c>
      <c r="PHA417" s="1717"/>
      <c r="PHB417" s="1718"/>
      <c r="PHC417" s="1718"/>
      <c r="PHD417" s="1718"/>
      <c r="PHE417" s="1718"/>
      <c r="PHF417" s="246"/>
      <c r="PHG417" s="246" t="str">
        <f>BS!$D$5</f>
        <v>31 March 2026</v>
      </c>
      <c r="PHH417" s="247" t="str">
        <f>BS!$E$5</f>
        <v>31 March 2025</v>
      </c>
      <c r="PHI417" s="1717"/>
      <c r="PHJ417" s="1718"/>
      <c r="PHK417" s="1718"/>
      <c r="PHL417" s="1718"/>
      <c r="PHM417" s="1718"/>
      <c r="PHN417" s="246"/>
      <c r="PHO417" s="246" t="str">
        <f>BS!$D$5</f>
        <v>31 March 2026</v>
      </c>
      <c r="PHP417" s="247" t="str">
        <f>BS!$E$5</f>
        <v>31 March 2025</v>
      </c>
      <c r="PHQ417" s="1717"/>
      <c r="PHR417" s="1718"/>
      <c r="PHS417" s="1718"/>
      <c r="PHT417" s="1718"/>
      <c r="PHU417" s="1718"/>
      <c r="PHV417" s="246"/>
      <c r="PHW417" s="246" t="str">
        <f>BS!$D$5</f>
        <v>31 March 2026</v>
      </c>
      <c r="PHX417" s="247" t="str">
        <f>BS!$E$5</f>
        <v>31 March 2025</v>
      </c>
      <c r="PHY417" s="1717"/>
      <c r="PHZ417" s="1718"/>
      <c r="PIA417" s="1718"/>
      <c r="PIB417" s="1718"/>
      <c r="PIC417" s="1718"/>
      <c r="PID417" s="246"/>
      <c r="PIE417" s="246" t="str">
        <f>BS!$D$5</f>
        <v>31 March 2026</v>
      </c>
      <c r="PIF417" s="247" t="str">
        <f>BS!$E$5</f>
        <v>31 March 2025</v>
      </c>
      <c r="PIG417" s="1717"/>
      <c r="PIH417" s="1718"/>
      <c r="PII417" s="1718"/>
      <c r="PIJ417" s="1718"/>
      <c r="PIK417" s="1718"/>
      <c r="PIL417" s="246"/>
      <c r="PIM417" s="246" t="str">
        <f>BS!$D$5</f>
        <v>31 March 2026</v>
      </c>
      <c r="PIN417" s="247" t="str">
        <f>BS!$E$5</f>
        <v>31 March 2025</v>
      </c>
      <c r="PIO417" s="1717"/>
      <c r="PIP417" s="1718"/>
      <c r="PIQ417" s="1718"/>
      <c r="PIR417" s="1718"/>
      <c r="PIS417" s="1718"/>
      <c r="PIT417" s="246"/>
      <c r="PIU417" s="246" t="str">
        <f>BS!$D$5</f>
        <v>31 March 2026</v>
      </c>
      <c r="PIV417" s="247" t="str">
        <f>BS!$E$5</f>
        <v>31 March 2025</v>
      </c>
      <c r="PIW417" s="1717"/>
      <c r="PIX417" s="1718"/>
      <c r="PIY417" s="1718"/>
      <c r="PIZ417" s="1718"/>
      <c r="PJA417" s="1718"/>
      <c r="PJB417" s="246"/>
      <c r="PJC417" s="246" t="str">
        <f>BS!$D$5</f>
        <v>31 March 2026</v>
      </c>
      <c r="PJD417" s="247" t="str">
        <f>BS!$E$5</f>
        <v>31 March 2025</v>
      </c>
      <c r="PJE417" s="1717"/>
      <c r="PJF417" s="1718"/>
      <c r="PJG417" s="1718"/>
      <c r="PJH417" s="1718"/>
      <c r="PJI417" s="1718"/>
      <c r="PJJ417" s="246"/>
      <c r="PJK417" s="246" t="str">
        <f>BS!$D$5</f>
        <v>31 March 2026</v>
      </c>
      <c r="PJL417" s="247" t="str">
        <f>BS!$E$5</f>
        <v>31 March 2025</v>
      </c>
      <c r="PJM417" s="1717"/>
      <c r="PJN417" s="1718"/>
      <c r="PJO417" s="1718"/>
      <c r="PJP417" s="1718"/>
      <c r="PJQ417" s="1718"/>
      <c r="PJR417" s="246"/>
      <c r="PJS417" s="246" t="str">
        <f>BS!$D$5</f>
        <v>31 March 2026</v>
      </c>
      <c r="PJT417" s="247" t="str">
        <f>BS!$E$5</f>
        <v>31 March 2025</v>
      </c>
      <c r="PJU417" s="1717"/>
      <c r="PJV417" s="1718"/>
      <c r="PJW417" s="1718"/>
      <c r="PJX417" s="1718"/>
      <c r="PJY417" s="1718"/>
      <c r="PJZ417" s="246"/>
      <c r="PKA417" s="246" t="str">
        <f>BS!$D$5</f>
        <v>31 March 2026</v>
      </c>
      <c r="PKB417" s="247" t="str">
        <f>BS!$E$5</f>
        <v>31 March 2025</v>
      </c>
      <c r="PKC417" s="1717"/>
      <c r="PKD417" s="1718"/>
      <c r="PKE417" s="1718"/>
      <c r="PKF417" s="1718"/>
      <c r="PKG417" s="1718"/>
      <c r="PKH417" s="246"/>
      <c r="PKI417" s="246" t="str">
        <f>BS!$D$5</f>
        <v>31 March 2026</v>
      </c>
      <c r="PKJ417" s="247" t="str">
        <f>BS!$E$5</f>
        <v>31 March 2025</v>
      </c>
      <c r="PKK417" s="1717"/>
      <c r="PKL417" s="1718"/>
      <c r="PKM417" s="1718"/>
      <c r="PKN417" s="1718"/>
      <c r="PKO417" s="1718"/>
      <c r="PKP417" s="246"/>
      <c r="PKQ417" s="246" t="str">
        <f>BS!$D$5</f>
        <v>31 March 2026</v>
      </c>
      <c r="PKR417" s="247" t="str">
        <f>BS!$E$5</f>
        <v>31 March 2025</v>
      </c>
      <c r="PKS417" s="1717"/>
      <c r="PKT417" s="1718"/>
      <c r="PKU417" s="1718"/>
      <c r="PKV417" s="1718"/>
      <c r="PKW417" s="1718"/>
      <c r="PKX417" s="246"/>
      <c r="PKY417" s="246" t="str">
        <f>BS!$D$5</f>
        <v>31 March 2026</v>
      </c>
      <c r="PKZ417" s="247" t="str">
        <f>BS!$E$5</f>
        <v>31 March 2025</v>
      </c>
      <c r="PLA417" s="1717"/>
      <c r="PLB417" s="1718"/>
      <c r="PLC417" s="1718"/>
      <c r="PLD417" s="1718"/>
      <c r="PLE417" s="1718"/>
      <c r="PLF417" s="246"/>
      <c r="PLG417" s="246" t="str">
        <f>BS!$D$5</f>
        <v>31 March 2026</v>
      </c>
      <c r="PLH417" s="247" t="str">
        <f>BS!$E$5</f>
        <v>31 March 2025</v>
      </c>
      <c r="PLI417" s="1717"/>
      <c r="PLJ417" s="1718"/>
      <c r="PLK417" s="1718"/>
      <c r="PLL417" s="1718"/>
      <c r="PLM417" s="1718"/>
      <c r="PLN417" s="246"/>
      <c r="PLO417" s="246" t="str">
        <f>BS!$D$5</f>
        <v>31 March 2026</v>
      </c>
      <c r="PLP417" s="247" t="str">
        <f>BS!$E$5</f>
        <v>31 March 2025</v>
      </c>
      <c r="PLQ417" s="1717"/>
      <c r="PLR417" s="1718"/>
      <c r="PLS417" s="1718"/>
      <c r="PLT417" s="1718"/>
      <c r="PLU417" s="1718"/>
      <c r="PLV417" s="246"/>
      <c r="PLW417" s="246" t="str">
        <f>BS!$D$5</f>
        <v>31 March 2026</v>
      </c>
      <c r="PLX417" s="247" t="str">
        <f>BS!$E$5</f>
        <v>31 March 2025</v>
      </c>
      <c r="PLY417" s="1717"/>
      <c r="PLZ417" s="1718"/>
      <c r="PMA417" s="1718"/>
      <c r="PMB417" s="1718"/>
      <c r="PMC417" s="1718"/>
      <c r="PMD417" s="246"/>
      <c r="PME417" s="246" t="str">
        <f>BS!$D$5</f>
        <v>31 March 2026</v>
      </c>
      <c r="PMF417" s="247" t="str">
        <f>BS!$E$5</f>
        <v>31 March 2025</v>
      </c>
      <c r="PMG417" s="1717"/>
      <c r="PMH417" s="1718"/>
      <c r="PMI417" s="1718"/>
      <c r="PMJ417" s="1718"/>
      <c r="PMK417" s="1718"/>
      <c r="PML417" s="246"/>
      <c r="PMM417" s="246" t="str">
        <f>BS!$D$5</f>
        <v>31 March 2026</v>
      </c>
      <c r="PMN417" s="247" t="str">
        <f>BS!$E$5</f>
        <v>31 March 2025</v>
      </c>
      <c r="PMO417" s="1717"/>
      <c r="PMP417" s="1718"/>
      <c r="PMQ417" s="1718"/>
      <c r="PMR417" s="1718"/>
      <c r="PMS417" s="1718"/>
      <c r="PMT417" s="246"/>
      <c r="PMU417" s="246" t="str">
        <f>BS!$D$5</f>
        <v>31 March 2026</v>
      </c>
      <c r="PMV417" s="247" t="str">
        <f>BS!$E$5</f>
        <v>31 March 2025</v>
      </c>
      <c r="PMW417" s="1717"/>
      <c r="PMX417" s="1718"/>
      <c r="PMY417" s="1718"/>
      <c r="PMZ417" s="1718"/>
      <c r="PNA417" s="1718"/>
      <c r="PNB417" s="246"/>
      <c r="PNC417" s="246" t="str">
        <f>BS!$D$5</f>
        <v>31 March 2026</v>
      </c>
      <c r="PND417" s="247" t="str">
        <f>BS!$E$5</f>
        <v>31 March 2025</v>
      </c>
      <c r="PNE417" s="1717"/>
      <c r="PNF417" s="1718"/>
      <c r="PNG417" s="1718"/>
      <c r="PNH417" s="1718"/>
      <c r="PNI417" s="1718"/>
      <c r="PNJ417" s="246"/>
      <c r="PNK417" s="246" t="str">
        <f>BS!$D$5</f>
        <v>31 March 2026</v>
      </c>
      <c r="PNL417" s="247" t="str">
        <f>BS!$E$5</f>
        <v>31 March 2025</v>
      </c>
      <c r="PNM417" s="1717"/>
      <c r="PNN417" s="1718"/>
      <c r="PNO417" s="1718"/>
      <c r="PNP417" s="1718"/>
      <c r="PNQ417" s="1718"/>
      <c r="PNR417" s="246"/>
      <c r="PNS417" s="246" t="str">
        <f>BS!$D$5</f>
        <v>31 March 2026</v>
      </c>
      <c r="PNT417" s="247" t="str">
        <f>BS!$E$5</f>
        <v>31 March 2025</v>
      </c>
      <c r="PNU417" s="1717"/>
      <c r="PNV417" s="1718"/>
      <c r="PNW417" s="1718"/>
      <c r="PNX417" s="1718"/>
      <c r="PNY417" s="1718"/>
      <c r="PNZ417" s="246"/>
      <c r="POA417" s="246" t="str">
        <f>BS!$D$5</f>
        <v>31 March 2026</v>
      </c>
      <c r="POB417" s="247" t="str">
        <f>BS!$E$5</f>
        <v>31 March 2025</v>
      </c>
      <c r="POC417" s="1717"/>
      <c r="POD417" s="1718"/>
      <c r="POE417" s="1718"/>
      <c r="POF417" s="1718"/>
      <c r="POG417" s="1718"/>
      <c r="POH417" s="246"/>
      <c r="POI417" s="246" t="str">
        <f>BS!$D$5</f>
        <v>31 March 2026</v>
      </c>
      <c r="POJ417" s="247" t="str">
        <f>BS!$E$5</f>
        <v>31 March 2025</v>
      </c>
      <c r="POK417" s="1717"/>
      <c r="POL417" s="1718"/>
      <c r="POM417" s="1718"/>
      <c r="PON417" s="1718"/>
      <c r="POO417" s="1718"/>
      <c r="POP417" s="246"/>
      <c r="POQ417" s="246" t="str">
        <f>BS!$D$5</f>
        <v>31 March 2026</v>
      </c>
      <c r="POR417" s="247" t="str">
        <f>BS!$E$5</f>
        <v>31 March 2025</v>
      </c>
      <c r="POS417" s="1717"/>
      <c r="POT417" s="1718"/>
      <c r="POU417" s="1718"/>
      <c r="POV417" s="1718"/>
      <c r="POW417" s="1718"/>
      <c r="POX417" s="246"/>
      <c r="POY417" s="246" t="str">
        <f>BS!$D$5</f>
        <v>31 March 2026</v>
      </c>
      <c r="POZ417" s="247" t="str">
        <f>BS!$E$5</f>
        <v>31 March 2025</v>
      </c>
      <c r="PPA417" s="1717"/>
      <c r="PPB417" s="1718"/>
      <c r="PPC417" s="1718"/>
      <c r="PPD417" s="1718"/>
      <c r="PPE417" s="1718"/>
      <c r="PPF417" s="246"/>
      <c r="PPG417" s="246" t="str">
        <f>BS!$D$5</f>
        <v>31 March 2026</v>
      </c>
      <c r="PPH417" s="247" t="str">
        <f>BS!$E$5</f>
        <v>31 March 2025</v>
      </c>
      <c r="PPI417" s="1717"/>
      <c r="PPJ417" s="1718"/>
      <c r="PPK417" s="1718"/>
      <c r="PPL417" s="1718"/>
      <c r="PPM417" s="1718"/>
      <c r="PPN417" s="246"/>
      <c r="PPO417" s="246" t="str">
        <f>BS!$D$5</f>
        <v>31 March 2026</v>
      </c>
      <c r="PPP417" s="247" t="str">
        <f>BS!$E$5</f>
        <v>31 March 2025</v>
      </c>
      <c r="PPQ417" s="1717"/>
      <c r="PPR417" s="1718"/>
      <c r="PPS417" s="1718"/>
      <c r="PPT417" s="1718"/>
      <c r="PPU417" s="1718"/>
      <c r="PPV417" s="246"/>
      <c r="PPW417" s="246" t="str">
        <f>BS!$D$5</f>
        <v>31 March 2026</v>
      </c>
      <c r="PPX417" s="247" t="str">
        <f>BS!$E$5</f>
        <v>31 March 2025</v>
      </c>
      <c r="PPY417" s="1717"/>
      <c r="PPZ417" s="1718"/>
      <c r="PQA417" s="1718"/>
      <c r="PQB417" s="1718"/>
      <c r="PQC417" s="1718"/>
      <c r="PQD417" s="246"/>
      <c r="PQE417" s="246" t="str">
        <f>BS!$D$5</f>
        <v>31 March 2026</v>
      </c>
      <c r="PQF417" s="247" t="str">
        <f>BS!$E$5</f>
        <v>31 March 2025</v>
      </c>
      <c r="PQG417" s="1717"/>
      <c r="PQH417" s="1718"/>
      <c r="PQI417" s="1718"/>
      <c r="PQJ417" s="1718"/>
      <c r="PQK417" s="1718"/>
      <c r="PQL417" s="246"/>
      <c r="PQM417" s="246" t="str">
        <f>BS!$D$5</f>
        <v>31 March 2026</v>
      </c>
      <c r="PQN417" s="247" t="str">
        <f>BS!$E$5</f>
        <v>31 March 2025</v>
      </c>
      <c r="PQO417" s="1717"/>
      <c r="PQP417" s="1718"/>
      <c r="PQQ417" s="1718"/>
      <c r="PQR417" s="1718"/>
      <c r="PQS417" s="1718"/>
      <c r="PQT417" s="246"/>
      <c r="PQU417" s="246" t="str">
        <f>BS!$D$5</f>
        <v>31 March 2026</v>
      </c>
      <c r="PQV417" s="247" t="str">
        <f>BS!$E$5</f>
        <v>31 March 2025</v>
      </c>
      <c r="PQW417" s="1717"/>
      <c r="PQX417" s="1718"/>
      <c r="PQY417" s="1718"/>
      <c r="PQZ417" s="1718"/>
      <c r="PRA417" s="1718"/>
      <c r="PRB417" s="246"/>
      <c r="PRC417" s="246" t="str">
        <f>BS!$D$5</f>
        <v>31 March 2026</v>
      </c>
      <c r="PRD417" s="247" t="str">
        <f>BS!$E$5</f>
        <v>31 March 2025</v>
      </c>
      <c r="PRE417" s="1717"/>
      <c r="PRF417" s="1718"/>
      <c r="PRG417" s="1718"/>
      <c r="PRH417" s="1718"/>
      <c r="PRI417" s="1718"/>
      <c r="PRJ417" s="246"/>
      <c r="PRK417" s="246" t="str">
        <f>BS!$D$5</f>
        <v>31 March 2026</v>
      </c>
      <c r="PRL417" s="247" t="str">
        <f>BS!$E$5</f>
        <v>31 March 2025</v>
      </c>
      <c r="PRM417" s="1717"/>
      <c r="PRN417" s="1718"/>
      <c r="PRO417" s="1718"/>
      <c r="PRP417" s="1718"/>
      <c r="PRQ417" s="1718"/>
      <c r="PRR417" s="246"/>
      <c r="PRS417" s="246" t="str">
        <f>BS!$D$5</f>
        <v>31 March 2026</v>
      </c>
      <c r="PRT417" s="247" t="str">
        <f>BS!$E$5</f>
        <v>31 March 2025</v>
      </c>
      <c r="PRU417" s="1717"/>
      <c r="PRV417" s="1718"/>
      <c r="PRW417" s="1718"/>
      <c r="PRX417" s="1718"/>
      <c r="PRY417" s="1718"/>
      <c r="PRZ417" s="246"/>
      <c r="PSA417" s="246" t="str">
        <f>BS!$D$5</f>
        <v>31 March 2026</v>
      </c>
      <c r="PSB417" s="247" t="str">
        <f>BS!$E$5</f>
        <v>31 March 2025</v>
      </c>
      <c r="PSC417" s="1717"/>
      <c r="PSD417" s="1718"/>
      <c r="PSE417" s="1718"/>
      <c r="PSF417" s="1718"/>
      <c r="PSG417" s="1718"/>
      <c r="PSH417" s="246"/>
      <c r="PSI417" s="246" t="str">
        <f>BS!$D$5</f>
        <v>31 March 2026</v>
      </c>
      <c r="PSJ417" s="247" t="str">
        <f>BS!$E$5</f>
        <v>31 March 2025</v>
      </c>
      <c r="PSK417" s="1717"/>
      <c r="PSL417" s="1718"/>
      <c r="PSM417" s="1718"/>
      <c r="PSN417" s="1718"/>
      <c r="PSO417" s="1718"/>
      <c r="PSP417" s="246"/>
      <c r="PSQ417" s="246" t="str">
        <f>BS!$D$5</f>
        <v>31 March 2026</v>
      </c>
      <c r="PSR417" s="247" t="str">
        <f>BS!$E$5</f>
        <v>31 March 2025</v>
      </c>
      <c r="PSS417" s="1717"/>
      <c r="PST417" s="1718"/>
      <c r="PSU417" s="1718"/>
      <c r="PSV417" s="1718"/>
      <c r="PSW417" s="1718"/>
      <c r="PSX417" s="246"/>
      <c r="PSY417" s="246" t="str">
        <f>BS!$D$5</f>
        <v>31 March 2026</v>
      </c>
      <c r="PSZ417" s="247" t="str">
        <f>BS!$E$5</f>
        <v>31 March 2025</v>
      </c>
      <c r="PTA417" s="1717"/>
      <c r="PTB417" s="1718"/>
      <c r="PTC417" s="1718"/>
      <c r="PTD417" s="1718"/>
      <c r="PTE417" s="1718"/>
      <c r="PTF417" s="246"/>
      <c r="PTG417" s="246" t="str">
        <f>BS!$D$5</f>
        <v>31 March 2026</v>
      </c>
      <c r="PTH417" s="247" t="str">
        <f>BS!$E$5</f>
        <v>31 March 2025</v>
      </c>
      <c r="PTI417" s="1717"/>
      <c r="PTJ417" s="1718"/>
      <c r="PTK417" s="1718"/>
      <c r="PTL417" s="1718"/>
      <c r="PTM417" s="1718"/>
      <c r="PTN417" s="246"/>
      <c r="PTO417" s="246" t="str">
        <f>BS!$D$5</f>
        <v>31 March 2026</v>
      </c>
      <c r="PTP417" s="247" t="str">
        <f>BS!$E$5</f>
        <v>31 March 2025</v>
      </c>
      <c r="PTQ417" s="1717"/>
      <c r="PTR417" s="1718"/>
      <c r="PTS417" s="1718"/>
      <c r="PTT417" s="1718"/>
      <c r="PTU417" s="1718"/>
      <c r="PTV417" s="246"/>
      <c r="PTW417" s="246" t="str">
        <f>BS!$D$5</f>
        <v>31 March 2026</v>
      </c>
      <c r="PTX417" s="247" t="str">
        <f>BS!$E$5</f>
        <v>31 March 2025</v>
      </c>
      <c r="PTY417" s="1717"/>
      <c r="PTZ417" s="1718"/>
      <c r="PUA417" s="1718"/>
      <c r="PUB417" s="1718"/>
      <c r="PUC417" s="1718"/>
      <c r="PUD417" s="246"/>
      <c r="PUE417" s="246" t="str">
        <f>BS!$D$5</f>
        <v>31 March 2026</v>
      </c>
      <c r="PUF417" s="247" t="str">
        <f>BS!$E$5</f>
        <v>31 March 2025</v>
      </c>
      <c r="PUG417" s="1717"/>
      <c r="PUH417" s="1718"/>
      <c r="PUI417" s="1718"/>
      <c r="PUJ417" s="1718"/>
      <c r="PUK417" s="1718"/>
      <c r="PUL417" s="246"/>
      <c r="PUM417" s="246" t="str">
        <f>BS!$D$5</f>
        <v>31 March 2026</v>
      </c>
      <c r="PUN417" s="247" t="str">
        <f>BS!$E$5</f>
        <v>31 March 2025</v>
      </c>
      <c r="PUO417" s="1717"/>
      <c r="PUP417" s="1718"/>
      <c r="PUQ417" s="1718"/>
      <c r="PUR417" s="1718"/>
      <c r="PUS417" s="1718"/>
      <c r="PUT417" s="246"/>
      <c r="PUU417" s="246" t="str">
        <f>BS!$D$5</f>
        <v>31 March 2026</v>
      </c>
      <c r="PUV417" s="247" t="str">
        <f>BS!$E$5</f>
        <v>31 March 2025</v>
      </c>
      <c r="PUW417" s="1717"/>
      <c r="PUX417" s="1718"/>
      <c r="PUY417" s="1718"/>
      <c r="PUZ417" s="1718"/>
      <c r="PVA417" s="1718"/>
      <c r="PVB417" s="246"/>
      <c r="PVC417" s="246" t="str">
        <f>BS!$D$5</f>
        <v>31 March 2026</v>
      </c>
      <c r="PVD417" s="247" t="str">
        <f>BS!$E$5</f>
        <v>31 March 2025</v>
      </c>
      <c r="PVE417" s="1717"/>
      <c r="PVF417" s="1718"/>
      <c r="PVG417" s="1718"/>
      <c r="PVH417" s="1718"/>
      <c r="PVI417" s="1718"/>
      <c r="PVJ417" s="246"/>
      <c r="PVK417" s="246" t="str">
        <f>BS!$D$5</f>
        <v>31 March 2026</v>
      </c>
      <c r="PVL417" s="247" t="str">
        <f>BS!$E$5</f>
        <v>31 March 2025</v>
      </c>
      <c r="PVM417" s="1717"/>
      <c r="PVN417" s="1718"/>
      <c r="PVO417" s="1718"/>
      <c r="PVP417" s="1718"/>
      <c r="PVQ417" s="1718"/>
      <c r="PVR417" s="246"/>
      <c r="PVS417" s="246" t="str">
        <f>BS!$D$5</f>
        <v>31 March 2026</v>
      </c>
      <c r="PVT417" s="247" t="str">
        <f>BS!$E$5</f>
        <v>31 March 2025</v>
      </c>
      <c r="PVU417" s="1717"/>
      <c r="PVV417" s="1718"/>
      <c r="PVW417" s="1718"/>
      <c r="PVX417" s="1718"/>
      <c r="PVY417" s="1718"/>
      <c r="PVZ417" s="246"/>
      <c r="PWA417" s="246" t="str">
        <f>BS!$D$5</f>
        <v>31 March 2026</v>
      </c>
      <c r="PWB417" s="247" t="str">
        <f>BS!$E$5</f>
        <v>31 March 2025</v>
      </c>
      <c r="PWC417" s="1717"/>
      <c r="PWD417" s="1718"/>
      <c r="PWE417" s="1718"/>
      <c r="PWF417" s="1718"/>
      <c r="PWG417" s="1718"/>
      <c r="PWH417" s="246"/>
      <c r="PWI417" s="246" t="str">
        <f>BS!$D$5</f>
        <v>31 March 2026</v>
      </c>
      <c r="PWJ417" s="247" t="str">
        <f>BS!$E$5</f>
        <v>31 March 2025</v>
      </c>
      <c r="PWK417" s="1717"/>
      <c r="PWL417" s="1718"/>
      <c r="PWM417" s="1718"/>
      <c r="PWN417" s="1718"/>
      <c r="PWO417" s="1718"/>
      <c r="PWP417" s="246"/>
      <c r="PWQ417" s="246" t="str">
        <f>BS!$D$5</f>
        <v>31 March 2026</v>
      </c>
      <c r="PWR417" s="247" t="str">
        <f>BS!$E$5</f>
        <v>31 March 2025</v>
      </c>
      <c r="PWS417" s="1717"/>
      <c r="PWT417" s="1718"/>
      <c r="PWU417" s="1718"/>
      <c r="PWV417" s="1718"/>
      <c r="PWW417" s="1718"/>
      <c r="PWX417" s="246"/>
      <c r="PWY417" s="246" t="str">
        <f>BS!$D$5</f>
        <v>31 March 2026</v>
      </c>
      <c r="PWZ417" s="247" t="str">
        <f>BS!$E$5</f>
        <v>31 March 2025</v>
      </c>
      <c r="PXA417" s="1717"/>
      <c r="PXB417" s="1718"/>
      <c r="PXC417" s="1718"/>
      <c r="PXD417" s="1718"/>
      <c r="PXE417" s="1718"/>
      <c r="PXF417" s="246"/>
      <c r="PXG417" s="246" t="str">
        <f>BS!$D$5</f>
        <v>31 March 2026</v>
      </c>
      <c r="PXH417" s="247" t="str">
        <f>BS!$E$5</f>
        <v>31 March 2025</v>
      </c>
      <c r="PXI417" s="1717"/>
      <c r="PXJ417" s="1718"/>
      <c r="PXK417" s="1718"/>
      <c r="PXL417" s="1718"/>
      <c r="PXM417" s="1718"/>
      <c r="PXN417" s="246"/>
      <c r="PXO417" s="246" t="str">
        <f>BS!$D$5</f>
        <v>31 March 2026</v>
      </c>
      <c r="PXP417" s="247" t="str">
        <f>BS!$E$5</f>
        <v>31 March 2025</v>
      </c>
      <c r="PXQ417" s="1717"/>
      <c r="PXR417" s="1718"/>
      <c r="PXS417" s="1718"/>
      <c r="PXT417" s="1718"/>
      <c r="PXU417" s="1718"/>
      <c r="PXV417" s="246"/>
      <c r="PXW417" s="246" t="str">
        <f>BS!$D$5</f>
        <v>31 March 2026</v>
      </c>
      <c r="PXX417" s="247" t="str">
        <f>BS!$E$5</f>
        <v>31 March 2025</v>
      </c>
      <c r="PXY417" s="1717"/>
      <c r="PXZ417" s="1718"/>
      <c r="PYA417" s="1718"/>
      <c r="PYB417" s="1718"/>
      <c r="PYC417" s="1718"/>
      <c r="PYD417" s="246"/>
      <c r="PYE417" s="246" t="str">
        <f>BS!$D$5</f>
        <v>31 March 2026</v>
      </c>
      <c r="PYF417" s="247" t="str">
        <f>BS!$E$5</f>
        <v>31 March 2025</v>
      </c>
      <c r="PYG417" s="1717"/>
      <c r="PYH417" s="1718"/>
      <c r="PYI417" s="1718"/>
      <c r="PYJ417" s="1718"/>
      <c r="PYK417" s="1718"/>
      <c r="PYL417" s="246"/>
      <c r="PYM417" s="246" t="str">
        <f>BS!$D$5</f>
        <v>31 March 2026</v>
      </c>
      <c r="PYN417" s="247" t="str">
        <f>BS!$E$5</f>
        <v>31 March 2025</v>
      </c>
      <c r="PYO417" s="1717"/>
      <c r="PYP417" s="1718"/>
      <c r="PYQ417" s="1718"/>
      <c r="PYR417" s="1718"/>
      <c r="PYS417" s="1718"/>
      <c r="PYT417" s="246"/>
      <c r="PYU417" s="246" t="str">
        <f>BS!$D$5</f>
        <v>31 March 2026</v>
      </c>
      <c r="PYV417" s="247" t="str">
        <f>BS!$E$5</f>
        <v>31 March 2025</v>
      </c>
      <c r="PYW417" s="1717"/>
      <c r="PYX417" s="1718"/>
      <c r="PYY417" s="1718"/>
      <c r="PYZ417" s="1718"/>
      <c r="PZA417" s="1718"/>
      <c r="PZB417" s="246"/>
      <c r="PZC417" s="246" t="str">
        <f>BS!$D$5</f>
        <v>31 March 2026</v>
      </c>
      <c r="PZD417" s="247" t="str">
        <f>BS!$E$5</f>
        <v>31 March 2025</v>
      </c>
      <c r="PZE417" s="1717"/>
      <c r="PZF417" s="1718"/>
      <c r="PZG417" s="1718"/>
      <c r="PZH417" s="1718"/>
      <c r="PZI417" s="1718"/>
      <c r="PZJ417" s="246"/>
      <c r="PZK417" s="246" t="str">
        <f>BS!$D$5</f>
        <v>31 March 2026</v>
      </c>
      <c r="PZL417" s="247" t="str">
        <f>BS!$E$5</f>
        <v>31 March 2025</v>
      </c>
      <c r="PZM417" s="1717"/>
      <c r="PZN417" s="1718"/>
      <c r="PZO417" s="1718"/>
      <c r="PZP417" s="1718"/>
      <c r="PZQ417" s="1718"/>
      <c r="PZR417" s="246"/>
      <c r="PZS417" s="246" t="str">
        <f>BS!$D$5</f>
        <v>31 March 2026</v>
      </c>
      <c r="PZT417" s="247" t="str">
        <f>BS!$E$5</f>
        <v>31 March 2025</v>
      </c>
      <c r="PZU417" s="1717"/>
      <c r="PZV417" s="1718"/>
      <c r="PZW417" s="1718"/>
      <c r="PZX417" s="1718"/>
      <c r="PZY417" s="1718"/>
      <c r="PZZ417" s="246"/>
      <c r="QAA417" s="246" t="str">
        <f>BS!$D$5</f>
        <v>31 March 2026</v>
      </c>
      <c r="QAB417" s="247" t="str">
        <f>BS!$E$5</f>
        <v>31 March 2025</v>
      </c>
      <c r="QAC417" s="1717"/>
      <c r="QAD417" s="1718"/>
      <c r="QAE417" s="1718"/>
      <c r="QAF417" s="1718"/>
      <c r="QAG417" s="1718"/>
      <c r="QAH417" s="246"/>
      <c r="QAI417" s="246" t="str">
        <f>BS!$D$5</f>
        <v>31 March 2026</v>
      </c>
      <c r="QAJ417" s="247" t="str">
        <f>BS!$E$5</f>
        <v>31 March 2025</v>
      </c>
      <c r="QAK417" s="1717"/>
      <c r="QAL417" s="1718"/>
      <c r="QAM417" s="1718"/>
      <c r="QAN417" s="1718"/>
      <c r="QAO417" s="1718"/>
      <c r="QAP417" s="246"/>
      <c r="QAQ417" s="246" t="str">
        <f>BS!$D$5</f>
        <v>31 March 2026</v>
      </c>
      <c r="QAR417" s="247" t="str">
        <f>BS!$E$5</f>
        <v>31 March 2025</v>
      </c>
      <c r="QAS417" s="1717"/>
      <c r="QAT417" s="1718"/>
      <c r="QAU417" s="1718"/>
      <c r="QAV417" s="1718"/>
      <c r="QAW417" s="1718"/>
      <c r="QAX417" s="246"/>
      <c r="QAY417" s="246" t="str">
        <f>BS!$D$5</f>
        <v>31 March 2026</v>
      </c>
      <c r="QAZ417" s="247" t="str">
        <f>BS!$E$5</f>
        <v>31 March 2025</v>
      </c>
      <c r="QBA417" s="1717"/>
      <c r="QBB417" s="1718"/>
      <c r="QBC417" s="1718"/>
      <c r="QBD417" s="1718"/>
      <c r="QBE417" s="1718"/>
      <c r="QBF417" s="246"/>
      <c r="QBG417" s="246" t="str">
        <f>BS!$D$5</f>
        <v>31 March 2026</v>
      </c>
      <c r="QBH417" s="247" t="str">
        <f>BS!$E$5</f>
        <v>31 March 2025</v>
      </c>
      <c r="QBI417" s="1717"/>
      <c r="QBJ417" s="1718"/>
      <c r="QBK417" s="1718"/>
      <c r="QBL417" s="1718"/>
      <c r="QBM417" s="1718"/>
      <c r="QBN417" s="246"/>
      <c r="QBO417" s="246" t="str">
        <f>BS!$D$5</f>
        <v>31 March 2026</v>
      </c>
      <c r="QBP417" s="247" t="str">
        <f>BS!$E$5</f>
        <v>31 March 2025</v>
      </c>
      <c r="QBQ417" s="1717"/>
      <c r="QBR417" s="1718"/>
      <c r="QBS417" s="1718"/>
      <c r="QBT417" s="1718"/>
      <c r="QBU417" s="1718"/>
      <c r="QBV417" s="246"/>
      <c r="QBW417" s="246" t="str">
        <f>BS!$D$5</f>
        <v>31 March 2026</v>
      </c>
      <c r="QBX417" s="247" t="str">
        <f>BS!$E$5</f>
        <v>31 March 2025</v>
      </c>
      <c r="QBY417" s="1717"/>
      <c r="QBZ417" s="1718"/>
      <c r="QCA417" s="1718"/>
      <c r="QCB417" s="1718"/>
      <c r="QCC417" s="1718"/>
      <c r="QCD417" s="246"/>
      <c r="QCE417" s="246" t="str">
        <f>BS!$D$5</f>
        <v>31 March 2026</v>
      </c>
      <c r="QCF417" s="247" t="str">
        <f>BS!$E$5</f>
        <v>31 March 2025</v>
      </c>
      <c r="QCG417" s="1717"/>
      <c r="QCH417" s="1718"/>
      <c r="QCI417" s="1718"/>
      <c r="QCJ417" s="1718"/>
      <c r="QCK417" s="1718"/>
      <c r="QCL417" s="246"/>
      <c r="QCM417" s="246" t="str">
        <f>BS!$D$5</f>
        <v>31 March 2026</v>
      </c>
      <c r="QCN417" s="247" t="str">
        <f>BS!$E$5</f>
        <v>31 March 2025</v>
      </c>
      <c r="QCO417" s="1717"/>
      <c r="QCP417" s="1718"/>
      <c r="QCQ417" s="1718"/>
      <c r="QCR417" s="1718"/>
      <c r="QCS417" s="1718"/>
      <c r="QCT417" s="246"/>
      <c r="QCU417" s="246" t="str">
        <f>BS!$D$5</f>
        <v>31 March 2026</v>
      </c>
      <c r="QCV417" s="247" t="str">
        <f>BS!$E$5</f>
        <v>31 March 2025</v>
      </c>
      <c r="QCW417" s="1717"/>
      <c r="QCX417" s="1718"/>
      <c r="QCY417" s="1718"/>
      <c r="QCZ417" s="1718"/>
      <c r="QDA417" s="1718"/>
      <c r="QDB417" s="246"/>
      <c r="QDC417" s="246" t="str">
        <f>BS!$D$5</f>
        <v>31 March 2026</v>
      </c>
      <c r="QDD417" s="247" t="str">
        <f>BS!$E$5</f>
        <v>31 March 2025</v>
      </c>
      <c r="QDE417" s="1717"/>
      <c r="QDF417" s="1718"/>
      <c r="QDG417" s="1718"/>
      <c r="QDH417" s="1718"/>
      <c r="QDI417" s="1718"/>
      <c r="QDJ417" s="246"/>
      <c r="QDK417" s="246" t="str">
        <f>BS!$D$5</f>
        <v>31 March 2026</v>
      </c>
      <c r="QDL417" s="247" t="str">
        <f>BS!$E$5</f>
        <v>31 March 2025</v>
      </c>
      <c r="QDM417" s="1717"/>
      <c r="QDN417" s="1718"/>
      <c r="QDO417" s="1718"/>
      <c r="QDP417" s="1718"/>
      <c r="QDQ417" s="1718"/>
      <c r="QDR417" s="246"/>
      <c r="QDS417" s="246" t="str">
        <f>BS!$D$5</f>
        <v>31 March 2026</v>
      </c>
      <c r="QDT417" s="247" t="str">
        <f>BS!$E$5</f>
        <v>31 March 2025</v>
      </c>
      <c r="QDU417" s="1717"/>
      <c r="QDV417" s="1718"/>
      <c r="QDW417" s="1718"/>
      <c r="QDX417" s="1718"/>
      <c r="QDY417" s="1718"/>
      <c r="QDZ417" s="246"/>
      <c r="QEA417" s="246" t="str">
        <f>BS!$D$5</f>
        <v>31 March 2026</v>
      </c>
      <c r="QEB417" s="247" t="str">
        <f>BS!$E$5</f>
        <v>31 March 2025</v>
      </c>
      <c r="QEC417" s="1717"/>
      <c r="QED417" s="1718"/>
      <c r="QEE417" s="1718"/>
      <c r="QEF417" s="1718"/>
      <c r="QEG417" s="1718"/>
      <c r="QEH417" s="246"/>
      <c r="QEI417" s="246" t="str">
        <f>BS!$D$5</f>
        <v>31 March 2026</v>
      </c>
      <c r="QEJ417" s="247" t="str">
        <f>BS!$E$5</f>
        <v>31 March 2025</v>
      </c>
      <c r="QEK417" s="1717"/>
      <c r="QEL417" s="1718"/>
      <c r="QEM417" s="1718"/>
      <c r="QEN417" s="1718"/>
      <c r="QEO417" s="1718"/>
      <c r="QEP417" s="246"/>
      <c r="QEQ417" s="246" t="str">
        <f>BS!$D$5</f>
        <v>31 March 2026</v>
      </c>
      <c r="QER417" s="247" t="str">
        <f>BS!$E$5</f>
        <v>31 March 2025</v>
      </c>
      <c r="QES417" s="1717"/>
      <c r="QET417" s="1718"/>
      <c r="QEU417" s="1718"/>
      <c r="QEV417" s="1718"/>
      <c r="QEW417" s="1718"/>
      <c r="QEX417" s="246"/>
      <c r="QEY417" s="246" t="str">
        <f>BS!$D$5</f>
        <v>31 March 2026</v>
      </c>
      <c r="QEZ417" s="247" t="str">
        <f>BS!$E$5</f>
        <v>31 March 2025</v>
      </c>
      <c r="QFA417" s="1717"/>
      <c r="QFB417" s="1718"/>
      <c r="QFC417" s="1718"/>
      <c r="QFD417" s="1718"/>
      <c r="QFE417" s="1718"/>
      <c r="QFF417" s="246"/>
      <c r="QFG417" s="246" t="str">
        <f>BS!$D$5</f>
        <v>31 March 2026</v>
      </c>
      <c r="QFH417" s="247" t="str">
        <f>BS!$E$5</f>
        <v>31 March 2025</v>
      </c>
      <c r="QFI417" s="1717"/>
      <c r="QFJ417" s="1718"/>
      <c r="QFK417" s="1718"/>
      <c r="QFL417" s="1718"/>
      <c r="QFM417" s="1718"/>
      <c r="QFN417" s="246"/>
      <c r="QFO417" s="246" t="str">
        <f>BS!$D$5</f>
        <v>31 March 2026</v>
      </c>
      <c r="QFP417" s="247" t="str">
        <f>BS!$E$5</f>
        <v>31 March 2025</v>
      </c>
      <c r="QFQ417" s="1717"/>
      <c r="QFR417" s="1718"/>
      <c r="QFS417" s="1718"/>
      <c r="QFT417" s="1718"/>
      <c r="QFU417" s="1718"/>
      <c r="QFV417" s="246"/>
      <c r="QFW417" s="246" t="str">
        <f>BS!$D$5</f>
        <v>31 March 2026</v>
      </c>
      <c r="QFX417" s="247" t="str">
        <f>BS!$E$5</f>
        <v>31 March 2025</v>
      </c>
      <c r="QFY417" s="1717"/>
      <c r="QFZ417" s="1718"/>
      <c r="QGA417" s="1718"/>
      <c r="QGB417" s="1718"/>
      <c r="QGC417" s="1718"/>
      <c r="QGD417" s="246"/>
      <c r="QGE417" s="246" t="str">
        <f>BS!$D$5</f>
        <v>31 March 2026</v>
      </c>
      <c r="QGF417" s="247" t="str">
        <f>BS!$E$5</f>
        <v>31 March 2025</v>
      </c>
      <c r="QGG417" s="1717"/>
      <c r="QGH417" s="1718"/>
      <c r="QGI417" s="1718"/>
      <c r="QGJ417" s="1718"/>
      <c r="QGK417" s="1718"/>
      <c r="QGL417" s="246"/>
      <c r="QGM417" s="246" t="str">
        <f>BS!$D$5</f>
        <v>31 March 2026</v>
      </c>
      <c r="QGN417" s="247" t="str">
        <f>BS!$E$5</f>
        <v>31 March 2025</v>
      </c>
      <c r="QGO417" s="1717"/>
      <c r="QGP417" s="1718"/>
      <c r="QGQ417" s="1718"/>
      <c r="QGR417" s="1718"/>
      <c r="QGS417" s="1718"/>
      <c r="QGT417" s="246"/>
      <c r="QGU417" s="246" t="str">
        <f>BS!$D$5</f>
        <v>31 March 2026</v>
      </c>
      <c r="QGV417" s="247" t="str">
        <f>BS!$E$5</f>
        <v>31 March 2025</v>
      </c>
      <c r="QGW417" s="1717"/>
      <c r="QGX417" s="1718"/>
      <c r="QGY417" s="1718"/>
      <c r="QGZ417" s="1718"/>
      <c r="QHA417" s="1718"/>
      <c r="QHB417" s="246"/>
      <c r="QHC417" s="246" t="str">
        <f>BS!$D$5</f>
        <v>31 March 2026</v>
      </c>
      <c r="QHD417" s="247" t="str">
        <f>BS!$E$5</f>
        <v>31 March 2025</v>
      </c>
      <c r="QHE417" s="1717"/>
      <c r="QHF417" s="1718"/>
      <c r="QHG417" s="1718"/>
      <c r="QHH417" s="1718"/>
      <c r="QHI417" s="1718"/>
      <c r="QHJ417" s="246"/>
      <c r="QHK417" s="246" t="str">
        <f>BS!$D$5</f>
        <v>31 March 2026</v>
      </c>
      <c r="QHL417" s="247" t="str">
        <f>BS!$E$5</f>
        <v>31 March 2025</v>
      </c>
      <c r="QHM417" s="1717"/>
      <c r="QHN417" s="1718"/>
      <c r="QHO417" s="1718"/>
      <c r="QHP417" s="1718"/>
      <c r="QHQ417" s="1718"/>
      <c r="QHR417" s="246"/>
      <c r="QHS417" s="246" t="str">
        <f>BS!$D$5</f>
        <v>31 March 2026</v>
      </c>
      <c r="QHT417" s="247" t="str">
        <f>BS!$E$5</f>
        <v>31 March 2025</v>
      </c>
      <c r="QHU417" s="1717"/>
      <c r="QHV417" s="1718"/>
      <c r="QHW417" s="1718"/>
      <c r="QHX417" s="1718"/>
      <c r="QHY417" s="1718"/>
      <c r="QHZ417" s="246"/>
      <c r="QIA417" s="246" t="str">
        <f>BS!$D$5</f>
        <v>31 March 2026</v>
      </c>
      <c r="QIB417" s="247" t="str">
        <f>BS!$E$5</f>
        <v>31 March 2025</v>
      </c>
      <c r="QIC417" s="1717"/>
      <c r="QID417" s="1718"/>
      <c r="QIE417" s="1718"/>
      <c r="QIF417" s="1718"/>
      <c r="QIG417" s="1718"/>
      <c r="QIH417" s="246"/>
      <c r="QII417" s="246" t="str">
        <f>BS!$D$5</f>
        <v>31 March 2026</v>
      </c>
      <c r="QIJ417" s="247" t="str">
        <f>BS!$E$5</f>
        <v>31 March 2025</v>
      </c>
      <c r="QIK417" s="1717"/>
      <c r="QIL417" s="1718"/>
      <c r="QIM417" s="1718"/>
      <c r="QIN417" s="1718"/>
      <c r="QIO417" s="1718"/>
      <c r="QIP417" s="246"/>
      <c r="QIQ417" s="246" t="str">
        <f>BS!$D$5</f>
        <v>31 March 2026</v>
      </c>
      <c r="QIR417" s="247" t="str">
        <f>BS!$E$5</f>
        <v>31 March 2025</v>
      </c>
      <c r="QIS417" s="1717"/>
      <c r="QIT417" s="1718"/>
      <c r="QIU417" s="1718"/>
      <c r="QIV417" s="1718"/>
      <c r="QIW417" s="1718"/>
      <c r="QIX417" s="246"/>
      <c r="QIY417" s="246" t="str">
        <f>BS!$D$5</f>
        <v>31 March 2026</v>
      </c>
      <c r="QIZ417" s="247" t="str">
        <f>BS!$E$5</f>
        <v>31 March 2025</v>
      </c>
      <c r="QJA417" s="1717"/>
      <c r="QJB417" s="1718"/>
      <c r="QJC417" s="1718"/>
      <c r="QJD417" s="1718"/>
      <c r="QJE417" s="1718"/>
      <c r="QJF417" s="246"/>
      <c r="QJG417" s="246" t="str">
        <f>BS!$D$5</f>
        <v>31 March 2026</v>
      </c>
      <c r="QJH417" s="247" t="str">
        <f>BS!$E$5</f>
        <v>31 March 2025</v>
      </c>
      <c r="QJI417" s="1717"/>
      <c r="QJJ417" s="1718"/>
      <c r="QJK417" s="1718"/>
      <c r="QJL417" s="1718"/>
      <c r="QJM417" s="1718"/>
      <c r="QJN417" s="246"/>
      <c r="QJO417" s="246" t="str">
        <f>BS!$D$5</f>
        <v>31 March 2026</v>
      </c>
      <c r="QJP417" s="247" t="str">
        <f>BS!$E$5</f>
        <v>31 March 2025</v>
      </c>
      <c r="QJQ417" s="1717"/>
      <c r="QJR417" s="1718"/>
      <c r="QJS417" s="1718"/>
      <c r="QJT417" s="1718"/>
      <c r="QJU417" s="1718"/>
      <c r="QJV417" s="246"/>
      <c r="QJW417" s="246" t="str">
        <f>BS!$D$5</f>
        <v>31 March 2026</v>
      </c>
      <c r="QJX417" s="247" t="str">
        <f>BS!$E$5</f>
        <v>31 March 2025</v>
      </c>
      <c r="QJY417" s="1717"/>
      <c r="QJZ417" s="1718"/>
      <c r="QKA417" s="1718"/>
      <c r="QKB417" s="1718"/>
      <c r="QKC417" s="1718"/>
      <c r="QKD417" s="246"/>
      <c r="QKE417" s="246" t="str">
        <f>BS!$D$5</f>
        <v>31 March 2026</v>
      </c>
      <c r="QKF417" s="247" t="str">
        <f>BS!$E$5</f>
        <v>31 March 2025</v>
      </c>
      <c r="QKG417" s="1717"/>
      <c r="QKH417" s="1718"/>
      <c r="QKI417" s="1718"/>
      <c r="QKJ417" s="1718"/>
      <c r="QKK417" s="1718"/>
      <c r="QKL417" s="246"/>
      <c r="QKM417" s="246" t="str">
        <f>BS!$D$5</f>
        <v>31 March 2026</v>
      </c>
      <c r="QKN417" s="247" t="str">
        <f>BS!$E$5</f>
        <v>31 March 2025</v>
      </c>
      <c r="QKO417" s="1717"/>
      <c r="QKP417" s="1718"/>
      <c r="QKQ417" s="1718"/>
      <c r="QKR417" s="1718"/>
      <c r="QKS417" s="1718"/>
      <c r="QKT417" s="246"/>
      <c r="QKU417" s="246" t="str">
        <f>BS!$D$5</f>
        <v>31 March 2026</v>
      </c>
      <c r="QKV417" s="247" t="str">
        <f>BS!$E$5</f>
        <v>31 March 2025</v>
      </c>
      <c r="QKW417" s="1717"/>
      <c r="QKX417" s="1718"/>
      <c r="QKY417" s="1718"/>
      <c r="QKZ417" s="1718"/>
      <c r="QLA417" s="1718"/>
      <c r="QLB417" s="246"/>
      <c r="QLC417" s="246" t="str">
        <f>BS!$D$5</f>
        <v>31 March 2026</v>
      </c>
      <c r="QLD417" s="247" t="str">
        <f>BS!$E$5</f>
        <v>31 March 2025</v>
      </c>
      <c r="QLE417" s="1717"/>
      <c r="QLF417" s="1718"/>
      <c r="QLG417" s="1718"/>
      <c r="QLH417" s="1718"/>
      <c r="QLI417" s="1718"/>
      <c r="QLJ417" s="246"/>
      <c r="QLK417" s="246" t="str">
        <f>BS!$D$5</f>
        <v>31 March 2026</v>
      </c>
      <c r="QLL417" s="247" t="str">
        <f>BS!$E$5</f>
        <v>31 March 2025</v>
      </c>
      <c r="QLM417" s="1717"/>
      <c r="QLN417" s="1718"/>
      <c r="QLO417" s="1718"/>
      <c r="QLP417" s="1718"/>
      <c r="QLQ417" s="1718"/>
      <c r="QLR417" s="246"/>
      <c r="QLS417" s="246" t="str">
        <f>BS!$D$5</f>
        <v>31 March 2026</v>
      </c>
      <c r="QLT417" s="247" t="str">
        <f>BS!$E$5</f>
        <v>31 March 2025</v>
      </c>
      <c r="QLU417" s="1717"/>
      <c r="QLV417" s="1718"/>
      <c r="QLW417" s="1718"/>
      <c r="QLX417" s="1718"/>
      <c r="QLY417" s="1718"/>
      <c r="QLZ417" s="246"/>
      <c r="QMA417" s="246" t="str">
        <f>BS!$D$5</f>
        <v>31 March 2026</v>
      </c>
      <c r="QMB417" s="247" t="str">
        <f>BS!$E$5</f>
        <v>31 March 2025</v>
      </c>
      <c r="QMC417" s="1717"/>
      <c r="QMD417" s="1718"/>
      <c r="QME417" s="1718"/>
      <c r="QMF417" s="1718"/>
      <c r="QMG417" s="1718"/>
      <c r="QMH417" s="246"/>
      <c r="QMI417" s="246" t="str">
        <f>BS!$D$5</f>
        <v>31 March 2026</v>
      </c>
      <c r="QMJ417" s="247" t="str">
        <f>BS!$E$5</f>
        <v>31 March 2025</v>
      </c>
      <c r="QMK417" s="1717"/>
      <c r="QML417" s="1718"/>
      <c r="QMM417" s="1718"/>
      <c r="QMN417" s="1718"/>
      <c r="QMO417" s="1718"/>
      <c r="QMP417" s="246"/>
      <c r="QMQ417" s="246" t="str">
        <f>BS!$D$5</f>
        <v>31 March 2026</v>
      </c>
      <c r="QMR417" s="247" t="str">
        <f>BS!$E$5</f>
        <v>31 March 2025</v>
      </c>
      <c r="QMS417" s="1717"/>
      <c r="QMT417" s="1718"/>
      <c r="QMU417" s="1718"/>
      <c r="QMV417" s="1718"/>
      <c r="QMW417" s="1718"/>
      <c r="QMX417" s="246"/>
      <c r="QMY417" s="246" t="str">
        <f>BS!$D$5</f>
        <v>31 March 2026</v>
      </c>
      <c r="QMZ417" s="247" t="str">
        <f>BS!$E$5</f>
        <v>31 March 2025</v>
      </c>
      <c r="QNA417" s="1717"/>
      <c r="QNB417" s="1718"/>
      <c r="QNC417" s="1718"/>
      <c r="QND417" s="1718"/>
      <c r="QNE417" s="1718"/>
      <c r="QNF417" s="246"/>
      <c r="QNG417" s="246" t="str">
        <f>BS!$D$5</f>
        <v>31 March 2026</v>
      </c>
      <c r="QNH417" s="247" t="str">
        <f>BS!$E$5</f>
        <v>31 March 2025</v>
      </c>
      <c r="QNI417" s="1717"/>
      <c r="QNJ417" s="1718"/>
      <c r="QNK417" s="1718"/>
      <c r="QNL417" s="1718"/>
      <c r="QNM417" s="1718"/>
      <c r="QNN417" s="246"/>
      <c r="QNO417" s="246" t="str">
        <f>BS!$D$5</f>
        <v>31 March 2026</v>
      </c>
      <c r="QNP417" s="247" t="str">
        <f>BS!$E$5</f>
        <v>31 March 2025</v>
      </c>
      <c r="QNQ417" s="1717"/>
      <c r="QNR417" s="1718"/>
      <c r="QNS417" s="1718"/>
      <c r="QNT417" s="1718"/>
      <c r="QNU417" s="1718"/>
      <c r="QNV417" s="246"/>
      <c r="QNW417" s="246" t="str">
        <f>BS!$D$5</f>
        <v>31 March 2026</v>
      </c>
      <c r="QNX417" s="247" t="str">
        <f>BS!$E$5</f>
        <v>31 March 2025</v>
      </c>
      <c r="QNY417" s="1717"/>
      <c r="QNZ417" s="1718"/>
      <c r="QOA417" s="1718"/>
      <c r="QOB417" s="1718"/>
      <c r="QOC417" s="1718"/>
      <c r="QOD417" s="246"/>
      <c r="QOE417" s="246" t="str">
        <f>BS!$D$5</f>
        <v>31 March 2026</v>
      </c>
      <c r="QOF417" s="247" t="str">
        <f>BS!$E$5</f>
        <v>31 March 2025</v>
      </c>
      <c r="QOG417" s="1717"/>
      <c r="QOH417" s="1718"/>
      <c r="QOI417" s="1718"/>
      <c r="QOJ417" s="1718"/>
      <c r="QOK417" s="1718"/>
      <c r="QOL417" s="246"/>
      <c r="QOM417" s="246" t="str">
        <f>BS!$D$5</f>
        <v>31 March 2026</v>
      </c>
      <c r="QON417" s="247" t="str">
        <f>BS!$E$5</f>
        <v>31 March 2025</v>
      </c>
      <c r="QOO417" s="1717"/>
      <c r="QOP417" s="1718"/>
      <c r="QOQ417" s="1718"/>
      <c r="QOR417" s="1718"/>
      <c r="QOS417" s="1718"/>
      <c r="QOT417" s="246"/>
      <c r="QOU417" s="246" t="str">
        <f>BS!$D$5</f>
        <v>31 March 2026</v>
      </c>
      <c r="QOV417" s="247" t="str">
        <f>BS!$E$5</f>
        <v>31 March 2025</v>
      </c>
      <c r="QOW417" s="1717"/>
      <c r="QOX417" s="1718"/>
      <c r="QOY417" s="1718"/>
      <c r="QOZ417" s="1718"/>
      <c r="QPA417" s="1718"/>
      <c r="QPB417" s="246"/>
      <c r="QPC417" s="246" t="str">
        <f>BS!$D$5</f>
        <v>31 March 2026</v>
      </c>
      <c r="QPD417" s="247" t="str">
        <f>BS!$E$5</f>
        <v>31 March 2025</v>
      </c>
      <c r="QPE417" s="1717"/>
      <c r="QPF417" s="1718"/>
      <c r="QPG417" s="1718"/>
      <c r="QPH417" s="1718"/>
      <c r="QPI417" s="1718"/>
      <c r="QPJ417" s="246"/>
      <c r="QPK417" s="246" t="str">
        <f>BS!$D$5</f>
        <v>31 March 2026</v>
      </c>
      <c r="QPL417" s="247" t="str">
        <f>BS!$E$5</f>
        <v>31 March 2025</v>
      </c>
      <c r="QPM417" s="1717"/>
      <c r="QPN417" s="1718"/>
      <c r="QPO417" s="1718"/>
      <c r="QPP417" s="1718"/>
      <c r="QPQ417" s="1718"/>
      <c r="QPR417" s="246"/>
      <c r="QPS417" s="246" t="str">
        <f>BS!$D$5</f>
        <v>31 March 2026</v>
      </c>
      <c r="QPT417" s="247" t="str">
        <f>BS!$E$5</f>
        <v>31 March 2025</v>
      </c>
      <c r="QPU417" s="1717"/>
      <c r="QPV417" s="1718"/>
      <c r="QPW417" s="1718"/>
      <c r="QPX417" s="1718"/>
      <c r="QPY417" s="1718"/>
      <c r="QPZ417" s="246"/>
      <c r="QQA417" s="246" t="str">
        <f>BS!$D$5</f>
        <v>31 March 2026</v>
      </c>
      <c r="QQB417" s="247" t="str">
        <f>BS!$E$5</f>
        <v>31 March 2025</v>
      </c>
      <c r="QQC417" s="1717"/>
      <c r="QQD417" s="1718"/>
      <c r="QQE417" s="1718"/>
      <c r="QQF417" s="1718"/>
      <c r="QQG417" s="1718"/>
      <c r="QQH417" s="246"/>
      <c r="QQI417" s="246" t="str">
        <f>BS!$D$5</f>
        <v>31 March 2026</v>
      </c>
      <c r="QQJ417" s="247" t="str">
        <f>BS!$E$5</f>
        <v>31 March 2025</v>
      </c>
      <c r="QQK417" s="1717"/>
      <c r="QQL417" s="1718"/>
      <c r="QQM417" s="1718"/>
      <c r="QQN417" s="1718"/>
      <c r="QQO417" s="1718"/>
      <c r="QQP417" s="246"/>
      <c r="QQQ417" s="246" t="str">
        <f>BS!$D$5</f>
        <v>31 March 2026</v>
      </c>
      <c r="QQR417" s="247" t="str">
        <f>BS!$E$5</f>
        <v>31 March 2025</v>
      </c>
      <c r="QQS417" s="1717"/>
      <c r="QQT417" s="1718"/>
      <c r="QQU417" s="1718"/>
      <c r="QQV417" s="1718"/>
      <c r="QQW417" s="1718"/>
      <c r="QQX417" s="246"/>
      <c r="QQY417" s="246" t="str">
        <f>BS!$D$5</f>
        <v>31 March 2026</v>
      </c>
      <c r="QQZ417" s="247" t="str">
        <f>BS!$E$5</f>
        <v>31 March 2025</v>
      </c>
      <c r="QRA417" s="1717"/>
      <c r="QRB417" s="1718"/>
      <c r="QRC417" s="1718"/>
      <c r="QRD417" s="1718"/>
      <c r="QRE417" s="1718"/>
      <c r="QRF417" s="246"/>
      <c r="QRG417" s="246" t="str">
        <f>BS!$D$5</f>
        <v>31 March 2026</v>
      </c>
      <c r="QRH417" s="247" t="str">
        <f>BS!$E$5</f>
        <v>31 March 2025</v>
      </c>
      <c r="QRI417" s="1717"/>
      <c r="QRJ417" s="1718"/>
      <c r="QRK417" s="1718"/>
      <c r="QRL417" s="1718"/>
      <c r="QRM417" s="1718"/>
      <c r="QRN417" s="246"/>
      <c r="QRO417" s="246" t="str">
        <f>BS!$D$5</f>
        <v>31 March 2026</v>
      </c>
      <c r="QRP417" s="247" t="str">
        <f>BS!$E$5</f>
        <v>31 March 2025</v>
      </c>
      <c r="QRQ417" s="1717"/>
      <c r="QRR417" s="1718"/>
      <c r="QRS417" s="1718"/>
      <c r="QRT417" s="1718"/>
      <c r="QRU417" s="1718"/>
      <c r="QRV417" s="246"/>
      <c r="QRW417" s="246" t="str">
        <f>BS!$D$5</f>
        <v>31 March 2026</v>
      </c>
      <c r="QRX417" s="247" t="str">
        <f>BS!$E$5</f>
        <v>31 March 2025</v>
      </c>
      <c r="QRY417" s="1717"/>
      <c r="QRZ417" s="1718"/>
      <c r="QSA417" s="1718"/>
      <c r="QSB417" s="1718"/>
      <c r="QSC417" s="1718"/>
      <c r="QSD417" s="246"/>
      <c r="QSE417" s="246" t="str">
        <f>BS!$D$5</f>
        <v>31 March 2026</v>
      </c>
      <c r="QSF417" s="247" t="str">
        <f>BS!$E$5</f>
        <v>31 March 2025</v>
      </c>
      <c r="QSG417" s="1717"/>
      <c r="QSH417" s="1718"/>
      <c r="QSI417" s="1718"/>
      <c r="QSJ417" s="1718"/>
      <c r="QSK417" s="1718"/>
      <c r="QSL417" s="246"/>
      <c r="QSM417" s="246" t="str">
        <f>BS!$D$5</f>
        <v>31 March 2026</v>
      </c>
      <c r="QSN417" s="247" t="str">
        <f>BS!$E$5</f>
        <v>31 March 2025</v>
      </c>
      <c r="QSO417" s="1717"/>
      <c r="QSP417" s="1718"/>
      <c r="QSQ417" s="1718"/>
      <c r="QSR417" s="1718"/>
      <c r="QSS417" s="1718"/>
      <c r="QST417" s="246"/>
      <c r="QSU417" s="246" t="str">
        <f>BS!$D$5</f>
        <v>31 March 2026</v>
      </c>
      <c r="QSV417" s="247" t="str">
        <f>BS!$E$5</f>
        <v>31 March 2025</v>
      </c>
      <c r="QSW417" s="1717"/>
      <c r="QSX417" s="1718"/>
      <c r="QSY417" s="1718"/>
      <c r="QSZ417" s="1718"/>
      <c r="QTA417" s="1718"/>
      <c r="QTB417" s="246"/>
      <c r="QTC417" s="246" t="str">
        <f>BS!$D$5</f>
        <v>31 March 2026</v>
      </c>
      <c r="QTD417" s="247" t="str">
        <f>BS!$E$5</f>
        <v>31 March 2025</v>
      </c>
      <c r="QTE417" s="1717"/>
      <c r="QTF417" s="1718"/>
      <c r="QTG417" s="1718"/>
      <c r="QTH417" s="1718"/>
      <c r="QTI417" s="1718"/>
      <c r="QTJ417" s="246"/>
      <c r="QTK417" s="246" t="str">
        <f>BS!$D$5</f>
        <v>31 March 2026</v>
      </c>
      <c r="QTL417" s="247" t="str">
        <f>BS!$E$5</f>
        <v>31 March 2025</v>
      </c>
      <c r="QTM417" s="1717"/>
      <c r="QTN417" s="1718"/>
      <c r="QTO417" s="1718"/>
      <c r="QTP417" s="1718"/>
      <c r="QTQ417" s="1718"/>
      <c r="QTR417" s="246"/>
      <c r="QTS417" s="246" t="str">
        <f>BS!$D$5</f>
        <v>31 March 2026</v>
      </c>
      <c r="QTT417" s="247" t="str">
        <f>BS!$E$5</f>
        <v>31 March 2025</v>
      </c>
      <c r="QTU417" s="1717"/>
      <c r="QTV417" s="1718"/>
      <c r="QTW417" s="1718"/>
      <c r="QTX417" s="1718"/>
      <c r="QTY417" s="1718"/>
      <c r="QTZ417" s="246"/>
      <c r="QUA417" s="246" t="str">
        <f>BS!$D$5</f>
        <v>31 March 2026</v>
      </c>
      <c r="QUB417" s="247" t="str">
        <f>BS!$E$5</f>
        <v>31 March 2025</v>
      </c>
      <c r="QUC417" s="1717"/>
      <c r="QUD417" s="1718"/>
      <c r="QUE417" s="1718"/>
      <c r="QUF417" s="1718"/>
      <c r="QUG417" s="1718"/>
      <c r="QUH417" s="246"/>
      <c r="QUI417" s="246" t="str">
        <f>BS!$D$5</f>
        <v>31 March 2026</v>
      </c>
      <c r="QUJ417" s="247" t="str">
        <f>BS!$E$5</f>
        <v>31 March 2025</v>
      </c>
      <c r="QUK417" s="1717"/>
      <c r="QUL417" s="1718"/>
      <c r="QUM417" s="1718"/>
      <c r="QUN417" s="1718"/>
      <c r="QUO417" s="1718"/>
      <c r="QUP417" s="246"/>
      <c r="QUQ417" s="246" t="str">
        <f>BS!$D$5</f>
        <v>31 March 2026</v>
      </c>
      <c r="QUR417" s="247" t="str">
        <f>BS!$E$5</f>
        <v>31 March 2025</v>
      </c>
      <c r="QUS417" s="1717"/>
      <c r="QUT417" s="1718"/>
      <c r="QUU417" s="1718"/>
      <c r="QUV417" s="1718"/>
      <c r="QUW417" s="1718"/>
      <c r="QUX417" s="246"/>
      <c r="QUY417" s="246" t="str">
        <f>BS!$D$5</f>
        <v>31 March 2026</v>
      </c>
      <c r="QUZ417" s="247" t="str">
        <f>BS!$E$5</f>
        <v>31 March 2025</v>
      </c>
      <c r="QVA417" s="1717"/>
      <c r="QVB417" s="1718"/>
      <c r="QVC417" s="1718"/>
      <c r="QVD417" s="1718"/>
      <c r="QVE417" s="1718"/>
      <c r="QVF417" s="246"/>
      <c r="QVG417" s="246" t="str">
        <f>BS!$D$5</f>
        <v>31 March 2026</v>
      </c>
      <c r="QVH417" s="247" t="str">
        <f>BS!$E$5</f>
        <v>31 March 2025</v>
      </c>
      <c r="QVI417" s="1717"/>
      <c r="QVJ417" s="1718"/>
      <c r="QVK417" s="1718"/>
      <c r="QVL417" s="1718"/>
      <c r="QVM417" s="1718"/>
      <c r="QVN417" s="246"/>
      <c r="QVO417" s="246" t="str">
        <f>BS!$D$5</f>
        <v>31 March 2026</v>
      </c>
      <c r="QVP417" s="247" t="str">
        <f>BS!$E$5</f>
        <v>31 March 2025</v>
      </c>
      <c r="QVQ417" s="1717"/>
      <c r="QVR417" s="1718"/>
      <c r="QVS417" s="1718"/>
      <c r="QVT417" s="1718"/>
      <c r="QVU417" s="1718"/>
      <c r="QVV417" s="246"/>
      <c r="QVW417" s="246" t="str">
        <f>BS!$D$5</f>
        <v>31 March 2026</v>
      </c>
      <c r="QVX417" s="247" t="str">
        <f>BS!$E$5</f>
        <v>31 March 2025</v>
      </c>
      <c r="QVY417" s="1717"/>
      <c r="QVZ417" s="1718"/>
      <c r="QWA417" s="1718"/>
      <c r="QWB417" s="1718"/>
      <c r="QWC417" s="1718"/>
      <c r="QWD417" s="246"/>
      <c r="QWE417" s="246" t="str">
        <f>BS!$D$5</f>
        <v>31 March 2026</v>
      </c>
      <c r="QWF417" s="247" t="str">
        <f>BS!$E$5</f>
        <v>31 March 2025</v>
      </c>
      <c r="QWG417" s="1717"/>
      <c r="QWH417" s="1718"/>
      <c r="QWI417" s="1718"/>
      <c r="QWJ417" s="1718"/>
      <c r="QWK417" s="1718"/>
      <c r="QWL417" s="246"/>
      <c r="QWM417" s="246" t="str">
        <f>BS!$D$5</f>
        <v>31 March 2026</v>
      </c>
      <c r="QWN417" s="247" t="str">
        <f>BS!$E$5</f>
        <v>31 March 2025</v>
      </c>
      <c r="QWO417" s="1717"/>
      <c r="QWP417" s="1718"/>
      <c r="QWQ417" s="1718"/>
      <c r="QWR417" s="1718"/>
      <c r="QWS417" s="1718"/>
      <c r="QWT417" s="246"/>
      <c r="QWU417" s="246" t="str">
        <f>BS!$D$5</f>
        <v>31 March 2026</v>
      </c>
      <c r="QWV417" s="247" t="str">
        <f>BS!$E$5</f>
        <v>31 March 2025</v>
      </c>
      <c r="QWW417" s="1717"/>
      <c r="QWX417" s="1718"/>
      <c r="QWY417" s="1718"/>
      <c r="QWZ417" s="1718"/>
      <c r="QXA417" s="1718"/>
      <c r="QXB417" s="246"/>
      <c r="QXC417" s="246" t="str">
        <f>BS!$D$5</f>
        <v>31 March 2026</v>
      </c>
      <c r="QXD417" s="247" t="str">
        <f>BS!$E$5</f>
        <v>31 March 2025</v>
      </c>
      <c r="QXE417" s="1717"/>
      <c r="QXF417" s="1718"/>
      <c r="QXG417" s="1718"/>
      <c r="QXH417" s="1718"/>
      <c r="QXI417" s="1718"/>
      <c r="QXJ417" s="246"/>
      <c r="QXK417" s="246" t="str">
        <f>BS!$D$5</f>
        <v>31 March 2026</v>
      </c>
      <c r="QXL417" s="247" t="str">
        <f>BS!$E$5</f>
        <v>31 March 2025</v>
      </c>
      <c r="QXM417" s="1717"/>
      <c r="QXN417" s="1718"/>
      <c r="QXO417" s="1718"/>
      <c r="QXP417" s="1718"/>
      <c r="QXQ417" s="1718"/>
      <c r="QXR417" s="246"/>
      <c r="QXS417" s="246" t="str">
        <f>BS!$D$5</f>
        <v>31 March 2026</v>
      </c>
      <c r="QXT417" s="247" t="str">
        <f>BS!$E$5</f>
        <v>31 March 2025</v>
      </c>
      <c r="QXU417" s="1717"/>
      <c r="QXV417" s="1718"/>
      <c r="QXW417" s="1718"/>
      <c r="QXX417" s="1718"/>
      <c r="QXY417" s="1718"/>
      <c r="QXZ417" s="246"/>
      <c r="QYA417" s="246" t="str">
        <f>BS!$D$5</f>
        <v>31 March 2026</v>
      </c>
      <c r="QYB417" s="247" t="str">
        <f>BS!$E$5</f>
        <v>31 March 2025</v>
      </c>
      <c r="QYC417" s="1717"/>
      <c r="QYD417" s="1718"/>
      <c r="QYE417" s="1718"/>
      <c r="QYF417" s="1718"/>
      <c r="QYG417" s="1718"/>
      <c r="QYH417" s="246"/>
      <c r="QYI417" s="246" t="str">
        <f>BS!$D$5</f>
        <v>31 March 2026</v>
      </c>
      <c r="QYJ417" s="247" t="str">
        <f>BS!$E$5</f>
        <v>31 March 2025</v>
      </c>
      <c r="QYK417" s="1717"/>
      <c r="QYL417" s="1718"/>
      <c r="QYM417" s="1718"/>
      <c r="QYN417" s="1718"/>
      <c r="QYO417" s="1718"/>
      <c r="QYP417" s="246"/>
      <c r="QYQ417" s="246" t="str">
        <f>BS!$D$5</f>
        <v>31 March 2026</v>
      </c>
      <c r="QYR417" s="247" t="str">
        <f>BS!$E$5</f>
        <v>31 March 2025</v>
      </c>
      <c r="QYS417" s="1717"/>
      <c r="QYT417" s="1718"/>
      <c r="QYU417" s="1718"/>
      <c r="QYV417" s="1718"/>
      <c r="QYW417" s="1718"/>
      <c r="QYX417" s="246"/>
      <c r="QYY417" s="246" t="str">
        <f>BS!$D$5</f>
        <v>31 March 2026</v>
      </c>
      <c r="QYZ417" s="247" t="str">
        <f>BS!$E$5</f>
        <v>31 March 2025</v>
      </c>
      <c r="QZA417" s="1717"/>
      <c r="QZB417" s="1718"/>
      <c r="QZC417" s="1718"/>
      <c r="QZD417" s="1718"/>
      <c r="QZE417" s="1718"/>
      <c r="QZF417" s="246"/>
      <c r="QZG417" s="246" t="str">
        <f>BS!$D$5</f>
        <v>31 March 2026</v>
      </c>
      <c r="QZH417" s="247" t="str">
        <f>BS!$E$5</f>
        <v>31 March 2025</v>
      </c>
      <c r="QZI417" s="1717"/>
      <c r="QZJ417" s="1718"/>
      <c r="QZK417" s="1718"/>
      <c r="QZL417" s="1718"/>
      <c r="QZM417" s="1718"/>
      <c r="QZN417" s="246"/>
      <c r="QZO417" s="246" t="str">
        <f>BS!$D$5</f>
        <v>31 March 2026</v>
      </c>
      <c r="QZP417" s="247" t="str">
        <f>BS!$E$5</f>
        <v>31 March 2025</v>
      </c>
      <c r="QZQ417" s="1717"/>
      <c r="QZR417" s="1718"/>
      <c r="QZS417" s="1718"/>
      <c r="QZT417" s="1718"/>
      <c r="QZU417" s="1718"/>
      <c r="QZV417" s="246"/>
      <c r="QZW417" s="246" t="str">
        <f>BS!$D$5</f>
        <v>31 March 2026</v>
      </c>
      <c r="QZX417" s="247" t="str">
        <f>BS!$E$5</f>
        <v>31 March 2025</v>
      </c>
      <c r="QZY417" s="1717"/>
      <c r="QZZ417" s="1718"/>
      <c r="RAA417" s="1718"/>
      <c r="RAB417" s="1718"/>
      <c r="RAC417" s="1718"/>
      <c r="RAD417" s="246"/>
      <c r="RAE417" s="246" t="str">
        <f>BS!$D$5</f>
        <v>31 March 2026</v>
      </c>
      <c r="RAF417" s="247" t="str">
        <f>BS!$E$5</f>
        <v>31 March 2025</v>
      </c>
      <c r="RAG417" s="1717"/>
      <c r="RAH417" s="1718"/>
      <c r="RAI417" s="1718"/>
      <c r="RAJ417" s="1718"/>
      <c r="RAK417" s="1718"/>
      <c r="RAL417" s="246"/>
      <c r="RAM417" s="246" t="str">
        <f>BS!$D$5</f>
        <v>31 March 2026</v>
      </c>
      <c r="RAN417" s="247" t="str">
        <f>BS!$E$5</f>
        <v>31 March 2025</v>
      </c>
      <c r="RAO417" s="1717"/>
      <c r="RAP417" s="1718"/>
      <c r="RAQ417" s="1718"/>
      <c r="RAR417" s="1718"/>
      <c r="RAS417" s="1718"/>
      <c r="RAT417" s="246"/>
      <c r="RAU417" s="246" t="str">
        <f>BS!$D$5</f>
        <v>31 March 2026</v>
      </c>
      <c r="RAV417" s="247" t="str">
        <f>BS!$E$5</f>
        <v>31 March 2025</v>
      </c>
      <c r="RAW417" s="1717"/>
      <c r="RAX417" s="1718"/>
      <c r="RAY417" s="1718"/>
      <c r="RAZ417" s="1718"/>
      <c r="RBA417" s="1718"/>
      <c r="RBB417" s="246"/>
      <c r="RBC417" s="246" t="str">
        <f>BS!$D$5</f>
        <v>31 March 2026</v>
      </c>
      <c r="RBD417" s="247" t="str">
        <f>BS!$E$5</f>
        <v>31 March 2025</v>
      </c>
      <c r="RBE417" s="1717"/>
      <c r="RBF417" s="1718"/>
      <c r="RBG417" s="1718"/>
      <c r="RBH417" s="1718"/>
      <c r="RBI417" s="1718"/>
      <c r="RBJ417" s="246"/>
      <c r="RBK417" s="246" t="str">
        <f>BS!$D$5</f>
        <v>31 March 2026</v>
      </c>
      <c r="RBL417" s="247" t="str">
        <f>BS!$E$5</f>
        <v>31 March 2025</v>
      </c>
      <c r="RBM417" s="1717"/>
      <c r="RBN417" s="1718"/>
      <c r="RBO417" s="1718"/>
      <c r="RBP417" s="1718"/>
      <c r="RBQ417" s="1718"/>
      <c r="RBR417" s="246"/>
      <c r="RBS417" s="246" t="str">
        <f>BS!$D$5</f>
        <v>31 March 2026</v>
      </c>
      <c r="RBT417" s="247" t="str">
        <f>BS!$E$5</f>
        <v>31 March 2025</v>
      </c>
      <c r="RBU417" s="1717"/>
      <c r="RBV417" s="1718"/>
      <c r="RBW417" s="1718"/>
      <c r="RBX417" s="1718"/>
      <c r="RBY417" s="1718"/>
      <c r="RBZ417" s="246"/>
      <c r="RCA417" s="246" t="str">
        <f>BS!$D$5</f>
        <v>31 March 2026</v>
      </c>
      <c r="RCB417" s="247" t="str">
        <f>BS!$E$5</f>
        <v>31 March 2025</v>
      </c>
      <c r="RCC417" s="1717"/>
      <c r="RCD417" s="1718"/>
      <c r="RCE417" s="1718"/>
      <c r="RCF417" s="1718"/>
      <c r="RCG417" s="1718"/>
      <c r="RCH417" s="246"/>
      <c r="RCI417" s="246" t="str">
        <f>BS!$D$5</f>
        <v>31 March 2026</v>
      </c>
      <c r="RCJ417" s="247" t="str">
        <f>BS!$E$5</f>
        <v>31 March 2025</v>
      </c>
      <c r="RCK417" s="1717"/>
      <c r="RCL417" s="1718"/>
      <c r="RCM417" s="1718"/>
      <c r="RCN417" s="1718"/>
      <c r="RCO417" s="1718"/>
      <c r="RCP417" s="246"/>
      <c r="RCQ417" s="246" t="str">
        <f>BS!$D$5</f>
        <v>31 March 2026</v>
      </c>
      <c r="RCR417" s="247" t="str">
        <f>BS!$E$5</f>
        <v>31 March 2025</v>
      </c>
      <c r="RCS417" s="1717"/>
      <c r="RCT417" s="1718"/>
      <c r="RCU417" s="1718"/>
      <c r="RCV417" s="1718"/>
      <c r="RCW417" s="1718"/>
      <c r="RCX417" s="246"/>
      <c r="RCY417" s="246" t="str">
        <f>BS!$D$5</f>
        <v>31 March 2026</v>
      </c>
      <c r="RCZ417" s="247" t="str">
        <f>BS!$E$5</f>
        <v>31 March 2025</v>
      </c>
      <c r="RDA417" s="1717"/>
      <c r="RDB417" s="1718"/>
      <c r="RDC417" s="1718"/>
      <c r="RDD417" s="1718"/>
      <c r="RDE417" s="1718"/>
      <c r="RDF417" s="246"/>
      <c r="RDG417" s="246" t="str">
        <f>BS!$D$5</f>
        <v>31 March 2026</v>
      </c>
      <c r="RDH417" s="247" t="str">
        <f>BS!$E$5</f>
        <v>31 March 2025</v>
      </c>
      <c r="RDI417" s="1717"/>
      <c r="RDJ417" s="1718"/>
      <c r="RDK417" s="1718"/>
      <c r="RDL417" s="1718"/>
      <c r="RDM417" s="1718"/>
      <c r="RDN417" s="246"/>
      <c r="RDO417" s="246" t="str">
        <f>BS!$D$5</f>
        <v>31 March 2026</v>
      </c>
      <c r="RDP417" s="247" t="str">
        <f>BS!$E$5</f>
        <v>31 March 2025</v>
      </c>
      <c r="RDQ417" s="1717"/>
      <c r="RDR417" s="1718"/>
      <c r="RDS417" s="1718"/>
      <c r="RDT417" s="1718"/>
      <c r="RDU417" s="1718"/>
      <c r="RDV417" s="246"/>
      <c r="RDW417" s="246" t="str">
        <f>BS!$D$5</f>
        <v>31 March 2026</v>
      </c>
      <c r="RDX417" s="247" t="str">
        <f>BS!$E$5</f>
        <v>31 March 2025</v>
      </c>
      <c r="RDY417" s="1717"/>
      <c r="RDZ417" s="1718"/>
      <c r="REA417" s="1718"/>
      <c r="REB417" s="1718"/>
      <c r="REC417" s="1718"/>
      <c r="RED417" s="246"/>
      <c r="REE417" s="246" t="str">
        <f>BS!$D$5</f>
        <v>31 March 2026</v>
      </c>
      <c r="REF417" s="247" t="str">
        <f>BS!$E$5</f>
        <v>31 March 2025</v>
      </c>
      <c r="REG417" s="1717"/>
      <c r="REH417" s="1718"/>
      <c r="REI417" s="1718"/>
      <c r="REJ417" s="1718"/>
      <c r="REK417" s="1718"/>
      <c r="REL417" s="246"/>
      <c r="REM417" s="246" t="str">
        <f>BS!$D$5</f>
        <v>31 March 2026</v>
      </c>
      <c r="REN417" s="247" t="str">
        <f>BS!$E$5</f>
        <v>31 March 2025</v>
      </c>
      <c r="REO417" s="1717"/>
      <c r="REP417" s="1718"/>
      <c r="REQ417" s="1718"/>
      <c r="RER417" s="1718"/>
      <c r="RES417" s="1718"/>
      <c r="RET417" s="246"/>
      <c r="REU417" s="246" t="str">
        <f>BS!$D$5</f>
        <v>31 March 2026</v>
      </c>
      <c r="REV417" s="247" t="str">
        <f>BS!$E$5</f>
        <v>31 March 2025</v>
      </c>
      <c r="REW417" s="1717"/>
      <c r="REX417" s="1718"/>
      <c r="REY417" s="1718"/>
      <c r="REZ417" s="1718"/>
      <c r="RFA417" s="1718"/>
      <c r="RFB417" s="246"/>
      <c r="RFC417" s="246" t="str">
        <f>BS!$D$5</f>
        <v>31 March 2026</v>
      </c>
      <c r="RFD417" s="247" t="str">
        <f>BS!$E$5</f>
        <v>31 March 2025</v>
      </c>
      <c r="RFE417" s="1717"/>
      <c r="RFF417" s="1718"/>
      <c r="RFG417" s="1718"/>
      <c r="RFH417" s="1718"/>
      <c r="RFI417" s="1718"/>
      <c r="RFJ417" s="246"/>
      <c r="RFK417" s="246" t="str">
        <f>BS!$D$5</f>
        <v>31 March 2026</v>
      </c>
      <c r="RFL417" s="247" t="str">
        <f>BS!$E$5</f>
        <v>31 March 2025</v>
      </c>
      <c r="RFM417" s="1717"/>
      <c r="RFN417" s="1718"/>
      <c r="RFO417" s="1718"/>
      <c r="RFP417" s="1718"/>
      <c r="RFQ417" s="1718"/>
      <c r="RFR417" s="246"/>
      <c r="RFS417" s="246" t="str">
        <f>BS!$D$5</f>
        <v>31 March 2026</v>
      </c>
      <c r="RFT417" s="247" t="str">
        <f>BS!$E$5</f>
        <v>31 March 2025</v>
      </c>
      <c r="RFU417" s="1717"/>
      <c r="RFV417" s="1718"/>
      <c r="RFW417" s="1718"/>
      <c r="RFX417" s="1718"/>
      <c r="RFY417" s="1718"/>
      <c r="RFZ417" s="246"/>
      <c r="RGA417" s="246" t="str">
        <f>BS!$D$5</f>
        <v>31 March 2026</v>
      </c>
      <c r="RGB417" s="247" t="str">
        <f>BS!$E$5</f>
        <v>31 March 2025</v>
      </c>
      <c r="RGC417" s="1717"/>
      <c r="RGD417" s="1718"/>
      <c r="RGE417" s="1718"/>
      <c r="RGF417" s="1718"/>
      <c r="RGG417" s="1718"/>
      <c r="RGH417" s="246"/>
      <c r="RGI417" s="246" t="str">
        <f>BS!$D$5</f>
        <v>31 March 2026</v>
      </c>
      <c r="RGJ417" s="247" t="str">
        <f>BS!$E$5</f>
        <v>31 March 2025</v>
      </c>
      <c r="RGK417" s="1717"/>
      <c r="RGL417" s="1718"/>
      <c r="RGM417" s="1718"/>
      <c r="RGN417" s="1718"/>
      <c r="RGO417" s="1718"/>
      <c r="RGP417" s="246"/>
      <c r="RGQ417" s="246" t="str">
        <f>BS!$D$5</f>
        <v>31 March 2026</v>
      </c>
      <c r="RGR417" s="247" t="str">
        <f>BS!$E$5</f>
        <v>31 March 2025</v>
      </c>
      <c r="RGS417" s="1717"/>
      <c r="RGT417" s="1718"/>
      <c r="RGU417" s="1718"/>
      <c r="RGV417" s="1718"/>
      <c r="RGW417" s="1718"/>
      <c r="RGX417" s="246"/>
      <c r="RGY417" s="246" t="str">
        <f>BS!$D$5</f>
        <v>31 March 2026</v>
      </c>
      <c r="RGZ417" s="247" t="str">
        <f>BS!$E$5</f>
        <v>31 March 2025</v>
      </c>
      <c r="RHA417" s="1717"/>
      <c r="RHB417" s="1718"/>
      <c r="RHC417" s="1718"/>
      <c r="RHD417" s="1718"/>
      <c r="RHE417" s="1718"/>
      <c r="RHF417" s="246"/>
      <c r="RHG417" s="246" t="str">
        <f>BS!$D$5</f>
        <v>31 March 2026</v>
      </c>
      <c r="RHH417" s="247" t="str">
        <f>BS!$E$5</f>
        <v>31 March 2025</v>
      </c>
      <c r="RHI417" s="1717"/>
      <c r="RHJ417" s="1718"/>
      <c r="RHK417" s="1718"/>
      <c r="RHL417" s="1718"/>
      <c r="RHM417" s="1718"/>
      <c r="RHN417" s="246"/>
      <c r="RHO417" s="246" t="str">
        <f>BS!$D$5</f>
        <v>31 March 2026</v>
      </c>
      <c r="RHP417" s="247" t="str">
        <f>BS!$E$5</f>
        <v>31 March 2025</v>
      </c>
      <c r="RHQ417" s="1717"/>
      <c r="RHR417" s="1718"/>
      <c r="RHS417" s="1718"/>
      <c r="RHT417" s="1718"/>
      <c r="RHU417" s="1718"/>
      <c r="RHV417" s="246"/>
      <c r="RHW417" s="246" t="str">
        <f>BS!$D$5</f>
        <v>31 March 2026</v>
      </c>
      <c r="RHX417" s="247" t="str">
        <f>BS!$E$5</f>
        <v>31 March 2025</v>
      </c>
      <c r="RHY417" s="1717"/>
      <c r="RHZ417" s="1718"/>
      <c r="RIA417" s="1718"/>
      <c r="RIB417" s="1718"/>
      <c r="RIC417" s="1718"/>
      <c r="RID417" s="246"/>
      <c r="RIE417" s="246" t="str">
        <f>BS!$D$5</f>
        <v>31 March 2026</v>
      </c>
      <c r="RIF417" s="247" t="str">
        <f>BS!$E$5</f>
        <v>31 March 2025</v>
      </c>
      <c r="RIG417" s="1717"/>
      <c r="RIH417" s="1718"/>
      <c r="RII417" s="1718"/>
      <c r="RIJ417" s="1718"/>
      <c r="RIK417" s="1718"/>
      <c r="RIL417" s="246"/>
      <c r="RIM417" s="246" t="str">
        <f>BS!$D$5</f>
        <v>31 March 2026</v>
      </c>
      <c r="RIN417" s="247" t="str">
        <f>BS!$E$5</f>
        <v>31 March 2025</v>
      </c>
      <c r="RIO417" s="1717"/>
      <c r="RIP417" s="1718"/>
      <c r="RIQ417" s="1718"/>
      <c r="RIR417" s="1718"/>
      <c r="RIS417" s="1718"/>
      <c r="RIT417" s="246"/>
      <c r="RIU417" s="246" t="str">
        <f>BS!$D$5</f>
        <v>31 March 2026</v>
      </c>
      <c r="RIV417" s="247" t="str">
        <f>BS!$E$5</f>
        <v>31 March 2025</v>
      </c>
      <c r="RIW417" s="1717"/>
      <c r="RIX417" s="1718"/>
      <c r="RIY417" s="1718"/>
      <c r="RIZ417" s="1718"/>
      <c r="RJA417" s="1718"/>
      <c r="RJB417" s="246"/>
      <c r="RJC417" s="246" t="str">
        <f>BS!$D$5</f>
        <v>31 March 2026</v>
      </c>
      <c r="RJD417" s="247" t="str">
        <f>BS!$E$5</f>
        <v>31 March 2025</v>
      </c>
      <c r="RJE417" s="1717"/>
      <c r="RJF417" s="1718"/>
      <c r="RJG417" s="1718"/>
      <c r="RJH417" s="1718"/>
      <c r="RJI417" s="1718"/>
      <c r="RJJ417" s="246"/>
      <c r="RJK417" s="246" t="str">
        <f>BS!$D$5</f>
        <v>31 March 2026</v>
      </c>
      <c r="RJL417" s="247" t="str">
        <f>BS!$E$5</f>
        <v>31 March 2025</v>
      </c>
      <c r="RJM417" s="1717"/>
      <c r="RJN417" s="1718"/>
      <c r="RJO417" s="1718"/>
      <c r="RJP417" s="1718"/>
      <c r="RJQ417" s="1718"/>
      <c r="RJR417" s="246"/>
      <c r="RJS417" s="246" t="str">
        <f>BS!$D$5</f>
        <v>31 March 2026</v>
      </c>
      <c r="RJT417" s="247" t="str">
        <f>BS!$E$5</f>
        <v>31 March 2025</v>
      </c>
      <c r="RJU417" s="1717"/>
      <c r="RJV417" s="1718"/>
      <c r="RJW417" s="1718"/>
      <c r="RJX417" s="1718"/>
      <c r="RJY417" s="1718"/>
      <c r="RJZ417" s="246"/>
      <c r="RKA417" s="246" t="str">
        <f>BS!$D$5</f>
        <v>31 March 2026</v>
      </c>
      <c r="RKB417" s="247" t="str">
        <f>BS!$E$5</f>
        <v>31 March 2025</v>
      </c>
      <c r="RKC417" s="1717"/>
      <c r="RKD417" s="1718"/>
      <c r="RKE417" s="1718"/>
      <c r="RKF417" s="1718"/>
      <c r="RKG417" s="1718"/>
      <c r="RKH417" s="246"/>
      <c r="RKI417" s="246" t="str">
        <f>BS!$D$5</f>
        <v>31 March 2026</v>
      </c>
      <c r="RKJ417" s="247" t="str">
        <f>BS!$E$5</f>
        <v>31 March 2025</v>
      </c>
      <c r="RKK417" s="1717"/>
      <c r="RKL417" s="1718"/>
      <c r="RKM417" s="1718"/>
      <c r="RKN417" s="1718"/>
      <c r="RKO417" s="1718"/>
      <c r="RKP417" s="246"/>
      <c r="RKQ417" s="246" t="str">
        <f>BS!$D$5</f>
        <v>31 March 2026</v>
      </c>
      <c r="RKR417" s="247" t="str">
        <f>BS!$E$5</f>
        <v>31 March 2025</v>
      </c>
      <c r="RKS417" s="1717"/>
      <c r="RKT417" s="1718"/>
      <c r="RKU417" s="1718"/>
      <c r="RKV417" s="1718"/>
      <c r="RKW417" s="1718"/>
      <c r="RKX417" s="246"/>
      <c r="RKY417" s="246" t="str">
        <f>BS!$D$5</f>
        <v>31 March 2026</v>
      </c>
      <c r="RKZ417" s="247" t="str">
        <f>BS!$E$5</f>
        <v>31 March 2025</v>
      </c>
      <c r="RLA417" s="1717"/>
      <c r="RLB417" s="1718"/>
      <c r="RLC417" s="1718"/>
      <c r="RLD417" s="1718"/>
      <c r="RLE417" s="1718"/>
      <c r="RLF417" s="246"/>
      <c r="RLG417" s="246" t="str">
        <f>BS!$D$5</f>
        <v>31 March 2026</v>
      </c>
      <c r="RLH417" s="247" t="str">
        <f>BS!$E$5</f>
        <v>31 March 2025</v>
      </c>
      <c r="RLI417" s="1717"/>
      <c r="RLJ417" s="1718"/>
      <c r="RLK417" s="1718"/>
      <c r="RLL417" s="1718"/>
      <c r="RLM417" s="1718"/>
      <c r="RLN417" s="246"/>
      <c r="RLO417" s="246" t="str">
        <f>BS!$D$5</f>
        <v>31 March 2026</v>
      </c>
      <c r="RLP417" s="247" t="str">
        <f>BS!$E$5</f>
        <v>31 March 2025</v>
      </c>
      <c r="RLQ417" s="1717"/>
      <c r="RLR417" s="1718"/>
      <c r="RLS417" s="1718"/>
      <c r="RLT417" s="1718"/>
      <c r="RLU417" s="1718"/>
      <c r="RLV417" s="246"/>
      <c r="RLW417" s="246" t="str">
        <f>BS!$D$5</f>
        <v>31 March 2026</v>
      </c>
      <c r="RLX417" s="247" t="str">
        <f>BS!$E$5</f>
        <v>31 March 2025</v>
      </c>
      <c r="RLY417" s="1717"/>
      <c r="RLZ417" s="1718"/>
      <c r="RMA417" s="1718"/>
      <c r="RMB417" s="1718"/>
      <c r="RMC417" s="1718"/>
      <c r="RMD417" s="246"/>
      <c r="RME417" s="246" t="str">
        <f>BS!$D$5</f>
        <v>31 March 2026</v>
      </c>
      <c r="RMF417" s="247" t="str">
        <f>BS!$E$5</f>
        <v>31 March 2025</v>
      </c>
      <c r="RMG417" s="1717"/>
      <c r="RMH417" s="1718"/>
      <c r="RMI417" s="1718"/>
      <c r="RMJ417" s="1718"/>
      <c r="RMK417" s="1718"/>
      <c r="RML417" s="246"/>
      <c r="RMM417" s="246" t="str">
        <f>BS!$D$5</f>
        <v>31 March 2026</v>
      </c>
      <c r="RMN417" s="247" t="str">
        <f>BS!$E$5</f>
        <v>31 March 2025</v>
      </c>
      <c r="RMO417" s="1717"/>
      <c r="RMP417" s="1718"/>
      <c r="RMQ417" s="1718"/>
      <c r="RMR417" s="1718"/>
      <c r="RMS417" s="1718"/>
      <c r="RMT417" s="246"/>
      <c r="RMU417" s="246" t="str">
        <f>BS!$D$5</f>
        <v>31 March 2026</v>
      </c>
      <c r="RMV417" s="247" t="str">
        <f>BS!$E$5</f>
        <v>31 March 2025</v>
      </c>
      <c r="RMW417" s="1717"/>
      <c r="RMX417" s="1718"/>
      <c r="RMY417" s="1718"/>
      <c r="RMZ417" s="1718"/>
      <c r="RNA417" s="1718"/>
      <c r="RNB417" s="246"/>
      <c r="RNC417" s="246" t="str">
        <f>BS!$D$5</f>
        <v>31 March 2026</v>
      </c>
      <c r="RND417" s="247" t="str">
        <f>BS!$E$5</f>
        <v>31 March 2025</v>
      </c>
      <c r="RNE417" s="1717"/>
      <c r="RNF417" s="1718"/>
      <c r="RNG417" s="1718"/>
      <c r="RNH417" s="1718"/>
      <c r="RNI417" s="1718"/>
      <c r="RNJ417" s="246"/>
      <c r="RNK417" s="246" t="str">
        <f>BS!$D$5</f>
        <v>31 March 2026</v>
      </c>
      <c r="RNL417" s="247" t="str">
        <f>BS!$E$5</f>
        <v>31 March 2025</v>
      </c>
      <c r="RNM417" s="1717"/>
      <c r="RNN417" s="1718"/>
      <c r="RNO417" s="1718"/>
      <c r="RNP417" s="1718"/>
      <c r="RNQ417" s="1718"/>
      <c r="RNR417" s="246"/>
      <c r="RNS417" s="246" t="str">
        <f>BS!$D$5</f>
        <v>31 March 2026</v>
      </c>
      <c r="RNT417" s="247" t="str">
        <f>BS!$E$5</f>
        <v>31 March 2025</v>
      </c>
      <c r="RNU417" s="1717"/>
      <c r="RNV417" s="1718"/>
      <c r="RNW417" s="1718"/>
      <c r="RNX417" s="1718"/>
      <c r="RNY417" s="1718"/>
      <c r="RNZ417" s="246"/>
      <c r="ROA417" s="246" t="str">
        <f>BS!$D$5</f>
        <v>31 March 2026</v>
      </c>
      <c r="ROB417" s="247" t="str">
        <f>BS!$E$5</f>
        <v>31 March 2025</v>
      </c>
      <c r="ROC417" s="1717"/>
      <c r="ROD417" s="1718"/>
      <c r="ROE417" s="1718"/>
      <c r="ROF417" s="1718"/>
      <c r="ROG417" s="1718"/>
      <c r="ROH417" s="246"/>
      <c r="ROI417" s="246" t="str">
        <f>BS!$D$5</f>
        <v>31 March 2026</v>
      </c>
      <c r="ROJ417" s="247" t="str">
        <f>BS!$E$5</f>
        <v>31 March 2025</v>
      </c>
      <c r="ROK417" s="1717"/>
      <c r="ROL417" s="1718"/>
      <c r="ROM417" s="1718"/>
      <c r="RON417" s="1718"/>
      <c r="ROO417" s="1718"/>
      <c r="ROP417" s="246"/>
      <c r="ROQ417" s="246" t="str">
        <f>BS!$D$5</f>
        <v>31 March 2026</v>
      </c>
      <c r="ROR417" s="247" t="str">
        <f>BS!$E$5</f>
        <v>31 March 2025</v>
      </c>
      <c r="ROS417" s="1717"/>
      <c r="ROT417" s="1718"/>
      <c r="ROU417" s="1718"/>
      <c r="ROV417" s="1718"/>
      <c r="ROW417" s="1718"/>
      <c r="ROX417" s="246"/>
      <c r="ROY417" s="246" t="str">
        <f>BS!$D$5</f>
        <v>31 March 2026</v>
      </c>
      <c r="ROZ417" s="247" t="str">
        <f>BS!$E$5</f>
        <v>31 March 2025</v>
      </c>
      <c r="RPA417" s="1717"/>
      <c r="RPB417" s="1718"/>
      <c r="RPC417" s="1718"/>
      <c r="RPD417" s="1718"/>
      <c r="RPE417" s="1718"/>
      <c r="RPF417" s="246"/>
      <c r="RPG417" s="246" t="str">
        <f>BS!$D$5</f>
        <v>31 March 2026</v>
      </c>
      <c r="RPH417" s="247" t="str">
        <f>BS!$E$5</f>
        <v>31 March 2025</v>
      </c>
      <c r="RPI417" s="1717"/>
      <c r="RPJ417" s="1718"/>
      <c r="RPK417" s="1718"/>
      <c r="RPL417" s="1718"/>
      <c r="RPM417" s="1718"/>
      <c r="RPN417" s="246"/>
      <c r="RPO417" s="246" t="str">
        <f>BS!$D$5</f>
        <v>31 March 2026</v>
      </c>
      <c r="RPP417" s="247" t="str">
        <f>BS!$E$5</f>
        <v>31 March 2025</v>
      </c>
      <c r="RPQ417" s="1717"/>
      <c r="RPR417" s="1718"/>
      <c r="RPS417" s="1718"/>
      <c r="RPT417" s="1718"/>
      <c r="RPU417" s="1718"/>
      <c r="RPV417" s="246"/>
      <c r="RPW417" s="246" t="str">
        <f>BS!$D$5</f>
        <v>31 March 2026</v>
      </c>
      <c r="RPX417" s="247" t="str">
        <f>BS!$E$5</f>
        <v>31 March 2025</v>
      </c>
      <c r="RPY417" s="1717"/>
      <c r="RPZ417" s="1718"/>
      <c r="RQA417" s="1718"/>
      <c r="RQB417" s="1718"/>
      <c r="RQC417" s="1718"/>
      <c r="RQD417" s="246"/>
      <c r="RQE417" s="246" t="str">
        <f>BS!$D$5</f>
        <v>31 March 2026</v>
      </c>
      <c r="RQF417" s="247" t="str">
        <f>BS!$E$5</f>
        <v>31 March 2025</v>
      </c>
      <c r="RQG417" s="1717"/>
      <c r="RQH417" s="1718"/>
      <c r="RQI417" s="1718"/>
      <c r="RQJ417" s="1718"/>
      <c r="RQK417" s="1718"/>
      <c r="RQL417" s="246"/>
      <c r="RQM417" s="246" t="str">
        <f>BS!$D$5</f>
        <v>31 March 2026</v>
      </c>
      <c r="RQN417" s="247" t="str">
        <f>BS!$E$5</f>
        <v>31 March 2025</v>
      </c>
      <c r="RQO417" s="1717"/>
      <c r="RQP417" s="1718"/>
      <c r="RQQ417" s="1718"/>
      <c r="RQR417" s="1718"/>
      <c r="RQS417" s="1718"/>
      <c r="RQT417" s="246"/>
      <c r="RQU417" s="246" t="str">
        <f>BS!$D$5</f>
        <v>31 March 2026</v>
      </c>
      <c r="RQV417" s="247" t="str">
        <f>BS!$E$5</f>
        <v>31 March 2025</v>
      </c>
      <c r="RQW417" s="1717"/>
      <c r="RQX417" s="1718"/>
      <c r="RQY417" s="1718"/>
      <c r="RQZ417" s="1718"/>
      <c r="RRA417" s="1718"/>
      <c r="RRB417" s="246"/>
      <c r="RRC417" s="246" t="str">
        <f>BS!$D$5</f>
        <v>31 March 2026</v>
      </c>
      <c r="RRD417" s="247" t="str">
        <f>BS!$E$5</f>
        <v>31 March 2025</v>
      </c>
      <c r="RRE417" s="1717"/>
      <c r="RRF417" s="1718"/>
      <c r="RRG417" s="1718"/>
      <c r="RRH417" s="1718"/>
      <c r="RRI417" s="1718"/>
      <c r="RRJ417" s="246"/>
      <c r="RRK417" s="246" t="str">
        <f>BS!$D$5</f>
        <v>31 March 2026</v>
      </c>
      <c r="RRL417" s="247" t="str">
        <f>BS!$E$5</f>
        <v>31 March 2025</v>
      </c>
      <c r="RRM417" s="1717"/>
      <c r="RRN417" s="1718"/>
      <c r="RRO417" s="1718"/>
      <c r="RRP417" s="1718"/>
      <c r="RRQ417" s="1718"/>
      <c r="RRR417" s="246"/>
      <c r="RRS417" s="246" t="str">
        <f>BS!$D$5</f>
        <v>31 March 2026</v>
      </c>
      <c r="RRT417" s="247" t="str">
        <f>BS!$E$5</f>
        <v>31 March 2025</v>
      </c>
      <c r="RRU417" s="1717"/>
      <c r="RRV417" s="1718"/>
      <c r="RRW417" s="1718"/>
      <c r="RRX417" s="1718"/>
      <c r="RRY417" s="1718"/>
      <c r="RRZ417" s="246"/>
      <c r="RSA417" s="246" t="str">
        <f>BS!$D$5</f>
        <v>31 March 2026</v>
      </c>
      <c r="RSB417" s="247" t="str">
        <f>BS!$E$5</f>
        <v>31 March 2025</v>
      </c>
      <c r="RSC417" s="1717"/>
      <c r="RSD417" s="1718"/>
      <c r="RSE417" s="1718"/>
      <c r="RSF417" s="1718"/>
      <c r="RSG417" s="1718"/>
      <c r="RSH417" s="246"/>
      <c r="RSI417" s="246" t="str">
        <f>BS!$D$5</f>
        <v>31 March 2026</v>
      </c>
      <c r="RSJ417" s="247" t="str">
        <f>BS!$E$5</f>
        <v>31 March 2025</v>
      </c>
      <c r="RSK417" s="1717"/>
      <c r="RSL417" s="1718"/>
      <c r="RSM417" s="1718"/>
      <c r="RSN417" s="1718"/>
      <c r="RSO417" s="1718"/>
      <c r="RSP417" s="246"/>
      <c r="RSQ417" s="246" t="str">
        <f>BS!$D$5</f>
        <v>31 March 2026</v>
      </c>
      <c r="RSR417" s="247" t="str">
        <f>BS!$E$5</f>
        <v>31 March 2025</v>
      </c>
      <c r="RSS417" s="1717"/>
      <c r="RST417" s="1718"/>
      <c r="RSU417" s="1718"/>
      <c r="RSV417" s="1718"/>
      <c r="RSW417" s="1718"/>
      <c r="RSX417" s="246"/>
      <c r="RSY417" s="246" t="str">
        <f>BS!$D$5</f>
        <v>31 March 2026</v>
      </c>
      <c r="RSZ417" s="247" t="str">
        <f>BS!$E$5</f>
        <v>31 March 2025</v>
      </c>
      <c r="RTA417" s="1717"/>
      <c r="RTB417" s="1718"/>
      <c r="RTC417" s="1718"/>
      <c r="RTD417" s="1718"/>
      <c r="RTE417" s="1718"/>
      <c r="RTF417" s="246"/>
      <c r="RTG417" s="246" t="str">
        <f>BS!$D$5</f>
        <v>31 March 2026</v>
      </c>
      <c r="RTH417" s="247" t="str">
        <f>BS!$E$5</f>
        <v>31 March 2025</v>
      </c>
      <c r="RTI417" s="1717"/>
      <c r="RTJ417" s="1718"/>
      <c r="RTK417" s="1718"/>
      <c r="RTL417" s="1718"/>
      <c r="RTM417" s="1718"/>
      <c r="RTN417" s="246"/>
      <c r="RTO417" s="246" t="str">
        <f>BS!$D$5</f>
        <v>31 March 2026</v>
      </c>
      <c r="RTP417" s="247" t="str">
        <f>BS!$E$5</f>
        <v>31 March 2025</v>
      </c>
      <c r="RTQ417" s="1717"/>
      <c r="RTR417" s="1718"/>
      <c r="RTS417" s="1718"/>
      <c r="RTT417" s="1718"/>
      <c r="RTU417" s="1718"/>
      <c r="RTV417" s="246"/>
      <c r="RTW417" s="246" t="str">
        <f>BS!$D$5</f>
        <v>31 March 2026</v>
      </c>
      <c r="RTX417" s="247" t="str">
        <f>BS!$E$5</f>
        <v>31 March 2025</v>
      </c>
      <c r="RTY417" s="1717"/>
      <c r="RTZ417" s="1718"/>
      <c r="RUA417" s="1718"/>
      <c r="RUB417" s="1718"/>
      <c r="RUC417" s="1718"/>
      <c r="RUD417" s="246"/>
      <c r="RUE417" s="246" t="str">
        <f>BS!$D$5</f>
        <v>31 March 2026</v>
      </c>
      <c r="RUF417" s="247" t="str">
        <f>BS!$E$5</f>
        <v>31 March 2025</v>
      </c>
      <c r="RUG417" s="1717"/>
      <c r="RUH417" s="1718"/>
      <c r="RUI417" s="1718"/>
      <c r="RUJ417" s="1718"/>
      <c r="RUK417" s="1718"/>
      <c r="RUL417" s="246"/>
      <c r="RUM417" s="246" t="str">
        <f>BS!$D$5</f>
        <v>31 March 2026</v>
      </c>
      <c r="RUN417" s="247" t="str">
        <f>BS!$E$5</f>
        <v>31 March 2025</v>
      </c>
      <c r="RUO417" s="1717"/>
      <c r="RUP417" s="1718"/>
      <c r="RUQ417" s="1718"/>
      <c r="RUR417" s="1718"/>
      <c r="RUS417" s="1718"/>
      <c r="RUT417" s="246"/>
      <c r="RUU417" s="246" t="str">
        <f>BS!$D$5</f>
        <v>31 March 2026</v>
      </c>
      <c r="RUV417" s="247" t="str">
        <f>BS!$E$5</f>
        <v>31 March 2025</v>
      </c>
      <c r="RUW417" s="1717"/>
      <c r="RUX417" s="1718"/>
      <c r="RUY417" s="1718"/>
      <c r="RUZ417" s="1718"/>
      <c r="RVA417" s="1718"/>
      <c r="RVB417" s="246"/>
      <c r="RVC417" s="246" t="str">
        <f>BS!$D$5</f>
        <v>31 March 2026</v>
      </c>
      <c r="RVD417" s="247" t="str">
        <f>BS!$E$5</f>
        <v>31 March 2025</v>
      </c>
      <c r="RVE417" s="1717"/>
      <c r="RVF417" s="1718"/>
      <c r="RVG417" s="1718"/>
      <c r="RVH417" s="1718"/>
      <c r="RVI417" s="1718"/>
      <c r="RVJ417" s="246"/>
      <c r="RVK417" s="246" t="str">
        <f>BS!$D$5</f>
        <v>31 March 2026</v>
      </c>
      <c r="RVL417" s="247" t="str">
        <f>BS!$E$5</f>
        <v>31 March 2025</v>
      </c>
      <c r="RVM417" s="1717"/>
      <c r="RVN417" s="1718"/>
      <c r="RVO417" s="1718"/>
      <c r="RVP417" s="1718"/>
      <c r="RVQ417" s="1718"/>
      <c r="RVR417" s="246"/>
      <c r="RVS417" s="246" t="str">
        <f>BS!$D$5</f>
        <v>31 March 2026</v>
      </c>
      <c r="RVT417" s="247" t="str">
        <f>BS!$E$5</f>
        <v>31 March 2025</v>
      </c>
      <c r="RVU417" s="1717"/>
      <c r="RVV417" s="1718"/>
      <c r="RVW417" s="1718"/>
      <c r="RVX417" s="1718"/>
      <c r="RVY417" s="1718"/>
      <c r="RVZ417" s="246"/>
      <c r="RWA417" s="246" t="str">
        <f>BS!$D$5</f>
        <v>31 March 2026</v>
      </c>
      <c r="RWB417" s="247" t="str">
        <f>BS!$E$5</f>
        <v>31 March 2025</v>
      </c>
      <c r="RWC417" s="1717"/>
      <c r="RWD417" s="1718"/>
      <c r="RWE417" s="1718"/>
      <c r="RWF417" s="1718"/>
      <c r="RWG417" s="1718"/>
      <c r="RWH417" s="246"/>
      <c r="RWI417" s="246" t="str">
        <f>BS!$D$5</f>
        <v>31 March 2026</v>
      </c>
      <c r="RWJ417" s="247" t="str">
        <f>BS!$E$5</f>
        <v>31 March 2025</v>
      </c>
      <c r="RWK417" s="1717"/>
      <c r="RWL417" s="1718"/>
      <c r="RWM417" s="1718"/>
      <c r="RWN417" s="1718"/>
      <c r="RWO417" s="1718"/>
      <c r="RWP417" s="246"/>
      <c r="RWQ417" s="246" t="str">
        <f>BS!$D$5</f>
        <v>31 March 2026</v>
      </c>
      <c r="RWR417" s="247" t="str">
        <f>BS!$E$5</f>
        <v>31 March 2025</v>
      </c>
      <c r="RWS417" s="1717"/>
      <c r="RWT417" s="1718"/>
      <c r="RWU417" s="1718"/>
      <c r="RWV417" s="1718"/>
      <c r="RWW417" s="1718"/>
      <c r="RWX417" s="246"/>
      <c r="RWY417" s="246" t="str">
        <f>BS!$D$5</f>
        <v>31 March 2026</v>
      </c>
      <c r="RWZ417" s="247" t="str">
        <f>BS!$E$5</f>
        <v>31 March 2025</v>
      </c>
      <c r="RXA417" s="1717"/>
      <c r="RXB417" s="1718"/>
      <c r="RXC417" s="1718"/>
      <c r="RXD417" s="1718"/>
      <c r="RXE417" s="1718"/>
      <c r="RXF417" s="246"/>
      <c r="RXG417" s="246" t="str">
        <f>BS!$D$5</f>
        <v>31 March 2026</v>
      </c>
      <c r="RXH417" s="247" t="str">
        <f>BS!$E$5</f>
        <v>31 March 2025</v>
      </c>
      <c r="RXI417" s="1717"/>
      <c r="RXJ417" s="1718"/>
      <c r="RXK417" s="1718"/>
      <c r="RXL417" s="1718"/>
      <c r="RXM417" s="1718"/>
      <c r="RXN417" s="246"/>
      <c r="RXO417" s="246" t="str">
        <f>BS!$D$5</f>
        <v>31 March 2026</v>
      </c>
      <c r="RXP417" s="247" t="str">
        <f>BS!$E$5</f>
        <v>31 March 2025</v>
      </c>
      <c r="RXQ417" s="1717"/>
      <c r="RXR417" s="1718"/>
      <c r="RXS417" s="1718"/>
      <c r="RXT417" s="1718"/>
      <c r="RXU417" s="1718"/>
      <c r="RXV417" s="246"/>
      <c r="RXW417" s="246" t="str">
        <f>BS!$D$5</f>
        <v>31 March 2026</v>
      </c>
      <c r="RXX417" s="247" t="str">
        <f>BS!$E$5</f>
        <v>31 March 2025</v>
      </c>
      <c r="RXY417" s="1717"/>
      <c r="RXZ417" s="1718"/>
      <c r="RYA417" s="1718"/>
      <c r="RYB417" s="1718"/>
      <c r="RYC417" s="1718"/>
      <c r="RYD417" s="246"/>
      <c r="RYE417" s="246" t="str">
        <f>BS!$D$5</f>
        <v>31 March 2026</v>
      </c>
      <c r="RYF417" s="247" t="str">
        <f>BS!$E$5</f>
        <v>31 March 2025</v>
      </c>
      <c r="RYG417" s="1717"/>
      <c r="RYH417" s="1718"/>
      <c r="RYI417" s="1718"/>
      <c r="RYJ417" s="1718"/>
      <c r="RYK417" s="1718"/>
      <c r="RYL417" s="246"/>
      <c r="RYM417" s="246" t="str">
        <f>BS!$D$5</f>
        <v>31 March 2026</v>
      </c>
      <c r="RYN417" s="247" t="str">
        <f>BS!$E$5</f>
        <v>31 March 2025</v>
      </c>
      <c r="RYO417" s="1717"/>
      <c r="RYP417" s="1718"/>
      <c r="RYQ417" s="1718"/>
      <c r="RYR417" s="1718"/>
      <c r="RYS417" s="1718"/>
      <c r="RYT417" s="246"/>
      <c r="RYU417" s="246" t="str">
        <f>BS!$D$5</f>
        <v>31 March 2026</v>
      </c>
      <c r="RYV417" s="247" t="str">
        <f>BS!$E$5</f>
        <v>31 March 2025</v>
      </c>
      <c r="RYW417" s="1717"/>
      <c r="RYX417" s="1718"/>
      <c r="RYY417" s="1718"/>
      <c r="RYZ417" s="1718"/>
      <c r="RZA417" s="1718"/>
      <c r="RZB417" s="246"/>
      <c r="RZC417" s="246" t="str">
        <f>BS!$D$5</f>
        <v>31 March 2026</v>
      </c>
      <c r="RZD417" s="247" t="str">
        <f>BS!$E$5</f>
        <v>31 March 2025</v>
      </c>
      <c r="RZE417" s="1717"/>
      <c r="RZF417" s="1718"/>
      <c r="RZG417" s="1718"/>
      <c r="RZH417" s="1718"/>
      <c r="RZI417" s="1718"/>
      <c r="RZJ417" s="246"/>
      <c r="RZK417" s="246" t="str">
        <f>BS!$D$5</f>
        <v>31 March 2026</v>
      </c>
      <c r="RZL417" s="247" t="str">
        <f>BS!$E$5</f>
        <v>31 March 2025</v>
      </c>
      <c r="RZM417" s="1717"/>
      <c r="RZN417" s="1718"/>
      <c r="RZO417" s="1718"/>
      <c r="RZP417" s="1718"/>
      <c r="RZQ417" s="1718"/>
      <c r="RZR417" s="246"/>
      <c r="RZS417" s="246" t="str">
        <f>BS!$D$5</f>
        <v>31 March 2026</v>
      </c>
      <c r="RZT417" s="247" t="str">
        <f>BS!$E$5</f>
        <v>31 March 2025</v>
      </c>
      <c r="RZU417" s="1717"/>
      <c r="RZV417" s="1718"/>
      <c r="RZW417" s="1718"/>
      <c r="RZX417" s="1718"/>
      <c r="RZY417" s="1718"/>
      <c r="RZZ417" s="246"/>
      <c r="SAA417" s="246" t="str">
        <f>BS!$D$5</f>
        <v>31 March 2026</v>
      </c>
      <c r="SAB417" s="247" t="str">
        <f>BS!$E$5</f>
        <v>31 March 2025</v>
      </c>
      <c r="SAC417" s="1717"/>
      <c r="SAD417" s="1718"/>
      <c r="SAE417" s="1718"/>
      <c r="SAF417" s="1718"/>
      <c r="SAG417" s="1718"/>
      <c r="SAH417" s="246"/>
      <c r="SAI417" s="246" t="str">
        <f>BS!$D$5</f>
        <v>31 March 2026</v>
      </c>
      <c r="SAJ417" s="247" t="str">
        <f>BS!$E$5</f>
        <v>31 March 2025</v>
      </c>
      <c r="SAK417" s="1717"/>
      <c r="SAL417" s="1718"/>
      <c r="SAM417" s="1718"/>
      <c r="SAN417" s="1718"/>
      <c r="SAO417" s="1718"/>
      <c r="SAP417" s="246"/>
      <c r="SAQ417" s="246" t="str">
        <f>BS!$D$5</f>
        <v>31 March 2026</v>
      </c>
      <c r="SAR417" s="247" t="str">
        <f>BS!$E$5</f>
        <v>31 March 2025</v>
      </c>
      <c r="SAS417" s="1717"/>
      <c r="SAT417" s="1718"/>
      <c r="SAU417" s="1718"/>
      <c r="SAV417" s="1718"/>
      <c r="SAW417" s="1718"/>
      <c r="SAX417" s="246"/>
      <c r="SAY417" s="246" t="str">
        <f>BS!$D$5</f>
        <v>31 March 2026</v>
      </c>
      <c r="SAZ417" s="247" t="str">
        <f>BS!$E$5</f>
        <v>31 March 2025</v>
      </c>
      <c r="SBA417" s="1717"/>
      <c r="SBB417" s="1718"/>
      <c r="SBC417" s="1718"/>
      <c r="SBD417" s="1718"/>
      <c r="SBE417" s="1718"/>
      <c r="SBF417" s="246"/>
      <c r="SBG417" s="246" t="str">
        <f>BS!$D$5</f>
        <v>31 March 2026</v>
      </c>
      <c r="SBH417" s="247" t="str">
        <f>BS!$E$5</f>
        <v>31 March 2025</v>
      </c>
      <c r="SBI417" s="1717"/>
      <c r="SBJ417" s="1718"/>
      <c r="SBK417" s="1718"/>
      <c r="SBL417" s="1718"/>
      <c r="SBM417" s="1718"/>
      <c r="SBN417" s="246"/>
      <c r="SBO417" s="246" t="str">
        <f>BS!$D$5</f>
        <v>31 March 2026</v>
      </c>
      <c r="SBP417" s="247" t="str">
        <f>BS!$E$5</f>
        <v>31 March 2025</v>
      </c>
      <c r="SBQ417" s="1717"/>
      <c r="SBR417" s="1718"/>
      <c r="SBS417" s="1718"/>
      <c r="SBT417" s="1718"/>
      <c r="SBU417" s="1718"/>
      <c r="SBV417" s="246"/>
      <c r="SBW417" s="246" t="str">
        <f>BS!$D$5</f>
        <v>31 March 2026</v>
      </c>
      <c r="SBX417" s="247" t="str">
        <f>BS!$E$5</f>
        <v>31 March 2025</v>
      </c>
      <c r="SBY417" s="1717"/>
      <c r="SBZ417" s="1718"/>
      <c r="SCA417" s="1718"/>
      <c r="SCB417" s="1718"/>
      <c r="SCC417" s="1718"/>
      <c r="SCD417" s="246"/>
      <c r="SCE417" s="246" t="str">
        <f>BS!$D$5</f>
        <v>31 March 2026</v>
      </c>
      <c r="SCF417" s="247" t="str">
        <f>BS!$E$5</f>
        <v>31 March 2025</v>
      </c>
      <c r="SCG417" s="1717"/>
      <c r="SCH417" s="1718"/>
      <c r="SCI417" s="1718"/>
      <c r="SCJ417" s="1718"/>
      <c r="SCK417" s="1718"/>
      <c r="SCL417" s="246"/>
      <c r="SCM417" s="246" t="str">
        <f>BS!$D$5</f>
        <v>31 March 2026</v>
      </c>
      <c r="SCN417" s="247" t="str">
        <f>BS!$E$5</f>
        <v>31 March 2025</v>
      </c>
      <c r="SCO417" s="1717"/>
      <c r="SCP417" s="1718"/>
      <c r="SCQ417" s="1718"/>
      <c r="SCR417" s="1718"/>
      <c r="SCS417" s="1718"/>
      <c r="SCT417" s="246"/>
      <c r="SCU417" s="246" t="str">
        <f>BS!$D$5</f>
        <v>31 March 2026</v>
      </c>
      <c r="SCV417" s="247" t="str">
        <f>BS!$E$5</f>
        <v>31 March 2025</v>
      </c>
      <c r="SCW417" s="1717"/>
      <c r="SCX417" s="1718"/>
      <c r="SCY417" s="1718"/>
      <c r="SCZ417" s="1718"/>
      <c r="SDA417" s="1718"/>
      <c r="SDB417" s="246"/>
      <c r="SDC417" s="246" t="str">
        <f>BS!$D$5</f>
        <v>31 March 2026</v>
      </c>
      <c r="SDD417" s="247" t="str">
        <f>BS!$E$5</f>
        <v>31 March 2025</v>
      </c>
      <c r="SDE417" s="1717"/>
      <c r="SDF417" s="1718"/>
      <c r="SDG417" s="1718"/>
      <c r="SDH417" s="1718"/>
      <c r="SDI417" s="1718"/>
      <c r="SDJ417" s="246"/>
      <c r="SDK417" s="246" t="str">
        <f>BS!$D$5</f>
        <v>31 March 2026</v>
      </c>
      <c r="SDL417" s="247" t="str">
        <f>BS!$E$5</f>
        <v>31 March 2025</v>
      </c>
      <c r="SDM417" s="1717"/>
      <c r="SDN417" s="1718"/>
      <c r="SDO417" s="1718"/>
      <c r="SDP417" s="1718"/>
      <c r="SDQ417" s="1718"/>
      <c r="SDR417" s="246"/>
      <c r="SDS417" s="246" t="str">
        <f>BS!$D$5</f>
        <v>31 March 2026</v>
      </c>
      <c r="SDT417" s="247" t="str">
        <f>BS!$E$5</f>
        <v>31 March 2025</v>
      </c>
      <c r="SDU417" s="1717"/>
      <c r="SDV417" s="1718"/>
      <c r="SDW417" s="1718"/>
      <c r="SDX417" s="1718"/>
      <c r="SDY417" s="1718"/>
      <c r="SDZ417" s="246"/>
      <c r="SEA417" s="246" t="str">
        <f>BS!$D$5</f>
        <v>31 March 2026</v>
      </c>
      <c r="SEB417" s="247" t="str">
        <f>BS!$E$5</f>
        <v>31 March 2025</v>
      </c>
      <c r="SEC417" s="1717"/>
      <c r="SED417" s="1718"/>
      <c r="SEE417" s="1718"/>
      <c r="SEF417" s="1718"/>
      <c r="SEG417" s="1718"/>
      <c r="SEH417" s="246"/>
      <c r="SEI417" s="246" t="str">
        <f>BS!$D$5</f>
        <v>31 March 2026</v>
      </c>
      <c r="SEJ417" s="247" t="str">
        <f>BS!$E$5</f>
        <v>31 March 2025</v>
      </c>
      <c r="SEK417" s="1717"/>
      <c r="SEL417" s="1718"/>
      <c r="SEM417" s="1718"/>
      <c r="SEN417" s="1718"/>
      <c r="SEO417" s="1718"/>
      <c r="SEP417" s="246"/>
      <c r="SEQ417" s="246" t="str">
        <f>BS!$D$5</f>
        <v>31 March 2026</v>
      </c>
      <c r="SER417" s="247" t="str">
        <f>BS!$E$5</f>
        <v>31 March 2025</v>
      </c>
      <c r="SES417" s="1717"/>
      <c r="SET417" s="1718"/>
      <c r="SEU417" s="1718"/>
      <c r="SEV417" s="1718"/>
      <c r="SEW417" s="1718"/>
      <c r="SEX417" s="246"/>
      <c r="SEY417" s="246" t="str">
        <f>BS!$D$5</f>
        <v>31 March 2026</v>
      </c>
      <c r="SEZ417" s="247" t="str">
        <f>BS!$E$5</f>
        <v>31 March 2025</v>
      </c>
      <c r="SFA417" s="1717"/>
      <c r="SFB417" s="1718"/>
      <c r="SFC417" s="1718"/>
      <c r="SFD417" s="1718"/>
      <c r="SFE417" s="1718"/>
      <c r="SFF417" s="246"/>
      <c r="SFG417" s="246" t="str">
        <f>BS!$D$5</f>
        <v>31 March 2026</v>
      </c>
      <c r="SFH417" s="247" t="str">
        <f>BS!$E$5</f>
        <v>31 March 2025</v>
      </c>
      <c r="SFI417" s="1717"/>
      <c r="SFJ417" s="1718"/>
      <c r="SFK417" s="1718"/>
      <c r="SFL417" s="1718"/>
      <c r="SFM417" s="1718"/>
      <c r="SFN417" s="246"/>
      <c r="SFO417" s="246" t="str">
        <f>BS!$D$5</f>
        <v>31 March 2026</v>
      </c>
      <c r="SFP417" s="247" t="str">
        <f>BS!$E$5</f>
        <v>31 March 2025</v>
      </c>
      <c r="SFQ417" s="1717"/>
      <c r="SFR417" s="1718"/>
      <c r="SFS417" s="1718"/>
      <c r="SFT417" s="1718"/>
      <c r="SFU417" s="1718"/>
      <c r="SFV417" s="246"/>
      <c r="SFW417" s="246" t="str">
        <f>BS!$D$5</f>
        <v>31 March 2026</v>
      </c>
      <c r="SFX417" s="247" t="str">
        <f>BS!$E$5</f>
        <v>31 March 2025</v>
      </c>
      <c r="SFY417" s="1717"/>
      <c r="SFZ417" s="1718"/>
      <c r="SGA417" s="1718"/>
      <c r="SGB417" s="1718"/>
      <c r="SGC417" s="1718"/>
      <c r="SGD417" s="246"/>
      <c r="SGE417" s="246" t="str">
        <f>BS!$D$5</f>
        <v>31 March 2026</v>
      </c>
      <c r="SGF417" s="247" t="str">
        <f>BS!$E$5</f>
        <v>31 March 2025</v>
      </c>
      <c r="SGG417" s="1717"/>
      <c r="SGH417" s="1718"/>
      <c r="SGI417" s="1718"/>
      <c r="SGJ417" s="1718"/>
      <c r="SGK417" s="1718"/>
      <c r="SGL417" s="246"/>
      <c r="SGM417" s="246" t="str">
        <f>BS!$D$5</f>
        <v>31 March 2026</v>
      </c>
      <c r="SGN417" s="247" t="str">
        <f>BS!$E$5</f>
        <v>31 March 2025</v>
      </c>
      <c r="SGO417" s="1717"/>
      <c r="SGP417" s="1718"/>
      <c r="SGQ417" s="1718"/>
      <c r="SGR417" s="1718"/>
      <c r="SGS417" s="1718"/>
      <c r="SGT417" s="246"/>
      <c r="SGU417" s="246" t="str">
        <f>BS!$D$5</f>
        <v>31 March 2026</v>
      </c>
      <c r="SGV417" s="247" t="str">
        <f>BS!$E$5</f>
        <v>31 March 2025</v>
      </c>
      <c r="SGW417" s="1717"/>
      <c r="SGX417" s="1718"/>
      <c r="SGY417" s="1718"/>
      <c r="SGZ417" s="1718"/>
      <c r="SHA417" s="1718"/>
      <c r="SHB417" s="246"/>
      <c r="SHC417" s="246" t="str">
        <f>BS!$D$5</f>
        <v>31 March 2026</v>
      </c>
      <c r="SHD417" s="247" t="str">
        <f>BS!$E$5</f>
        <v>31 March 2025</v>
      </c>
      <c r="SHE417" s="1717"/>
      <c r="SHF417" s="1718"/>
      <c r="SHG417" s="1718"/>
      <c r="SHH417" s="1718"/>
      <c r="SHI417" s="1718"/>
      <c r="SHJ417" s="246"/>
      <c r="SHK417" s="246" t="str">
        <f>BS!$D$5</f>
        <v>31 March 2026</v>
      </c>
      <c r="SHL417" s="247" t="str">
        <f>BS!$E$5</f>
        <v>31 March 2025</v>
      </c>
      <c r="SHM417" s="1717"/>
      <c r="SHN417" s="1718"/>
      <c r="SHO417" s="1718"/>
      <c r="SHP417" s="1718"/>
      <c r="SHQ417" s="1718"/>
      <c r="SHR417" s="246"/>
      <c r="SHS417" s="246" t="str">
        <f>BS!$D$5</f>
        <v>31 March 2026</v>
      </c>
      <c r="SHT417" s="247" t="str">
        <f>BS!$E$5</f>
        <v>31 March 2025</v>
      </c>
      <c r="SHU417" s="1717"/>
      <c r="SHV417" s="1718"/>
      <c r="SHW417" s="1718"/>
      <c r="SHX417" s="1718"/>
      <c r="SHY417" s="1718"/>
      <c r="SHZ417" s="246"/>
      <c r="SIA417" s="246" t="str">
        <f>BS!$D$5</f>
        <v>31 March 2026</v>
      </c>
      <c r="SIB417" s="247" t="str">
        <f>BS!$E$5</f>
        <v>31 March 2025</v>
      </c>
      <c r="SIC417" s="1717"/>
      <c r="SID417" s="1718"/>
      <c r="SIE417" s="1718"/>
      <c r="SIF417" s="1718"/>
      <c r="SIG417" s="1718"/>
      <c r="SIH417" s="246"/>
      <c r="SII417" s="246" t="str">
        <f>BS!$D$5</f>
        <v>31 March 2026</v>
      </c>
      <c r="SIJ417" s="247" t="str">
        <f>BS!$E$5</f>
        <v>31 March 2025</v>
      </c>
      <c r="SIK417" s="1717"/>
      <c r="SIL417" s="1718"/>
      <c r="SIM417" s="1718"/>
      <c r="SIN417" s="1718"/>
      <c r="SIO417" s="1718"/>
      <c r="SIP417" s="246"/>
      <c r="SIQ417" s="246" t="str">
        <f>BS!$D$5</f>
        <v>31 March 2026</v>
      </c>
      <c r="SIR417" s="247" t="str">
        <f>BS!$E$5</f>
        <v>31 March 2025</v>
      </c>
      <c r="SIS417" s="1717"/>
      <c r="SIT417" s="1718"/>
      <c r="SIU417" s="1718"/>
      <c r="SIV417" s="1718"/>
      <c r="SIW417" s="1718"/>
      <c r="SIX417" s="246"/>
      <c r="SIY417" s="246" t="str">
        <f>BS!$D$5</f>
        <v>31 March 2026</v>
      </c>
      <c r="SIZ417" s="247" t="str">
        <f>BS!$E$5</f>
        <v>31 March 2025</v>
      </c>
      <c r="SJA417" s="1717"/>
      <c r="SJB417" s="1718"/>
      <c r="SJC417" s="1718"/>
      <c r="SJD417" s="1718"/>
      <c r="SJE417" s="1718"/>
      <c r="SJF417" s="246"/>
      <c r="SJG417" s="246" t="str">
        <f>BS!$D$5</f>
        <v>31 March 2026</v>
      </c>
      <c r="SJH417" s="247" t="str">
        <f>BS!$E$5</f>
        <v>31 March 2025</v>
      </c>
      <c r="SJI417" s="1717"/>
      <c r="SJJ417" s="1718"/>
      <c r="SJK417" s="1718"/>
      <c r="SJL417" s="1718"/>
      <c r="SJM417" s="1718"/>
      <c r="SJN417" s="246"/>
      <c r="SJO417" s="246" t="str">
        <f>BS!$D$5</f>
        <v>31 March 2026</v>
      </c>
      <c r="SJP417" s="247" t="str">
        <f>BS!$E$5</f>
        <v>31 March 2025</v>
      </c>
      <c r="SJQ417" s="1717"/>
      <c r="SJR417" s="1718"/>
      <c r="SJS417" s="1718"/>
      <c r="SJT417" s="1718"/>
      <c r="SJU417" s="1718"/>
      <c r="SJV417" s="246"/>
      <c r="SJW417" s="246" t="str">
        <f>BS!$D$5</f>
        <v>31 March 2026</v>
      </c>
      <c r="SJX417" s="247" t="str">
        <f>BS!$E$5</f>
        <v>31 March 2025</v>
      </c>
      <c r="SJY417" s="1717"/>
      <c r="SJZ417" s="1718"/>
      <c r="SKA417" s="1718"/>
      <c r="SKB417" s="1718"/>
      <c r="SKC417" s="1718"/>
      <c r="SKD417" s="246"/>
      <c r="SKE417" s="246" t="str">
        <f>BS!$D$5</f>
        <v>31 March 2026</v>
      </c>
      <c r="SKF417" s="247" t="str">
        <f>BS!$E$5</f>
        <v>31 March 2025</v>
      </c>
      <c r="SKG417" s="1717"/>
      <c r="SKH417" s="1718"/>
      <c r="SKI417" s="1718"/>
      <c r="SKJ417" s="1718"/>
      <c r="SKK417" s="1718"/>
      <c r="SKL417" s="246"/>
      <c r="SKM417" s="246" t="str">
        <f>BS!$D$5</f>
        <v>31 March 2026</v>
      </c>
      <c r="SKN417" s="247" t="str">
        <f>BS!$E$5</f>
        <v>31 March 2025</v>
      </c>
      <c r="SKO417" s="1717"/>
      <c r="SKP417" s="1718"/>
      <c r="SKQ417" s="1718"/>
      <c r="SKR417" s="1718"/>
      <c r="SKS417" s="1718"/>
      <c r="SKT417" s="246"/>
      <c r="SKU417" s="246" t="str">
        <f>BS!$D$5</f>
        <v>31 March 2026</v>
      </c>
      <c r="SKV417" s="247" t="str">
        <f>BS!$E$5</f>
        <v>31 March 2025</v>
      </c>
      <c r="SKW417" s="1717"/>
      <c r="SKX417" s="1718"/>
      <c r="SKY417" s="1718"/>
      <c r="SKZ417" s="1718"/>
      <c r="SLA417" s="1718"/>
      <c r="SLB417" s="246"/>
      <c r="SLC417" s="246" t="str">
        <f>BS!$D$5</f>
        <v>31 March 2026</v>
      </c>
      <c r="SLD417" s="247" t="str">
        <f>BS!$E$5</f>
        <v>31 March 2025</v>
      </c>
      <c r="SLE417" s="1717"/>
      <c r="SLF417" s="1718"/>
      <c r="SLG417" s="1718"/>
      <c r="SLH417" s="1718"/>
      <c r="SLI417" s="1718"/>
      <c r="SLJ417" s="246"/>
      <c r="SLK417" s="246" t="str">
        <f>BS!$D$5</f>
        <v>31 March 2026</v>
      </c>
      <c r="SLL417" s="247" t="str">
        <f>BS!$E$5</f>
        <v>31 March 2025</v>
      </c>
      <c r="SLM417" s="1717"/>
      <c r="SLN417" s="1718"/>
      <c r="SLO417" s="1718"/>
      <c r="SLP417" s="1718"/>
      <c r="SLQ417" s="1718"/>
      <c r="SLR417" s="246"/>
      <c r="SLS417" s="246" t="str">
        <f>BS!$D$5</f>
        <v>31 March 2026</v>
      </c>
      <c r="SLT417" s="247" t="str">
        <f>BS!$E$5</f>
        <v>31 March 2025</v>
      </c>
      <c r="SLU417" s="1717"/>
      <c r="SLV417" s="1718"/>
      <c r="SLW417" s="1718"/>
      <c r="SLX417" s="1718"/>
      <c r="SLY417" s="1718"/>
      <c r="SLZ417" s="246"/>
      <c r="SMA417" s="246" t="str">
        <f>BS!$D$5</f>
        <v>31 March 2026</v>
      </c>
      <c r="SMB417" s="247" t="str">
        <f>BS!$E$5</f>
        <v>31 March 2025</v>
      </c>
      <c r="SMC417" s="1717"/>
      <c r="SMD417" s="1718"/>
      <c r="SME417" s="1718"/>
      <c r="SMF417" s="1718"/>
      <c r="SMG417" s="1718"/>
      <c r="SMH417" s="246"/>
      <c r="SMI417" s="246" t="str">
        <f>BS!$D$5</f>
        <v>31 March 2026</v>
      </c>
      <c r="SMJ417" s="247" t="str">
        <f>BS!$E$5</f>
        <v>31 March 2025</v>
      </c>
      <c r="SMK417" s="1717"/>
      <c r="SML417" s="1718"/>
      <c r="SMM417" s="1718"/>
      <c r="SMN417" s="1718"/>
      <c r="SMO417" s="1718"/>
      <c r="SMP417" s="246"/>
      <c r="SMQ417" s="246" t="str">
        <f>BS!$D$5</f>
        <v>31 March 2026</v>
      </c>
      <c r="SMR417" s="247" t="str">
        <f>BS!$E$5</f>
        <v>31 March 2025</v>
      </c>
      <c r="SMS417" s="1717"/>
      <c r="SMT417" s="1718"/>
      <c r="SMU417" s="1718"/>
      <c r="SMV417" s="1718"/>
      <c r="SMW417" s="1718"/>
      <c r="SMX417" s="246"/>
      <c r="SMY417" s="246" t="str">
        <f>BS!$D$5</f>
        <v>31 March 2026</v>
      </c>
      <c r="SMZ417" s="247" t="str">
        <f>BS!$E$5</f>
        <v>31 March 2025</v>
      </c>
      <c r="SNA417" s="1717"/>
      <c r="SNB417" s="1718"/>
      <c r="SNC417" s="1718"/>
      <c r="SND417" s="1718"/>
      <c r="SNE417" s="1718"/>
      <c r="SNF417" s="246"/>
      <c r="SNG417" s="246" t="str">
        <f>BS!$D$5</f>
        <v>31 March 2026</v>
      </c>
      <c r="SNH417" s="247" t="str">
        <f>BS!$E$5</f>
        <v>31 March 2025</v>
      </c>
      <c r="SNI417" s="1717"/>
      <c r="SNJ417" s="1718"/>
      <c r="SNK417" s="1718"/>
      <c r="SNL417" s="1718"/>
      <c r="SNM417" s="1718"/>
      <c r="SNN417" s="246"/>
      <c r="SNO417" s="246" t="str">
        <f>BS!$D$5</f>
        <v>31 March 2026</v>
      </c>
      <c r="SNP417" s="247" t="str">
        <f>BS!$E$5</f>
        <v>31 March 2025</v>
      </c>
      <c r="SNQ417" s="1717"/>
      <c r="SNR417" s="1718"/>
      <c r="SNS417" s="1718"/>
      <c r="SNT417" s="1718"/>
      <c r="SNU417" s="1718"/>
      <c r="SNV417" s="246"/>
      <c r="SNW417" s="246" t="str">
        <f>BS!$D$5</f>
        <v>31 March 2026</v>
      </c>
      <c r="SNX417" s="247" t="str">
        <f>BS!$E$5</f>
        <v>31 March 2025</v>
      </c>
      <c r="SNY417" s="1717"/>
      <c r="SNZ417" s="1718"/>
      <c r="SOA417" s="1718"/>
      <c r="SOB417" s="1718"/>
      <c r="SOC417" s="1718"/>
      <c r="SOD417" s="246"/>
      <c r="SOE417" s="246" t="str">
        <f>BS!$D$5</f>
        <v>31 March 2026</v>
      </c>
      <c r="SOF417" s="247" t="str">
        <f>BS!$E$5</f>
        <v>31 March 2025</v>
      </c>
      <c r="SOG417" s="1717"/>
      <c r="SOH417" s="1718"/>
      <c r="SOI417" s="1718"/>
      <c r="SOJ417" s="1718"/>
      <c r="SOK417" s="1718"/>
      <c r="SOL417" s="246"/>
      <c r="SOM417" s="246" t="str">
        <f>BS!$D$5</f>
        <v>31 March 2026</v>
      </c>
      <c r="SON417" s="247" t="str">
        <f>BS!$E$5</f>
        <v>31 March 2025</v>
      </c>
      <c r="SOO417" s="1717"/>
      <c r="SOP417" s="1718"/>
      <c r="SOQ417" s="1718"/>
      <c r="SOR417" s="1718"/>
      <c r="SOS417" s="1718"/>
      <c r="SOT417" s="246"/>
      <c r="SOU417" s="246" t="str">
        <f>BS!$D$5</f>
        <v>31 March 2026</v>
      </c>
      <c r="SOV417" s="247" t="str">
        <f>BS!$E$5</f>
        <v>31 March 2025</v>
      </c>
      <c r="SOW417" s="1717"/>
      <c r="SOX417" s="1718"/>
      <c r="SOY417" s="1718"/>
      <c r="SOZ417" s="1718"/>
      <c r="SPA417" s="1718"/>
      <c r="SPB417" s="246"/>
      <c r="SPC417" s="246" t="str">
        <f>BS!$D$5</f>
        <v>31 March 2026</v>
      </c>
      <c r="SPD417" s="247" t="str">
        <f>BS!$E$5</f>
        <v>31 March 2025</v>
      </c>
      <c r="SPE417" s="1717"/>
      <c r="SPF417" s="1718"/>
      <c r="SPG417" s="1718"/>
      <c r="SPH417" s="1718"/>
      <c r="SPI417" s="1718"/>
      <c r="SPJ417" s="246"/>
      <c r="SPK417" s="246" t="str">
        <f>BS!$D$5</f>
        <v>31 March 2026</v>
      </c>
      <c r="SPL417" s="247" t="str">
        <f>BS!$E$5</f>
        <v>31 March 2025</v>
      </c>
      <c r="SPM417" s="1717"/>
      <c r="SPN417" s="1718"/>
      <c r="SPO417" s="1718"/>
      <c r="SPP417" s="1718"/>
      <c r="SPQ417" s="1718"/>
      <c r="SPR417" s="246"/>
      <c r="SPS417" s="246" t="str">
        <f>BS!$D$5</f>
        <v>31 March 2026</v>
      </c>
      <c r="SPT417" s="247" t="str">
        <f>BS!$E$5</f>
        <v>31 March 2025</v>
      </c>
      <c r="SPU417" s="1717"/>
      <c r="SPV417" s="1718"/>
      <c r="SPW417" s="1718"/>
      <c r="SPX417" s="1718"/>
      <c r="SPY417" s="1718"/>
      <c r="SPZ417" s="246"/>
      <c r="SQA417" s="246" t="str">
        <f>BS!$D$5</f>
        <v>31 March 2026</v>
      </c>
      <c r="SQB417" s="247" t="str">
        <f>BS!$E$5</f>
        <v>31 March 2025</v>
      </c>
      <c r="SQC417" s="1717"/>
      <c r="SQD417" s="1718"/>
      <c r="SQE417" s="1718"/>
      <c r="SQF417" s="1718"/>
      <c r="SQG417" s="1718"/>
      <c r="SQH417" s="246"/>
      <c r="SQI417" s="246" t="str">
        <f>BS!$D$5</f>
        <v>31 March 2026</v>
      </c>
      <c r="SQJ417" s="247" t="str">
        <f>BS!$E$5</f>
        <v>31 March 2025</v>
      </c>
      <c r="SQK417" s="1717"/>
      <c r="SQL417" s="1718"/>
      <c r="SQM417" s="1718"/>
      <c r="SQN417" s="1718"/>
      <c r="SQO417" s="1718"/>
      <c r="SQP417" s="246"/>
      <c r="SQQ417" s="246" t="str">
        <f>BS!$D$5</f>
        <v>31 March 2026</v>
      </c>
      <c r="SQR417" s="247" t="str">
        <f>BS!$E$5</f>
        <v>31 March 2025</v>
      </c>
      <c r="SQS417" s="1717"/>
      <c r="SQT417" s="1718"/>
      <c r="SQU417" s="1718"/>
      <c r="SQV417" s="1718"/>
      <c r="SQW417" s="1718"/>
      <c r="SQX417" s="246"/>
      <c r="SQY417" s="246" t="str">
        <f>BS!$D$5</f>
        <v>31 March 2026</v>
      </c>
      <c r="SQZ417" s="247" t="str">
        <f>BS!$E$5</f>
        <v>31 March 2025</v>
      </c>
      <c r="SRA417" s="1717"/>
      <c r="SRB417" s="1718"/>
      <c r="SRC417" s="1718"/>
      <c r="SRD417" s="1718"/>
      <c r="SRE417" s="1718"/>
      <c r="SRF417" s="246"/>
      <c r="SRG417" s="246" t="str">
        <f>BS!$D$5</f>
        <v>31 March 2026</v>
      </c>
      <c r="SRH417" s="247" t="str">
        <f>BS!$E$5</f>
        <v>31 March 2025</v>
      </c>
      <c r="SRI417" s="1717"/>
      <c r="SRJ417" s="1718"/>
      <c r="SRK417" s="1718"/>
      <c r="SRL417" s="1718"/>
      <c r="SRM417" s="1718"/>
      <c r="SRN417" s="246"/>
      <c r="SRO417" s="246" t="str">
        <f>BS!$D$5</f>
        <v>31 March 2026</v>
      </c>
      <c r="SRP417" s="247" t="str">
        <f>BS!$E$5</f>
        <v>31 March 2025</v>
      </c>
      <c r="SRQ417" s="1717"/>
      <c r="SRR417" s="1718"/>
      <c r="SRS417" s="1718"/>
      <c r="SRT417" s="1718"/>
      <c r="SRU417" s="1718"/>
      <c r="SRV417" s="246"/>
      <c r="SRW417" s="246" t="str">
        <f>BS!$D$5</f>
        <v>31 March 2026</v>
      </c>
      <c r="SRX417" s="247" t="str">
        <f>BS!$E$5</f>
        <v>31 March 2025</v>
      </c>
      <c r="SRY417" s="1717"/>
      <c r="SRZ417" s="1718"/>
      <c r="SSA417" s="1718"/>
      <c r="SSB417" s="1718"/>
      <c r="SSC417" s="1718"/>
      <c r="SSD417" s="246"/>
      <c r="SSE417" s="246" t="str">
        <f>BS!$D$5</f>
        <v>31 March 2026</v>
      </c>
      <c r="SSF417" s="247" t="str">
        <f>BS!$E$5</f>
        <v>31 March 2025</v>
      </c>
      <c r="SSG417" s="1717"/>
      <c r="SSH417" s="1718"/>
      <c r="SSI417" s="1718"/>
      <c r="SSJ417" s="1718"/>
      <c r="SSK417" s="1718"/>
      <c r="SSL417" s="246"/>
      <c r="SSM417" s="246" t="str">
        <f>BS!$D$5</f>
        <v>31 March 2026</v>
      </c>
      <c r="SSN417" s="247" t="str">
        <f>BS!$E$5</f>
        <v>31 March 2025</v>
      </c>
      <c r="SSO417" s="1717"/>
      <c r="SSP417" s="1718"/>
      <c r="SSQ417" s="1718"/>
      <c r="SSR417" s="1718"/>
      <c r="SSS417" s="1718"/>
      <c r="SST417" s="246"/>
      <c r="SSU417" s="246" t="str">
        <f>BS!$D$5</f>
        <v>31 March 2026</v>
      </c>
      <c r="SSV417" s="247" t="str">
        <f>BS!$E$5</f>
        <v>31 March 2025</v>
      </c>
      <c r="SSW417" s="1717"/>
      <c r="SSX417" s="1718"/>
      <c r="SSY417" s="1718"/>
      <c r="SSZ417" s="1718"/>
      <c r="STA417" s="1718"/>
      <c r="STB417" s="246"/>
      <c r="STC417" s="246" t="str">
        <f>BS!$D$5</f>
        <v>31 March 2026</v>
      </c>
      <c r="STD417" s="247" t="str">
        <f>BS!$E$5</f>
        <v>31 March 2025</v>
      </c>
      <c r="STE417" s="1717"/>
      <c r="STF417" s="1718"/>
      <c r="STG417" s="1718"/>
      <c r="STH417" s="1718"/>
      <c r="STI417" s="1718"/>
      <c r="STJ417" s="246"/>
      <c r="STK417" s="246" t="str">
        <f>BS!$D$5</f>
        <v>31 March 2026</v>
      </c>
      <c r="STL417" s="247" t="str">
        <f>BS!$E$5</f>
        <v>31 March 2025</v>
      </c>
      <c r="STM417" s="1717"/>
      <c r="STN417" s="1718"/>
      <c r="STO417" s="1718"/>
      <c r="STP417" s="1718"/>
      <c r="STQ417" s="1718"/>
      <c r="STR417" s="246"/>
      <c r="STS417" s="246" t="str">
        <f>BS!$D$5</f>
        <v>31 March 2026</v>
      </c>
      <c r="STT417" s="247" t="str">
        <f>BS!$E$5</f>
        <v>31 March 2025</v>
      </c>
      <c r="STU417" s="1717"/>
      <c r="STV417" s="1718"/>
      <c r="STW417" s="1718"/>
      <c r="STX417" s="1718"/>
      <c r="STY417" s="1718"/>
      <c r="STZ417" s="246"/>
      <c r="SUA417" s="246" t="str">
        <f>BS!$D$5</f>
        <v>31 March 2026</v>
      </c>
      <c r="SUB417" s="247" t="str">
        <f>BS!$E$5</f>
        <v>31 March 2025</v>
      </c>
      <c r="SUC417" s="1717"/>
      <c r="SUD417" s="1718"/>
      <c r="SUE417" s="1718"/>
      <c r="SUF417" s="1718"/>
      <c r="SUG417" s="1718"/>
      <c r="SUH417" s="246"/>
      <c r="SUI417" s="246" t="str">
        <f>BS!$D$5</f>
        <v>31 March 2026</v>
      </c>
      <c r="SUJ417" s="247" t="str">
        <f>BS!$E$5</f>
        <v>31 March 2025</v>
      </c>
      <c r="SUK417" s="1717"/>
      <c r="SUL417" s="1718"/>
      <c r="SUM417" s="1718"/>
      <c r="SUN417" s="1718"/>
      <c r="SUO417" s="1718"/>
      <c r="SUP417" s="246"/>
      <c r="SUQ417" s="246" t="str">
        <f>BS!$D$5</f>
        <v>31 March 2026</v>
      </c>
      <c r="SUR417" s="247" t="str">
        <f>BS!$E$5</f>
        <v>31 March 2025</v>
      </c>
      <c r="SUS417" s="1717"/>
      <c r="SUT417" s="1718"/>
      <c r="SUU417" s="1718"/>
      <c r="SUV417" s="1718"/>
      <c r="SUW417" s="1718"/>
      <c r="SUX417" s="246"/>
      <c r="SUY417" s="246" t="str">
        <f>BS!$D$5</f>
        <v>31 March 2026</v>
      </c>
      <c r="SUZ417" s="247" t="str">
        <f>BS!$E$5</f>
        <v>31 March 2025</v>
      </c>
      <c r="SVA417" s="1717"/>
      <c r="SVB417" s="1718"/>
      <c r="SVC417" s="1718"/>
      <c r="SVD417" s="1718"/>
      <c r="SVE417" s="1718"/>
      <c r="SVF417" s="246"/>
      <c r="SVG417" s="246" t="str">
        <f>BS!$D$5</f>
        <v>31 March 2026</v>
      </c>
      <c r="SVH417" s="247" t="str">
        <f>BS!$E$5</f>
        <v>31 March 2025</v>
      </c>
      <c r="SVI417" s="1717"/>
      <c r="SVJ417" s="1718"/>
      <c r="SVK417" s="1718"/>
      <c r="SVL417" s="1718"/>
      <c r="SVM417" s="1718"/>
      <c r="SVN417" s="246"/>
      <c r="SVO417" s="246" t="str">
        <f>BS!$D$5</f>
        <v>31 March 2026</v>
      </c>
      <c r="SVP417" s="247" t="str">
        <f>BS!$E$5</f>
        <v>31 March 2025</v>
      </c>
      <c r="SVQ417" s="1717"/>
      <c r="SVR417" s="1718"/>
      <c r="SVS417" s="1718"/>
      <c r="SVT417" s="1718"/>
      <c r="SVU417" s="1718"/>
      <c r="SVV417" s="246"/>
      <c r="SVW417" s="246" t="str">
        <f>BS!$D$5</f>
        <v>31 March 2026</v>
      </c>
      <c r="SVX417" s="247" t="str">
        <f>BS!$E$5</f>
        <v>31 March 2025</v>
      </c>
      <c r="SVY417" s="1717"/>
      <c r="SVZ417" s="1718"/>
      <c r="SWA417" s="1718"/>
      <c r="SWB417" s="1718"/>
      <c r="SWC417" s="1718"/>
      <c r="SWD417" s="246"/>
      <c r="SWE417" s="246" t="str">
        <f>BS!$D$5</f>
        <v>31 March 2026</v>
      </c>
      <c r="SWF417" s="247" t="str">
        <f>BS!$E$5</f>
        <v>31 March 2025</v>
      </c>
      <c r="SWG417" s="1717"/>
      <c r="SWH417" s="1718"/>
      <c r="SWI417" s="1718"/>
      <c r="SWJ417" s="1718"/>
      <c r="SWK417" s="1718"/>
      <c r="SWL417" s="246"/>
      <c r="SWM417" s="246" t="str">
        <f>BS!$D$5</f>
        <v>31 March 2026</v>
      </c>
      <c r="SWN417" s="247" t="str">
        <f>BS!$E$5</f>
        <v>31 March 2025</v>
      </c>
      <c r="SWO417" s="1717"/>
      <c r="SWP417" s="1718"/>
      <c r="SWQ417" s="1718"/>
      <c r="SWR417" s="1718"/>
      <c r="SWS417" s="1718"/>
      <c r="SWT417" s="246"/>
      <c r="SWU417" s="246" t="str">
        <f>BS!$D$5</f>
        <v>31 March 2026</v>
      </c>
      <c r="SWV417" s="247" t="str">
        <f>BS!$E$5</f>
        <v>31 March 2025</v>
      </c>
      <c r="SWW417" s="1717"/>
      <c r="SWX417" s="1718"/>
      <c r="SWY417" s="1718"/>
      <c r="SWZ417" s="1718"/>
      <c r="SXA417" s="1718"/>
      <c r="SXB417" s="246"/>
      <c r="SXC417" s="246" t="str">
        <f>BS!$D$5</f>
        <v>31 March 2026</v>
      </c>
      <c r="SXD417" s="247" t="str">
        <f>BS!$E$5</f>
        <v>31 March 2025</v>
      </c>
      <c r="SXE417" s="1717"/>
      <c r="SXF417" s="1718"/>
      <c r="SXG417" s="1718"/>
      <c r="SXH417" s="1718"/>
      <c r="SXI417" s="1718"/>
      <c r="SXJ417" s="246"/>
      <c r="SXK417" s="246" t="str">
        <f>BS!$D$5</f>
        <v>31 March 2026</v>
      </c>
      <c r="SXL417" s="247" t="str">
        <f>BS!$E$5</f>
        <v>31 March 2025</v>
      </c>
      <c r="SXM417" s="1717"/>
      <c r="SXN417" s="1718"/>
      <c r="SXO417" s="1718"/>
      <c r="SXP417" s="1718"/>
      <c r="SXQ417" s="1718"/>
      <c r="SXR417" s="246"/>
      <c r="SXS417" s="246" t="str">
        <f>BS!$D$5</f>
        <v>31 March 2026</v>
      </c>
      <c r="SXT417" s="247" t="str">
        <f>BS!$E$5</f>
        <v>31 March 2025</v>
      </c>
      <c r="SXU417" s="1717"/>
      <c r="SXV417" s="1718"/>
      <c r="SXW417" s="1718"/>
      <c r="SXX417" s="1718"/>
      <c r="SXY417" s="1718"/>
      <c r="SXZ417" s="246"/>
      <c r="SYA417" s="246" t="str">
        <f>BS!$D$5</f>
        <v>31 March 2026</v>
      </c>
      <c r="SYB417" s="247" t="str">
        <f>BS!$E$5</f>
        <v>31 March 2025</v>
      </c>
      <c r="SYC417" s="1717"/>
      <c r="SYD417" s="1718"/>
      <c r="SYE417" s="1718"/>
      <c r="SYF417" s="1718"/>
      <c r="SYG417" s="1718"/>
      <c r="SYH417" s="246"/>
      <c r="SYI417" s="246" t="str">
        <f>BS!$D$5</f>
        <v>31 March 2026</v>
      </c>
      <c r="SYJ417" s="247" t="str">
        <f>BS!$E$5</f>
        <v>31 March 2025</v>
      </c>
      <c r="SYK417" s="1717"/>
      <c r="SYL417" s="1718"/>
      <c r="SYM417" s="1718"/>
      <c r="SYN417" s="1718"/>
      <c r="SYO417" s="1718"/>
      <c r="SYP417" s="246"/>
      <c r="SYQ417" s="246" t="str">
        <f>BS!$D$5</f>
        <v>31 March 2026</v>
      </c>
      <c r="SYR417" s="247" t="str">
        <f>BS!$E$5</f>
        <v>31 March 2025</v>
      </c>
      <c r="SYS417" s="1717"/>
      <c r="SYT417" s="1718"/>
      <c r="SYU417" s="1718"/>
      <c r="SYV417" s="1718"/>
      <c r="SYW417" s="1718"/>
      <c r="SYX417" s="246"/>
      <c r="SYY417" s="246" t="str">
        <f>BS!$D$5</f>
        <v>31 March 2026</v>
      </c>
      <c r="SYZ417" s="247" t="str">
        <f>BS!$E$5</f>
        <v>31 March 2025</v>
      </c>
      <c r="SZA417" s="1717"/>
      <c r="SZB417" s="1718"/>
      <c r="SZC417" s="1718"/>
      <c r="SZD417" s="1718"/>
      <c r="SZE417" s="1718"/>
      <c r="SZF417" s="246"/>
      <c r="SZG417" s="246" t="str">
        <f>BS!$D$5</f>
        <v>31 March 2026</v>
      </c>
      <c r="SZH417" s="247" t="str">
        <f>BS!$E$5</f>
        <v>31 March 2025</v>
      </c>
      <c r="SZI417" s="1717"/>
      <c r="SZJ417" s="1718"/>
      <c r="SZK417" s="1718"/>
      <c r="SZL417" s="1718"/>
      <c r="SZM417" s="1718"/>
      <c r="SZN417" s="246"/>
      <c r="SZO417" s="246" t="str">
        <f>BS!$D$5</f>
        <v>31 March 2026</v>
      </c>
      <c r="SZP417" s="247" t="str">
        <f>BS!$E$5</f>
        <v>31 March 2025</v>
      </c>
      <c r="SZQ417" s="1717"/>
      <c r="SZR417" s="1718"/>
      <c r="SZS417" s="1718"/>
      <c r="SZT417" s="1718"/>
      <c r="SZU417" s="1718"/>
      <c r="SZV417" s="246"/>
      <c r="SZW417" s="246" t="str">
        <f>BS!$D$5</f>
        <v>31 March 2026</v>
      </c>
      <c r="SZX417" s="247" t="str">
        <f>BS!$E$5</f>
        <v>31 March 2025</v>
      </c>
      <c r="SZY417" s="1717"/>
      <c r="SZZ417" s="1718"/>
      <c r="TAA417" s="1718"/>
      <c r="TAB417" s="1718"/>
      <c r="TAC417" s="1718"/>
      <c r="TAD417" s="246"/>
      <c r="TAE417" s="246" t="str">
        <f>BS!$D$5</f>
        <v>31 March 2026</v>
      </c>
      <c r="TAF417" s="247" t="str">
        <f>BS!$E$5</f>
        <v>31 March 2025</v>
      </c>
      <c r="TAG417" s="1717"/>
      <c r="TAH417" s="1718"/>
      <c r="TAI417" s="1718"/>
      <c r="TAJ417" s="1718"/>
      <c r="TAK417" s="1718"/>
      <c r="TAL417" s="246"/>
      <c r="TAM417" s="246" t="str">
        <f>BS!$D$5</f>
        <v>31 March 2026</v>
      </c>
      <c r="TAN417" s="247" t="str">
        <f>BS!$E$5</f>
        <v>31 March 2025</v>
      </c>
      <c r="TAO417" s="1717"/>
      <c r="TAP417" s="1718"/>
      <c r="TAQ417" s="1718"/>
      <c r="TAR417" s="1718"/>
      <c r="TAS417" s="1718"/>
      <c r="TAT417" s="246"/>
      <c r="TAU417" s="246" t="str">
        <f>BS!$D$5</f>
        <v>31 March 2026</v>
      </c>
      <c r="TAV417" s="247" t="str">
        <f>BS!$E$5</f>
        <v>31 March 2025</v>
      </c>
      <c r="TAW417" s="1717"/>
      <c r="TAX417" s="1718"/>
      <c r="TAY417" s="1718"/>
      <c r="TAZ417" s="1718"/>
      <c r="TBA417" s="1718"/>
      <c r="TBB417" s="246"/>
      <c r="TBC417" s="246" t="str">
        <f>BS!$D$5</f>
        <v>31 March 2026</v>
      </c>
      <c r="TBD417" s="247" t="str">
        <f>BS!$E$5</f>
        <v>31 March 2025</v>
      </c>
      <c r="TBE417" s="1717"/>
      <c r="TBF417" s="1718"/>
      <c r="TBG417" s="1718"/>
      <c r="TBH417" s="1718"/>
      <c r="TBI417" s="1718"/>
      <c r="TBJ417" s="246"/>
      <c r="TBK417" s="246" t="str">
        <f>BS!$D$5</f>
        <v>31 March 2026</v>
      </c>
      <c r="TBL417" s="247" t="str">
        <f>BS!$E$5</f>
        <v>31 March 2025</v>
      </c>
      <c r="TBM417" s="1717"/>
      <c r="TBN417" s="1718"/>
      <c r="TBO417" s="1718"/>
      <c r="TBP417" s="1718"/>
      <c r="TBQ417" s="1718"/>
      <c r="TBR417" s="246"/>
      <c r="TBS417" s="246" t="str">
        <f>BS!$D$5</f>
        <v>31 March 2026</v>
      </c>
      <c r="TBT417" s="247" t="str">
        <f>BS!$E$5</f>
        <v>31 March 2025</v>
      </c>
      <c r="TBU417" s="1717"/>
      <c r="TBV417" s="1718"/>
      <c r="TBW417" s="1718"/>
      <c r="TBX417" s="1718"/>
      <c r="TBY417" s="1718"/>
      <c r="TBZ417" s="246"/>
      <c r="TCA417" s="246" t="str">
        <f>BS!$D$5</f>
        <v>31 March 2026</v>
      </c>
      <c r="TCB417" s="247" t="str">
        <f>BS!$E$5</f>
        <v>31 March 2025</v>
      </c>
      <c r="TCC417" s="1717"/>
      <c r="TCD417" s="1718"/>
      <c r="TCE417" s="1718"/>
      <c r="TCF417" s="1718"/>
      <c r="TCG417" s="1718"/>
      <c r="TCH417" s="246"/>
      <c r="TCI417" s="246" t="str">
        <f>BS!$D$5</f>
        <v>31 March 2026</v>
      </c>
      <c r="TCJ417" s="247" t="str">
        <f>BS!$E$5</f>
        <v>31 March 2025</v>
      </c>
      <c r="TCK417" s="1717"/>
      <c r="TCL417" s="1718"/>
      <c r="TCM417" s="1718"/>
      <c r="TCN417" s="1718"/>
      <c r="TCO417" s="1718"/>
      <c r="TCP417" s="246"/>
      <c r="TCQ417" s="246" t="str">
        <f>BS!$D$5</f>
        <v>31 March 2026</v>
      </c>
      <c r="TCR417" s="247" t="str">
        <f>BS!$E$5</f>
        <v>31 March 2025</v>
      </c>
      <c r="TCS417" s="1717"/>
      <c r="TCT417" s="1718"/>
      <c r="TCU417" s="1718"/>
      <c r="TCV417" s="1718"/>
      <c r="TCW417" s="1718"/>
      <c r="TCX417" s="246"/>
      <c r="TCY417" s="246" t="str">
        <f>BS!$D$5</f>
        <v>31 March 2026</v>
      </c>
      <c r="TCZ417" s="247" t="str">
        <f>BS!$E$5</f>
        <v>31 March 2025</v>
      </c>
      <c r="TDA417" s="1717"/>
      <c r="TDB417" s="1718"/>
      <c r="TDC417" s="1718"/>
      <c r="TDD417" s="1718"/>
      <c r="TDE417" s="1718"/>
      <c r="TDF417" s="246"/>
      <c r="TDG417" s="246" t="str">
        <f>BS!$D$5</f>
        <v>31 March 2026</v>
      </c>
      <c r="TDH417" s="247" t="str">
        <f>BS!$E$5</f>
        <v>31 March 2025</v>
      </c>
      <c r="TDI417" s="1717"/>
      <c r="TDJ417" s="1718"/>
      <c r="TDK417" s="1718"/>
      <c r="TDL417" s="1718"/>
      <c r="TDM417" s="1718"/>
      <c r="TDN417" s="246"/>
      <c r="TDO417" s="246" t="str">
        <f>BS!$D$5</f>
        <v>31 March 2026</v>
      </c>
      <c r="TDP417" s="247" t="str">
        <f>BS!$E$5</f>
        <v>31 March 2025</v>
      </c>
      <c r="TDQ417" s="1717"/>
      <c r="TDR417" s="1718"/>
      <c r="TDS417" s="1718"/>
      <c r="TDT417" s="1718"/>
      <c r="TDU417" s="1718"/>
      <c r="TDV417" s="246"/>
      <c r="TDW417" s="246" t="str">
        <f>BS!$D$5</f>
        <v>31 March 2026</v>
      </c>
      <c r="TDX417" s="247" t="str">
        <f>BS!$E$5</f>
        <v>31 March 2025</v>
      </c>
      <c r="TDY417" s="1717"/>
      <c r="TDZ417" s="1718"/>
      <c r="TEA417" s="1718"/>
      <c r="TEB417" s="1718"/>
      <c r="TEC417" s="1718"/>
      <c r="TED417" s="246"/>
      <c r="TEE417" s="246" t="str">
        <f>BS!$D$5</f>
        <v>31 March 2026</v>
      </c>
      <c r="TEF417" s="247" t="str">
        <f>BS!$E$5</f>
        <v>31 March 2025</v>
      </c>
      <c r="TEG417" s="1717"/>
      <c r="TEH417" s="1718"/>
      <c r="TEI417" s="1718"/>
      <c r="TEJ417" s="1718"/>
      <c r="TEK417" s="1718"/>
      <c r="TEL417" s="246"/>
      <c r="TEM417" s="246" t="str">
        <f>BS!$D$5</f>
        <v>31 March 2026</v>
      </c>
      <c r="TEN417" s="247" t="str">
        <f>BS!$E$5</f>
        <v>31 March 2025</v>
      </c>
      <c r="TEO417" s="1717"/>
      <c r="TEP417" s="1718"/>
      <c r="TEQ417" s="1718"/>
      <c r="TER417" s="1718"/>
      <c r="TES417" s="1718"/>
      <c r="TET417" s="246"/>
      <c r="TEU417" s="246" t="str">
        <f>BS!$D$5</f>
        <v>31 March 2026</v>
      </c>
      <c r="TEV417" s="247" t="str">
        <f>BS!$E$5</f>
        <v>31 March 2025</v>
      </c>
      <c r="TEW417" s="1717"/>
      <c r="TEX417" s="1718"/>
      <c r="TEY417" s="1718"/>
      <c r="TEZ417" s="1718"/>
      <c r="TFA417" s="1718"/>
      <c r="TFB417" s="246"/>
      <c r="TFC417" s="246" t="str">
        <f>BS!$D$5</f>
        <v>31 March 2026</v>
      </c>
      <c r="TFD417" s="247" t="str">
        <f>BS!$E$5</f>
        <v>31 March 2025</v>
      </c>
      <c r="TFE417" s="1717"/>
      <c r="TFF417" s="1718"/>
      <c r="TFG417" s="1718"/>
      <c r="TFH417" s="1718"/>
      <c r="TFI417" s="1718"/>
      <c r="TFJ417" s="246"/>
      <c r="TFK417" s="246" t="str">
        <f>BS!$D$5</f>
        <v>31 March 2026</v>
      </c>
      <c r="TFL417" s="247" t="str">
        <f>BS!$E$5</f>
        <v>31 March 2025</v>
      </c>
      <c r="TFM417" s="1717"/>
      <c r="TFN417" s="1718"/>
      <c r="TFO417" s="1718"/>
      <c r="TFP417" s="1718"/>
      <c r="TFQ417" s="1718"/>
      <c r="TFR417" s="246"/>
      <c r="TFS417" s="246" t="str">
        <f>BS!$D$5</f>
        <v>31 March 2026</v>
      </c>
      <c r="TFT417" s="247" t="str">
        <f>BS!$E$5</f>
        <v>31 March 2025</v>
      </c>
      <c r="TFU417" s="1717"/>
      <c r="TFV417" s="1718"/>
      <c r="TFW417" s="1718"/>
      <c r="TFX417" s="1718"/>
      <c r="TFY417" s="1718"/>
      <c r="TFZ417" s="246"/>
      <c r="TGA417" s="246" t="str">
        <f>BS!$D$5</f>
        <v>31 March 2026</v>
      </c>
      <c r="TGB417" s="247" t="str">
        <f>BS!$E$5</f>
        <v>31 March 2025</v>
      </c>
      <c r="TGC417" s="1717"/>
      <c r="TGD417" s="1718"/>
      <c r="TGE417" s="1718"/>
      <c r="TGF417" s="1718"/>
      <c r="TGG417" s="1718"/>
      <c r="TGH417" s="246"/>
      <c r="TGI417" s="246" t="str">
        <f>BS!$D$5</f>
        <v>31 March 2026</v>
      </c>
      <c r="TGJ417" s="247" t="str">
        <f>BS!$E$5</f>
        <v>31 March 2025</v>
      </c>
      <c r="TGK417" s="1717"/>
      <c r="TGL417" s="1718"/>
      <c r="TGM417" s="1718"/>
      <c r="TGN417" s="1718"/>
      <c r="TGO417" s="1718"/>
      <c r="TGP417" s="246"/>
      <c r="TGQ417" s="246" t="str">
        <f>BS!$D$5</f>
        <v>31 March 2026</v>
      </c>
      <c r="TGR417" s="247" t="str">
        <f>BS!$E$5</f>
        <v>31 March 2025</v>
      </c>
      <c r="TGS417" s="1717"/>
      <c r="TGT417" s="1718"/>
      <c r="TGU417" s="1718"/>
      <c r="TGV417" s="1718"/>
      <c r="TGW417" s="1718"/>
      <c r="TGX417" s="246"/>
      <c r="TGY417" s="246" t="str">
        <f>BS!$D$5</f>
        <v>31 March 2026</v>
      </c>
      <c r="TGZ417" s="247" t="str">
        <f>BS!$E$5</f>
        <v>31 March 2025</v>
      </c>
      <c r="THA417" s="1717"/>
      <c r="THB417" s="1718"/>
      <c r="THC417" s="1718"/>
      <c r="THD417" s="1718"/>
      <c r="THE417" s="1718"/>
      <c r="THF417" s="246"/>
      <c r="THG417" s="246" t="str">
        <f>BS!$D$5</f>
        <v>31 March 2026</v>
      </c>
      <c r="THH417" s="247" t="str">
        <f>BS!$E$5</f>
        <v>31 March 2025</v>
      </c>
      <c r="THI417" s="1717"/>
      <c r="THJ417" s="1718"/>
      <c r="THK417" s="1718"/>
      <c r="THL417" s="1718"/>
      <c r="THM417" s="1718"/>
      <c r="THN417" s="246"/>
      <c r="THO417" s="246" t="str">
        <f>BS!$D$5</f>
        <v>31 March 2026</v>
      </c>
      <c r="THP417" s="247" t="str">
        <f>BS!$E$5</f>
        <v>31 March 2025</v>
      </c>
      <c r="THQ417" s="1717"/>
      <c r="THR417" s="1718"/>
      <c r="THS417" s="1718"/>
      <c r="THT417" s="1718"/>
      <c r="THU417" s="1718"/>
      <c r="THV417" s="246"/>
      <c r="THW417" s="246" t="str">
        <f>BS!$D$5</f>
        <v>31 March 2026</v>
      </c>
      <c r="THX417" s="247" t="str">
        <f>BS!$E$5</f>
        <v>31 March 2025</v>
      </c>
      <c r="THY417" s="1717"/>
      <c r="THZ417" s="1718"/>
      <c r="TIA417" s="1718"/>
      <c r="TIB417" s="1718"/>
      <c r="TIC417" s="1718"/>
      <c r="TID417" s="246"/>
      <c r="TIE417" s="246" t="str">
        <f>BS!$D$5</f>
        <v>31 March 2026</v>
      </c>
      <c r="TIF417" s="247" t="str">
        <f>BS!$E$5</f>
        <v>31 March 2025</v>
      </c>
      <c r="TIG417" s="1717"/>
      <c r="TIH417" s="1718"/>
      <c r="TII417" s="1718"/>
      <c r="TIJ417" s="1718"/>
      <c r="TIK417" s="1718"/>
      <c r="TIL417" s="246"/>
      <c r="TIM417" s="246" t="str">
        <f>BS!$D$5</f>
        <v>31 March 2026</v>
      </c>
      <c r="TIN417" s="247" t="str">
        <f>BS!$E$5</f>
        <v>31 March 2025</v>
      </c>
      <c r="TIO417" s="1717"/>
      <c r="TIP417" s="1718"/>
      <c r="TIQ417" s="1718"/>
      <c r="TIR417" s="1718"/>
      <c r="TIS417" s="1718"/>
      <c r="TIT417" s="246"/>
      <c r="TIU417" s="246" t="str">
        <f>BS!$D$5</f>
        <v>31 March 2026</v>
      </c>
      <c r="TIV417" s="247" t="str">
        <f>BS!$E$5</f>
        <v>31 March 2025</v>
      </c>
      <c r="TIW417" s="1717"/>
      <c r="TIX417" s="1718"/>
      <c r="TIY417" s="1718"/>
      <c r="TIZ417" s="1718"/>
      <c r="TJA417" s="1718"/>
      <c r="TJB417" s="246"/>
      <c r="TJC417" s="246" t="str">
        <f>BS!$D$5</f>
        <v>31 March 2026</v>
      </c>
      <c r="TJD417" s="247" t="str">
        <f>BS!$E$5</f>
        <v>31 March 2025</v>
      </c>
      <c r="TJE417" s="1717"/>
      <c r="TJF417" s="1718"/>
      <c r="TJG417" s="1718"/>
      <c r="TJH417" s="1718"/>
      <c r="TJI417" s="1718"/>
      <c r="TJJ417" s="246"/>
      <c r="TJK417" s="246" t="str">
        <f>BS!$D$5</f>
        <v>31 March 2026</v>
      </c>
      <c r="TJL417" s="247" t="str">
        <f>BS!$E$5</f>
        <v>31 March 2025</v>
      </c>
      <c r="TJM417" s="1717"/>
      <c r="TJN417" s="1718"/>
      <c r="TJO417" s="1718"/>
      <c r="TJP417" s="1718"/>
      <c r="TJQ417" s="1718"/>
      <c r="TJR417" s="246"/>
      <c r="TJS417" s="246" t="str">
        <f>BS!$D$5</f>
        <v>31 March 2026</v>
      </c>
      <c r="TJT417" s="247" t="str">
        <f>BS!$E$5</f>
        <v>31 March 2025</v>
      </c>
      <c r="TJU417" s="1717"/>
      <c r="TJV417" s="1718"/>
      <c r="TJW417" s="1718"/>
      <c r="TJX417" s="1718"/>
      <c r="TJY417" s="1718"/>
      <c r="TJZ417" s="246"/>
      <c r="TKA417" s="246" t="str">
        <f>BS!$D$5</f>
        <v>31 March 2026</v>
      </c>
      <c r="TKB417" s="247" t="str">
        <f>BS!$E$5</f>
        <v>31 March 2025</v>
      </c>
      <c r="TKC417" s="1717"/>
      <c r="TKD417" s="1718"/>
      <c r="TKE417" s="1718"/>
      <c r="TKF417" s="1718"/>
      <c r="TKG417" s="1718"/>
      <c r="TKH417" s="246"/>
      <c r="TKI417" s="246" t="str">
        <f>BS!$D$5</f>
        <v>31 March 2026</v>
      </c>
      <c r="TKJ417" s="247" t="str">
        <f>BS!$E$5</f>
        <v>31 March 2025</v>
      </c>
      <c r="TKK417" s="1717"/>
      <c r="TKL417" s="1718"/>
      <c r="TKM417" s="1718"/>
      <c r="TKN417" s="1718"/>
      <c r="TKO417" s="1718"/>
      <c r="TKP417" s="246"/>
      <c r="TKQ417" s="246" t="str">
        <f>BS!$D$5</f>
        <v>31 March 2026</v>
      </c>
      <c r="TKR417" s="247" t="str">
        <f>BS!$E$5</f>
        <v>31 March 2025</v>
      </c>
      <c r="TKS417" s="1717"/>
      <c r="TKT417" s="1718"/>
      <c r="TKU417" s="1718"/>
      <c r="TKV417" s="1718"/>
      <c r="TKW417" s="1718"/>
      <c r="TKX417" s="246"/>
      <c r="TKY417" s="246" t="str">
        <f>BS!$D$5</f>
        <v>31 March 2026</v>
      </c>
      <c r="TKZ417" s="247" t="str">
        <f>BS!$E$5</f>
        <v>31 March 2025</v>
      </c>
      <c r="TLA417" s="1717"/>
      <c r="TLB417" s="1718"/>
      <c r="TLC417" s="1718"/>
      <c r="TLD417" s="1718"/>
      <c r="TLE417" s="1718"/>
      <c r="TLF417" s="246"/>
      <c r="TLG417" s="246" t="str">
        <f>BS!$D$5</f>
        <v>31 March 2026</v>
      </c>
      <c r="TLH417" s="247" t="str">
        <f>BS!$E$5</f>
        <v>31 March 2025</v>
      </c>
      <c r="TLI417" s="1717"/>
      <c r="TLJ417" s="1718"/>
      <c r="TLK417" s="1718"/>
      <c r="TLL417" s="1718"/>
      <c r="TLM417" s="1718"/>
      <c r="TLN417" s="246"/>
      <c r="TLO417" s="246" t="str">
        <f>BS!$D$5</f>
        <v>31 March 2026</v>
      </c>
      <c r="TLP417" s="247" t="str">
        <f>BS!$E$5</f>
        <v>31 March 2025</v>
      </c>
      <c r="TLQ417" s="1717"/>
      <c r="TLR417" s="1718"/>
      <c r="TLS417" s="1718"/>
      <c r="TLT417" s="1718"/>
      <c r="TLU417" s="1718"/>
      <c r="TLV417" s="246"/>
      <c r="TLW417" s="246" t="str">
        <f>BS!$D$5</f>
        <v>31 March 2026</v>
      </c>
      <c r="TLX417" s="247" t="str">
        <f>BS!$E$5</f>
        <v>31 March 2025</v>
      </c>
      <c r="TLY417" s="1717"/>
      <c r="TLZ417" s="1718"/>
      <c r="TMA417" s="1718"/>
      <c r="TMB417" s="1718"/>
      <c r="TMC417" s="1718"/>
      <c r="TMD417" s="246"/>
      <c r="TME417" s="246" t="str">
        <f>BS!$D$5</f>
        <v>31 March 2026</v>
      </c>
      <c r="TMF417" s="247" t="str">
        <f>BS!$E$5</f>
        <v>31 March 2025</v>
      </c>
      <c r="TMG417" s="1717"/>
      <c r="TMH417" s="1718"/>
      <c r="TMI417" s="1718"/>
      <c r="TMJ417" s="1718"/>
      <c r="TMK417" s="1718"/>
      <c r="TML417" s="246"/>
      <c r="TMM417" s="246" t="str">
        <f>BS!$D$5</f>
        <v>31 March 2026</v>
      </c>
      <c r="TMN417" s="247" t="str">
        <f>BS!$E$5</f>
        <v>31 March 2025</v>
      </c>
      <c r="TMO417" s="1717"/>
      <c r="TMP417" s="1718"/>
      <c r="TMQ417" s="1718"/>
      <c r="TMR417" s="1718"/>
      <c r="TMS417" s="1718"/>
      <c r="TMT417" s="246"/>
      <c r="TMU417" s="246" t="str">
        <f>BS!$D$5</f>
        <v>31 March 2026</v>
      </c>
      <c r="TMV417" s="247" t="str">
        <f>BS!$E$5</f>
        <v>31 March 2025</v>
      </c>
      <c r="TMW417" s="1717"/>
      <c r="TMX417" s="1718"/>
      <c r="TMY417" s="1718"/>
      <c r="TMZ417" s="1718"/>
      <c r="TNA417" s="1718"/>
      <c r="TNB417" s="246"/>
      <c r="TNC417" s="246" t="str">
        <f>BS!$D$5</f>
        <v>31 March 2026</v>
      </c>
      <c r="TND417" s="247" t="str">
        <f>BS!$E$5</f>
        <v>31 March 2025</v>
      </c>
      <c r="TNE417" s="1717"/>
      <c r="TNF417" s="1718"/>
      <c r="TNG417" s="1718"/>
      <c r="TNH417" s="1718"/>
      <c r="TNI417" s="1718"/>
      <c r="TNJ417" s="246"/>
      <c r="TNK417" s="246" t="str">
        <f>BS!$D$5</f>
        <v>31 March 2026</v>
      </c>
      <c r="TNL417" s="247" t="str">
        <f>BS!$E$5</f>
        <v>31 March 2025</v>
      </c>
      <c r="TNM417" s="1717"/>
      <c r="TNN417" s="1718"/>
      <c r="TNO417" s="1718"/>
      <c r="TNP417" s="1718"/>
      <c r="TNQ417" s="1718"/>
      <c r="TNR417" s="246"/>
      <c r="TNS417" s="246" t="str">
        <f>BS!$D$5</f>
        <v>31 March 2026</v>
      </c>
      <c r="TNT417" s="247" t="str">
        <f>BS!$E$5</f>
        <v>31 March 2025</v>
      </c>
      <c r="TNU417" s="1717"/>
      <c r="TNV417" s="1718"/>
      <c r="TNW417" s="1718"/>
      <c r="TNX417" s="1718"/>
      <c r="TNY417" s="1718"/>
      <c r="TNZ417" s="246"/>
      <c r="TOA417" s="246" t="str">
        <f>BS!$D$5</f>
        <v>31 March 2026</v>
      </c>
      <c r="TOB417" s="247" t="str">
        <f>BS!$E$5</f>
        <v>31 March 2025</v>
      </c>
      <c r="TOC417" s="1717"/>
      <c r="TOD417" s="1718"/>
      <c r="TOE417" s="1718"/>
      <c r="TOF417" s="1718"/>
      <c r="TOG417" s="1718"/>
      <c r="TOH417" s="246"/>
      <c r="TOI417" s="246" t="str">
        <f>BS!$D$5</f>
        <v>31 March 2026</v>
      </c>
      <c r="TOJ417" s="247" t="str">
        <f>BS!$E$5</f>
        <v>31 March 2025</v>
      </c>
      <c r="TOK417" s="1717"/>
      <c r="TOL417" s="1718"/>
      <c r="TOM417" s="1718"/>
      <c r="TON417" s="1718"/>
      <c r="TOO417" s="1718"/>
      <c r="TOP417" s="246"/>
      <c r="TOQ417" s="246" t="str">
        <f>BS!$D$5</f>
        <v>31 March 2026</v>
      </c>
      <c r="TOR417" s="247" t="str">
        <f>BS!$E$5</f>
        <v>31 March 2025</v>
      </c>
      <c r="TOS417" s="1717"/>
      <c r="TOT417" s="1718"/>
      <c r="TOU417" s="1718"/>
      <c r="TOV417" s="1718"/>
      <c r="TOW417" s="1718"/>
      <c r="TOX417" s="246"/>
      <c r="TOY417" s="246" t="str">
        <f>BS!$D$5</f>
        <v>31 March 2026</v>
      </c>
      <c r="TOZ417" s="247" t="str">
        <f>BS!$E$5</f>
        <v>31 March 2025</v>
      </c>
      <c r="TPA417" s="1717"/>
      <c r="TPB417" s="1718"/>
      <c r="TPC417" s="1718"/>
      <c r="TPD417" s="1718"/>
      <c r="TPE417" s="1718"/>
      <c r="TPF417" s="246"/>
      <c r="TPG417" s="246" t="str">
        <f>BS!$D$5</f>
        <v>31 March 2026</v>
      </c>
      <c r="TPH417" s="247" t="str">
        <f>BS!$E$5</f>
        <v>31 March 2025</v>
      </c>
      <c r="TPI417" s="1717"/>
      <c r="TPJ417" s="1718"/>
      <c r="TPK417" s="1718"/>
      <c r="TPL417" s="1718"/>
      <c r="TPM417" s="1718"/>
      <c r="TPN417" s="246"/>
      <c r="TPO417" s="246" t="str">
        <f>BS!$D$5</f>
        <v>31 March 2026</v>
      </c>
      <c r="TPP417" s="247" t="str">
        <f>BS!$E$5</f>
        <v>31 March 2025</v>
      </c>
      <c r="TPQ417" s="1717"/>
      <c r="TPR417" s="1718"/>
      <c r="TPS417" s="1718"/>
      <c r="TPT417" s="1718"/>
      <c r="TPU417" s="1718"/>
      <c r="TPV417" s="246"/>
      <c r="TPW417" s="246" t="str">
        <f>BS!$D$5</f>
        <v>31 March 2026</v>
      </c>
      <c r="TPX417" s="247" t="str">
        <f>BS!$E$5</f>
        <v>31 March 2025</v>
      </c>
      <c r="TPY417" s="1717"/>
      <c r="TPZ417" s="1718"/>
      <c r="TQA417" s="1718"/>
      <c r="TQB417" s="1718"/>
      <c r="TQC417" s="1718"/>
      <c r="TQD417" s="246"/>
      <c r="TQE417" s="246" t="str">
        <f>BS!$D$5</f>
        <v>31 March 2026</v>
      </c>
      <c r="TQF417" s="247" t="str">
        <f>BS!$E$5</f>
        <v>31 March 2025</v>
      </c>
      <c r="TQG417" s="1717"/>
      <c r="TQH417" s="1718"/>
      <c r="TQI417" s="1718"/>
      <c r="TQJ417" s="1718"/>
      <c r="TQK417" s="1718"/>
      <c r="TQL417" s="246"/>
      <c r="TQM417" s="246" t="str">
        <f>BS!$D$5</f>
        <v>31 March 2026</v>
      </c>
      <c r="TQN417" s="247" t="str">
        <f>BS!$E$5</f>
        <v>31 March 2025</v>
      </c>
      <c r="TQO417" s="1717"/>
      <c r="TQP417" s="1718"/>
      <c r="TQQ417" s="1718"/>
      <c r="TQR417" s="1718"/>
      <c r="TQS417" s="1718"/>
      <c r="TQT417" s="246"/>
      <c r="TQU417" s="246" t="str">
        <f>BS!$D$5</f>
        <v>31 March 2026</v>
      </c>
      <c r="TQV417" s="247" t="str">
        <f>BS!$E$5</f>
        <v>31 March 2025</v>
      </c>
      <c r="TQW417" s="1717"/>
      <c r="TQX417" s="1718"/>
      <c r="TQY417" s="1718"/>
      <c r="TQZ417" s="1718"/>
      <c r="TRA417" s="1718"/>
      <c r="TRB417" s="246"/>
      <c r="TRC417" s="246" t="str">
        <f>BS!$D$5</f>
        <v>31 March 2026</v>
      </c>
      <c r="TRD417" s="247" t="str">
        <f>BS!$E$5</f>
        <v>31 March 2025</v>
      </c>
      <c r="TRE417" s="1717"/>
      <c r="TRF417" s="1718"/>
      <c r="TRG417" s="1718"/>
      <c r="TRH417" s="1718"/>
      <c r="TRI417" s="1718"/>
      <c r="TRJ417" s="246"/>
      <c r="TRK417" s="246" t="str">
        <f>BS!$D$5</f>
        <v>31 March 2026</v>
      </c>
      <c r="TRL417" s="247" t="str">
        <f>BS!$E$5</f>
        <v>31 March 2025</v>
      </c>
      <c r="TRM417" s="1717"/>
      <c r="TRN417" s="1718"/>
      <c r="TRO417" s="1718"/>
      <c r="TRP417" s="1718"/>
      <c r="TRQ417" s="1718"/>
      <c r="TRR417" s="246"/>
      <c r="TRS417" s="246" t="str">
        <f>BS!$D$5</f>
        <v>31 March 2026</v>
      </c>
      <c r="TRT417" s="247" t="str">
        <f>BS!$E$5</f>
        <v>31 March 2025</v>
      </c>
      <c r="TRU417" s="1717"/>
      <c r="TRV417" s="1718"/>
      <c r="TRW417" s="1718"/>
      <c r="TRX417" s="1718"/>
      <c r="TRY417" s="1718"/>
      <c r="TRZ417" s="246"/>
      <c r="TSA417" s="246" t="str">
        <f>BS!$D$5</f>
        <v>31 March 2026</v>
      </c>
      <c r="TSB417" s="247" t="str">
        <f>BS!$E$5</f>
        <v>31 March 2025</v>
      </c>
      <c r="TSC417" s="1717"/>
      <c r="TSD417" s="1718"/>
      <c r="TSE417" s="1718"/>
      <c r="TSF417" s="1718"/>
      <c r="TSG417" s="1718"/>
      <c r="TSH417" s="246"/>
      <c r="TSI417" s="246" t="str">
        <f>BS!$D$5</f>
        <v>31 March 2026</v>
      </c>
      <c r="TSJ417" s="247" t="str">
        <f>BS!$E$5</f>
        <v>31 March 2025</v>
      </c>
      <c r="TSK417" s="1717"/>
      <c r="TSL417" s="1718"/>
      <c r="TSM417" s="1718"/>
      <c r="TSN417" s="1718"/>
      <c r="TSO417" s="1718"/>
      <c r="TSP417" s="246"/>
      <c r="TSQ417" s="246" t="str">
        <f>BS!$D$5</f>
        <v>31 March 2026</v>
      </c>
      <c r="TSR417" s="247" t="str">
        <f>BS!$E$5</f>
        <v>31 March 2025</v>
      </c>
      <c r="TSS417" s="1717"/>
      <c r="TST417" s="1718"/>
      <c r="TSU417" s="1718"/>
      <c r="TSV417" s="1718"/>
      <c r="TSW417" s="1718"/>
      <c r="TSX417" s="246"/>
      <c r="TSY417" s="246" t="str">
        <f>BS!$D$5</f>
        <v>31 March 2026</v>
      </c>
      <c r="TSZ417" s="247" t="str">
        <f>BS!$E$5</f>
        <v>31 March 2025</v>
      </c>
      <c r="TTA417" s="1717"/>
      <c r="TTB417" s="1718"/>
      <c r="TTC417" s="1718"/>
      <c r="TTD417" s="1718"/>
      <c r="TTE417" s="1718"/>
      <c r="TTF417" s="246"/>
      <c r="TTG417" s="246" t="str">
        <f>BS!$D$5</f>
        <v>31 March 2026</v>
      </c>
      <c r="TTH417" s="247" t="str">
        <f>BS!$E$5</f>
        <v>31 March 2025</v>
      </c>
      <c r="TTI417" s="1717"/>
      <c r="TTJ417" s="1718"/>
      <c r="TTK417" s="1718"/>
      <c r="TTL417" s="1718"/>
      <c r="TTM417" s="1718"/>
      <c r="TTN417" s="246"/>
      <c r="TTO417" s="246" t="str">
        <f>BS!$D$5</f>
        <v>31 March 2026</v>
      </c>
      <c r="TTP417" s="247" t="str">
        <f>BS!$E$5</f>
        <v>31 March 2025</v>
      </c>
      <c r="TTQ417" s="1717"/>
      <c r="TTR417" s="1718"/>
      <c r="TTS417" s="1718"/>
      <c r="TTT417" s="1718"/>
      <c r="TTU417" s="1718"/>
      <c r="TTV417" s="246"/>
      <c r="TTW417" s="246" t="str">
        <f>BS!$D$5</f>
        <v>31 March 2026</v>
      </c>
      <c r="TTX417" s="247" t="str">
        <f>BS!$E$5</f>
        <v>31 March 2025</v>
      </c>
      <c r="TTY417" s="1717"/>
      <c r="TTZ417" s="1718"/>
      <c r="TUA417" s="1718"/>
      <c r="TUB417" s="1718"/>
      <c r="TUC417" s="1718"/>
      <c r="TUD417" s="246"/>
      <c r="TUE417" s="246" t="str">
        <f>BS!$D$5</f>
        <v>31 March 2026</v>
      </c>
      <c r="TUF417" s="247" t="str">
        <f>BS!$E$5</f>
        <v>31 March 2025</v>
      </c>
      <c r="TUG417" s="1717"/>
      <c r="TUH417" s="1718"/>
      <c r="TUI417" s="1718"/>
      <c r="TUJ417" s="1718"/>
      <c r="TUK417" s="1718"/>
      <c r="TUL417" s="246"/>
      <c r="TUM417" s="246" t="str">
        <f>BS!$D$5</f>
        <v>31 March 2026</v>
      </c>
      <c r="TUN417" s="247" t="str">
        <f>BS!$E$5</f>
        <v>31 March 2025</v>
      </c>
      <c r="TUO417" s="1717"/>
      <c r="TUP417" s="1718"/>
      <c r="TUQ417" s="1718"/>
      <c r="TUR417" s="1718"/>
      <c r="TUS417" s="1718"/>
      <c r="TUT417" s="246"/>
      <c r="TUU417" s="246" t="str">
        <f>BS!$D$5</f>
        <v>31 March 2026</v>
      </c>
      <c r="TUV417" s="247" t="str">
        <f>BS!$E$5</f>
        <v>31 March 2025</v>
      </c>
      <c r="TUW417" s="1717"/>
      <c r="TUX417" s="1718"/>
      <c r="TUY417" s="1718"/>
      <c r="TUZ417" s="1718"/>
      <c r="TVA417" s="1718"/>
      <c r="TVB417" s="246"/>
      <c r="TVC417" s="246" t="str">
        <f>BS!$D$5</f>
        <v>31 March 2026</v>
      </c>
      <c r="TVD417" s="247" t="str">
        <f>BS!$E$5</f>
        <v>31 March 2025</v>
      </c>
      <c r="TVE417" s="1717"/>
      <c r="TVF417" s="1718"/>
      <c r="TVG417" s="1718"/>
      <c r="TVH417" s="1718"/>
      <c r="TVI417" s="1718"/>
      <c r="TVJ417" s="246"/>
      <c r="TVK417" s="246" t="str">
        <f>BS!$D$5</f>
        <v>31 March 2026</v>
      </c>
      <c r="TVL417" s="247" t="str">
        <f>BS!$E$5</f>
        <v>31 March 2025</v>
      </c>
      <c r="TVM417" s="1717"/>
      <c r="TVN417" s="1718"/>
      <c r="TVO417" s="1718"/>
      <c r="TVP417" s="1718"/>
      <c r="TVQ417" s="1718"/>
      <c r="TVR417" s="246"/>
      <c r="TVS417" s="246" t="str">
        <f>BS!$D$5</f>
        <v>31 March 2026</v>
      </c>
      <c r="TVT417" s="247" t="str">
        <f>BS!$E$5</f>
        <v>31 March 2025</v>
      </c>
      <c r="TVU417" s="1717"/>
      <c r="TVV417" s="1718"/>
      <c r="TVW417" s="1718"/>
      <c r="TVX417" s="1718"/>
      <c r="TVY417" s="1718"/>
      <c r="TVZ417" s="246"/>
      <c r="TWA417" s="246" t="str">
        <f>BS!$D$5</f>
        <v>31 March 2026</v>
      </c>
      <c r="TWB417" s="247" t="str">
        <f>BS!$E$5</f>
        <v>31 March 2025</v>
      </c>
      <c r="TWC417" s="1717"/>
      <c r="TWD417" s="1718"/>
      <c r="TWE417" s="1718"/>
      <c r="TWF417" s="1718"/>
      <c r="TWG417" s="1718"/>
      <c r="TWH417" s="246"/>
      <c r="TWI417" s="246" t="str">
        <f>BS!$D$5</f>
        <v>31 March 2026</v>
      </c>
      <c r="TWJ417" s="247" t="str">
        <f>BS!$E$5</f>
        <v>31 March 2025</v>
      </c>
      <c r="TWK417" s="1717"/>
      <c r="TWL417" s="1718"/>
      <c r="TWM417" s="1718"/>
      <c r="TWN417" s="1718"/>
      <c r="TWO417" s="1718"/>
      <c r="TWP417" s="246"/>
      <c r="TWQ417" s="246" t="str">
        <f>BS!$D$5</f>
        <v>31 March 2026</v>
      </c>
      <c r="TWR417" s="247" t="str">
        <f>BS!$E$5</f>
        <v>31 March 2025</v>
      </c>
      <c r="TWS417" s="1717"/>
      <c r="TWT417" s="1718"/>
      <c r="TWU417" s="1718"/>
      <c r="TWV417" s="1718"/>
      <c r="TWW417" s="1718"/>
      <c r="TWX417" s="246"/>
      <c r="TWY417" s="246" t="str">
        <f>BS!$D$5</f>
        <v>31 March 2026</v>
      </c>
      <c r="TWZ417" s="247" t="str">
        <f>BS!$E$5</f>
        <v>31 March 2025</v>
      </c>
      <c r="TXA417" s="1717"/>
      <c r="TXB417" s="1718"/>
      <c r="TXC417" s="1718"/>
      <c r="TXD417" s="1718"/>
      <c r="TXE417" s="1718"/>
      <c r="TXF417" s="246"/>
      <c r="TXG417" s="246" t="str">
        <f>BS!$D$5</f>
        <v>31 March 2026</v>
      </c>
      <c r="TXH417" s="247" t="str">
        <f>BS!$E$5</f>
        <v>31 March 2025</v>
      </c>
      <c r="TXI417" s="1717"/>
      <c r="TXJ417" s="1718"/>
      <c r="TXK417" s="1718"/>
      <c r="TXL417" s="1718"/>
      <c r="TXM417" s="1718"/>
      <c r="TXN417" s="246"/>
      <c r="TXO417" s="246" t="str">
        <f>BS!$D$5</f>
        <v>31 March 2026</v>
      </c>
      <c r="TXP417" s="247" t="str">
        <f>BS!$E$5</f>
        <v>31 March 2025</v>
      </c>
      <c r="TXQ417" s="1717"/>
      <c r="TXR417" s="1718"/>
      <c r="TXS417" s="1718"/>
      <c r="TXT417" s="1718"/>
      <c r="TXU417" s="1718"/>
      <c r="TXV417" s="246"/>
      <c r="TXW417" s="246" t="str">
        <f>BS!$D$5</f>
        <v>31 March 2026</v>
      </c>
      <c r="TXX417" s="247" t="str">
        <f>BS!$E$5</f>
        <v>31 March 2025</v>
      </c>
      <c r="TXY417" s="1717"/>
      <c r="TXZ417" s="1718"/>
      <c r="TYA417" s="1718"/>
      <c r="TYB417" s="1718"/>
      <c r="TYC417" s="1718"/>
      <c r="TYD417" s="246"/>
      <c r="TYE417" s="246" t="str">
        <f>BS!$D$5</f>
        <v>31 March 2026</v>
      </c>
      <c r="TYF417" s="247" t="str">
        <f>BS!$E$5</f>
        <v>31 March 2025</v>
      </c>
      <c r="TYG417" s="1717"/>
      <c r="TYH417" s="1718"/>
      <c r="TYI417" s="1718"/>
      <c r="TYJ417" s="1718"/>
      <c r="TYK417" s="1718"/>
      <c r="TYL417" s="246"/>
      <c r="TYM417" s="246" t="str">
        <f>BS!$D$5</f>
        <v>31 March 2026</v>
      </c>
      <c r="TYN417" s="247" t="str">
        <f>BS!$E$5</f>
        <v>31 March 2025</v>
      </c>
      <c r="TYO417" s="1717"/>
      <c r="TYP417" s="1718"/>
      <c r="TYQ417" s="1718"/>
      <c r="TYR417" s="1718"/>
      <c r="TYS417" s="1718"/>
      <c r="TYT417" s="246"/>
      <c r="TYU417" s="246" t="str">
        <f>BS!$D$5</f>
        <v>31 March 2026</v>
      </c>
      <c r="TYV417" s="247" t="str">
        <f>BS!$E$5</f>
        <v>31 March 2025</v>
      </c>
      <c r="TYW417" s="1717"/>
      <c r="TYX417" s="1718"/>
      <c r="TYY417" s="1718"/>
      <c r="TYZ417" s="1718"/>
      <c r="TZA417" s="1718"/>
      <c r="TZB417" s="246"/>
      <c r="TZC417" s="246" t="str">
        <f>BS!$D$5</f>
        <v>31 March 2026</v>
      </c>
      <c r="TZD417" s="247" t="str">
        <f>BS!$E$5</f>
        <v>31 March 2025</v>
      </c>
      <c r="TZE417" s="1717"/>
      <c r="TZF417" s="1718"/>
      <c r="TZG417" s="1718"/>
      <c r="TZH417" s="1718"/>
      <c r="TZI417" s="1718"/>
      <c r="TZJ417" s="246"/>
      <c r="TZK417" s="246" t="str">
        <f>BS!$D$5</f>
        <v>31 March 2026</v>
      </c>
      <c r="TZL417" s="247" t="str">
        <f>BS!$E$5</f>
        <v>31 March 2025</v>
      </c>
      <c r="TZM417" s="1717"/>
      <c r="TZN417" s="1718"/>
      <c r="TZO417" s="1718"/>
      <c r="TZP417" s="1718"/>
      <c r="TZQ417" s="1718"/>
      <c r="TZR417" s="246"/>
      <c r="TZS417" s="246" t="str">
        <f>BS!$D$5</f>
        <v>31 March 2026</v>
      </c>
      <c r="TZT417" s="247" t="str">
        <f>BS!$E$5</f>
        <v>31 March 2025</v>
      </c>
      <c r="TZU417" s="1717"/>
      <c r="TZV417" s="1718"/>
      <c r="TZW417" s="1718"/>
      <c r="TZX417" s="1718"/>
      <c r="TZY417" s="1718"/>
      <c r="TZZ417" s="246"/>
      <c r="UAA417" s="246" t="str">
        <f>BS!$D$5</f>
        <v>31 March 2026</v>
      </c>
      <c r="UAB417" s="247" t="str">
        <f>BS!$E$5</f>
        <v>31 March 2025</v>
      </c>
      <c r="UAC417" s="1717"/>
      <c r="UAD417" s="1718"/>
      <c r="UAE417" s="1718"/>
      <c r="UAF417" s="1718"/>
      <c r="UAG417" s="1718"/>
      <c r="UAH417" s="246"/>
      <c r="UAI417" s="246" t="str">
        <f>BS!$D$5</f>
        <v>31 March 2026</v>
      </c>
      <c r="UAJ417" s="247" t="str">
        <f>BS!$E$5</f>
        <v>31 March 2025</v>
      </c>
      <c r="UAK417" s="1717"/>
      <c r="UAL417" s="1718"/>
      <c r="UAM417" s="1718"/>
      <c r="UAN417" s="1718"/>
      <c r="UAO417" s="1718"/>
      <c r="UAP417" s="246"/>
      <c r="UAQ417" s="246" t="str">
        <f>BS!$D$5</f>
        <v>31 March 2026</v>
      </c>
      <c r="UAR417" s="247" t="str">
        <f>BS!$E$5</f>
        <v>31 March 2025</v>
      </c>
      <c r="UAS417" s="1717"/>
      <c r="UAT417" s="1718"/>
      <c r="UAU417" s="1718"/>
      <c r="UAV417" s="1718"/>
      <c r="UAW417" s="1718"/>
      <c r="UAX417" s="246"/>
      <c r="UAY417" s="246" t="str">
        <f>BS!$D$5</f>
        <v>31 March 2026</v>
      </c>
      <c r="UAZ417" s="247" t="str">
        <f>BS!$E$5</f>
        <v>31 March 2025</v>
      </c>
      <c r="UBA417" s="1717"/>
      <c r="UBB417" s="1718"/>
      <c r="UBC417" s="1718"/>
      <c r="UBD417" s="1718"/>
      <c r="UBE417" s="1718"/>
      <c r="UBF417" s="246"/>
      <c r="UBG417" s="246" t="str">
        <f>BS!$D$5</f>
        <v>31 March 2026</v>
      </c>
      <c r="UBH417" s="247" t="str">
        <f>BS!$E$5</f>
        <v>31 March 2025</v>
      </c>
      <c r="UBI417" s="1717"/>
      <c r="UBJ417" s="1718"/>
      <c r="UBK417" s="1718"/>
      <c r="UBL417" s="1718"/>
      <c r="UBM417" s="1718"/>
      <c r="UBN417" s="246"/>
      <c r="UBO417" s="246" t="str">
        <f>BS!$D$5</f>
        <v>31 March 2026</v>
      </c>
      <c r="UBP417" s="247" t="str">
        <f>BS!$E$5</f>
        <v>31 March 2025</v>
      </c>
      <c r="UBQ417" s="1717"/>
      <c r="UBR417" s="1718"/>
      <c r="UBS417" s="1718"/>
      <c r="UBT417" s="1718"/>
      <c r="UBU417" s="1718"/>
      <c r="UBV417" s="246"/>
      <c r="UBW417" s="246" t="str">
        <f>BS!$D$5</f>
        <v>31 March 2026</v>
      </c>
      <c r="UBX417" s="247" t="str">
        <f>BS!$E$5</f>
        <v>31 March 2025</v>
      </c>
      <c r="UBY417" s="1717"/>
      <c r="UBZ417" s="1718"/>
      <c r="UCA417" s="1718"/>
      <c r="UCB417" s="1718"/>
      <c r="UCC417" s="1718"/>
      <c r="UCD417" s="246"/>
      <c r="UCE417" s="246" t="str">
        <f>BS!$D$5</f>
        <v>31 March 2026</v>
      </c>
      <c r="UCF417" s="247" t="str">
        <f>BS!$E$5</f>
        <v>31 March 2025</v>
      </c>
      <c r="UCG417" s="1717"/>
      <c r="UCH417" s="1718"/>
      <c r="UCI417" s="1718"/>
      <c r="UCJ417" s="1718"/>
      <c r="UCK417" s="1718"/>
      <c r="UCL417" s="246"/>
      <c r="UCM417" s="246" t="str">
        <f>BS!$D$5</f>
        <v>31 March 2026</v>
      </c>
      <c r="UCN417" s="247" t="str">
        <f>BS!$E$5</f>
        <v>31 March 2025</v>
      </c>
      <c r="UCO417" s="1717"/>
      <c r="UCP417" s="1718"/>
      <c r="UCQ417" s="1718"/>
      <c r="UCR417" s="1718"/>
      <c r="UCS417" s="1718"/>
      <c r="UCT417" s="246"/>
      <c r="UCU417" s="246" t="str">
        <f>BS!$D$5</f>
        <v>31 March 2026</v>
      </c>
      <c r="UCV417" s="247" t="str">
        <f>BS!$E$5</f>
        <v>31 March 2025</v>
      </c>
      <c r="UCW417" s="1717"/>
      <c r="UCX417" s="1718"/>
      <c r="UCY417" s="1718"/>
      <c r="UCZ417" s="1718"/>
      <c r="UDA417" s="1718"/>
      <c r="UDB417" s="246"/>
      <c r="UDC417" s="246" t="str">
        <f>BS!$D$5</f>
        <v>31 March 2026</v>
      </c>
      <c r="UDD417" s="247" t="str">
        <f>BS!$E$5</f>
        <v>31 March 2025</v>
      </c>
      <c r="UDE417" s="1717"/>
      <c r="UDF417" s="1718"/>
      <c r="UDG417" s="1718"/>
      <c r="UDH417" s="1718"/>
      <c r="UDI417" s="1718"/>
      <c r="UDJ417" s="246"/>
      <c r="UDK417" s="246" t="str">
        <f>BS!$D$5</f>
        <v>31 March 2026</v>
      </c>
      <c r="UDL417" s="247" t="str">
        <f>BS!$E$5</f>
        <v>31 March 2025</v>
      </c>
      <c r="UDM417" s="1717"/>
      <c r="UDN417" s="1718"/>
      <c r="UDO417" s="1718"/>
      <c r="UDP417" s="1718"/>
      <c r="UDQ417" s="1718"/>
      <c r="UDR417" s="246"/>
      <c r="UDS417" s="246" t="str">
        <f>BS!$D$5</f>
        <v>31 March 2026</v>
      </c>
      <c r="UDT417" s="247" t="str">
        <f>BS!$E$5</f>
        <v>31 March 2025</v>
      </c>
      <c r="UDU417" s="1717"/>
      <c r="UDV417" s="1718"/>
      <c r="UDW417" s="1718"/>
      <c r="UDX417" s="1718"/>
      <c r="UDY417" s="1718"/>
      <c r="UDZ417" s="246"/>
      <c r="UEA417" s="246" t="str">
        <f>BS!$D$5</f>
        <v>31 March 2026</v>
      </c>
      <c r="UEB417" s="247" t="str">
        <f>BS!$E$5</f>
        <v>31 March 2025</v>
      </c>
      <c r="UEC417" s="1717"/>
      <c r="UED417" s="1718"/>
      <c r="UEE417" s="1718"/>
      <c r="UEF417" s="1718"/>
      <c r="UEG417" s="1718"/>
      <c r="UEH417" s="246"/>
      <c r="UEI417" s="246" t="str">
        <f>BS!$D$5</f>
        <v>31 March 2026</v>
      </c>
      <c r="UEJ417" s="247" t="str">
        <f>BS!$E$5</f>
        <v>31 March 2025</v>
      </c>
      <c r="UEK417" s="1717"/>
      <c r="UEL417" s="1718"/>
      <c r="UEM417" s="1718"/>
      <c r="UEN417" s="1718"/>
      <c r="UEO417" s="1718"/>
      <c r="UEP417" s="246"/>
      <c r="UEQ417" s="246" t="str">
        <f>BS!$D$5</f>
        <v>31 March 2026</v>
      </c>
      <c r="UER417" s="247" t="str">
        <f>BS!$E$5</f>
        <v>31 March 2025</v>
      </c>
      <c r="UES417" s="1717"/>
      <c r="UET417" s="1718"/>
      <c r="UEU417" s="1718"/>
      <c r="UEV417" s="1718"/>
      <c r="UEW417" s="1718"/>
      <c r="UEX417" s="246"/>
      <c r="UEY417" s="246" t="str">
        <f>BS!$D$5</f>
        <v>31 March 2026</v>
      </c>
      <c r="UEZ417" s="247" t="str">
        <f>BS!$E$5</f>
        <v>31 March 2025</v>
      </c>
      <c r="UFA417" s="1717"/>
      <c r="UFB417" s="1718"/>
      <c r="UFC417" s="1718"/>
      <c r="UFD417" s="1718"/>
      <c r="UFE417" s="1718"/>
      <c r="UFF417" s="246"/>
      <c r="UFG417" s="246" t="str">
        <f>BS!$D$5</f>
        <v>31 March 2026</v>
      </c>
      <c r="UFH417" s="247" t="str">
        <f>BS!$E$5</f>
        <v>31 March 2025</v>
      </c>
      <c r="UFI417" s="1717"/>
      <c r="UFJ417" s="1718"/>
      <c r="UFK417" s="1718"/>
      <c r="UFL417" s="1718"/>
      <c r="UFM417" s="1718"/>
      <c r="UFN417" s="246"/>
      <c r="UFO417" s="246" t="str">
        <f>BS!$D$5</f>
        <v>31 March 2026</v>
      </c>
      <c r="UFP417" s="247" t="str">
        <f>BS!$E$5</f>
        <v>31 March 2025</v>
      </c>
      <c r="UFQ417" s="1717"/>
      <c r="UFR417" s="1718"/>
      <c r="UFS417" s="1718"/>
      <c r="UFT417" s="1718"/>
      <c r="UFU417" s="1718"/>
      <c r="UFV417" s="246"/>
      <c r="UFW417" s="246" t="str">
        <f>BS!$D$5</f>
        <v>31 March 2026</v>
      </c>
      <c r="UFX417" s="247" t="str">
        <f>BS!$E$5</f>
        <v>31 March 2025</v>
      </c>
      <c r="UFY417" s="1717"/>
      <c r="UFZ417" s="1718"/>
      <c r="UGA417" s="1718"/>
      <c r="UGB417" s="1718"/>
      <c r="UGC417" s="1718"/>
      <c r="UGD417" s="246"/>
      <c r="UGE417" s="246" t="str">
        <f>BS!$D$5</f>
        <v>31 March 2026</v>
      </c>
      <c r="UGF417" s="247" t="str">
        <f>BS!$E$5</f>
        <v>31 March 2025</v>
      </c>
      <c r="UGG417" s="1717"/>
      <c r="UGH417" s="1718"/>
      <c r="UGI417" s="1718"/>
      <c r="UGJ417" s="1718"/>
      <c r="UGK417" s="1718"/>
      <c r="UGL417" s="246"/>
      <c r="UGM417" s="246" t="str">
        <f>BS!$D$5</f>
        <v>31 March 2026</v>
      </c>
      <c r="UGN417" s="247" t="str">
        <f>BS!$E$5</f>
        <v>31 March 2025</v>
      </c>
      <c r="UGO417" s="1717"/>
      <c r="UGP417" s="1718"/>
      <c r="UGQ417" s="1718"/>
      <c r="UGR417" s="1718"/>
      <c r="UGS417" s="1718"/>
      <c r="UGT417" s="246"/>
      <c r="UGU417" s="246" t="str">
        <f>BS!$D$5</f>
        <v>31 March 2026</v>
      </c>
      <c r="UGV417" s="247" t="str">
        <f>BS!$E$5</f>
        <v>31 March 2025</v>
      </c>
      <c r="UGW417" s="1717"/>
      <c r="UGX417" s="1718"/>
      <c r="UGY417" s="1718"/>
      <c r="UGZ417" s="1718"/>
      <c r="UHA417" s="1718"/>
      <c r="UHB417" s="246"/>
      <c r="UHC417" s="246" t="str">
        <f>BS!$D$5</f>
        <v>31 March 2026</v>
      </c>
      <c r="UHD417" s="247" t="str">
        <f>BS!$E$5</f>
        <v>31 March 2025</v>
      </c>
      <c r="UHE417" s="1717"/>
      <c r="UHF417" s="1718"/>
      <c r="UHG417" s="1718"/>
      <c r="UHH417" s="1718"/>
      <c r="UHI417" s="1718"/>
      <c r="UHJ417" s="246"/>
      <c r="UHK417" s="246" t="str">
        <f>BS!$D$5</f>
        <v>31 March 2026</v>
      </c>
      <c r="UHL417" s="247" t="str">
        <f>BS!$E$5</f>
        <v>31 March 2025</v>
      </c>
      <c r="UHM417" s="1717"/>
      <c r="UHN417" s="1718"/>
      <c r="UHO417" s="1718"/>
      <c r="UHP417" s="1718"/>
      <c r="UHQ417" s="1718"/>
      <c r="UHR417" s="246"/>
      <c r="UHS417" s="246" t="str">
        <f>BS!$D$5</f>
        <v>31 March 2026</v>
      </c>
      <c r="UHT417" s="247" t="str">
        <f>BS!$E$5</f>
        <v>31 March 2025</v>
      </c>
      <c r="UHU417" s="1717"/>
      <c r="UHV417" s="1718"/>
      <c r="UHW417" s="1718"/>
      <c r="UHX417" s="1718"/>
      <c r="UHY417" s="1718"/>
      <c r="UHZ417" s="246"/>
      <c r="UIA417" s="246" t="str">
        <f>BS!$D$5</f>
        <v>31 March 2026</v>
      </c>
      <c r="UIB417" s="247" t="str">
        <f>BS!$E$5</f>
        <v>31 March 2025</v>
      </c>
      <c r="UIC417" s="1717"/>
      <c r="UID417" s="1718"/>
      <c r="UIE417" s="1718"/>
      <c r="UIF417" s="1718"/>
      <c r="UIG417" s="1718"/>
      <c r="UIH417" s="246"/>
      <c r="UII417" s="246" t="str">
        <f>BS!$D$5</f>
        <v>31 March 2026</v>
      </c>
      <c r="UIJ417" s="247" t="str">
        <f>BS!$E$5</f>
        <v>31 March 2025</v>
      </c>
      <c r="UIK417" s="1717"/>
      <c r="UIL417" s="1718"/>
      <c r="UIM417" s="1718"/>
      <c r="UIN417" s="1718"/>
      <c r="UIO417" s="1718"/>
      <c r="UIP417" s="246"/>
      <c r="UIQ417" s="246" t="str">
        <f>BS!$D$5</f>
        <v>31 March 2026</v>
      </c>
      <c r="UIR417" s="247" t="str">
        <f>BS!$E$5</f>
        <v>31 March 2025</v>
      </c>
      <c r="UIS417" s="1717"/>
      <c r="UIT417" s="1718"/>
      <c r="UIU417" s="1718"/>
      <c r="UIV417" s="1718"/>
      <c r="UIW417" s="1718"/>
      <c r="UIX417" s="246"/>
      <c r="UIY417" s="246" t="str">
        <f>BS!$D$5</f>
        <v>31 March 2026</v>
      </c>
      <c r="UIZ417" s="247" t="str">
        <f>BS!$E$5</f>
        <v>31 March 2025</v>
      </c>
      <c r="UJA417" s="1717"/>
      <c r="UJB417" s="1718"/>
      <c r="UJC417" s="1718"/>
      <c r="UJD417" s="1718"/>
      <c r="UJE417" s="1718"/>
      <c r="UJF417" s="246"/>
      <c r="UJG417" s="246" t="str">
        <f>BS!$D$5</f>
        <v>31 March 2026</v>
      </c>
      <c r="UJH417" s="247" t="str">
        <f>BS!$E$5</f>
        <v>31 March 2025</v>
      </c>
      <c r="UJI417" s="1717"/>
      <c r="UJJ417" s="1718"/>
      <c r="UJK417" s="1718"/>
      <c r="UJL417" s="1718"/>
      <c r="UJM417" s="1718"/>
      <c r="UJN417" s="246"/>
      <c r="UJO417" s="246" t="str">
        <f>BS!$D$5</f>
        <v>31 March 2026</v>
      </c>
      <c r="UJP417" s="247" t="str">
        <f>BS!$E$5</f>
        <v>31 March 2025</v>
      </c>
      <c r="UJQ417" s="1717"/>
      <c r="UJR417" s="1718"/>
      <c r="UJS417" s="1718"/>
      <c r="UJT417" s="1718"/>
      <c r="UJU417" s="1718"/>
      <c r="UJV417" s="246"/>
      <c r="UJW417" s="246" t="str">
        <f>BS!$D$5</f>
        <v>31 March 2026</v>
      </c>
      <c r="UJX417" s="247" t="str">
        <f>BS!$E$5</f>
        <v>31 March 2025</v>
      </c>
      <c r="UJY417" s="1717"/>
      <c r="UJZ417" s="1718"/>
      <c r="UKA417" s="1718"/>
      <c r="UKB417" s="1718"/>
      <c r="UKC417" s="1718"/>
      <c r="UKD417" s="246"/>
      <c r="UKE417" s="246" t="str">
        <f>BS!$D$5</f>
        <v>31 March 2026</v>
      </c>
      <c r="UKF417" s="247" t="str">
        <f>BS!$E$5</f>
        <v>31 March 2025</v>
      </c>
      <c r="UKG417" s="1717"/>
      <c r="UKH417" s="1718"/>
      <c r="UKI417" s="1718"/>
      <c r="UKJ417" s="1718"/>
      <c r="UKK417" s="1718"/>
      <c r="UKL417" s="246"/>
      <c r="UKM417" s="246" t="str">
        <f>BS!$D$5</f>
        <v>31 March 2026</v>
      </c>
      <c r="UKN417" s="247" t="str">
        <f>BS!$E$5</f>
        <v>31 March 2025</v>
      </c>
      <c r="UKO417" s="1717"/>
      <c r="UKP417" s="1718"/>
      <c r="UKQ417" s="1718"/>
      <c r="UKR417" s="1718"/>
      <c r="UKS417" s="1718"/>
      <c r="UKT417" s="246"/>
      <c r="UKU417" s="246" t="str">
        <f>BS!$D$5</f>
        <v>31 March 2026</v>
      </c>
      <c r="UKV417" s="247" t="str">
        <f>BS!$E$5</f>
        <v>31 March 2025</v>
      </c>
      <c r="UKW417" s="1717"/>
      <c r="UKX417" s="1718"/>
      <c r="UKY417" s="1718"/>
      <c r="UKZ417" s="1718"/>
      <c r="ULA417" s="1718"/>
      <c r="ULB417" s="246"/>
      <c r="ULC417" s="246" t="str">
        <f>BS!$D$5</f>
        <v>31 March 2026</v>
      </c>
      <c r="ULD417" s="247" t="str">
        <f>BS!$E$5</f>
        <v>31 March 2025</v>
      </c>
      <c r="ULE417" s="1717"/>
      <c r="ULF417" s="1718"/>
      <c r="ULG417" s="1718"/>
      <c r="ULH417" s="1718"/>
      <c r="ULI417" s="1718"/>
      <c r="ULJ417" s="246"/>
      <c r="ULK417" s="246" t="str">
        <f>BS!$D$5</f>
        <v>31 March 2026</v>
      </c>
      <c r="ULL417" s="247" t="str">
        <f>BS!$E$5</f>
        <v>31 March 2025</v>
      </c>
      <c r="ULM417" s="1717"/>
      <c r="ULN417" s="1718"/>
      <c r="ULO417" s="1718"/>
      <c r="ULP417" s="1718"/>
      <c r="ULQ417" s="1718"/>
      <c r="ULR417" s="246"/>
      <c r="ULS417" s="246" t="str">
        <f>BS!$D$5</f>
        <v>31 March 2026</v>
      </c>
      <c r="ULT417" s="247" t="str">
        <f>BS!$E$5</f>
        <v>31 March 2025</v>
      </c>
      <c r="ULU417" s="1717"/>
      <c r="ULV417" s="1718"/>
      <c r="ULW417" s="1718"/>
      <c r="ULX417" s="1718"/>
      <c r="ULY417" s="1718"/>
      <c r="ULZ417" s="246"/>
      <c r="UMA417" s="246" t="str">
        <f>BS!$D$5</f>
        <v>31 March 2026</v>
      </c>
      <c r="UMB417" s="247" t="str">
        <f>BS!$E$5</f>
        <v>31 March 2025</v>
      </c>
      <c r="UMC417" s="1717"/>
      <c r="UMD417" s="1718"/>
      <c r="UME417" s="1718"/>
      <c r="UMF417" s="1718"/>
      <c r="UMG417" s="1718"/>
      <c r="UMH417" s="246"/>
      <c r="UMI417" s="246" t="str">
        <f>BS!$D$5</f>
        <v>31 March 2026</v>
      </c>
      <c r="UMJ417" s="247" t="str">
        <f>BS!$E$5</f>
        <v>31 March 2025</v>
      </c>
      <c r="UMK417" s="1717"/>
      <c r="UML417" s="1718"/>
      <c r="UMM417" s="1718"/>
      <c r="UMN417" s="1718"/>
      <c r="UMO417" s="1718"/>
      <c r="UMP417" s="246"/>
      <c r="UMQ417" s="246" t="str">
        <f>BS!$D$5</f>
        <v>31 March 2026</v>
      </c>
      <c r="UMR417" s="247" t="str">
        <f>BS!$E$5</f>
        <v>31 March 2025</v>
      </c>
      <c r="UMS417" s="1717"/>
      <c r="UMT417" s="1718"/>
      <c r="UMU417" s="1718"/>
      <c r="UMV417" s="1718"/>
      <c r="UMW417" s="1718"/>
      <c r="UMX417" s="246"/>
      <c r="UMY417" s="246" t="str">
        <f>BS!$D$5</f>
        <v>31 March 2026</v>
      </c>
      <c r="UMZ417" s="247" t="str">
        <f>BS!$E$5</f>
        <v>31 March 2025</v>
      </c>
      <c r="UNA417" s="1717"/>
      <c r="UNB417" s="1718"/>
      <c r="UNC417" s="1718"/>
      <c r="UND417" s="1718"/>
      <c r="UNE417" s="1718"/>
      <c r="UNF417" s="246"/>
      <c r="UNG417" s="246" t="str">
        <f>BS!$D$5</f>
        <v>31 March 2026</v>
      </c>
      <c r="UNH417" s="247" t="str">
        <f>BS!$E$5</f>
        <v>31 March 2025</v>
      </c>
      <c r="UNI417" s="1717"/>
      <c r="UNJ417" s="1718"/>
      <c r="UNK417" s="1718"/>
      <c r="UNL417" s="1718"/>
      <c r="UNM417" s="1718"/>
      <c r="UNN417" s="246"/>
      <c r="UNO417" s="246" t="str">
        <f>BS!$D$5</f>
        <v>31 March 2026</v>
      </c>
      <c r="UNP417" s="247" t="str">
        <f>BS!$E$5</f>
        <v>31 March 2025</v>
      </c>
      <c r="UNQ417" s="1717"/>
      <c r="UNR417" s="1718"/>
      <c r="UNS417" s="1718"/>
      <c r="UNT417" s="1718"/>
      <c r="UNU417" s="1718"/>
      <c r="UNV417" s="246"/>
      <c r="UNW417" s="246" t="str">
        <f>BS!$D$5</f>
        <v>31 March 2026</v>
      </c>
      <c r="UNX417" s="247" t="str">
        <f>BS!$E$5</f>
        <v>31 March 2025</v>
      </c>
      <c r="UNY417" s="1717"/>
      <c r="UNZ417" s="1718"/>
      <c r="UOA417" s="1718"/>
      <c r="UOB417" s="1718"/>
      <c r="UOC417" s="1718"/>
      <c r="UOD417" s="246"/>
      <c r="UOE417" s="246" t="str">
        <f>BS!$D$5</f>
        <v>31 March 2026</v>
      </c>
      <c r="UOF417" s="247" t="str">
        <f>BS!$E$5</f>
        <v>31 March 2025</v>
      </c>
      <c r="UOG417" s="1717"/>
      <c r="UOH417" s="1718"/>
      <c r="UOI417" s="1718"/>
      <c r="UOJ417" s="1718"/>
      <c r="UOK417" s="1718"/>
      <c r="UOL417" s="246"/>
      <c r="UOM417" s="246" t="str">
        <f>BS!$D$5</f>
        <v>31 March 2026</v>
      </c>
      <c r="UON417" s="247" t="str">
        <f>BS!$E$5</f>
        <v>31 March 2025</v>
      </c>
      <c r="UOO417" s="1717"/>
      <c r="UOP417" s="1718"/>
      <c r="UOQ417" s="1718"/>
      <c r="UOR417" s="1718"/>
      <c r="UOS417" s="1718"/>
      <c r="UOT417" s="246"/>
      <c r="UOU417" s="246" t="str">
        <f>BS!$D$5</f>
        <v>31 March 2026</v>
      </c>
      <c r="UOV417" s="247" t="str">
        <f>BS!$E$5</f>
        <v>31 March 2025</v>
      </c>
      <c r="UOW417" s="1717"/>
      <c r="UOX417" s="1718"/>
      <c r="UOY417" s="1718"/>
      <c r="UOZ417" s="1718"/>
      <c r="UPA417" s="1718"/>
      <c r="UPB417" s="246"/>
      <c r="UPC417" s="246" t="str">
        <f>BS!$D$5</f>
        <v>31 March 2026</v>
      </c>
      <c r="UPD417" s="247" t="str">
        <f>BS!$E$5</f>
        <v>31 March 2025</v>
      </c>
      <c r="UPE417" s="1717"/>
      <c r="UPF417" s="1718"/>
      <c r="UPG417" s="1718"/>
      <c r="UPH417" s="1718"/>
      <c r="UPI417" s="1718"/>
      <c r="UPJ417" s="246"/>
      <c r="UPK417" s="246" t="str">
        <f>BS!$D$5</f>
        <v>31 March 2026</v>
      </c>
      <c r="UPL417" s="247" t="str">
        <f>BS!$E$5</f>
        <v>31 March 2025</v>
      </c>
      <c r="UPM417" s="1717"/>
      <c r="UPN417" s="1718"/>
      <c r="UPO417" s="1718"/>
      <c r="UPP417" s="1718"/>
      <c r="UPQ417" s="1718"/>
      <c r="UPR417" s="246"/>
      <c r="UPS417" s="246" t="str">
        <f>BS!$D$5</f>
        <v>31 March 2026</v>
      </c>
      <c r="UPT417" s="247" t="str">
        <f>BS!$E$5</f>
        <v>31 March 2025</v>
      </c>
      <c r="UPU417" s="1717"/>
      <c r="UPV417" s="1718"/>
      <c r="UPW417" s="1718"/>
      <c r="UPX417" s="1718"/>
      <c r="UPY417" s="1718"/>
      <c r="UPZ417" s="246"/>
      <c r="UQA417" s="246" t="str">
        <f>BS!$D$5</f>
        <v>31 March 2026</v>
      </c>
      <c r="UQB417" s="247" t="str">
        <f>BS!$E$5</f>
        <v>31 March 2025</v>
      </c>
      <c r="UQC417" s="1717"/>
      <c r="UQD417" s="1718"/>
      <c r="UQE417" s="1718"/>
      <c r="UQF417" s="1718"/>
      <c r="UQG417" s="1718"/>
      <c r="UQH417" s="246"/>
      <c r="UQI417" s="246" t="str">
        <f>BS!$D$5</f>
        <v>31 March 2026</v>
      </c>
      <c r="UQJ417" s="247" t="str">
        <f>BS!$E$5</f>
        <v>31 March 2025</v>
      </c>
      <c r="UQK417" s="1717"/>
      <c r="UQL417" s="1718"/>
      <c r="UQM417" s="1718"/>
      <c r="UQN417" s="1718"/>
      <c r="UQO417" s="1718"/>
      <c r="UQP417" s="246"/>
      <c r="UQQ417" s="246" t="str">
        <f>BS!$D$5</f>
        <v>31 March 2026</v>
      </c>
      <c r="UQR417" s="247" t="str">
        <f>BS!$E$5</f>
        <v>31 March 2025</v>
      </c>
      <c r="UQS417" s="1717"/>
      <c r="UQT417" s="1718"/>
      <c r="UQU417" s="1718"/>
      <c r="UQV417" s="1718"/>
      <c r="UQW417" s="1718"/>
      <c r="UQX417" s="246"/>
      <c r="UQY417" s="246" t="str">
        <f>BS!$D$5</f>
        <v>31 March 2026</v>
      </c>
      <c r="UQZ417" s="247" t="str">
        <f>BS!$E$5</f>
        <v>31 March 2025</v>
      </c>
      <c r="URA417" s="1717"/>
      <c r="URB417" s="1718"/>
      <c r="URC417" s="1718"/>
      <c r="URD417" s="1718"/>
      <c r="URE417" s="1718"/>
      <c r="URF417" s="246"/>
      <c r="URG417" s="246" t="str">
        <f>BS!$D$5</f>
        <v>31 March 2026</v>
      </c>
      <c r="URH417" s="247" t="str">
        <f>BS!$E$5</f>
        <v>31 March 2025</v>
      </c>
      <c r="URI417" s="1717"/>
      <c r="URJ417" s="1718"/>
      <c r="URK417" s="1718"/>
      <c r="URL417" s="1718"/>
      <c r="URM417" s="1718"/>
      <c r="URN417" s="246"/>
      <c r="URO417" s="246" t="str">
        <f>BS!$D$5</f>
        <v>31 March 2026</v>
      </c>
      <c r="URP417" s="247" t="str">
        <f>BS!$E$5</f>
        <v>31 March 2025</v>
      </c>
      <c r="URQ417" s="1717"/>
      <c r="URR417" s="1718"/>
      <c r="URS417" s="1718"/>
      <c r="URT417" s="1718"/>
      <c r="URU417" s="1718"/>
      <c r="URV417" s="246"/>
      <c r="URW417" s="246" t="str">
        <f>BS!$D$5</f>
        <v>31 March 2026</v>
      </c>
      <c r="URX417" s="247" t="str">
        <f>BS!$E$5</f>
        <v>31 March 2025</v>
      </c>
      <c r="URY417" s="1717"/>
      <c r="URZ417" s="1718"/>
      <c r="USA417" s="1718"/>
      <c r="USB417" s="1718"/>
      <c r="USC417" s="1718"/>
      <c r="USD417" s="246"/>
      <c r="USE417" s="246" t="str">
        <f>BS!$D$5</f>
        <v>31 March 2026</v>
      </c>
      <c r="USF417" s="247" t="str">
        <f>BS!$E$5</f>
        <v>31 March 2025</v>
      </c>
      <c r="USG417" s="1717"/>
      <c r="USH417" s="1718"/>
      <c r="USI417" s="1718"/>
      <c r="USJ417" s="1718"/>
      <c r="USK417" s="1718"/>
      <c r="USL417" s="246"/>
      <c r="USM417" s="246" t="str">
        <f>BS!$D$5</f>
        <v>31 March 2026</v>
      </c>
      <c r="USN417" s="247" t="str">
        <f>BS!$E$5</f>
        <v>31 March 2025</v>
      </c>
      <c r="USO417" s="1717"/>
      <c r="USP417" s="1718"/>
      <c r="USQ417" s="1718"/>
      <c r="USR417" s="1718"/>
      <c r="USS417" s="1718"/>
      <c r="UST417" s="246"/>
      <c r="USU417" s="246" t="str">
        <f>BS!$D$5</f>
        <v>31 March 2026</v>
      </c>
      <c r="USV417" s="247" t="str">
        <f>BS!$E$5</f>
        <v>31 March 2025</v>
      </c>
      <c r="USW417" s="1717"/>
      <c r="USX417" s="1718"/>
      <c r="USY417" s="1718"/>
      <c r="USZ417" s="1718"/>
      <c r="UTA417" s="1718"/>
      <c r="UTB417" s="246"/>
      <c r="UTC417" s="246" t="str">
        <f>BS!$D$5</f>
        <v>31 March 2026</v>
      </c>
      <c r="UTD417" s="247" t="str">
        <f>BS!$E$5</f>
        <v>31 March 2025</v>
      </c>
      <c r="UTE417" s="1717"/>
      <c r="UTF417" s="1718"/>
      <c r="UTG417" s="1718"/>
      <c r="UTH417" s="1718"/>
      <c r="UTI417" s="1718"/>
      <c r="UTJ417" s="246"/>
      <c r="UTK417" s="246" t="str">
        <f>BS!$D$5</f>
        <v>31 March 2026</v>
      </c>
      <c r="UTL417" s="247" t="str">
        <f>BS!$E$5</f>
        <v>31 March 2025</v>
      </c>
      <c r="UTM417" s="1717"/>
      <c r="UTN417" s="1718"/>
      <c r="UTO417" s="1718"/>
      <c r="UTP417" s="1718"/>
      <c r="UTQ417" s="1718"/>
      <c r="UTR417" s="246"/>
      <c r="UTS417" s="246" t="str">
        <f>BS!$D$5</f>
        <v>31 March 2026</v>
      </c>
      <c r="UTT417" s="247" t="str">
        <f>BS!$E$5</f>
        <v>31 March 2025</v>
      </c>
      <c r="UTU417" s="1717"/>
      <c r="UTV417" s="1718"/>
      <c r="UTW417" s="1718"/>
      <c r="UTX417" s="1718"/>
      <c r="UTY417" s="1718"/>
      <c r="UTZ417" s="246"/>
      <c r="UUA417" s="246" t="str">
        <f>BS!$D$5</f>
        <v>31 March 2026</v>
      </c>
      <c r="UUB417" s="247" t="str">
        <f>BS!$E$5</f>
        <v>31 March 2025</v>
      </c>
      <c r="UUC417" s="1717"/>
      <c r="UUD417" s="1718"/>
      <c r="UUE417" s="1718"/>
      <c r="UUF417" s="1718"/>
      <c r="UUG417" s="1718"/>
      <c r="UUH417" s="246"/>
      <c r="UUI417" s="246" t="str">
        <f>BS!$D$5</f>
        <v>31 March 2026</v>
      </c>
      <c r="UUJ417" s="247" t="str">
        <f>BS!$E$5</f>
        <v>31 March 2025</v>
      </c>
      <c r="UUK417" s="1717"/>
      <c r="UUL417" s="1718"/>
      <c r="UUM417" s="1718"/>
      <c r="UUN417" s="1718"/>
      <c r="UUO417" s="1718"/>
      <c r="UUP417" s="246"/>
      <c r="UUQ417" s="246" t="str">
        <f>BS!$D$5</f>
        <v>31 March 2026</v>
      </c>
      <c r="UUR417" s="247" t="str">
        <f>BS!$E$5</f>
        <v>31 March 2025</v>
      </c>
      <c r="UUS417" s="1717"/>
      <c r="UUT417" s="1718"/>
      <c r="UUU417" s="1718"/>
      <c r="UUV417" s="1718"/>
      <c r="UUW417" s="1718"/>
      <c r="UUX417" s="246"/>
      <c r="UUY417" s="246" t="str">
        <f>BS!$D$5</f>
        <v>31 March 2026</v>
      </c>
      <c r="UUZ417" s="247" t="str">
        <f>BS!$E$5</f>
        <v>31 March 2025</v>
      </c>
      <c r="UVA417" s="1717"/>
      <c r="UVB417" s="1718"/>
      <c r="UVC417" s="1718"/>
      <c r="UVD417" s="1718"/>
      <c r="UVE417" s="1718"/>
      <c r="UVF417" s="246"/>
      <c r="UVG417" s="246" t="str">
        <f>BS!$D$5</f>
        <v>31 March 2026</v>
      </c>
      <c r="UVH417" s="247" t="str">
        <f>BS!$E$5</f>
        <v>31 March 2025</v>
      </c>
      <c r="UVI417" s="1717"/>
      <c r="UVJ417" s="1718"/>
      <c r="UVK417" s="1718"/>
      <c r="UVL417" s="1718"/>
      <c r="UVM417" s="1718"/>
      <c r="UVN417" s="246"/>
      <c r="UVO417" s="246" t="str">
        <f>BS!$D$5</f>
        <v>31 March 2026</v>
      </c>
      <c r="UVP417" s="247" t="str">
        <f>BS!$E$5</f>
        <v>31 March 2025</v>
      </c>
      <c r="UVQ417" s="1717"/>
      <c r="UVR417" s="1718"/>
      <c r="UVS417" s="1718"/>
      <c r="UVT417" s="1718"/>
      <c r="UVU417" s="1718"/>
      <c r="UVV417" s="246"/>
      <c r="UVW417" s="246" t="str">
        <f>BS!$D$5</f>
        <v>31 March 2026</v>
      </c>
      <c r="UVX417" s="247" t="str">
        <f>BS!$E$5</f>
        <v>31 March 2025</v>
      </c>
      <c r="UVY417" s="1717"/>
      <c r="UVZ417" s="1718"/>
      <c r="UWA417" s="1718"/>
      <c r="UWB417" s="1718"/>
      <c r="UWC417" s="1718"/>
      <c r="UWD417" s="246"/>
      <c r="UWE417" s="246" t="str">
        <f>BS!$D$5</f>
        <v>31 March 2026</v>
      </c>
      <c r="UWF417" s="247" t="str">
        <f>BS!$E$5</f>
        <v>31 March 2025</v>
      </c>
      <c r="UWG417" s="1717"/>
      <c r="UWH417" s="1718"/>
      <c r="UWI417" s="1718"/>
      <c r="UWJ417" s="1718"/>
      <c r="UWK417" s="1718"/>
      <c r="UWL417" s="246"/>
      <c r="UWM417" s="246" t="str">
        <f>BS!$D$5</f>
        <v>31 March 2026</v>
      </c>
      <c r="UWN417" s="247" t="str">
        <f>BS!$E$5</f>
        <v>31 March 2025</v>
      </c>
      <c r="UWO417" s="1717"/>
      <c r="UWP417" s="1718"/>
      <c r="UWQ417" s="1718"/>
      <c r="UWR417" s="1718"/>
      <c r="UWS417" s="1718"/>
      <c r="UWT417" s="246"/>
      <c r="UWU417" s="246" t="str">
        <f>BS!$D$5</f>
        <v>31 March 2026</v>
      </c>
      <c r="UWV417" s="247" t="str">
        <f>BS!$E$5</f>
        <v>31 March 2025</v>
      </c>
      <c r="UWW417" s="1717"/>
      <c r="UWX417" s="1718"/>
      <c r="UWY417" s="1718"/>
      <c r="UWZ417" s="1718"/>
      <c r="UXA417" s="1718"/>
      <c r="UXB417" s="246"/>
      <c r="UXC417" s="246" t="str">
        <f>BS!$D$5</f>
        <v>31 March 2026</v>
      </c>
      <c r="UXD417" s="247" t="str">
        <f>BS!$E$5</f>
        <v>31 March 2025</v>
      </c>
      <c r="UXE417" s="1717"/>
      <c r="UXF417" s="1718"/>
      <c r="UXG417" s="1718"/>
      <c r="UXH417" s="1718"/>
      <c r="UXI417" s="1718"/>
      <c r="UXJ417" s="246"/>
      <c r="UXK417" s="246" t="str">
        <f>BS!$D$5</f>
        <v>31 March 2026</v>
      </c>
      <c r="UXL417" s="247" t="str">
        <f>BS!$E$5</f>
        <v>31 March 2025</v>
      </c>
      <c r="UXM417" s="1717"/>
      <c r="UXN417" s="1718"/>
      <c r="UXO417" s="1718"/>
      <c r="UXP417" s="1718"/>
      <c r="UXQ417" s="1718"/>
      <c r="UXR417" s="246"/>
      <c r="UXS417" s="246" t="str">
        <f>BS!$D$5</f>
        <v>31 March 2026</v>
      </c>
      <c r="UXT417" s="247" t="str">
        <f>BS!$E$5</f>
        <v>31 March 2025</v>
      </c>
      <c r="UXU417" s="1717"/>
      <c r="UXV417" s="1718"/>
      <c r="UXW417" s="1718"/>
      <c r="UXX417" s="1718"/>
      <c r="UXY417" s="1718"/>
      <c r="UXZ417" s="246"/>
      <c r="UYA417" s="246" t="str">
        <f>BS!$D$5</f>
        <v>31 March 2026</v>
      </c>
      <c r="UYB417" s="247" t="str">
        <f>BS!$E$5</f>
        <v>31 March 2025</v>
      </c>
      <c r="UYC417" s="1717"/>
      <c r="UYD417" s="1718"/>
      <c r="UYE417" s="1718"/>
      <c r="UYF417" s="1718"/>
      <c r="UYG417" s="1718"/>
      <c r="UYH417" s="246"/>
      <c r="UYI417" s="246" t="str">
        <f>BS!$D$5</f>
        <v>31 March 2026</v>
      </c>
      <c r="UYJ417" s="247" t="str">
        <f>BS!$E$5</f>
        <v>31 March 2025</v>
      </c>
      <c r="UYK417" s="1717"/>
      <c r="UYL417" s="1718"/>
      <c r="UYM417" s="1718"/>
      <c r="UYN417" s="1718"/>
      <c r="UYO417" s="1718"/>
      <c r="UYP417" s="246"/>
      <c r="UYQ417" s="246" t="str">
        <f>BS!$D$5</f>
        <v>31 March 2026</v>
      </c>
      <c r="UYR417" s="247" t="str">
        <f>BS!$E$5</f>
        <v>31 March 2025</v>
      </c>
      <c r="UYS417" s="1717"/>
      <c r="UYT417" s="1718"/>
      <c r="UYU417" s="1718"/>
      <c r="UYV417" s="1718"/>
      <c r="UYW417" s="1718"/>
      <c r="UYX417" s="246"/>
      <c r="UYY417" s="246" t="str">
        <f>BS!$D$5</f>
        <v>31 March 2026</v>
      </c>
      <c r="UYZ417" s="247" t="str">
        <f>BS!$E$5</f>
        <v>31 March 2025</v>
      </c>
      <c r="UZA417" s="1717"/>
      <c r="UZB417" s="1718"/>
      <c r="UZC417" s="1718"/>
      <c r="UZD417" s="1718"/>
      <c r="UZE417" s="1718"/>
      <c r="UZF417" s="246"/>
      <c r="UZG417" s="246" t="str">
        <f>BS!$D$5</f>
        <v>31 March 2026</v>
      </c>
      <c r="UZH417" s="247" t="str">
        <f>BS!$E$5</f>
        <v>31 March 2025</v>
      </c>
      <c r="UZI417" s="1717"/>
      <c r="UZJ417" s="1718"/>
      <c r="UZK417" s="1718"/>
      <c r="UZL417" s="1718"/>
      <c r="UZM417" s="1718"/>
      <c r="UZN417" s="246"/>
      <c r="UZO417" s="246" t="str">
        <f>BS!$D$5</f>
        <v>31 March 2026</v>
      </c>
      <c r="UZP417" s="247" t="str">
        <f>BS!$E$5</f>
        <v>31 March 2025</v>
      </c>
      <c r="UZQ417" s="1717"/>
      <c r="UZR417" s="1718"/>
      <c r="UZS417" s="1718"/>
      <c r="UZT417" s="1718"/>
      <c r="UZU417" s="1718"/>
      <c r="UZV417" s="246"/>
      <c r="UZW417" s="246" t="str">
        <f>BS!$D$5</f>
        <v>31 March 2026</v>
      </c>
      <c r="UZX417" s="247" t="str">
        <f>BS!$E$5</f>
        <v>31 March 2025</v>
      </c>
      <c r="UZY417" s="1717"/>
      <c r="UZZ417" s="1718"/>
      <c r="VAA417" s="1718"/>
      <c r="VAB417" s="1718"/>
      <c r="VAC417" s="1718"/>
      <c r="VAD417" s="246"/>
      <c r="VAE417" s="246" t="str">
        <f>BS!$D$5</f>
        <v>31 March 2026</v>
      </c>
      <c r="VAF417" s="247" t="str">
        <f>BS!$E$5</f>
        <v>31 March 2025</v>
      </c>
      <c r="VAG417" s="1717"/>
      <c r="VAH417" s="1718"/>
      <c r="VAI417" s="1718"/>
      <c r="VAJ417" s="1718"/>
      <c r="VAK417" s="1718"/>
      <c r="VAL417" s="246"/>
      <c r="VAM417" s="246" t="str">
        <f>BS!$D$5</f>
        <v>31 March 2026</v>
      </c>
      <c r="VAN417" s="247" t="str">
        <f>BS!$E$5</f>
        <v>31 March 2025</v>
      </c>
      <c r="VAO417" s="1717"/>
      <c r="VAP417" s="1718"/>
      <c r="VAQ417" s="1718"/>
      <c r="VAR417" s="1718"/>
      <c r="VAS417" s="1718"/>
      <c r="VAT417" s="246"/>
      <c r="VAU417" s="246" t="str">
        <f>BS!$D$5</f>
        <v>31 March 2026</v>
      </c>
      <c r="VAV417" s="247" t="str">
        <f>BS!$E$5</f>
        <v>31 March 2025</v>
      </c>
      <c r="VAW417" s="1717"/>
      <c r="VAX417" s="1718"/>
      <c r="VAY417" s="1718"/>
      <c r="VAZ417" s="1718"/>
      <c r="VBA417" s="1718"/>
      <c r="VBB417" s="246"/>
      <c r="VBC417" s="246" t="str">
        <f>BS!$D$5</f>
        <v>31 March 2026</v>
      </c>
      <c r="VBD417" s="247" t="str">
        <f>BS!$E$5</f>
        <v>31 March 2025</v>
      </c>
      <c r="VBE417" s="1717"/>
      <c r="VBF417" s="1718"/>
      <c r="VBG417" s="1718"/>
      <c r="VBH417" s="1718"/>
      <c r="VBI417" s="1718"/>
      <c r="VBJ417" s="246"/>
      <c r="VBK417" s="246" t="str">
        <f>BS!$D$5</f>
        <v>31 March 2026</v>
      </c>
      <c r="VBL417" s="247" t="str">
        <f>BS!$E$5</f>
        <v>31 March 2025</v>
      </c>
      <c r="VBM417" s="1717"/>
      <c r="VBN417" s="1718"/>
      <c r="VBO417" s="1718"/>
      <c r="VBP417" s="1718"/>
      <c r="VBQ417" s="1718"/>
      <c r="VBR417" s="246"/>
      <c r="VBS417" s="246" t="str">
        <f>BS!$D$5</f>
        <v>31 March 2026</v>
      </c>
      <c r="VBT417" s="247" t="str">
        <f>BS!$E$5</f>
        <v>31 March 2025</v>
      </c>
      <c r="VBU417" s="1717"/>
      <c r="VBV417" s="1718"/>
      <c r="VBW417" s="1718"/>
      <c r="VBX417" s="1718"/>
      <c r="VBY417" s="1718"/>
      <c r="VBZ417" s="246"/>
      <c r="VCA417" s="246" t="str">
        <f>BS!$D$5</f>
        <v>31 March 2026</v>
      </c>
      <c r="VCB417" s="247" t="str">
        <f>BS!$E$5</f>
        <v>31 March 2025</v>
      </c>
      <c r="VCC417" s="1717"/>
      <c r="VCD417" s="1718"/>
      <c r="VCE417" s="1718"/>
      <c r="VCF417" s="1718"/>
      <c r="VCG417" s="1718"/>
      <c r="VCH417" s="246"/>
      <c r="VCI417" s="246" t="str">
        <f>BS!$D$5</f>
        <v>31 March 2026</v>
      </c>
      <c r="VCJ417" s="247" t="str">
        <f>BS!$E$5</f>
        <v>31 March 2025</v>
      </c>
      <c r="VCK417" s="1717"/>
      <c r="VCL417" s="1718"/>
      <c r="VCM417" s="1718"/>
      <c r="VCN417" s="1718"/>
      <c r="VCO417" s="1718"/>
      <c r="VCP417" s="246"/>
      <c r="VCQ417" s="246" t="str">
        <f>BS!$D$5</f>
        <v>31 March 2026</v>
      </c>
      <c r="VCR417" s="247" t="str">
        <f>BS!$E$5</f>
        <v>31 March 2025</v>
      </c>
      <c r="VCS417" s="1717"/>
      <c r="VCT417" s="1718"/>
      <c r="VCU417" s="1718"/>
      <c r="VCV417" s="1718"/>
      <c r="VCW417" s="1718"/>
      <c r="VCX417" s="246"/>
      <c r="VCY417" s="246" t="str">
        <f>BS!$D$5</f>
        <v>31 March 2026</v>
      </c>
      <c r="VCZ417" s="247" t="str">
        <f>BS!$E$5</f>
        <v>31 March 2025</v>
      </c>
      <c r="VDA417" s="1717"/>
      <c r="VDB417" s="1718"/>
      <c r="VDC417" s="1718"/>
      <c r="VDD417" s="1718"/>
      <c r="VDE417" s="1718"/>
      <c r="VDF417" s="246"/>
      <c r="VDG417" s="246" t="str">
        <f>BS!$D$5</f>
        <v>31 March 2026</v>
      </c>
      <c r="VDH417" s="247" t="str">
        <f>BS!$E$5</f>
        <v>31 March 2025</v>
      </c>
      <c r="VDI417" s="1717"/>
      <c r="VDJ417" s="1718"/>
      <c r="VDK417" s="1718"/>
      <c r="VDL417" s="1718"/>
      <c r="VDM417" s="1718"/>
      <c r="VDN417" s="246"/>
      <c r="VDO417" s="246" t="str">
        <f>BS!$D$5</f>
        <v>31 March 2026</v>
      </c>
      <c r="VDP417" s="247" t="str">
        <f>BS!$E$5</f>
        <v>31 March 2025</v>
      </c>
      <c r="VDQ417" s="1717"/>
      <c r="VDR417" s="1718"/>
      <c r="VDS417" s="1718"/>
      <c r="VDT417" s="1718"/>
      <c r="VDU417" s="1718"/>
      <c r="VDV417" s="246"/>
      <c r="VDW417" s="246" t="str">
        <f>BS!$D$5</f>
        <v>31 March 2026</v>
      </c>
      <c r="VDX417" s="247" t="str">
        <f>BS!$E$5</f>
        <v>31 March 2025</v>
      </c>
      <c r="VDY417" s="1717"/>
      <c r="VDZ417" s="1718"/>
      <c r="VEA417" s="1718"/>
      <c r="VEB417" s="1718"/>
      <c r="VEC417" s="1718"/>
      <c r="VED417" s="246"/>
      <c r="VEE417" s="246" t="str">
        <f>BS!$D$5</f>
        <v>31 March 2026</v>
      </c>
      <c r="VEF417" s="247" t="str">
        <f>BS!$E$5</f>
        <v>31 March 2025</v>
      </c>
      <c r="VEG417" s="1717"/>
      <c r="VEH417" s="1718"/>
      <c r="VEI417" s="1718"/>
      <c r="VEJ417" s="1718"/>
      <c r="VEK417" s="1718"/>
      <c r="VEL417" s="246"/>
      <c r="VEM417" s="246" t="str">
        <f>BS!$D$5</f>
        <v>31 March 2026</v>
      </c>
      <c r="VEN417" s="247" t="str">
        <f>BS!$E$5</f>
        <v>31 March 2025</v>
      </c>
      <c r="VEO417" s="1717"/>
      <c r="VEP417" s="1718"/>
      <c r="VEQ417" s="1718"/>
      <c r="VER417" s="1718"/>
      <c r="VES417" s="1718"/>
      <c r="VET417" s="246"/>
      <c r="VEU417" s="246" t="str">
        <f>BS!$D$5</f>
        <v>31 March 2026</v>
      </c>
      <c r="VEV417" s="247" t="str">
        <f>BS!$E$5</f>
        <v>31 March 2025</v>
      </c>
      <c r="VEW417" s="1717"/>
      <c r="VEX417" s="1718"/>
      <c r="VEY417" s="1718"/>
      <c r="VEZ417" s="1718"/>
      <c r="VFA417" s="1718"/>
      <c r="VFB417" s="246"/>
      <c r="VFC417" s="246" t="str">
        <f>BS!$D$5</f>
        <v>31 March 2026</v>
      </c>
      <c r="VFD417" s="247" t="str">
        <f>BS!$E$5</f>
        <v>31 March 2025</v>
      </c>
      <c r="VFE417" s="1717"/>
      <c r="VFF417" s="1718"/>
      <c r="VFG417" s="1718"/>
      <c r="VFH417" s="1718"/>
      <c r="VFI417" s="1718"/>
      <c r="VFJ417" s="246"/>
      <c r="VFK417" s="246" t="str">
        <f>BS!$D$5</f>
        <v>31 March 2026</v>
      </c>
      <c r="VFL417" s="247" t="str">
        <f>BS!$E$5</f>
        <v>31 March 2025</v>
      </c>
      <c r="VFM417" s="1717"/>
      <c r="VFN417" s="1718"/>
      <c r="VFO417" s="1718"/>
      <c r="VFP417" s="1718"/>
      <c r="VFQ417" s="1718"/>
      <c r="VFR417" s="246"/>
      <c r="VFS417" s="246" t="str">
        <f>BS!$D$5</f>
        <v>31 March 2026</v>
      </c>
      <c r="VFT417" s="247" t="str">
        <f>BS!$E$5</f>
        <v>31 March 2025</v>
      </c>
      <c r="VFU417" s="1717"/>
      <c r="VFV417" s="1718"/>
      <c r="VFW417" s="1718"/>
      <c r="VFX417" s="1718"/>
      <c r="VFY417" s="1718"/>
      <c r="VFZ417" s="246"/>
      <c r="VGA417" s="246" t="str">
        <f>BS!$D$5</f>
        <v>31 March 2026</v>
      </c>
      <c r="VGB417" s="247" t="str">
        <f>BS!$E$5</f>
        <v>31 March 2025</v>
      </c>
      <c r="VGC417" s="1717"/>
      <c r="VGD417" s="1718"/>
      <c r="VGE417" s="1718"/>
      <c r="VGF417" s="1718"/>
      <c r="VGG417" s="1718"/>
      <c r="VGH417" s="246"/>
      <c r="VGI417" s="246" t="str">
        <f>BS!$D$5</f>
        <v>31 March 2026</v>
      </c>
      <c r="VGJ417" s="247" t="str">
        <f>BS!$E$5</f>
        <v>31 March 2025</v>
      </c>
      <c r="VGK417" s="1717"/>
      <c r="VGL417" s="1718"/>
      <c r="VGM417" s="1718"/>
      <c r="VGN417" s="1718"/>
      <c r="VGO417" s="1718"/>
      <c r="VGP417" s="246"/>
      <c r="VGQ417" s="246" t="str">
        <f>BS!$D$5</f>
        <v>31 March 2026</v>
      </c>
      <c r="VGR417" s="247" t="str">
        <f>BS!$E$5</f>
        <v>31 March 2025</v>
      </c>
      <c r="VGS417" s="1717"/>
      <c r="VGT417" s="1718"/>
      <c r="VGU417" s="1718"/>
      <c r="VGV417" s="1718"/>
      <c r="VGW417" s="1718"/>
      <c r="VGX417" s="246"/>
      <c r="VGY417" s="246" t="str">
        <f>BS!$D$5</f>
        <v>31 March 2026</v>
      </c>
      <c r="VGZ417" s="247" t="str">
        <f>BS!$E$5</f>
        <v>31 March 2025</v>
      </c>
      <c r="VHA417" s="1717"/>
      <c r="VHB417" s="1718"/>
      <c r="VHC417" s="1718"/>
      <c r="VHD417" s="1718"/>
      <c r="VHE417" s="1718"/>
      <c r="VHF417" s="246"/>
      <c r="VHG417" s="246" t="str">
        <f>BS!$D$5</f>
        <v>31 March 2026</v>
      </c>
      <c r="VHH417" s="247" t="str">
        <f>BS!$E$5</f>
        <v>31 March 2025</v>
      </c>
      <c r="VHI417" s="1717"/>
      <c r="VHJ417" s="1718"/>
      <c r="VHK417" s="1718"/>
      <c r="VHL417" s="1718"/>
      <c r="VHM417" s="1718"/>
      <c r="VHN417" s="246"/>
      <c r="VHO417" s="246" t="str">
        <f>BS!$D$5</f>
        <v>31 March 2026</v>
      </c>
      <c r="VHP417" s="247" t="str">
        <f>BS!$E$5</f>
        <v>31 March 2025</v>
      </c>
      <c r="VHQ417" s="1717"/>
      <c r="VHR417" s="1718"/>
      <c r="VHS417" s="1718"/>
      <c r="VHT417" s="1718"/>
      <c r="VHU417" s="1718"/>
      <c r="VHV417" s="246"/>
      <c r="VHW417" s="246" t="str">
        <f>BS!$D$5</f>
        <v>31 March 2026</v>
      </c>
      <c r="VHX417" s="247" t="str">
        <f>BS!$E$5</f>
        <v>31 March 2025</v>
      </c>
      <c r="VHY417" s="1717"/>
      <c r="VHZ417" s="1718"/>
      <c r="VIA417" s="1718"/>
      <c r="VIB417" s="1718"/>
      <c r="VIC417" s="1718"/>
      <c r="VID417" s="246"/>
      <c r="VIE417" s="246" t="str">
        <f>BS!$D$5</f>
        <v>31 March 2026</v>
      </c>
      <c r="VIF417" s="247" t="str">
        <f>BS!$E$5</f>
        <v>31 March 2025</v>
      </c>
      <c r="VIG417" s="1717"/>
      <c r="VIH417" s="1718"/>
      <c r="VII417" s="1718"/>
      <c r="VIJ417" s="1718"/>
      <c r="VIK417" s="1718"/>
      <c r="VIL417" s="246"/>
      <c r="VIM417" s="246" t="str">
        <f>BS!$D$5</f>
        <v>31 March 2026</v>
      </c>
      <c r="VIN417" s="247" t="str">
        <f>BS!$E$5</f>
        <v>31 March 2025</v>
      </c>
      <c r="VIO417" s="1717"/>
      <c r="VIP417" s="1718"/>
      <c r="VIQ417" s="1718"/>
      <c r="VIR417" s="1718"/>
      <c r="VIS417" s="1718"/>
      <c r="VIT417" s="246"/>
      <c r="VIU417" s="246" t="str">
        <f>BS!$D$5</f>
        <v>31 March 2026</v>
      </c>
      <c r="VIV417" s="247" t="str">
        <f>BS!$E$5</f>
        <v>31 March 2025</v>
      </c>
      <c r="VIW417" s="1717"/>
      <c r="VIX417" s="1718"/>
      <c r="VIY417" s="1718"/>
      <c r="VIZ417" s="1718"/>
      <c r="VJA417" s="1718"/>
      <c r="VJB417" s="246"/>
      <c r="VJC417" s="246" t="str">
        <f>BS!$D$5</f>
        <v>31 March 2026</v>
      </c>
      <c r="VJD417" s="247" t="str">
        <f>BS!$E$5</f>
        <v>31 March 2025</v>
      </c>
      <c r="VJE417" s="1717"/>
      <c r="VJF417" s="1718"/>
      <c r="VJG417" s="1718"/>
      <c r="VJH417" s="1718"/>
      <c r="VJI417" s="1718"/>
      <c r="VJJ417" s="246"/>
      <c r="VJK417" s="246" t="str">
        <f>BS!$D$5</f>
        <v>31 March 2026</v>
      </c>
      <c r="VJL417" s="247" t="str">
        <f>BS!$E$5</f>
        <v>31 March 2025</v>
      </c>
      <c r="VJM417" s="1717"/>
      <c r="VJN417" s="1718"/>
      <c r="VJO417" s="1718"/>
      <c r="VJP417" s="1718"/>
      <c r="VJQ417" s="1718"/>
      <c r="VJR417" s="246"/>
      <c r="VJS417" s="246" t="str">
        <f>BS!$D$5</f>
        <v>31 March 2026</v>
      </c>
      <c r="VJT417" s="247" t="str">
        <f>BS!$E$5</f>
        <v>31 March 2025</v>
      </c>
      <c r="VJU417" s="1717"/>
      <c r="VJV417" s="1718"/>
      <c r="VJW417" s="1718"/>
      <c r="VJX417" s="1718"/>
      <c r="VJY417" s="1718"/>
      <c r="VJZ417" s="246"/>
      <c r="VKA417" s="246" t="str">
        <f>BS!$D$5</f>
        <v>31 March 2026</v>
      </c>
      <c r="VKB417" s="247" t="str">
        <f>BS!$E$5</f>
        <v>31 March 2025</v>
      </c>
      <c r="VKC417" s="1717"/>
      <c r="VKD417" s="1718"/>
      <c r="VKE417" s="1718"/>
      <c r="VKF417" s="1718"/>
      <c r="VKG417" s="1718"/>
      <c r="VKH417" s="246"/>
      <c r="VKI417" s="246" t="str">
        <f>BS!$D$5</f>
        <v>31 March 2026</v>
      </c>
      <c r="VKJ417" s="247" t="str">
        <f>BS!$E$5</f>
        <v>31 March 2025</v>
      </c>
      <c r="VKK417" s="1717"/>
      <c r="VKL417" s="1718"/>
      <c r="VKM417" s="1718"/>
      <c r="VKN417" s="1718"/>
      <c r="VKO417" s="1718"/>
      <c r="VKP417" s="246"/>
      <c r="VKQ417" s="246" t="str">
        <f>BS!$D$5</f>
        <v>31 March 2026</v>
      </c>
      <c r="VKR417" s="247" t="str">
        <f>BS!$E$5</f>
        <v>31 March 2025</v>
      </c>
      <c r="VKS417" s="1717"/>
      <c r="VKT417" s="1718"/>
      <c r="VKU417" s="1718"/>
      <c r="VKV417" s="1718"/>
      <c r="VKW417" s="1718"/>
      <c r="VKX417" s="246"/>
      <c r="VKY417" s="246" t="str">
        <f>BS!$D$5</f>
        <v>31 March 2026</v>
      </c>
      <c r="VKZ417" s="247" t="str">
        <f>BS!$E$5</f>
        <v>31 March 2025</v>
      </c>
      <c r="VLA417" s="1717"/>
      <c r="VLB417" s="1718"/>
      <c r="VLC417" s="1718"/>
      <c r="VLD417" s="1718"/>
      <c r="VLE417" s="1718"/>
      <c r="VLF417" s="246"/>
      <c r="VLG417" s="246" t="str">
        <f>BS!$D$5</f>
        <v>31 March 2026</v>
      </c>
      <c r="VLH417" s="247" t="str">
        <f>BS!$E$5</f>
        <v>31 March 2025</v>
      </c>
      <c r="VLI417" s="1717"/>
      <c r="VLJ417" s="1718"/>
      <c r="VLK417" s="1718"/>
      <c r="VLL417" s="1718"/>
      <c r="VLM417" s="1718"/>
      <c r="VLN417" s="246"/>
      <c r="VLO417" s="246" t="str">
        <f>BS!$D$5</f>
        <v>31 March 2026</v>
      </c>
      <c r="VLP417" s="247" t="str">
        <f>BS!$E$5</f>
        <v>31 March 2025</v>
      </c>
      <c r="VLQ417" s="1717"/>
      <c r="VLR417" s="1718"/>
      <c r="VLS417" s="1718"/>
      <c r="VLT417" s="1718"/>
      <c r="VLU417" s="1718"/>
      <c r="VLV417" s="246"/>
      <c r="VLW417" s="246" t="str">
        <f>BS!$D$5</f>
        <v>31 March 2026</v>
      </c>
      <c r="VLX417" s="247" t="str">
        <f>BS!$E$5</f>
        <v>31 March 2025</v>
      </c>
      <c r="VLY417" s="1717"/>
      <c r="VLZ417" s="1718"/>
      <c r="VMA417" s="1718"/>
      <c r="VMB417" s="1718"/>
      <c r="VMC417" s="1718"/>
      <c r="VMD417" s="246"/>
      <c r="VME417" s="246" t="str">
        <f>BS!$D$5</f>
        <v>31 March 2026</v>
      </c>
      <c r="VMF417" s="247" t="str">
        <f>BS!$E$5</f>
        <v>31 March 2025</v>
      </c>
      <c r="VMG417" s="1717"/>
      <c r="VMH417" s="1718"/>
      <c r="VMI417" s="1718"/>
      <c r="VMJ417" s="1718"/>
      <c r="VMK417" s="1718"/>
      <c r="VML417" s="246"/>
      <c r="VMM417" s="246" t="str">
        <f>BS!$D$5</f>
        <v>31 March 2026</v>
      </c>
      <c r="VMN417" s="247" t="str">
        <f>BS!$E$5</f>
        <v>31 March 2025</v>
      </c>
      <c r="VMO417" s="1717"/>
      <c r="VMP417" s="1718"/>
      <c r="VMQ417" s="1718"/>
      <c r="VMR417" s="1718"/>
      <c r="VMS417" s="1718"/>
      <c r="VMT417" s="246"/>
      <c r="VMU417" s="246" t="str">
        <f>BS!$D$5</f>
        <v>31 March 2026</v>
      </c>
      <c r="VMV417" s="247" t="str">
        <f>BS!$E$5</f>
        <v>31 March 2025</v>
      </c>
      <c r="VMW417" s="1717"/>
      <c r="VMX417" s="1718"/>
      <c r="VMY417" s="1718"/>
      <c r="VMZ417" s="1718"/>
      <c r="VNA417" s="1718"/>
      <c r="VNB417" s="246"/>
      <c r="VNC417" s="246" t="str">
        <f>BS!$D$5</f>
        <v>31 March 2026</v>
      </c>
      <c r="VND417" s="247" t="str">
        <f>BS!$E$5</f>
        <v>31 March 2025</v>
      </c>
      <c r="VNE417" s="1717"/>
      <c r="VNF417" s="1718"/>
      <c r="VNG417" s="1718"/>
      <c r="VNH417" s="1718"/>
      <c r="VNI417" s="1718"/>
      <c r="VNJ417" s="246"/>
      <c r="VNK417" s="246" t="str">
        <f>BS!$D$5</f>
        <v>31 March 2026</v>
      </c>
      <c r="VNL417" s="247" t="str">
        <f>BS!$E$5</f>
        <v>31 March 2025</v>
      </c>
      <c r="VNM417" s="1717"/>
      <c r="VNN417" s="1718"/>
      <c r="VNO417" s="1718"/>
      <c r="VNP417" s="1718"/>
      <c r="VNQ417" s="1718"/>
      <c r="VNR417" s="246"/>
      <c r="VNS417" s="246" t="str">
        <f>BS!$D$5</f>
        <v>31 March 2026</v>
      </c>
      <c r="VNT417" s="247" t="str">
        <f>BS!$E$5</f>
        <v>31 March 2025</v>
      </c>
      <c r="VNU417" s="1717"/>
      <c r="VNV417" s="1718"/>
      <c r="VNW417" s="1718"/>
      <c r="VNX417" s="1718"/>
      <c r="VNY417" s="1718"/>
      <c r="VNZ417" s="246"/>
      <c r="VOA417" s="246" t="str">
        <f>BS!$D$5</f>
        <v>31 March 2026</v>
      </c>
      <c r="VOB417" s="247" t="str">
        <f>BS!$E$5</f>
        <v>31 March 2025</v>
      </c>
      <c r="VOC417" s="1717"/>
      <c r="VOD417" s="1718"/>
      <c r="VOE417" s="1718"/>
      <c r="VOF417" s="1718"/>
      <c r="VOG417" s="1718"/>
      <c r="VOH417" s="246"/>
      <c r="VOI417" s="246" t="str">
        <f>BS!$D$5</f>
        <v>31 March 2026</v>
      </c>
      <c r="VOJ417" s="247" t="str">
        <f>BS!$E$5</f>
        <v>31 March 2025</v>
      </c>
      <c r="VOK417" s="1717"/>
      <c r="VOL417" s="1718"/>
      <c r="VOM417" s="1718"/>
      <c r="VON417" s="1718"/>
      <c r="VOO417" s="1718"/>
      <c r="VOP417" s="246"/>
      <c r="VOQ417" s="246" t="str">
        <f>BS!$D$5</f>
        <v>31 March 2026</v>
      </c>
      <c r="VOR417" s="247" t="str">
        <f>BS!$E$5</f>
        <v>31 March 2025</v>
      </c>
      <c r="VOS417" s="1717"/>
      <c r="VOT417" s="1718"/>
      <c r="VOU417" s="1718"/>
      <c r="VOV417" s="1718"/>
      <c r="VOW417" s="1718"/>
      <c r="VOX417" s="246"/>
      <c r="VOY417" s="246" t="str">
        <f>BS!$D$5</f>
        <v>31 March 2026</v>
      </c>
      <c r="VOZ417" s="247" t="str">
        <f>BS!$E$5</f>
        <v>31 March 2025</v>
      </c>
      <c r="VPA417" s="1717"/>
      <c r="VPB417" s="1718"/>
      <c r="VPC417" s="1718"/>
      <c r="VPD417" s="1718"/>
      <c r="VPE417" s="1718"/>
      <c r="VPF417" s="246"/>
      <c r="VPG417" s="246" t="str">
        <f>BS!$D$5</f>
        <v>31 March 2026</v>
      </c>
      <c r="VPH417" s="247" t="str">
        <f>BS!$E$5</f>
        <v>31 March 2025</v>
      </c>
      <c r="VPI417" s="1717"/>
      <c r="VPJ417" s="1718"/>
      <c r="VPK417" s="1718"/>
      <c r="VPL417" s="1718"/>
      <c r="VPM417" s="1718"/>
      <c r="VPN417" s="246"/>
      <c r="VPO417" s="246" t="str">
        <f>BS!$D$5</f>
        <v>31 March 2026</v>
      </c>
      <c r="VPP417" s="247" t="str">
        <f>BS!$E$5</f>
        <v>31 March 2025</v>
      </c>
      <c r="VPQ417" s="1717"/>
      <c r="VPR417" s="1718"/>
      <c r="VPS417" s="1718"/>
      <c r="VPT417" s="1718"/>
      <c r="VPU417" s="1718"/>
      <c r="VPV417" s="246"/>
      <c r="VPW417" s="246" t="str">
        <f>BS!$D$5</f>
        <v>31 March 2026</v>
      </c>
      <c r="VPX417" s="247" t="str">
        <f>BS!$E$5</f>
        <v>31 March 2025</v>
      </c>
      <c r="VPY417" s="1717"/>
      <c r="VPZ417" s="1718"/>
      <c r="VQA417" s="1718"/>
      <c r="VQB417" s="1718"/>
      <c r="VQC417" s="1718"/>
      <c r="VQD417" s="246"/>
      <c r="VQE417" s="246" t="str">
        <f>BS!$D$5</f>
        <v>31 March 2026</v>
      </c>
      <c r="VQF417" s="247" t="str">
        <f>BS!$E$5</f>
        <v>31 March 2025</v>
      </c>
      <c r="VQG417" s="1717"/>
      <c r="VQH417" s="1718"/>
      <c r="VQI417" s="1718"/>
      <c r="VQJ417" s="1718"/>
      <c r="VQK417" s="1718"/>
      <c r="VQL417" s="246"/>
      <c r="VQM417" s="246" t="str">
        <f>BS!$D$5</f>
        <v>31 March 2026</v>
      </c>
      <c r="VQN417" s="247" t="str">
        <f>BS!$E$5</f>
        <v>31 March 2025</v>
      </c>
      <c r="VQO417" s="1717"/>
      <c r="VQP417" s="1718"/>
      <c r="VQQ417" s="1718"/>
      <c r="VQR417" s="1718"/>
      <c r="VQS417" s="1718"/>
      <c r="VQT417" s="246"/>
      <c r="VQU417" s="246" t="str">
        <f>BS!$D$5</f>
        <v>31 March 2026</v>
      </c>
      <c r="VQV417" s="247" t="str">
        <f>BS!$E$5</f>
        <v>31 March 2025</v>
      </c>
      <c r="VQW417" s="1717"/>
      <c r="VQX417" s="1718"/>
      <c r="VQY417" s="1718"/>
      <c r="VQZ417" s="1718"/>
      <c r="VRA417" s="1718"/>
      <c r="VRB417" s="246"/>
      <c r="VRC417" s="246" t="str">
        <f>BS!$D$5</f>
        <v>31 March 2026</v>
      </c>
      <c r="VRD417" s="247" t="str">
        <f>BS!$E$5</f>
        <v>31 March 2025</v>
      </c>
      <c r="VRE417" s="1717"/>
      <c r="VRF417" s="1718"/>
      <c r="VRG417" s="1718"/>
      <c r="VRH417" s="1718"/>
      <c r="VRI417" s="1718"/>
      <c r="VRJ417" s="246"/>
      <c r="VRK417" s="246" t="str">
        <f>BS!$D$5</f>
        <v>31 March 2026</v>
      </c>
      <c r="VRL417" s="247" t="str">
        <f>BS!$E$5</f>
        <v>31 March 2025</v>
      </c>
      <c r="VRM417" s="1717"/>
      <c r="VRN417" s="1718"/>
      <c r="VRO417" s="1718"/>
      <c r="VRP417" s="1718"/>
      <c r="VRQ417" s="1718"/>
      <c r="VRR417" s="246"/>
      <c r="VRS417" s="246" t="str">
        <f>BS!$D$5</f>
        <v>31 March 2026</v>
      </c>
      <c r="VRT417" s="247" t="str">
        <f>BS!$E$5</f>
        <v>31 March 2025</v>
      </c>
      <c r="VRU417" s="1717"/>
      <c r="VRV417" s="1718"/>
      <c r="VRW417" s="1718"/>
      <c r="VRX417" s="1718"/>
      <c r="VRY417" s="1718"/>
      <c r="VRZ417" s="246"/>
      <c r="VSA417" s="246" t="str">
        <f>BS!$D$5</f>
        <v>31 March 2026</v>
      </c>
      <c r="VSB417" s="247" t="str">
        <f>BS!$E$5</f>
        <v>31 March 2025</v>
      </c>
      <c r="VSC417" s="1717"/>
      <c r="VSD417" s="1718"/>
      <c r="VSE417" s="1718"/>
      <c r="VSF417" s="1718"/>
      <c r="VSG417" s="1718"/>
      <c r="VSH417" s="246"/>
      <c r="VSI417" s="246" t="str">
        <f>BS!$D$5</f>
        <v>31 March 2026</v>
      </c>
      <c r="VSJ417" s="247" t="str">
        <f>BS!$E$5</f>
        <v>31 March 2025</v>
      </c>
      <c r="VSK417" s="1717"/>
      <c r="VSL417" s="1718"/>
      <c r="VSM417" s="1718"/>
      <c r="VSN417" s="1718"/>
      <c r="VSO417" s="1718"/>
      <c r="VSP417" s="246"/>
      <c r="VSQ417" s="246" t="str">
        <f>BS!$D$5</f>
        <v>31 March 2026</v>
      </c>
      <c r="VSR417" s="247" t="str">
        <f>BS!$E$5</f>
        <v>31 March 2025</v>
      </c>
      <c r="VSS417" s="1717"/>
      <c r="VST417" s="1718"/>
      <c r="VSU417" s="1718"/>
      <c r="VSV417" s="1718"/>
      <c r="VSW417" s="1718"/>
      <c r="VSX417" s="246"/>
      <c r="VSY417" s="246" t="str">
        <f>BS!$D$5</f>
        <v>31 March 2026</v>
      </c>
      <c r="VSZ417" s="247" t="str">
        <f>BS!$E$5</f>
        <v>31 March 2025</v>
      </c>
      <c r="VTA417" s="1717"/>
      <c r="VTB417" s="1718"/>
      <c r="VTC417" s="1718"/>
      <c r="VTD417" s="1718"/>
      <c r="VTE417" s="1718"/>
      <c r="VTF417" s="246"/>
      <c r="VTG417" s="246" t="str">
        <f>BS!$D$5</f>
        <v>31 March 2026</v>
      </c>
      <c r="VTH417" s="247" t="str">
        <f>BS!$E$5</f>
        <v>31 March 2025</v>
      </c>
      <c r="VTI417" s="1717"/>
      <c r="VTJ417" s="1718"/>
      <c r="VTK417" s="1718"/>
      <c r="VTL417" s="1718"/>
      <c r="VTM417" s="1718"/>
      <c r="VTN417" s="246"/>
      <c r="VTO417" s="246" t="str">
        <f>BS!$D$5</f>
        <v>31 March 2026</v>
      </c>
      <c r="VTP417" s="247" t="str">
        <f>BS!$E$5</f>
        <v>31 March 2025</v>
      </c>
      <c r="VTQ417" s="1717"/>
      <c r="VTR417" s="1718"/>
      <c r="VTS417" s="1718"/>
      <c r="VTT417" s="1718"/>
      <c r="VTU417" s="1718"/>
      <c r="VTV417" s="246"/>
      <c r="VTW417" s="246" t="str">
        <f>BS!$D$5</f>
        <v>31 March 2026</v>
      </c>
      <c r="VTX417" s="247" t="str">
        <f>BS!$E$5</f>
        <v>31 March 2025</v>
      </c>
      <c r="VTY417" s="1717"/>
      <c r="VTZ417" s="1718"/>
      <c r="VUA417" s="1718"/>
      <c r="VUB417" s="1718"/>
      <c r="VUC417" s="1718"/>
      <c r="VUD417" s="246"/>
      <c r="VUE417" s="246" t="str">
        <f>BS!$D$5</f>
        <v>31 March 2026</v>
      </c>
      <c r="VUF417" s="247" t="str">
        <f>BS!$E$5</f>
        <v>31 March 2025</v>
      </c>
      <c r="VUG417" s="1717"/>
      <c r="VUH417" s="1718"/>
      <c r="VUI417" s="1718"/>
      <c r="VUJ417" s="1718"/>
      <c r="VUK417" s="1718"/>
      <c r="VUL417" s="246"/>
      <c r="VUM417" s="246" t="str">
        <f>BS!$D$5</f>
        <v>31 March 2026</v>
      </c>
      <c r="VUN417" s="247" t="str">
        <f>BS!$E$5</f>
        <v>31 March 2025</v>
      </c>
      <c r="VUO417" s="1717"/>
      <c r="VUP417" s="1718"/>
      <c r="VUQ417" s="1718"/>
      <c r="VUR417" s="1718"/>
      <c r="VUS417" s="1718"/>
      <c r="VUT417" s="246"/>
      <c r="VUU417" s="246" t="str">
        <f>BS!$D$5</f>
        <v>31 March 2026</v>
      </c>
      <c r="VUV417" s="247" t="str">
        <f>BS!$E$5</f>
        <v>31 March 2025</v>
      </c>
      <c r="VUW417" s="1717"/>
      <c r="VUX417" s="1718"/>
      <c r="VUY417" s="1718"/>
      <c r="VUZ417" s="1718"/>
      <c r="VVA417" s="1718"/>
      <c r="VVB417" s="246"/>
      <c r="VVC417" s="246" t="str">
        <f>BS!$D$5</f>
        <v>31 March 2026</v>
      </c>
      <c r="VVD417" s="247" t="str">
        <f>BS!$E$5</f>
        <v>31 March 2025</v>
      </c>
      <c r="VVE417" s="1717"/>
      <c r="VVF417" s="1718"/>
      <c r="VVG417" s="1718"/>
      <c r="VVH417" s="1718"/>
      <c r="VVI417" s="1718"/>
      <c r="VVJ417" s="246"/>
      <c r="VVK417" s="246" t="str">
        <f>BS!$D$5</f>
        <v>31 March 2026</v>
      </c>
      <c r="VVL417" s="247" t="str">
        <f>BS!$E$5</f>
        <v>31 March 2025</v>
      </c>
      <c r="VVM417" s="1717"/>
      <c r="VVN417" s="1718"/>
      <c r="VVO417" s="1718"/>
      <c r="VVP417" s="1718"/>
      <c r="VVQ417" s="1718"/>
      <c r="VVR417" s="246"/>
      <c r="VVS417" s="246" t="str">
        <f>BS!$D$5</f>
        <v>31 March 2026</v>
      </c>
      <c r="VVT417" s="247" t="str">
        <f>BS!$E$5</f>
        <v>31 March 2025</v>
      </c>
      <c r="VVU417" s="1717"/>
      <c r="VVV417" s="1718"/>
      <c r="VVW417" s="1718"/>
      <c r="VVX417" s="1718"/>
      <c r="VVY417" s="1718"/>
      <c r="VVZ417" s="246"/>
      <c r="VWA417" s="246" t="str">
        <f>BS!$D$5</f>
        <v>31 March 2026</v>
      </c>
      <c r="VWB417" s="247" t="str">
        <f>BS!$E$5</f>
        <v>31 March 2025</v>
      </c>
      <c r="VWC417" s="1717"/>
      <c r="VWD417" s="1718"/>
      <c r="VWE417" s="1718"/>
      <c r="VWF417" s="1718"/>
      <c r="VWG417" s="1718"/>
      <c r="VWH417" s="246"/>
      <c r="VWI417" s="246" t="str">
        <f>BS!$D$5</f>
        <v>31 March 2026</v>
      </c>
      <c r="VWJ417" s="247" t="str">
        <f>BS!$E$5</f>
        <v>31 March 2025</v>
      </c>
      <c r="VWK417" s="1717"/>
      <c r="VWL417" s="1718"/>
      <c r="VWM417" s="1718"/>
      <c r="VWN417" s="1718"/>
      <c r="VWO417" s="1718"/>
      <c r="VWP417" s="246"/>
      <c r="VWQ417" s="246" t="str">
        <f>BS!$D$5</f>
        <v>31 March 2026</v>
      </c>
      <c r="VWR417" s="247" t="str">
        <f>BS!$E$5</f>
        <v>31 March 2025</v>
      </c>
      <c r="VWS417" s="1717"/>
      <c r="VWT417" s="1718"/>
      <c r="VWU417" s="1718"/>
      <c r="VWV417" s="1718"/>
      <c r="VWW417" s="1718"/>
      <c r="VWX417" s="246"/>
      <c r="VWY417" s="246" t="str">
        <f>BS!$D$5</f>
        <v>31 March 2026</v>
      </c>
      <c r="VWZ417" s="247" t="str">
        <f>BS!$E$5</f>
        <v>31 March 2025</v>
      </c>
      <c r="VXA417" s="1717"/>
      <c r="VXB417" s="1718"/>
      <c r="VXC417" s="1718"/>
      <c r="VXD417" s="1718"/>
      <c r="VXE417" s="1718"/>
      <c r="VXF417" s="246"/>
      <c r="VXG417" s="246" t="str">
        <f>BS!$D$5</f>
        <v>31 March 2026</v>
      </c>
      <c r="VXH417" s="247" t="str">
        <f>BS!$E$5</f>
        <v>31 March 2025</v>
      </c>
      <c r="VXI417" s="1717"/>
      <c r="VXJ417" s="1718"/>
      <c r="VXK417" s="1718"/>
      <c r="VXL417" s="1718"/>
      <c r="VXM417" s="1718"/>
      <c r="VXN417" s="246"/>
      <c r="VXO417" s="246" t="str">
        <f>BS!$D$5</f>
        <v>31 March 2026</v>
      </c>
      <c r="VXP417" s="247" t="str">
        <f>BS!$E$5</f>
        <v>31 March 2025</v>
      </c>
      <c r="VXQ417" s="1717"/>
      <c r="VXR417" s="1718"/>
      <c r="VXS417" s="1718"/>
      <c r="VXT417" s="1718"/>
      <c r="VXU417" s="1718"/>
      <c r="VXV417" s="246"/>
      <c r="VXW417" s="246" t="str">
        <f>BS!$D$5</f>
        <v>31 March 2026</v>
      </c>
      <c r="VXX417" s="247" t="str">
        <f>BS!$E$5</f>
        <v>31 March 2025</v>
      </c>
      <c r="VXY417" s="1717"/>
      <c r="VXZ417" s="1718"/>
      <c r="VYA417" s="1718"/>
      <c r="VYB417" s="1718"/>
      <c r="VYC417" s="1718"/>
      <c r="VYD417" s="246"/>
      <c r="VYE417" s="246" t="str">
        <f>BS!$D$5</f>
        <v>31 March 2026</v>
      </c>
      <c r="VYF417" s="247" t="str">
        <f>BS!$E$5</f>
        <v>31 March 2025</v>
      </c>
      <c r="VYG417" s="1717"/>
      <c r="VYH417" s="1718"/>
      <c r="VYI417" s="1718"/>
      <c r="VYJ417" s="1718"/>
      <c r="VYK417" s="1718"/>
      <c r="VYL417" s="246"/>
      <c r="VYM417" s="246" t="str">
        <f>BS!$D$5</f>
        <v>31 March 2026</v>
      </c>
      <c r="VYN417" s="247" t="str">
        <f>BS!$E$5</f>
        <v>31 March 2025</v>
      </c>
      <c r="VYO417" s="1717"/>
      <c r="VYP417" s="1718"/>
      <c r="VYQ417" s="1718"/>
      <c r="VYR417" s="1718"/>
      <c r="VYS417" s="1718"/>
      <c r="VYT417" s="246"/>
      <c r="VYU417" s="246" t="str">
        <f>BS!$D$5</f>
        <v>31 March 2026</v>
      </c>
      <c r="VYV417" s="247" t="str">
        <f>BS!$E$5</f>
        <v>31 March 2025</v>
      </c>
      <c r="VYW417" s="1717"/>
      <c r="VYX417" s="1718"/>
      <c r="VYY417" s="1718"/>
      <c r="VYZ417" s="1718"/>
      <c r="VZA417" s="1718"/>
      <c r="VZB417" s="246"/>
      <c r="VZC417" s="246" t="str">
        <f>BS!$D$5</f>
        <v>31 March 2026</v>
      </c>
      <c r="VZD417" s="247" t="str">
        <f>BS!$E$5</f>
        <v>31 March 2025</v>
      </c>
      <c r="VZE417" s="1717"/>
      <c r="VZF417" s="1718"/>
      <c r="VZG417" s="1718"/>
      <c r="VZH417" s="1718"/>
      <c r="VZI417" s="1718"/>
      <c r="VZJ417" s="246"/>
      <c r="VZK417" s="246" t="str">
        <f>BS!$D$5</f>
        <v>31 March 2026</v>
      </c>
      <c r="VZL417" s="247" t="str">
        <f>BS!$E$5</f>
        <v>31 March 2025</v>
      </c>
      <c r="VZM417" s="1717"/>
      <c r="VZN417" s="1718"/>
      <c r="VZO417" s="1718"/>
      <c r="VZP417" s="1718"/>
      <c r="VZQ417" s="1718"/>
      <c r="VZR417" s="246"/>
      <c r="VZS417" s="246" t="str">
        <f>BS!$D$5</f>
        <v>31 March 2026</v>
      </c>
      <c r="VZT417" s="247" t="str">
        <f>BS!$E$5</f>
        <v>31 March 2025</v>
      </c>
      <c r="VZU417" s="1717"/>
      <c r="VZV417" s="1718"/>
      <c r="VZW417" s="1718"/>
      <c r="VZX417" s="1718"/>
      <c r="VZY417" s="1718"/>
      <c r="VZZ417" s="246"/>
      <c r="WAA417" s="246" t="str">
        <f>BS!$D$5</f>
        <v>31 March 2026</v>
      </c>
      <c r="WAB417" s="247" t="str">
        <f>BS!$E$5</f>
        <v>31 March 2025</v>
      </c>
      <c r="WAC417" s="1717"/>
      <c r="WAD417" s="1718"/>
      <c r="WAE417" s="1718"/>
      <c r="WAF417" s="1718"/>
      <c r="WAG417" s="1718"/>
      <c r="WAH417" s="246"/>
      <c r="WAI417" s="246" t="str">
        <f>BS!$D$5</f>
        <v>31 March 2026</v>
      </c>
      <c r="WAJ417" s="247" t="str">
        <f>BS!$E$5</f>
        <v>31 March 2025</v>
      </c>
      <c r="WAK417" s="1717"/>
      <c r="WAL417" s="1718"/>
      <c r="WAM417" s="1718"/>
      <c r="WAN417" s="1718"/>
      <c r="WAO417" s="1718"/>
      <c r="WAP417" s="246"/>
      <c r="WAQ417" s="246" t="str">
        <f>BS!$D$5</f>
        <v>31 March 2026</v>
      </c>
      <c r="WAR417" s="247" t="str">
        <f>BS!$E$5</f>
        <v>31 March 2025</v>
      </c>
      <c r="WAS417" s="1717"/>
      <c r="WAT417" s="1718"/>
      <c r="WAU417" s="1718"/>
      <c r="WAV417" s="1718"/>
      <c r="WAW417" s="1718"/>
      <c r="WAX417" s="246"/>
      <c r="WAY417" s="246" t="str">
        <f>BS!$D$5</f>
        <v>31 March 2026</v>
      </c>
      <c r="WAZ417" s="247" t="str">
        <f>BS!$E$5</f>
        <v>31 March 2025</v>
      </c>
      <c r="WBA417" s="1717"/>
      <c r="WBB417" s="1718"/>
      <c r="WBC417" s="1718"/>
      <c r="WBD417" s="1718"/>
      <c r="WBE417" s="1718"/>
      <c r="WBF417" s="246"/>
      <c r="WBG417" s="246" t="str">
        <f>BS!$D$5</f>
        <v>31 March 2026</v>
      </c>
      <c r="WBH417" s="247" t="str">
        <f>BS!$E$5</f>
        <v>31 March 2025</v>
      </c>
      <c r="WBI417" s="1717"/>
      <c r="WBJ417" s="1718"/>
      <c r="WBK417" s="1718"/>
      <c r="WBL417" s="1718"/>
      <c r="WBM417" s="1718"/>
      <c r="WBN417" s="246"/>
      <c r="WBO417" s="246" t="str">
        <f>BS!$D$5</f>
        <v>31 March 2026</v>
      </c>
      <c r="WBP417" s="247" t="str">
        <f>BS!$E$5</f>
        <v>31 March 2025</v>
      </c>
      <c r="WBQ417" s="1717"/>
      <c r="WBR417" s="1718"/>
      <c r="WBS417" s="1718"/>
      <c r="WBT417" s="1718"/>
      <c r="WBU417" s="1718"/>
      <c r="WBV417" s="246"/>
      <c r="WBW417" s="246" t="str">
        <f>BS!$D$5</f>
        <v>31 March 2026</v>
      </c>
      <c r="WBX417" s="247" t="str">
        <f>BS!$E$5</f>
        <v>31 March 2025</v>
      </c>
      <c r="WBY417" s="1717"/>
      <c r="WBZ417" s="1718"/>
      <c r="WCA417" s="1718"/>
      <c r="WCB417" s="1718"/>
      <c r="WCC417" s="1718"/>
      <c r="WCD417" s="246"/>
      <c r="WCE417" s="246" t="str">
        <f>BS!$D$5</f>
        <v>31 March 2026</v>
      </c>
      <c r="WCF417" s="247" t="str">
        <f>BS!$E$5</f>
        <v>31 March 2025</v>
      </c>
      <c r="WCG417" s="1717"/>
      <c r="WCH417" s="1718"/>
      <c r="WCI417" s="1718"/>
      <c r="WCJ417" s="1718"/>
      <c r="WCK417" s="1718"/>
      <c r="WCL417" s="246"/>
      <c r="WCM417" s="246" t="str">
        <f>BS!$D$5</f>
        <v>31 March 2026</v>
      </c>
      <c r="WCN417" s="247" t="str">
        <f>BS!$E$5</f>
        <v>31 March 2025</v>
      </c>
      <c r="WCO417" s="1717"/>
      <c r="WCP417" s="1718"/>
      <c r="WCQ417" s="1718"/>
      <c r="WCR417" s="1718"/>
      <c r="WCS417" s="1718"/>
      <c r="WCT417" s="246"/>
      <c r="WCU417" s="246" t="str">
        <f>BS!$D$5</f>
        <v>31 March 2026</v>
      </c>
      <c r="WCV417" s="247" t="str">
        <f>BS!$E$5</f>
        <v>31 March 2025</v>
      </c>
      <c r="WCW417" s="1717"/>
      <c r="WCX417" s="1718"/>
      <c r="WCY417" s="1718"/>
      <c r="WCZ417" s="1718"/>
      <c r="WDA417" s="1718"/>
      <c r="WDB417" s="246"/>
      <c r="WDC417" s="246" t="str">
        <f>BS!$D$5</f>
        <v>31 March 2026</v>
      </c>
      <c r="WDD417" s="247" t="str">
        <f>BS!$E$5</f>
        <v>31 March 2025</v>
      </c>
      <c r="WDE417" s="1717"/>
      <c r="WDF417" s="1718"/>
      <c r="WDG417" s="1718"/>
      <c r="WDH417" s="1718"/>
      <c r="WDI417" s="1718"/>
      <c r="WDJ417" s="246"/>
      <c r="WDK417" s="246" t="str">
        <f>BS!$D$5</f>
        <v>31 March 2026</v>
      </c>
      <c r="WDL417" s="247" t="str">
        <f>BS!$E$5</f>
        <v>31 March 2025</v>
      </c>
      <c r="WDM417" s="1717"/>
      <c r="WDN417" s="1718"/>
      <c r="WDO417" s="1718"/>
      <c r="WDP417" s="1718"/>
      <c r="WDQ417" s="1718"/>
      <c r="WDR417" s="246"/>
      <c r="WDS417" s="246" t="str">
        <f>BS!$D$5</f>
        <v>31 March 2026</v>
      </c>
      <c r="WDT417" s="247" t="str">
        <f>BS!$E$5</f>
        <v>31 March 2025</v>
      </c>
      <c r="WDU417" s="1717"/>
      <c r="WDV417" s="1718"/>
      <c r="WDW417" s="1718"/>
      <c r="WDX417" s="1718"/>
      <c r="WDY417" s="1718"/>
      <c r="WDZ417" s="246"/>
      <c r="WEA417" s="246" t="str">
        <f>BS!$D$5</f>
        <v>31 March 2026</v>
      </c>
      <c r="WEB417" s="247" t="str">
        <f>BS!$E$5</f>
        <v>31 March 2025</v>
      </c>
      <c r="WEC417" s="1717"/>
      <c r="WED417" s="1718"/>
      <c r="WEE417" s="1718"/>
      <c r="WEF417" s="1718"/>
      <c r="WEG417" s="1718"/>
      <c r="WEH417" s="246"/>
      <c r="WEI417" s="246" t="str">
        <f>BS!$D$5</f>
        <v>31 March 2026</v>
      </c>
      <c r="WEJ417" s="247" t="str">
        <f>BS!$E$5</f>
        <v>31 March 2025</v>
      </c>
      <c r="WEK417" s="1717"/>
      <c r="WEL417" s="1718"/>
      <c r="WEM417" s="1718"/>
      <c r="WEN417" s="1718"/>
      <c r="WEO417" s="1718"/>
      <c r="WEP417" s="246"/>
      <c r="WEQ417" s="246" t="str">
        <f>BS!$D$5</f>
        <v>31 March 2026</v>
      </c>
      <c r="WER417" s="247" t="str">
        <f>BS!$E$5</f>
        <v>31 March 2025</v>
      </c>
      <c r="WES417" s="1717"/>
      <c r="WET417" s="1718"/>
      <c r="WEU417" s="1718"/>
      <c r="WEV417" s="1718"/>
      <c r="WEW417" s="1718"/>
      <c r="WEX417" s="246"/>
      <c r="WEY417" s="246" t="str">
        <f>BS!$D$5</f>
        <v>31 March 2026</v>
      </c>
      <c r="WEZ417" s="247" t="str">
        <f>BS!$E$5</f>
        <v>31 March 2025</v>
      </c>
      <c r="WFA417" s="1717"/>
      <c r="WFB417" s="1718"/>
      <c r="WFC417" s="1718"/>
      <c r="WFD417" s="1718"/>
      <c r="WFE417" s="1718"/>
      <c r="WFF417" s="246"/>
      <c r="WFG417" s="246" t="str">
        <f>BS!$D$5</f>
        <v>31 March 2026</v>
      </c>
      <c r="WFH417" s="247" t="str">
        <f>BS!$E$5</f>
        <v>31 March 2025</v>
      </c>
      <c r="WFI417" s="1717"/>
      <c r="WFJ417" s="1718"/>
      <c r="WFK417" s="1718"/>
      <c r="WFL417" s="1718"/>
      <c r="WFM417" s="1718"/>
      <c r="WFN417" s="246"/>
      <c r="WFO417" s="246" t="str">
        <f>BS!$D$5</f>
        <v>31 March 2026</v>
      </c>
      <c r="WFP417" s="247" t="str">
        <f>BS!$E$5</f>
        <v>31 March 2025</v>
      </c>
      <c r="WFQ417" s="1717"/>
      <c r="WFR417" s="1718"/>
      <c r="WFS417" s="1718"/>
      <c r="WFT417" s="1718"/>
      <c r="WFU417" s="1718"/>
      <c r="WFV417" s="246"/>
      <c r="WFW417" s="246" t="str">
        <f>BS!$D$5</f>
        <v>31 March 2026</v>
      </c>
      <c r="WFX417" s="247" t="str">
        <f>BS!$E$5</f>
        <v>31 March 2025</v>
      </c>
      <c r="WFY417" s="1717"/>
      <c r="WFZ417" s="1718"/>
      <c r="WGA417" s="1718"/>
      <c r="WGB417" s="1718"/>
      <c r="WGC417" s="1718"/>
      <c r="WGD417" s="246"/>
      <c r="WGE417" s="246" t="str">
        <f>BS!$D$5</f>
        <v>31 March 2026</v>
      </c>
      <c r="WGF417" s="247" t="str">
        <f>BS!$E$5</f>
        <v>31 March 2025</v>
      </c>
      <c r="WGG417" s="1717"/>
      <c r="WGH417" s="1718"/>
      <c r="WGI417" s="1718"/>
      <c r="WGJ417" s="1718"/>
      <c r="WGK417" s="1718"/>
      <c r="WGL417" s="246"/>
      <c r="WGM417" s="246" t="str">
        <f>BS!$D$5</f>
        <v>31 March 2026</v>
      </c>
      <c r="WGN417" s="247" t="str">
        <f>BS!$E$5</f>
        <v>31 March 2025</v>
      </c>
      <c r="WGO417" s="1717"/>
      <c r="WGP417" s="1718"/>
      <c r="WGQ417" s="1718"/>
      <c r="WGR417" s="1718"/>
      <c r="WGS417" s="1718"/>
      <c r="WGT417" s="246"/>
      <c r="WGU417" s="246" t="str">
        <f>BS!$D$5</f>
        <v>31 March 2026</v>
      </c>
      <c r="WGV417" s="247" t="str">
        <f>BS!$E$5</f>
        <v>31 March 2025</v>
      </c>
      <c r="WGW417" s="1717"/>
      <c r="WGX417" s="1718"/>
      <c r="WGY417" s="1718"/>
      <c r="WGZ417" s="1718"/>
      <c r="WHA417" s="1718"/>
      <c r="WHB417" s="246"/>
      <c r="WHC417" s="246" t="str">
        <f>BS!$D$5</f>
        <v>31 March 2026</v>
      </c>
      <c r="WHD417" s="247" t="str">
        <f>BS!$E$5</f>
        <v>31 March 2025</v>
      </c>
      <c r="WHE417" s="1717"/>
      <c r="WHF417" s="1718"/>
      <c r="WHG417" s="1718"/>
      <c r="WHH417" s="1718"/>
      <c r="WHI417" s="1718"/>
      <c r="WHJ417" s="246"/>
      <c r="WHK417" s="246" t="str">
        <f>BS!$D$5</f>
        <v>31 March 2026</v>
      </c>
      <c r="WHL417" s="247" t="str">
        <f>BS!$E$5</f>
        <v>31 March 2025</v>
      </c>
      <c r="WHM417" s="1717"/>
      <c r="WHN417" s="1718"/>
      <c r="WHO417" s="1718"/>
      <c r="WHP417" s="1718"/>
      <c r="WHQ417" s="1718"/>
      <c r="WHR417" s="246"/>
      <c r="WHS417" s="246" t="str">
        <f>BS!$D$5</f>
        <v>31 March 2026</v>
      </c>
      <c r="WHT417" s="247" t="str">
        <f>BS!$E$5</f>
        <v>31 March 2025</v>
      </c>
      <c r="WHU417" s="1717"/>
      <c r="WHV417" s="1718"/>
      <c r="WHW417" s="1718"/>
      <c r="WHX417" s="1718"/>
      <c r="WHY417" s="1718"/>
      <c r="WHZ417" s="246"/>
      <c r="WIA417" s="246" t="str">
        <f>BS!$D$5</f>
        <v>31 March 2026</v>
      </c>
      <c r="WIB417" s="247" t="str">
        <f>BS!$E$5</f>
        <v>31 March 2025</v>
      </c>
      <c r="WIC417" s="1717"/>
      <c r="WID417" s="1718"/>
      <c r="WIE417" s="1718"/>
      <c r="WIF417" s="1718"/>
      <c r="WIG417" s="1718"/>
      <c r="WIH417" s="246"/>
      <c r="WII417" s="246" t="str">
        <f>BS!$D$5</f>
        <v>31 March 2026</v>
      </c>
      <c r="WIJ417" s="247" t="str">
        <f>BS!$E$5</f>
        <v>31 March 2025</v>
      </c>
      <c r="WIK417" s="1717"/>
      <c r="WIL417" s="1718"/>
      <c r="WIM417" s="1718"/>
      <c r="WIN417" s="1718"/>
      <c r="WIO417" s="1718"/>
      <c r="WIP417" s="246"/>
      <c r="WIQ417" s="246" t="str">
        <f>BS!$D$5</f>
        <v>31 March 2026</v>
      </c>
      <c r="WIR417" s="247" t="str">
        <f>BS!$E$5</f>
        <v>31 March 2025</v>
      </c>
      <c r="WIS417" s="1717"/>
      <c r="WIT417" s="1718"/>
      <c r="WIU417" s="1718"/>
      <c r="WIV417" s="1718"/>
      <c r="WIW417" s="1718"/>
      <c r="WIX417" s="246"/>
      <c r="WIY417" s="246" t="str">
        <f>BS!$D$5</f>
        <v>31 March 2026</v>
      </c>
      <c r="WIZ417" s="247" t="str">
        <f>BS!$E$5</f>
        <v>31 March 2025</v>
      </c>
      <c r="WJA417" s="1717"/>
      <c r="WJB417" s="1718"/>
      <c r="WJC417" s="1718"/>
      <c r="WJD417" s="1718"/>
      <c r="WJE417" s="1718"/>
      <c r="WJF417" s="246"/>
      <c r="WJG417" s="246" t="str">
        <f>BS!$D$5</f>
        <v>31 March 2026</v>
      </c>
      <c r="WJH417" s="247" t="str">
        <f>BS!$E$5</f>
        <v>31 March 2025</v>
      </c>
      <c r="WJI417" s="1717"/>
      <c r="WJJ417" s="1718"/>
      <c r="WJK417" s="1718"/>
      <c r="WJL417" s="1718"/>
      <c r="WJM417" s="1718"/>
      <c r="WJN417" s="246"/>
      <c r="WJO417" s="246" t="str">
        <f>BS!$D$5</f>
        <v>31 March 2026</v>
      </c>
      <c r="WJP417" s="247" t="str">
        <f>BS!$E$5</f>
        <v>31 March 2025</v>
      </c>
      <c r="WJQ417" s="1717"/>
      <c r="WJR417" s="1718"/>
      <c r="WJS417" s="1718"/>
      <c r="WJT417" s="1718"/>
      <c r="WJU417" s="1718"/>
      <c r="WJV417" s="246"/>
      <c r="WJW417" s="246" t="str">
        <f>BS!$D$5</f>
        <v>31 March 2026</v>
      </c>
      <c r="WJX417" s="247" t="str">
        <f>BS!$E$5</f>
        <v>31 March 2025</v>
      </c>
      <c r="WJY417" s="1717"/>
      <c r="WJZ417" s="1718"/>
      <c r="WKA417" s="1718"/>
      <c r="WKB417" s="1718"/>
      <c r="WKC417" s="1718"/>
      <c r="WKD417" s="246"/>
      <c r="WKE417" s="246" t="str">
        <f>BS!$D$5</f>
        <v>31 March 2026</v>
      </c>
      <c r="WKF417" s="247" t="str">
        <f>BS!$E$5</f>
        <v>31 March 2025</v>
      </c>
      <c r="WKG417" s="1717"/>
      <c r="WKH417" s="1718"/>
      <c r="WKI417" s="1718"/>
      <c r="WKJ417" s="1718"/>
      <c r="WKK417" s="1718"/>
      <c r="WKL417" s="246"/>
      <c r="WKM417" s="246" t="str">
        <f>BS!$D$5</f>
        <v>31 March 2026</v>
      </c>
      <c r="WKN417" s="247" t="str">
        <f>BS!$E$5</f>
        <v>31 March 2025</v>
      </c>
      <c r="WKO417" s="1717"/>
      <c r="WKP417" s="1718"/>
      <c r="WKQ417" s="1718"/>
      <c r="WKR417" s="1718"/>
      <c r="WKS417" s="1718"/>
      <c r="WKT417" s="246"/>
      <c r="WKU417" s="246" t="str">
        <f>BS!$D$5</f>
        <v>31 March 2026</v>
      </c>
      <c r="WKV417" s="247" t="str">
        <f>BS!$E$5</f>
        <v>31 March 2025</v>
      </c>
      <c r="WKW417" s="1717"/>
      <c r="WKX417" s="1718"/>
      <c r="WKY417" s="1718"/>
      <c r="WKZ417" s="1718"/>
      <c r="WLA417" s="1718"/>
      <c r="WLB417" s="246"/>
      <c r="WLC417" s="246" t="str">
        <f>BS!$D$5</f>
        <v>31 March 2026</v>
      </c>
      <c r="WLD417" s="247" t="str">
        <f>BS!$E$5</f>
        <v>31 March 2025</v>
      </c>
      <c r="WLE417" s="1717"/>
      <c r="WLF417" s="1718"/>
      <c r="WLG417" s="1718"/>
      <c r="WLH417" s="1718"/>
      <c r="WLI417" s="1718"/>
      <c r="WLJ417" s="246"/>
      <c r="WLK417" s="246" t="str">
        <f>BS!$D$5</f>
        <v>31 March 2026</v>
      </c>
      <c r="WLL417" s="247" t="str">
        <f>BS!$E$5</f>
        <v>31 March 2025</v>
      </c>
      <c r="WLM417" s="1717"/>
      <c r="WLN417" s="1718"/>
      <c r="WLO417" s="1718"/>
      <c r="WLP417" s="1718"/>
      <c r="WLQ417" s="1718"/>
      <c r="WLR417" s="246"/>
      <c r="WLS417" s="246" t="str">
        <f>BS!$D$5</f>
        <v>31 March 2026</v>
      </c>
      <c r="WLT417" s="247" t="str">
        <f>BS!$E$5</f>
        <v>31 March 2025</v>
      </c>
      <c r="WLU417" s="1717"/>
      <c r="WLV417" s="1718"/>
      <c r="WLW417" s="1718"/>
      <c r="WLX417" s="1718"/>
      <c r="WLY417" s="1718"/>
      <c r="WLZ417" s="246"/>
      <c r="WMA417" s="246" t="str">
        <f>BS!$D$5</f>
        <v>31 March 2026</v>
      </c>
      <c r="WMB417" s="247" t="str">
        <f>BS!$E$5</f>
        <v>31 March 2025</v>
      </c>
      <c r="WMC417" s="1717"/>
      <c r="WMD417" s="1718"/>
      <c r="WME417" s="1718"/>
      <c r="WMF417" s="1718"/>
      <c r="WMG417" s="1718"/>
      <c r="WMH417" s="246"/>
      <c r="WMI417" s="246" t="str">
        <f>BS!$D$5</f>
        <v>31 March 2026</v>
      </c>
      <c r="WMJ417" s="247" t="str">
        <f>BS!$E$5</f>
        <v>31 March 2025</v>
      </c>
      <c r="WMK417" s="1717"/>
      <c r="WML417" s="1718"/>
      <c r="WMM417" s="1718"/>
      <c r="WMN417" s="1718"/>
      <c r="WMO417" s="1718"/>
      <c r="WMP417" s="246"/>
      <c r="WMQ417" s="246" t="str">
        <f>BS!$D$5</f>
        <v>31 March 2026</v>
      </c>
      <c r="WMR417" s="247" t="str">
        <f>BS!$E$5</f>
        <v>31 March 2025</v>
      </c>
      <c r="WMS417" s="1717"/>
      <c r="WMT417" s="1718"/>
      <c r="WMU417" s="1718"/>
      <c r="WMV417" s="1718"/>
      <c r="WMW417" s="1718"/>
      <c r="WMX417" s="246"/>
      <c r="WMY417" s="246" t="str">
        <f>BS!$D$5</f>
        <v>31 March 2026</v>
      </c>
      <c r="WMZ417" s="247" t="str">
        <f>BS!$E$5</f>
        <v>31 March 2025</v>
      </c>
      <c r="WNA417" s="1717"/>
      <c r="WNB417" s="1718"/>
      <c r="WNC417" s="1718"/>
      <c r="WND417" s="1718"/>
      <c r="WNE417" s="1718"/>
      <c r="WNF417" s="246"/>
      <c r="WNG417" s="246" t="str">
        <f>BS!$D$5</f>
        <v>31 March 2026</v>
      </c>
      <c r="WNH417" s="247" t="str">
        <f>BS!$E$5</f>
        <v>31 March 2025</v>
      </c>
      <c r="WNI417" s="1717"/>
      <c r="WNJ417" s="1718"/>
      <c r="WNK417" s="1718"/>
      <c r="WNL417" s="1718"/>
      <c r="WNM417" s="1718"/>
      <c r="WNN417" s="246"/>
      <c r="WNO417" s="246" t="str">
        <f>BS!$D$5</f>
        <v>31 March 2026</v>
      </c>
      <c r="WNP417" s="247" t="str">
        <f>BS!$E$5</f>
        <v>31 March 2025</v>
      </c>
      <c r="WNQ417" s="1717"/>
      <c r="WNR417" s="1718"/>
      <c r="WNS417" s="1718"/>
      <c r="WNT417" s="1718"/>
      <c r="WNU417" s="1718"/>
      <c r="WNV417" s="246"/>
      <c r="WNW417" s="246" t="str">
        <f>BS!$D$5</f>
        <v>31 March 2026</v>
      </c>
      <c r="WNX417" s="247" t="str">
        <f>BS!$E$5</f>
        <v>31 March 2025</v>
      </c>
      <c r="WNY417" s="1717"/>
      <c r="WNZ417" s="1718"/>
      <c r="WOA417" s="1718"/>
      <c r="WOB417" s="1718"/>
      <c r="WOC417" s="1718"/>
      <c r="WOD417" s="246"/>
      <c r="WOE417" s="246" t="str">
        <f>BS!$D$5</f>
        <v>31 March 2026</v>
      </c>
      <c r="WOF417" s="247" t="str">
        <f>BS!$E$5</f>
        <v>31 March 2025</v>
      </c>
      <c r="WOG417" s="1717"/>
      <c r="WOH417" s="1718"/>
      <c r="WOI417" s="1718"/>
      <c r="WOJ417" s="1718"/>
      <c r="WOK417" s="1718"/>
      <c r="WOL417" s="246"/>
      <c r="WOM417" s="246" t="str">
        <f>BS!$D$5</f>
        <v>31 March 2026</v>
      </c>
      <c r="WON417" s="247" t="str">
        <f>BS!$E$5</f>
        <v>31 March 2025</v>
      </c>
      <c r="WOO417" s="1717"/>
      <c r="WOP417" s="1718"/>
      <c r="WOQ417" s="1718"/>
      <c r="WOR417" s="1718"/>
      <c r="WOS417" s="1718"/>
      <c r="WOT417" s="246"/>
      <c r="WOU417" s="246" t="str">
        <f>BS!$D$5</f>
        <v>31 March 2026</v>
      </c>
      <c r="WOV417" s="247" t="str">
        <f>BS!$E$5</f>
        <v>31 March 2025</v>
      </c>
      <c r="WOW417" s="1717"/>
      <c r="WOX417" s="1718"/>
      <c r="WOY417" s="1718"/>
      <c r="WOZ417" s="1718"/>
      <c r="WPA417" s="1718"/>
      <c r="WPB417" s="246"/>
      <c r="WPC417" s="246" t="str">
        <f>BS!$D$5</f>
        <v>31 March 2026</v>
      </c>
      <c r="WPD417" s="247" t="str">
        <f>BS!$E$5</f>
        <v>31 March 2025</v>
      </c>
      <c r="WPE417" s="1717"/>
      <c r="WPF417" s="1718"/>
      <c r="WPG417" s="1718"/>
      <c r="WPH417" s="1718"/>
      <c r="WPI417" s="1718"/>
      <c r="WPJ417" s="246"/>
      <c r="WPK417" s="246" t="str">
        <f>BS!$D$5</f>
        <v>31 March 2026</v>
      </c>
      <c r="WPL417" s="247" t="str">
        <f>BS!$E$5</f>
        <v>31 March 2025</v>
      </c>
      <c r="WPM417" s="1717"/>
      <c r="WPN417" s="1718"/>
      <c r="WPO417" s="1718"/>
      <c r="WPP417" s="1718"/>
      <c r="WPQ417" s="1718"/>
      <c r="WPR417" s="246"/>
      <c r="WPS417" s="246" t="str">
        <f>BS!$D$5</f>
        <v>31 March 2026</v>
      </c>
      <c r="WPT417" s="247" t="str">
        <f>BS!$E$5</f>
        <v>31 March 2025</v>
      </c>
      <c r="WPU417" s="1717"/>
      <c r="WPV417" s="1718"/>
      <c r="WPW417" s="1718"/>
      <c r="WPX417" s="1718"/>
      <c r="WPY417" s="1718"/>
      <c r="WPZ417" s="246"/>
      <c r="WQA417" s="246" t="str">
        <f>BS!$D$5</f>
        <v>31 March 2026</v>
      </c>
      <c r="WQB417" s="247" t="str">
        <f>BS!$E$5</f>
        <v>31 March 2025</v>
      </c>
      <c r="WQC417" s="1717"/>
      <c r="WQD417" s="1718"/>
      <c r="WQE417" s="1718"/>
      <c r="WQF417" s="1718"/>
      <c r="WQG417" s="1718"/>
      <c r="WQH417" s="246"/>
      <c r="WQI417" s="246" t="str">
        <f>BS!$D$5</f>
        <v>31 March 2026</v>
      </c>
      <c r="WQJ417" s="247" t="str">
        <f>BS!$E$5</f>
        <v>31 March 2025</v>
      </c>
      <c r="WQK417" s="1717"/>
      <c r="WQL417" s="1718"/>
      <c r="WQM417" s="1718"/>
      <c r="WQN417" s="1718"/>
      <c r="WQO417" s="1718"/>
      <c r="WQP417" s="246"/>
      <c r="WQQ417" s="246" t="str">
        <f>BS!$D$5</f>
        <v>31 March 2026</v>
      </c>
      <c r="WQR417" s="247" t="str">
        <f>BS!$E$5</f>
        <v>31 March 2025</v>
      </c>
      <c r="WQS417" s="1717"/>
      <c r="WQT417" s="1718"/>
      <c r="WQU417" s="1718"/>
      <c r="WQV417" s="1718"/>
      <c r="WQW417" s="1718"/>
      <c r="WQX417" s="246"/>
      <c r="WQY417" s="246" t="str">
        <f>BS!$D$5</f>
        <v>31 March 2026</v>
      </c>
      <c r="WQZ417" s="247" t="str">
        <f>BS!$E$5</f>
        <v>31 March 2025</v>
      </c>
      <c r="WRA417" s="1717"/>
      <c r="WRB417" s="1718"/>
      <c r="WRC417" s="1718"/>
      <c r="WRD417" s="1718"/>
      <c r="WRE417" s="1718"/>
      <c r="WRF417" s="246"/>
      <c r="WRG417" s="246" t="str">
        <f>BS!$D$5</f>
        <v>31 March 2026</v>
      </c>
      <c r="WRH417" s="247" t="str">
        <f>BS!$E$5</f>
        <v>31 March 2025</v>
      </c>
      <c r="WRI417" s="1717"/>
      <c r="WRJ417" s="1718"/>
      <c r="WRK417" s="1718"/>
      <c r="WRL417" s="1718"/>
      <c r="WRM417" s="1718"/>
      <c r="WRN417" s="246"/>
      <c r="WRO417" s="246" t="str">
        <f>BS!$D$5</f>
        <v>31 March 2026</v>
      </c>
      <c r="WRP417" s="247" t="str">
        <f>BS!$E$5</f>
        <v>31 March 2025</v>
      </c>
      <c r="WRQ417" s="1717"/>
      <c r="WRR417" s="1718"/>
      <c r="WRS417" s="1718"/>
      <c r="WRT417" s="1718"/>
      <c r="WRU417" s="1718"/>
      <c r="WRV417" s="246"/>
      <c r="WRW417" s="246" t="str">
        <f>BS!$D$5</f>
        <v>31 March 2026</v>
      </c>
      <c r="WRX417" s="247" t="str">
        <f>BS!$E$5</f>
        <v>31 March 2025</v>
      </c>
      <c r="WRY417" s="1717"/>
      <c r="WRZ417" s="1718"/>
      <c r="WSA417" s="1718"/>
      <c r="WSB417" s="1718"/>
      <c r="WSC417" s="1718"/>
      <c r="WSD417" s="246"/>
      <c r="WSE417" s="246" t="str">
        <f>BS!$D$5</f>
        <v>31 March 2026</v>
      </c>
      <c r="WSF417" s="247" t="str">
        <f>BS!$E$5</f>
        <v>31 March 2025</v>
      </c>
      <c r="WSG417" s="1717"/>
      <c r="WSH417" s="1718"/>
      <c r="WSI417" s="1718"/>
      <c r="WSJ417" s="1718"/>
      <c r="WSK417" s="1718"/>
      <c r="WSL417" s="246"/>
      <c r="WSM417" s="246" t="str">
        <f>BS!$D$5</f>
        <v>31 March 2026</v>
      </c>
      <c r="WSN417" s="247" t="str">
        <f>BS!$E$5</f>
        <v>31 March 2025</v>
      </c>
      <c r="WSO417" s="1717"/>
      <c r="WSP417" s="1718"/>
      <c r="WSQ417" s="1718"/>
      <c r="WSR417" s="1718"/>
      <c r="WSS417" s="1718"/>
      <c r="WST417" s="246"/>
      <c r="WSU417" s="246" t="str">
        <f>BS!$D$5</f>
        <v>31 March 2026</v>
      </c>
      <c r="WSV417" s="247" t="str">
        <f>BS!$E$5</f>
        <v>31 March 2025</v>
      </c>
      <c r="WSW417" s="1717"/>
      <c r="WSX417" s="1718"/>
      <c r="WSY417" s="1718"/>
      <c r="WSZ417" s="1718"/>
      <c r="WTA417" s="1718"/>
      <c r="WTB417" s="246"/>
      <c r="WTC417" s="246" t="str">
        <f>BS!$D$5</f>
        <v>31 March 2026</v>
      </c>
      <c r="WTD417" s="247" t="str">
        <f>BS!$E$5</f>
        <v>31 March 2025</v>
      </c>
      <c r="WTE417" s="1717"/>
      <c r="WTF417" s="1718"/>
      <c r="WTG417" s="1718"/>
      <c r="WTH417" s="1718"/>
      <c r="WTI417" s="1718"/>
      <c r="WTJ417" s="246"/>
      <c r="WTK417" s="246" t="str">
        <f>BS!$D$5</f>
        <v>31 March 2026</v>
      </c>
      <c r="WTL417" s="247" t="str">
        <f>BS!$E$5</f>
        <v>31 March 2025</v>
      </c>
      <c r="WTM417" s="1717"/>
      <c r="WTN417" s="1718"/>
      <c r="WTO417" s="1718"/>
      <c r="WTP417" s="1718"/>
      <c r="WTQ417" s="1718"/>
      <c r="WTR417" s="246"/>
      <c r="WTS417" s="246" t="str">
        <f>BS!$D$5</f>
        <v>31 March 2026</v>
      </c>
      <c r="WTT417" s="247" t="str">
        <f>BS!$E$5</f>
        <v>31 March 2025</v>
      </c>
      <c r="WTU417" s="1717"/>
      <c r="WTV417" s="1718"/>
      <c r="WTW417" s="1718"/>
      <c r="WTX417" s="1718"/>
      <c r="WTY417" s="1718"/>
      <c r="WTZ417" s="246"/>
      <c r="WUA417" s="246" t="str">
        <f>BS!$D$5</f>
        <v>31 March 2026</v>
      </c>
      <c r="WUB417" s="247" t="str">
        <f>BS!$E$5</f>
        <v>31 March 2025</v>
      </c>
      <c r="WUC417" s="1717"/>
      <c r="WUD417" s="1718"/>
      <c r="WUE417" s="1718"/>
      <c r="WUF417" s="1718"/>
      <c r="WUG417" s="1718"/>
      <c r="WUH417" s="246"/>
      <c r="WUI417" s="246" t="str">
        <f>BS!$D$5</f>
        <v>31 March 2026</v>
      </c>
      <c r="WUJ417" s="247" t="str">
        <f>BS!$E$5</f>
        <v>31 March 2025</v>
      </c>
      <c r="WUK417" s="1717"/>
      <c r="WUL417" s="1718"/>
      <c r="WUM417" s="1718"/>
      <c r="WUN417" s="1718"/>
      <c r="WUO417" s="1718"/>
      <c r="WUP417" s="246"/>
      <c r="WUQ417" s="246" t="str">
        <f>BS!$D$5</f>
        <v>31 March 2026</v>
      </c>
      <c r="WUR417" s="247" t="str">
        <f>BS!$E$5</f>
        <v>31 March 2025</v>
      </c>
      <c r="WUS417" s="1717"/>
      <c r="WUT417" s="1718"/>
      <c r="WUU417" s="1718"/>
      <c r="WUV417" s="1718"/>
      <c r="WUW417" s="1718"/>
      <c r="WUX417" s="246"/>
      <c r="WUY417" s="246" t="str">
        <f>BS!$D$5</f>
        <v>31 March 2026</v>
      </c>
      <c r="WUZ417" s="247" t="str">
        <f>BS!$E$5</f>
        <v>31 March 2025</v>
      </c>
      <c r="WVA417" s="1717"/>
      <c r="WVB417" s="1718"/>
      <c r="WVC417" s="1718"/>
      <c r="WVD417" s="1718"/>
      <c r="WVE417" s="1718"/>
      <c r="WVF417" s="246"/>
      <c r="WVG417" s="246" t="str">
        <f>BS!$D$5</f>
        <v>31 March 2026</v>
      </c>
      <c r="WVH417" s="247" t="str">
        <f>BS!$E$5</f>
        <v>31 March 2025</v>
      </c>
      <c r="WVI417" s="1717"/>
      <c r="WVJ417" s="1718"/>
      <c r="WVK417" s="1718"/>
      <c r="WVL417" s="1718"/>
      <c r="WVM417" s="1718"/>
      <c r="WVN417" s="246"/>
      <c r="WVO417" s="246" t="str">
        <f>BS!$D$5</f>
        <v>31 March 2026</v>
      </c>
      <c r="WVP417" s="247" t="str">
        <f>BS!$E$5</f>
        <v>31 March 2025</v>
      </c>
      <c r="WVQ417" s="1717"/>
      <c r="WVR417" s="1718"/>
      <c r="WVS417" s="1718"/>
      <c r="WVT417" s="1718"/>
      <c r="WVU417" s="1718"/>
      <c r="WVV417" s="246"/>
      <c r="WVW417" s="246" t="str">
        <f>BS!$D$5</f>
        <v>31 March 2026</v>
      </c>
      <c r="WVX417" s="247" t="str">
        <f>BS!$E$5</f>
        <v>31 March 2025</v>
      </c>
      <c r="WVY417" s="1717"/>
      <c r="WVZ417" s="1718"/>
      <c r="WWA417" s="1718"/>
      <c r="WWB417" s="1718"/>
      <c r="WWC417" s="1718"/>
      <c r="WWD417" s="246"/>
      <c r="WWE417" s="246" t="str">
        <f>BS!$D$5</f>
        <v>31 March 2026</v>
      </c>
      <c r="WWF417" s="247" t="str">
        <f>BS!$E$5</f>
        <v>31 March 2025</v>
      </c>
      <c r="WWG417" s="1717"/>
      <c r="WWH417" s="1718"/>
      <c r="WWI417" s="1718"/>
      <c r="WWJ417" s="1718"/>
      <c r="WWK417" s="1718"/>
      <c r="WWL417" s="246"/>
      <c r="WWM417" s="246" t="str">
        <f>BS!$D$5</f>
        <v>31 March 2026</v>
      </c>
      <c r="WWN417" s="247" t="str">
        <f>BS!$E$5</f>
        <v>31 March 2025</v>
      </c>
      <c r="WWO417" s="1717"/>
      <c r="WWP417" s="1718"/>
      <c r="WWQ417" s="1718"/>
      <c r="WWR417" s="1718"/>
      <c r="WWS417" s="1718"/>
      <c r="WWT417" s="246"/>
      <c r="WWU417" s="246" t="str">
        <f>BS!$D$5</f>
        <v>31 March 2026</v>
      </c>
      <c r="WWV417" s="247" t="str">
        <f>BS!$E$5</f>
        <v>31 March 2025</v>
      </c>
      <c r="WWW417" s="1717"/>
      <c r="WWX417" s="1718"/>
      <c r="WWY417" s="1718"/>
      <c r="WWZ417" s="1718"/>
      <c r="WXA417" s="1718"/>
      <c r="WXB417" s="246"/>
      <c r="WXC417" s="246" t="str">
        <f>BS!$D$5</f>
        <v>31 March 2026</v>
      </c>
      <c r="WXD417" s="247" t="str">
        <f>BS!$E$5</f>
        <v>31 March 2025</v>
      </c>
      <c r="WXE417" s="1717"/>
      <c r="WXF417" s="1718"/>
      <c r="WXG417" s="1718"/>
      <c r="WXH417" s="1718"/>
      <c r="WXI417" s="1718"/>
      <c r="WXJ417" s="246"/>
      <c r="WXK417" s="246" t="str">
        <f>BS!$D$5</f>
        <v>31 March 2026</v>
      </c>
      <c r="WXL417" s="247" t="str">
        <f>BS!$E$5</f>
        <v>31 March 2025</v>
      </c>
      <c r="WXM417" s="1717"/>
      <c r="WXN417" s="1718"/>
      <c r="WXO417" s="1718"/>
      <c r="WXP417" s="1718"/>
      <c r="WXQ417" s="1718"/>
      <c r="WXR417" s="246"/>
      <c r="WXS417" s="246" t="str">
        <f>BS!$D$5</f>
        <v>31 March 2026</v>
      </c>
      <c r="WXT417" s="247" t="str">
        <f>BS!$E$5</f>
        <v>31 March 2025</v>
      </c>
      <c r="WXU417" s="1717"/>
      <c r="WXV417" s="1718"/>
      <c r="WXW417" s="1718"/>
      <c r="WXX417" s="1718"/>
      <c r="WXY417" s="1718"/>
      <c r="WXZ417" s="246"/>
      <c r="WYA417" s="246" t="str">
        <f>BS!$D$5</f>
        <v>31 March 2026</v>
      </c>
      <c r="WYB417" s="247" t="str">
        <f>BS!$E$5</f>
        <v>31 March 2025</v>
      </c>
      <c r="WYC417" s="1717"/>
      <c r="WYD417" s="1718"/>
      <c r="WYE417" s="1718"/>
      <c r="WYF417" s="1718"/>
      <c r="WYG417" s="1718"/>
      <c r="WYH417" s="246"/>
      <c r="WYI417" s="246" t="str">
        <f>BS!$D$5</f>
        <v>31 March 2026</v>
      </c>
      <c r="WYJ417" s="247" t="str">
        <f>BS!$E$5</f>
        <v>31 March 2025</v>
      </c>
      <c r="WYK417" s="1717"/>
      <c r="WYL417" s="1718"/>
      <c r="WYM417" s="1718"/>
      <c r="WYN417" s="1718"/>
      <c r="WYO417" s="1718"/>
      <c r="WYP417" s="246"/>
      <c r="WYQ417" s="246" t="str">
        <f>BS!$D$5</f>
        <v>31 March 2026</v>
      </c>
      <c r="WYR417" s="247" t="str">
        <f>BS!$E$5</f>
        <v>31 March 2025</v>
      </c>
      <c r="WYS417" s="1717"/>
      <c r="WYT417" s="1718"/>
      <c r="WYU417" s="1718"/>
      <c r="WYV417" s="1718"/>
      <c r="WYW417" s="1718"/>
      <c r="WYX417" s="246"/>
      <c r="WYY417" s="246" t="str">
        <f>BS!$D$5</f>
        <v>31 March 2026</v>
      </c>
      <c r="WYZ417" s="247" t="str">
        <f>BS!$E$5</f>
        <v>31 March 2025</v>
      </c>
      <c r="WZA417" s="1717"/>
      <c r="WZB417" s="1718"/>
      <c r="WZC417" s="1718"/>
      <c r="WZD417" s="1718"/>
      <c r="WZE417" s="1718"/>
      <c r="WZF417" s="246"/>
      <c r="WZG417" s="246" t="str">
        <f>BS!$D$5</f>
        <v>31 March 2026</v>
      </c>
      <c r="WZH417" s="247" t="str">
        <f>BS!$E$5</f>
        <v>31 March 2025</v>
      </c>
      <c r="WZI417" s="1717"/>
      <c r="WZJ417" s="1718"/>
      <c r="WZK417" s="1718"/>
      <c r="WZL417" s="1718"/>
      <c r="WZM417" s="1718"/>
      <c r="WZN417" s="246"/>
      <c r="WZO417" s="246" t="str">
        <f>BS!$D$5</f>
        <v>31 March 2026</v>
      </c>
      <c r="WZP417" s="247" t="str">
        <f>BS!$E$5</f>
        <v>31 March 2025</v>
      </c>
      <c r="WZQ417" s="1717"/>
      <c r="WZR417" s="1718"/>
      <c r="WZS417" s="1718"/>
      <c r="WZT417" s="1718"/>
      <c r="WZU417" s="1718"/>
      <c r="WZV417" s="246"/>
      <c r="WZW417" s="246" t="str">
        <f>BS!$D$5</f>
        <v>31 March 2026</v>
      </c>
      <c r="WZX417" s="247" t="str">
        <f>BS!$E$5</f>
        <v>31 March 2025</v>
      </c>
      <c r="WZY417" s="1717"/>
      <c r="WZZ417" s="1718"/>
      <c r="XAA417" s="1718"/>
      <c r="XAB417" s="1718"/>
      <c r="XAC417" s="1718"/>
      <c r="XAD417" s="246"/>
      <c r="XAE417" s="246" t="str">
        <f>BS!$D$5</f>
        <v>31 March 2026</v>
      </c>
      <c r="XAF417" s="247" t="str">
        <f>BS!$E$5</f>
        <v>31 March 2025</v>
      </c>
      <c r="XAG417" s="1717"/>
      <c r="XAH417" s="1718"/>
      <c r="XAI417" s="1718"/>
      <c r="XAJ417" s="1718"/>
      <c r="XAK417" s="1718"/>
      <c r="XAL417" s="246"/>
      <c r="XAM417" s="246" t="str">
        <f>BS!$D$5</f>
        <v>31 March 2026</v>
      </c>
      <c r="XAN417" s="247" t="str">
        <f>BS!$E$5</f>
        <v>31 March 2025</v>
      </c>
      <c r="XAO417" s="1717"/>
      <c r="XAP417" s="1718"/>
      <c r="XAQ417" s="1718"/>
      <c r="XAR417" s="1718"/>
      <c r="XAS417" s="1718"/>
      <c r="XAT417" s="246"/>
      <c r="XAU417" s="246" t="str">
        <f>BS!$D$5</f>
        <v>31 March 2026</v>
      </c>
      <c r="XAV417" s="247" t="str">
        <f>BS!$E$5</f>
        <v>31 March 2025</v>
      </c>
      <c r="XAW417" s="1717"/>
      <c r="XAX417" s="1718"/>
      <c r="XAY417" s="1718"/>
      <c r="XAZ417" s="1718"/>
      <c r="XBA417" s="1718"/>
      <c r="XBB417" s="246"/>
      <c r="XBC417" s="246" t="str">
        <f>BS!$D$5</f>
        <v>31 March 2026</v>
      </c>
      <c r="XBD417" s="247" t="str">
        <f>BS!$E$5</f>
        <v>31 March 2025</v>
      </c>
      <c r="XBE417" s="1717"/>
      <c r="XBF417" s="1718"/>
      <c r="XBG417" s="1718"/>
      <c r="XBH417" s="1718"/>
      <c r="XBI417" s="1718"/>
      <c r="XBJ417" s="246"/>
      <c r="XBK417" s="246" t="str">
        <f>BS!$D$5</f>
        <v>31 March 2026</v>
      </c>
      <c r="XBL417" s="247" t="str">
        <f>BS!$E$5</f>
        <v>31 March 2025</v>
      </c>
      <c r="XBM417" s="1717"/>
      <c r="XBN417" s="1718"/>
      <c r="XBO417" s="1718"/>
      <c r="XBP417" s="1718"/>
      <c r="XBQ417" s="1718"/>
      <c r="XBR417" s="246"/>
      <c r="XBS417" s="246" t="str">
        <f>BS!$D$5</f>
        <v>31 March 2026</v>
      </c>
      <c r="XBT417" s="247" t="str">
        <f>BS!$E$5</f>
        <v>31 March 2025</v>
      </c>
      <c r="XBU417" s="1717"/>
      <c r="XBV417" s="1718"/>
      <c r="XBW417" s="1718"/>
      <c r="XBX417" s="1718"/>
      <c r="XBY417" s="1718"/>
      <c r="XBZ417" s="246"/>
      <c r="XCA417" s="246" t="str">
        <f>BS!$D$5</f>
        <v>31 March 2026</v>
      </c>
      <c r="XCB417" s="247" t="str">
        <f>BS!$E$5</f>
        <v>31 March 2025</v>
      </c>
      <c r="XCC417" s="1717"/>
      <c r="XCD417" s="1718"/>
      <c r="XCE417" s="1718"/>
      <c r="XCF417" s="1718"/>
      <c r="XCG417" s="1718"/>
      <c r="XCH417" s="246"/>
      <c r="XCI417" s="246" t="str">
        <f>BS!$D$5</f>
        <v>31 March 2026</v>
      </c>
      <c r="XCJ417" s="247" t="str">
        <f>BS!$E$5</f>
        <v>31 March 2025</v>
      </c>
      <c r="XCK417" s="1717"/>
      <c r="XCL417" s="1718"/>
      <c r="XCM417" s="1718"/>
      <c r="XCN417" s="1718"/>
      <c r="XCO417" s="1718"/>
      <c r="XCP417" s="246"/>
      <c r="XCQ417" s="246" t="str">
        <f>BS!$D$5</f>
        <v>31 March 2026</v>
      </c>
      <c r="XCR417" s="247" t="str">
        <f>BS!$E$5</f>
        <v>31 March 2025</v>
      </c>
      <c r="XCS417" s="1717"/>
      <c r="XCT417" s="1718"/>
      <c r="XCU417" s="1718"/>
      <c r="XCV417" s="1718"/>
      <c r="XCW417" s="1718"/>
      <c r="XCX417" s="246"/>
      <c r="XCY417" s="246" t="str">
        <f>BS!$D$5</f>
        <v>31 March 2026</v>
      </c>
      <c r="XCZ417" s="247" t="str">
        <f>BS!$E$5</f>
        <v>31 March 2025</v>
      </c>
      <c r="XDA417" s="1717"/>
      <c r="XDB417" s="1718"/>
      <c r="XDC417" s="1718"/>
      <c r="XDD417" s="1718"/>
      <c r="XDE417" s="1718"/>
      <c r="XDF417" s="246"/>
      <c r="XDG417" s="246" t="str">
        <f>BS!$D$5</f>
        <v>31 March 2026</v>
      </c>
      <c r="XDH417" s="247" t="str">
        <f>BS!$E$5</f>
        <v>31 March 2025</v>
      </c>
      <c r="XDI417" s="1717"/>
      <c r="XDJ417" s="1718"/>
      <c r="XDK417" s="1718"/>
      <c r="XDL417" s="1718"/>
      <c r="XDM417" s="1718"/>
      <c r="XDN417" s="246"/>
      <c r="XDO417" s="246" t="str">
        <f>BS!$D$5</f>
        <v>31 March 2026</v>
      </c>
      <c r="XDP417" s="247" t="str">
        <f>BS!$E$5</f>
        <v>31 March 2025</v>
      </c>
      <c r="XDQ417" s="1717"/>
      <c r="XDR417" s="1718"/>
      <c r="XDS417" s="1718"/>
      <c r="XDT417" s="1718"/>
      <c r="XDU417" s="1718"/>
      <c r="XDV417" s="246"/>
      <c r="XDW417" s="246" t="str">
        <f>BS!$D$5</f>
        <v>31 March 2026</v>
      </c>
      <c r="XDX417" s="247" t="str">
        <f>BS!$E$5</f>
        <v>31 March 2025</v>
      </c>
      <c r="XDY417" s="1717"/>
      <c r="XDZ417" s="1718"/>
      <c r="XEA417" s="1718"/>
      <c r="XEB417" s="1718"/>
      <c r="XEC417" s="1718"/>
      <c r="XED417" s="246"/>
      <c r="XEE417" s="246" t="str">
        <f>BS!$D$5</f>
        <v>31 March 2026</v>
      </c>
      <c r="XEF417" s="247" t="str">
        <f>BS!$E$5</f>
        <v>31 March 2025</v>
      </c>
      <c r="XEG417" s="1717"/>
      <c r="XEH417" s="1718"/>
      <c r="XEI417" s="1718"/>
      <c r="XEJ417" s="1718"/>
      <c r="XEK417" s="1718"/>
      <c r="XEL417" s="246"/>
      <c r="XEM417" s="246" t="str">
        <f>BS!$D$5</f>
        <v>31 March 2026</v>
      </c>
      <c r="XEN417" s="247" t="str">
        <f>BS!$E$5</f>
        <v>31 March 2025</v>
      </c>
      <c r="XEO417" s="1717"/>
      <c r="XEP417" s="1718"/>
      <c r="XEQ417" s="1718"/>
      <c r="XER417" s="1718"/>
      <c r="XES417" s="1718"/>
      <c r="XET417" s="246"/>
      <c r="XEU417" s="246" t="str">
        <f>BS!$D$5</f>
        <v>31 March 2026</v>
      </c>
      <c r="XEV417" s="247" t="str">
        <f>BS!$E$5</f>
        <v>31 March 2025</v>
      </c>
      <c r="XEW417" s="1717"/>
      <c r="XEX417" s="1718"/>
      <c r="XEY417" s="1718"/>
      <c r="XEZ417" s="1718"/>
      <c r="XFA417" s="1718"/>
      <c r="XFB417" s="246"/>
      <c r="XFC417" s="246" t="str">
        <f>BS!$D$5</f>
        <v>31 March 2026</v>
      </c>
      <c r="XFD417" s="247" t="str">
        <f>BS!$E$5</f>
        <v>31 March 2025</v>
      </c>
    </row>
    <row r="418" spans="1:16384" s="95" customFormat="1" x14ac:dyDescent="0.25">
      <c r="A418" s="813"/>
      <c r="B418" s="814"/>
      <c r="C418" s="814"/>
      <c r="D418" s="814"/>
      <c r="E418" s="814"/>
      <c r="F418" s="815"/>
      <c r="G418" s="815"/>
      <c r="H418" s="816"/>
      <c r="I418" s="556"/>
    </row>
    <row r="419" spans="1:16384" s="95" customFormat="1" x14ac:dyDescent="0.25">
      <c r="A419" s="314" t="s">
        <v>1084</v>
      </c>
      <c r="B419" s="788"/>
      <c r="C419" s="788"/>
      <c r="D419" s="788"/>
      <c r="E419" s="788"/>
      <c r="H419" s="834"/>
      <c r="I419" s="834"/>
    </row>
    <row r="420" spans="1:16384" s="95" customFormat="1" x14ac:dyDescent="0.25">
      <c r="A420" s="314" t="s">
        <v>132</v>
      </c>
      <c r="B420" s="788"/>
      <c r="C420" s="788"/>
      <c r="D420" s="788"/>
      <c r="E420" s="788"/>
      <c r="H420" s="834"/>
      <c r="I420" s="834"/>
    </row>
    <row r="421" spans="1:16384" s="95" customFormat="1" x14ac:dyDescent="0.25">
      <c r="A421" s="822" t="s">
        <v>133</v>
      </c>
      <c r="G421" s="523">
        <f>12301883/100000</f>
        <v>123.01882999999999</v>
      </c>
      <c r="H421" s="787">
        <f>H436</f>
        <v>158.37</v>
      </c>
      <c r="I421" s="824">
        <f>ROUND((0)/Input!$C$2,Input!$E$2)</f>
        <v>0</v>
      </c>
      <c r="O421" s="95" t="s">
        <v>1509</v>
      </c>
      <c r="P421" s="95" t="s">
        <v>1510</v>
      </c>
    </row>
    <row r="422" spans="1:16384" s="95" customFormat="1" x14ac:dyDescent="0.25">
      <c r="A422" s="1787" t="s">
        <v>134</v>
      </c>
      <c r="B422" s="1788"/>
      <c r="C422" s="1788"/>
      <c r="D422" s="1788"/>
      <c r="E422" s="1788"/>
      <c r="G422" s="823">
        <f>-ROUND(SUMIF('TB BVS 31.03.26'!$E:$E,A422,'TB BVS 31.03.26'!$I:$I)/Input!$C$2,Input!$E$2)-G421+P422+2</f>
        <v>9796.9811699999991</v>
      </c>
      <c r="H422" s="787">
        <f>-ROUND(SUMIF('TB BVS 31.3.25'!$E:$E,A422,'TB BVS 31.3.25'!$J:$J)/Input!$C$2,Input!$E$2)-H421</f>
        <v>1654.63</v>
      </c>
      <c r="I422" s="824">
        <f>-ROUND(SUMIF('TB BVS 31.3.22'!$E:$E,A422,'TB BVS 31.3.22'!$M:$M)/Input!$C$2,Input!$E$2)</f>
        <v>14</v>
      </c>
      <c r="O422" s="487">
        <f>-105844876.52/100000</f>
        <v>-1058.4487652</v>
      </c>
      <c r="P422" s="225">
        <v>0</v>
      </c>
    </row>
    <row r="423" spans="1:16384" s="825" customFormat="1" x14ac:dyDescent="0.25">
      <c r="A423" s="646" t="s">
        <v>67</v>
      </c>
      <c r="B423" s="837"/>
      <c r="C423" s="837"/>
      <c r="D423" s="837"/>
      <c r="E423" s="837"/>
      <c r="F423" s="873"/>
      <c r="G423" s="828">
        <f>SUM(G421:G422)</f>
        <v>9920</v>
      </c>
      <c r="H423" s="829">
        <f>SUM(H421:H422)</f>
        <v>1813</v>
      </c>
      <c r="I423" s="829">
        <f>SUM(I421:I422)</f>
        <v>14</v>
      </c>
    </row>
    <row r="424" spans="1:16384" s="95" customFormat="1" x14ac:dyDescent="0.25">
      <c r="A424" s="950"/>
      <c r="B424" s="930"/>
      <c r="C424" s="930"/>
      <c r="D424" s="930"/>
      <c r="E424" s="930"/>
      <c r="F424" s="864"/>
      <c r="G424" s="864"/>
      <c r="H424" s="1262"/>
      <c r="I424" s="644"/>
    </row>
    <row r="425" spans="1:16384" s="95" customFormat="1" hidden="1" x14ac:dyDescent="0.25">
      <c r="A425" s="314"/>
      <c r="B425" s="788"/>
      <c r="C425" s="788"/>
      <c r="D425" s="788"/>
      <c r="E425" s="788"/>
      <c r="H425" s="644"/>
      <c r="I425" s="644"/>
    </row>
    <row r="426" spans="1:16384" s="95" customFormat="1" x14ac:dyDescent="0.25">
      <c r="A426" s="314" t="s">
        <v>132</v>
      </c>
      <c r="B426" s="788"/>
      <c r="C426" s="788"/>
      <c r="D426" s="788"/>
      <c r="E426" s="788"/>
      <c r="H426" s="644"/>
      <c r="I426" s="644"/>
    </row>
    <row r="427" spans="1:16384" s="95" customFormat="1" x14ac:dyDescent="0.25">
      <c r="A427" s="822" t="s">
        <v>343</v>
      </c>
      <c r="H427" s="644"/>
      <c r="I427" s="644"/>
    </row>
    <row r="428" spans="1:16384" s="95" customFormat="1" x14ac:dyDescent="0.25">
      <c r="A428" s="1779" t="s">
        <v>1556</v>
      </c>
      <c r="B428" s="1747" t="s">
        <v>331</v>
      </c>
      <c r="C428" s="1747"/>
      <c r="D428" s="1747"/>
      <c r="E428" s="1747"/>
      <c r="F428" s="1747"/>
      <c r="G428" s="1747"/>
      <c r="H428" s="700" t="s">
        <v>67</v>
      </c>
      <c r="I428" s="644"/>
      <c r="O428" s="840"/>
    </row>
    <row r="429" spans="1:16384" s="95" customFormat="1" ht="30" x14ac:dyDescent="0.25">
      <c r="A429" s="1743"/>
      <c r="B429" s="808" t="s">
        <v>344</v>
      </c>
      <c r="C429" s="808" t="s">
        <v>330</v>
      </c>
      <c r="D429" s="513" t="s">
        <v>345</v>
      </c>
      <c r="E429" s="513" t="s">
        <v>332</v>
      </c>
      <c r="F429" s="513" t="s">
        <v>333</v>
      </c>
      <c r="G429" s="513" t="s">
        <v>334</v>
      </c>
      <c r="H429" s="809"/>
      <c r="I429" s="644"/>
      <c r="P429" s="487"/>
      <c r="Q429" s="487"/>
    </row>
    <row r="430" spans="1:16384" s="95" customFormat="1" x14ac:dyDescent="0.25">
      <c r="A430" s="645" t="s">
        <v>346</v>
      </c>
      <c r="B430" s="514">
        <v>0</v>
      </c>
      <c r="C430" s="525">
        <v>108.40553419999998</v>
      </c>
      <c r="D430" s="525">
        <v>14.613300000000001</v>
      </c>
      <c r="E430" s="514">
        <v>0</v>
      </c>
      <c r="F430" s="514">
        <v>0</v>
      </c>
      <c r="G430" s="514">
        <v>0</v>
      </c>
      <c r="H430" s="515">
        <f>SUM(B430:G430)</f>
        <v>123.01883419999997</v>
      </c>
      <c r="I430" s="644"/>
      <c r="P430" s="487"/>
      <c r="Q430" s="487"/>
    </row>
    <row r="431" spans="1:16384" s="95" customFormat="1" x14ac:dyDescent="0.25">
      <c r="A431" s="645" t="s">
        <v>347</v>
      </c>
      <c r="B431" s="514">
        <v>167.38155520000001</v>
      </c>
      <c r="C431" s="525">
        <f>3829.7356381+4</f>
        <v>3833.7356381</v>
      </c>
      <c r="D431" s="525">
        <f>5804.4723415-4+2</f>
        <v>5802.4723414999999</v>
      </c>
      <c r="E431" s="525">
        <f>11.6362857-468173/100000</f>
        <v>6.9545557000000002</v>
      </c>
      <c r="F431" s="514">
        <f>23.5419143-2175722/100000</f>
        <v>1.7846942999999982</v>
      </c>
      <c r="G431" s="514">
        <v>0.01</v>
      </c>
      <c r="H431" s="515">
        <f>SUM(B431:G431)</f>
        <v>9812.3387848000002</v>
      </c>
      <c r="I431" s="644"/>
      <c r="P431" s="1230"/>
      <c r="Q431" s="1231"/>
    </row>
    <row r="432" spans="1:16384" s="95" customFormat="1" x14ac:dyDescent="0.25">
      <c r="A432" s="646" t="s">
        <v>67</v>
      </c>
      <c r="B432" s="516">
        <f t="shared" ref="B432:H432" si="6">SUM(B430:B431)</f>
        <v>167.38155520000001</v>
      </c>
      <c r="C432" s="516">
        <f t="shared" si="6"/>
        <v>3942.1411723000001</v>
      </c>
      <c r="D432" s="516">
        <f t="shared" si="6"/>
        <v>5817.0856414999998</v>
      </c>
      <c r="E432" s="516">
        <f t="shared" si="6"/>
        <v>6.9545557000000002</v>
      </c>
      <c r="F432" s="516">
        <f t="shared" si="6"/>
        <v>1.7846942999999982</v>
      </c>
      <c r="G432" s="516">
        <f t="shared" si="6"/>
        <v>0.01</v>
      </c>
      <c r="H432" s="517">
        <f t="shared" si="6"/>
        <v>9935.3576190000003</v>
      </c>
      <c r="I432" s="644"/>
    </row>
    <row r="433" spans="1:10" x14ac:dyDescent="0.25">
      <c r="A433" s="822"/>
      <c r="H433" s="644"/>
      <c r="I433" s="644"/>
    </row>
    <row r="434" spans="1:10" ht="14.45" customHeight="1" x14ac:dyDescent="0.25">
      <c r="A434" s="1779" t="s">
        <v>1172</v>
      </c>
      <c r="B434" s="1747" t="s">
        <v>331</v>
      </c>
      <c r="C434" s="1747"/>
      <c r="D434" s="1747"/>
      <c r="E434" s="1747"/>
      <c r="F434" s="1747"/>
      <c r="G434" s="1747"/>
      <c r="H434" s="700" t="s">
        <v>67</v>
      </c>
      <c r="I434" s="644"/>
    </row>
    <row r="435" spans="1:10" ht="30" x14ac:dyDescent="0.25">
      <c r="A435" s="1743"/>
      <c r="B435" s="808" t="s">
        <v>344</v>
      </c>
      <c r="C435" s="808" t="s">
        <v>330</v>
      </c>
      <c r="D435" s="513" t="s">
        <v>345</v>
      </c>
      <c r="E435" s="513" t="s">
        <v>332</v>
      </c>
      <c r="F435" s="513" t="s">
        <v>333</v>
      </c>
      <c r="G435" s="513" t="s">
        <v>334</v>
      </c>
      <c r="H435" s="809"/>
      <c r="I435" s="644"/>
    </row>
    <row r="436" spans="1:10" x14ac:dyDescent="0.25">
      <c r="A436" s="645" t="s">
        <v>346</v>
      </c>
      <c r="B436" s="514">
        <v>0</v>
      </c>
      <c r="C436" s="514">
        <f>11264/100</f>
        <v>112.64</v>
      </c>
      <c r="D436" s="514">
        <f>4573/100</f>
        <v>45.73</v>
      </c>
      <c r="E436" s="514">
        <v>0</v>
      </c>
      <c r="F436" s="514">
        <v>0</v>
      </c>
      <c r="G436" s="514">
        <v>0</v>
      </c>
      <c r="H436" s="515">
        <f>15837/100</f>
        <v>158.37</v>
      </c>
      <c r="I436" s="644"/>
    </row>
    <row r="437" spans="1:10" x14ac:dyDescent="0.25">
      <c r="A437" s="645" t="s">
        <v>347</v>
      </c>
      <c r="B437" s="514">
        <f>48270.63/100</f>
        <v>482.7063</v>
      </c>
      <c r="C437" s="525">
        <f>81874/100</f>
        <v>818.74</v>
      </c>
      <c r="D437" s="514">
        <f>33084/100</f>
        <v>330.84</v>
      </c>
      <c r="E437" s="514">
        <f>2265/100</f>
        <v>22.65</v>
      </c>
      <c r="F437" s="514">
        <f>1/100</f>
        <v>0.01</v>
      </c>
      <c r="G437" s="514">
        <v>0</v>
      </c>
      <c r="H437" s="515">
        <f>165494.63/100</f>
        <v>1654.9463000000001</v>
      </c>
      <c r="I437" s="644"/>
    </row>
    <row r="438" spans="1:10" x14ac:dyDescent="0.25">
      <c r="A438" s="646" t="s">
        <v>67</v>
      </c>
      <c r="B438" s="516">
        <f t="shared" ref="B438:H438" si="7">SUM(B436:B437)</f>
        <v>482.7063</v>
      </c>
      <c r="C438" s="516">
        <f t="shared" si="7"/>
        <v>931.38</v>
      </c>
      <c r="D438" s="516">
        <f t="shared" si="7"/>
        <v>376.57</v>
      </c>
      <c r="E438" s="516">
        <f t="shared" si="7"/>
        <v>22.65</v>
      </c>
      <c r="F438" s="516">
        <f t="shared" si="7"/>
        <v>0.01</v>
      </c>
      <c r="G438" s="516">
        <f t="shared" si="7"/>
        <v>0</v>
      </c>
      <c r="H438" s="517">
        <f t="shared" si="7"/>
        <v>1813.3163</v>
      </c>
      <c r="I438" s="644"/>
    </row>
    <row r="439" spans="1:10" x14ac:dyDescent="0.25">
      <c r="A439" s="822"/>
      <c r="H439" s="644"/>
      <c r="I439" s="644"/>
    </row>
    <row r="440" spans="1:10" ht="14.45" hidden="1" customHeight="1" x14ac:dyDescent="0.25">
      <c r="A440" s="1742" t="str">
        <f>Input!$C$5</f>
        <v>31 March 2023</v>
      </c>
      <c r="B440" s="1747" t="s">
        <v>331</v>
      </c>
      <c r="C440" s="1747"/>
      <c r="D440" s="1747"/>
      <c r="E440" s="1747"/>
      <c r="F440" s="1747"/>
      <c r="G440" s="1747"/>
      <c r="H440" s="700" t="s">
        <v>67</v>
      </c>
      <c r="I440" s="644"/>
    </row>
    <row r="441" spans="1:10" ht="30" hidden="1" x14ac:dyDescent="0.25">
      <c r="A441" s="1743"/>
      <c r="B441" s="808" t="s">
        <v>344</v>
      </c>
      <c r="C441" s="808" t="s">
        <v>330</v>
      </c>
      <c r="D441" s="513" t="s">
        <v>345</v>
      </c>
      <c r="E441" s="513" t="s">
        <v>332</v>
      </c>
      <c r="F441" s="513" t="s">
        <v>333</v>
      </c>
      <c r="G441" s="513" t="s">
        <v>334</v>
      </c>
      <c r="H441" s="809"/>
      <c r="I441" s="644"/>
    </row>
    <row r="442" spans="1:10" hidden="1" x14ac:dyDescent="0.25">
      <c r="A442" s="645" t="s">
        <v>346</v>
      </c>
      <c r="B442" s="514">
        <v>0</v>
      </c>
      <c r="C442" s="514">
        <v>0</v>
      </c>
      <c r="D442" s="514">
        <v>0</v>
      </c>
      <c r="E442" s="514">
        <v>0</v>
      </c>
      <c r="F442" s="514">
        <v>0</v>
      </c>
      <c r="G442" s="514">
        <v>0</v>
      </c>
      <c r="H442" s="515">
        <f>SUM(B442:G442)</f>
        <v>0</v>
      </c>
      <c r="I442" s="644"/>
    </row>
    <row r="443" spans="1:10" hidden="1" x14ac:dyDescent="0.25">
      <c r="A443" s="645" t="s">
        <v>347</v>
      </c>
      <c r="B443" s="514">
        <v>179.53</v>
      </c>
      <c r="C443" s="525">
        <f>ROUND(0/Input!$C$2,Input!$E$2)</f>
        <v>0</v>
      </c>
      <c r="D443" s="514">
        <f>ROUND(24467/Input!$C$2,2)</f>
        <v>0.24</v>
      </c>
      <c r="E443" s="514">
        <v>0</v>
      </c>
      <c r="F443" s="514">
        <v>0</v>
      </c>
      <c r="G443" s="514">
        <v>0</v>
      </c>
      <c r="H443" s="515">
        <f>SUM(B443:G443)</f>
        <v>179.77</v>
      </c>
      <c r="I443" s="644"/>
    </row>
    <row r="444" spans="1:10" hidden="1" x14ac:dyDescent="0.25">
      <c r="A444" s="646" t="s">
        <v>67</v>
      </c>
      <c r="B444" s="516">
        <f>SUM(B442:B443)</f>
        <v>179.53</v>
      </c>
      <c r="C444" s="516">
        <f t="shared" ref="C444:H444" si="8">SUM(C442:C443)</f>
        <v>0</v>
      </c>
      <c r="D444" s="516">
        <f t="shared" si="8"/>
        <v>0.24</v>
      </c>
      <c r="E444" s="516">
        <f t="shared" si="8"/>
        <v>0</v>
      </c>
      <c r="F444" s="516">
        <f t="shared" si="8"/>
        <v>0</v>
      </c>
      <c r="G444" s="516">
        <f t="shared" si="8"/>
        <v>0</v>
      </c>
      <c r="H444" s="517">
        <f t="shared" si="8"/>
        <v>179.77</v>
      </c>
      <c r="I444" s="644"/>
      <c r="J444" s="840">
        <f>H444-H423</f>
        <v>-1633.23</v>
      </c>
    </row>
    <row r="445" spans="1:10" hidden="1" x14ac:dyDescent="0.25">
      <c r="A445" s="822"/>
      <c r="H445" s="644"/>
      <c r="I445" s="644"/>
    </row>
    <row r="446" spans="1:10" hidden="1" x14ac:dyDescent="0.25">
      <c r="A446" s="1742" t="str">
        <f>Input!$C$6</f>
        <v>31 March 2022</v>
      </c>
      <c r="B446" s="663" t="s">
        <v>344</v>
      </c>
      <c r="C446" s="663" t="s">
        <v>330</v>
      </c>
      <c r="D446" s="1747" t="s">
        <v>331</v>
      </c>
      <c r="E446" s="1747"/>
      <c r="F446" s="1747"/>
      <c r="G446" s="1747"/>
      <c r="H446" s="700" t="s">
        <v>67</v>
      </c>
      <c r="I446" s="644"/>
    </row>
    <row r="447" spans="1:10" ht="30" hidden="1" x14ac:dyDescent="0.25">
      <c r="A447" s="1743"/>
      <c r="B447" s="664"/>
      <c r="C447" s="664"/>
      <c r="D447" s="513" t="s">
        <v>345</v>
      </c>
      <c r="E447" s="513" t="s">
        <v>332</v>
      </c>
      <c r="F447" s="513" t="s">
        <v>333</v>
      </c>
      <c r="G447" s="513" t="s">
        <v>334</v>
      </c>
      <c r="H447" s="809"/>
      <c r="I447" s="644"/>
    </row>
    <row r="448" spans="1:10" hidden="1" x14ac:dyDescent="0.25">
      <c r="A448" s="645" t="s">
        <v>346</v>
      </c>
      <c r="B448" s="514">
        <v>0</v>
      </c>
      <c r="C448" s="514">
        <v>0</v>
      </c>
      <c r="D448" s="514">
        <f>ROUND(0/Input!$C$2,2)</f>
        <v>0</v>
      </c>
      <c r="E448" s="514">
        <v>0</v>
      </c>
      <c r="F448" s="514">
        <v>0</v>
      </c>
      <c r="G448" s="514">
        <v>0</v>
      </c>
      <c r="H448" s="515">
        <f>SUM(B448:G448)</f>
        <v>0</v>
      </c>
      <c r="I448" s="644"/>
    </row>
    <row r="449" spans="1:10" hidden="1" x14ac:dyDescent="0.25">
      <c r="A449" s="645" t="s">
        <v>347</v>
      </c>
      <c r="B449" s="514">
        <f>I422-D449</f>
        <v>0.98000000000000043</v>
      </c>
      <c r="C449" s="514">
        <v>0</v>
      </c>
      <c r="D449" s="514">
        <f>ROUND(1301747/Input!$C$2,2)</f>
        <v>13.02</v>
      </c>
      <c r="E449" s="514">
        <v>0</v>
      </c>
      <c r="F449" s="514">
        <v>0</v>
      </c>
      <c r="G449" s="514">
        <v>0</v>
      </c>
      <c r="H449" s="515">
        <f>SUM(B449:G449)</f>
        <v>14</v>
      </c>
      <c r="I449" s="644"/>
    </row>
    <row r="450" spans="1:10" hidden="1" x14ac:dyDescent="0.25">
      <c r="A450" s="646" t="s">
        <v>67</v>
      </c>
      <c r="B450" s="516">
        <f t="shared" ref="B450:F450" si="9">SUM(B448:B449)</f>
        <v>0.98000000000000043</v>
      </c>
      <c r="C450" s="516">
        <f t="shared" si="9"/>
        <v>0</v>
      </c>
      <c r="D450" s="516">
        <f t="shared" si="9"/>
        <v>13.02</v>
      </c>
      <c r="E450" s="516">
        <f t="shared" si="9"/>
        <v>0</v>
      </c>
      <c r="F450" s="516">
        <f t="shared" si="9"/>
        <v>0</v>
      </c>
      <c r="G450" s="516">
        <f>SUM(G448:G449)</f>
        <v>0</v>
      </c>
      <c r="H450" s="517">
        <f>SUM(H448:H449)</f>
        <v>14</v>
      </c>
      <c r="I450" s="644"/>
      <c r="J450" s="840">
        <f>H450-I423</f>
        <v>0</v>
      </c>
    </row>
    <row r="451" spans="1:10" hidden="1" x14ac:dyDescent="0.25">
      <c r="A451" s="314"/>
      <c r="B451" s="788"/>
      <c r="C451" s="788"/>
      <c r="D451" s="788"/>
      <c r="E451" s="788"/>
      <c r="H451" s="644"/>
      <c r="I451" s="644"/>
    </row>
    <row r="452" spans="1:10" x14ac:dyDescent="0.25">
      <c r="A452" s="314" t="s">
        <v>385</v>
      </c>
      <c r="B452" s="788"/>
      <c r="C452" s="788"/>
      <c r="D452" s="788"/>
      <c r="E452" s="788"/>
      <c r="H452" s="644"/>
      <c r="I452" s="644"/>
    </row>
    <row r="453" spans="1:10" ht="49.5" customHeight="1" x14ac:dyDescent="0.25">
      <c r="A453" s="1784" t="s">
        <v>552</v>
      </c>
      <c r="B453" s="1785"/>
      <c r="C453" s="1785"/>
      <c r="D453" s="1785"/>
      <c r="E453" s="1785"/>
      <c r="F453" s="1785"/>
      <c r="G453" s="1785"/>
      <c r="H453" s="1786"/>
      <c r="I453" s="968"/>
    </row>
    <row r="454" spans="1:10" x14ac:dyDescent="0.25">
      <c r="A454" s="1715" t="s">
        <v>0</v>
      </c>
      <c r="B454" s="1716"/>
      <c r="C454" s="1716"/>
      <c r="D454" s="1716"/>
      <c r="E454" s="1716"/>
      <c r="F454" s="244"/>
      <c r="G454" s="244" t="s">
        <v>68</v>
      </c>
      <c r="H454" s="245" t="s">
        <v>68</v>
      </c>
      <c r="I454" s="245" t="s">
        <v>68</v>
      </c>
    </row>
    <row r="455" spans="1:10" x14ac:dyDescent="0.25">
      <c r="A455" s="1717"/>
      <c r="B455" s="1718"/>
      <c r="C455" s="1718"/>
      <c r="D455" s="1718"/>
      <c r="E455" s="1718"/>
      <c r="F455" s="246"/>
      <c r="G455" s="246" t="str">
        <f>G300</f>
        <v>31 March 2026</v>
      </c>
      <c r="H455" s="247" t="str">
        <f>BS!$E$5</f>
        <v>31 March 2025</v>
      </c>
      <c r="I455" s="247" t="str">
        <f>BS!$F$5</f>
        <v>31 March 2022</v>
      </c>
    </row>
    <row r="456" spans="1:10" x14ac:dyDescent="0.25">
      <c r="A456" s="822" t="s">
        <v>1354</v>
      </c>
      <c r="G456" s="823">
        <f>G421</f>
        <v>123.01882999999999</v>
      </c>
      <c r="H456" s="571">
        <f>H421</f>
        <v>158.37</v>
      </c>
      <c r="I456" s="787">
        <f>I421</f>
        <v>0</v>
      </c>
    </row>
    <row r="457" spans="1:10" x14ac:dyDescent="0.25">
      <c r="A457" s="1760" t="s">
        <v>1355</v>
      </c>
      <c r="B457" s="1761"/>
      <c r="C457" s="1761"/>
      <c r="D457" s="1761"/>
      <c r="E457" s="1761"/>
      <c r="F457" s="1761"/>
      <c r="G457" s="823">
        <v>0</v>
      </c>
      <c r="H457" s="571">
        <v>9</v>
      </c>
      <c r="I457" s="787">
        <f>ROUND(0/Input!$C$2,Input!$E$2)</f>
        <v>0</v>
      </c>
    </row>
    <row r="458" spans="1:10" ht="30.95" customHeight="1" x14ac:dyDescent="0.25">
      <c r="A458" s="1751" t="s">
        <v>1356</v>
      </c>
      <c r="B458" s="1752"/>
      <c r="C458" s="1752"/>
      <c r="D458" s="1752"/>
      <c r="E458" s="1752"/>
      <c r="F458" s="1752"/>
      <c r="G458" s="823"/>
      <c r="H458" s="571"/>
      <c r="I458" s="787">
        <f>ROUND(0/Input!$C$2,Input!$E$2)</f>
        <v>0</v>
      </c>
    </row>
    <row r="459" spans="1:10" x14ac:dyDescent="0.25">
      <c r="A459" s="1751" t="s">
        <v>1357</v>
      </c>
      <c r="B459" s="1752"/>
      <c r="C459" s="1752"/>
      <c r="D459" s="1752"/>
      <c r="E459" s="1752"/>
      <c r="F459" s="1752"/>
      <c r="G459" s="823">
        <v>0</v>
      </c>
      <c r="H459" s="571">
        <f>ROUND(0/Input!$C$2,Input!$E$2)</f>
        <v>0</v>
      </c>
      <c r="I459" s="787">
        <f>ROUND(0/Input!$C$2,Input!$E$2)</f>
        <v>0</v>
      </c>
    </row>
    <row r="460" spans="1:10" x14ac:dyDescent="0.25">
      <c r="A460" s="1751" t="s">
        <v>1358</v>
      </c>
      <c r="B460" s="1752"/>
      <c r="C460" s="1752"/>
      <c r="D460" s="1752"/>
      <c r="E460" s="1752"/>
      <c r="F460" s="1752"/>
      <c r="G460" s="823">
        <v>0</v>
      </c>
      <c r="H460" s="571">
        <v>2325</v>
      </c>
      <c r="I460" s="787">
        <f>ROUND(0/Input!$C$2,Input!$E$2)</f>
        <v>0</v>
      </c>
    </row>
    <row r="461" spans="1:10" ht="44.1" customHeight="1" x14ac:dyDescent="0.25">
      <c r="A461" s="1777" t="s">
        <v>1359</v>
      </c>
      <c r="B461" s="1778"/>
      <c r="C461" s="1778"/>
      <c r="D461" s="1778"/>
      <c r="E461" s="1778"/>
      <c r="F461" s="1778"/>
      <c r="G461" s="823">
        <v>0</v>
      </c>
      <c r="H461" s="571">
        <f>ROUND(0/Input!$C$2,Input!$E$2)</f>
        <v>0</v>
      </c>
      <c r="I461" s="787">
        <f>ROUND(0/Input!$C$2,Input!$E$2)</f>
        <v>0</v>
      </c>
    </row>
    <row r="462" spans="1:10" ht="17.45" customHeight="1" x14ac:dyDescent="0.25">
      <c r="A462" s="1751" t="s">
        <v>1375</v>
      </c>
      <c r="B462" s="1752"/>
      <c r="C462" s="1752"/>
      <c r="D462" s="1752"/>
      <c r="E462" s="1752"/>
      <c r="F462" s="1752"/>
      <c r="G462" s="823">
        <f>H462</f>
        <v>64</v>
      </c>
      <c r="H462" s="571">
        <v>64</v>
      </c>
      <c r="I462" s="839">
        <f>ROUND(0/Input!$C$2,Input!$E$2)</f>
        <v>0</v>
      </c>
    </row>
    <row r="463" spans="1:10" ht="44.1" customHeight="1" x14ac:dyDescent="0.25">
      <c r="A463" s="1751" t="s">
        <v>1360</v>
      </c>
      <c r="B463" s="1752"/>
      <c r="C463" s="1752"/>
      <c r="D463" s="1752"/>
      <c r="E463" s="1752"/>
      <c r="F463" s="1752"/>
      <c r="G463" s="823">
        <f>'PL Notes 19-27'!C85</f>
        <v>0</v>
      </c>
      <c r="H463" s="571">
        <v>50</v>
      </c>
      <c r="I463" s="787"/>
    </row>
    <row r="464" spans="1:10" x14ac:dyDescent="0.25">
      <c r="A464" s="822"/>
      <c r="H464" s="644"/>
      <c r="I464" s="556"/>
    </row>
    <row r="465" spans="1:16" x14ac:dyDescent="0.25">
      <c r="A465" s="314" t="s">
        <v>1083</v>
      </c>
      <c r="B465" s="788"/>
      <c r="C465" s="788"/>
      <c r="D465" s="788"/>
      <c r="E465" s="788"/>
      <c r="H465" s="834"/>
      <c r="I465" s="556"/>
    </row>
    <row r="466" spans="1:16" x14ac:dyDescent="0.25">
      <c r="A466" s="314" t="s">
        <v>877</v>
      </c>
      <c r="B466" s="788"/>
      <c r="C466" s="788"/>
      <c r="D466" s="788"/>
      <c r="E466" s="788"/>
      <c r="H466" s="834"/>
      <c r="I466" s="556"/>
    </row>
    <row r="467" spans="1:16" x14ac:dyDescent="0.25">
      <c r="A467" s="822" t="s">
        <v>168</v>
      </c>
      <c r="G467" s="523">
        <f>-ROUND(SUMIF('TB BVS 31.03.26'!$E:$E,'BS  Notes  3-18'!A467,'TB BVS 31.03.26'!$I:$I)/Input!$C$2,Input!$E$2)</f>
        <v>58</v>
      </c>
      <c r="H467" s="787">
        <f>-ROUND(SUMIF('TB BVS 31.3.25'!$E:$E,'BS  Notes  3-18'!A467,'TB BVS 31.3.25'!$J:$J)/Input!$C$2,Input!$E$2)</f>
        <v>101</v>
      </c>
      <c r="I467" s="556"/>
      <c r="O467" s="95" t="s">
        <v>1508</v>
      </c>
    </row>
    <row r="468" spans="1:16" x14ac:dyDescent="0.25">
      <c r="A468" s="822" t="s">
        <v>1604</v>
      </c>
      <c r="G468" s="523">
        <f>-ROUND(SUMIF('TB BVS 31.03.26'!$E:$E,'BS  Notes  3-18'!A468,'TB BVS 31.03.26'!$I:$I)/Input!$C$2,Input!$E$2)-P468</f>
        <v>387</v>
      </c>
      <c r="H468" s="787">
        <f>-ROUND(SUMIF('TB BVS 31.3.25'!$E:$E,'BS  Notes  3-18'!A468,'TB BVS 31.3.25'!$J:$J)/Input!$C$2,Input!$E$2)</f>
        <v>2407</v>
      </c>
      <c r="I468" s="556"/>
      <c r="O468" s="487">
        <f>G468-H468</f>
        <v>-2020</v>
      </c>
      <c r="P468" s="225">
        <v>0</v>
      </c>
    </row>
    <row r="469" spans="1:16" x14ac:dyDescent="0.25">
      <c r="A469" s="646" t="s">
        <v>67</v>
      </c>
      <c r="B469" s="837"/>
      <c r="C469" s="837"/>
      <c r="D469" s="837"/>
      <c r="E469" s="837"/>
      <c r="F469" s="869"/>
      <c r="G469" s="828">
        <f>SUM(G467:G468)</f>
        <v>445</v>
      </c>
      <c r="H469" s="829">
        <f>SUM(H467:H468)</f>
        <v>2508</v>
      </c>
      <c r="I469" s="556"/>
      <c r="O469" s="95">
        <v>1764</v>
      </c>
    </row>
    <row r="470" spans="1:16" x14ac:dyDescent="0.25">
      <c r="A470" s="555"/>
      <c r="B470" s="805"/>
      <c r="C470" s="805"/>
      <c r="D470" s="805"/>
      <c r="E470" s="805"/>
      <c r="F470" s="805"/>
      <c r="G470" s="805"/>
      <c r="H470" s="556"/>
      <c r="I470" s="708"/>
    </row>
    <row r="471" spans="1:16" x14ac:dyDescent="0.25">
      <c r="A471" s="314" t="s">
        <v>844</v>
      </c>
      <c r="B471" s="788"/>
      <c r="C471" s="788"/>
      <c r="D471" s="788"/>
      <c r="E471" s="788"/>
      <c r="H471" s="644"/>
      <c r="I471" s="644"/>
    </row>
    <row r="472" spans="1:16" x14ac:dyDescent="0.25">
      <c r="A472" s="314" t="s">
        <v>130</v>
      </c>
      <c r="B472" s="788"/>
      <c r="C472" s="788"/>
      <c r="D472" s="788"/>
      <c r="E472" s="788"/>
      <c r="H472" s="644"/>
      <c r="I472" s="644"/>
    </row>
    <row r="473" spans="1:16" x14ac:dyDescent="0.25">
      <c r="A473" s="822" t="s">
        <v>131</v>
      </c>
      <c r="G473" s="523">
        <f>-ROUND(SUMIF('TB BVS 31.03.26'!$E:$E,'BS  Notes  3-18'!A473,'TB BVS 31.03.26'!$I:$I)/Input!$C$2,Input!$E$2)</f>
        <v>57</v>
      </c>
      <c r="H473" s="787">
        <f>-ROUND(SUMIF('TB BVS 31.3.25'!$E:$E,'BS  Notes  3-18'!A473,'TB BVS 31.3.25'!$J:$J)/Input!$C$2,Input!$E$2)</f>
        <v>39</v>
      </c>
      <c r="I473" s="824">
        <f>-ROUND(SUMIF('TB BVS 31.3.22'!$E:$E,A473,'TB BVS 31.3.22'!$M:$M)/Input!$C$2,Input!$E$2)</f>
        <v>0</v>
      </c>
      <c r="J473" s="487"/>
    </row>
    <row r="474" spans="1:16" x14ac:dyDescent="0.25">
      <c r="A474" s="822" t="s">
        <v>1538</v>
      </c>
      <c r="G474" s="523">
        <f>-ROUND(SUMIF('TB BVS 31.03.26'!$E:$E,'BS  Notes  3-18'!A474,'TB BVS 31.03.26'!$I:$I)/Input!$C$2,Input!$E$2)</f>
        <v>9</v>
      </c>
      <c r="H474" s="787">
        <v>0</v>
      </c>
      <c r="I474" s="824"/>
      <c r="J474" s="487"/>
    </row>
    <row r="475" spans="1:16" ht="15.75" thickBot="1" x14ac:dyDescent="0.3">
      <c r="A475" s="916" t="s">
        <v>67</v>
      </c>
      <c r="B475" s="917"/>
      <c r="C475" s="917"/>
      <c r="D475" s="917"/>
      <c r="E475" s="917"/>
      <c r="F475" s="917"/>
      <c r="G475" s="926">
        <f>SUM(G473:G474)</f>
        <v>66</v>
      </c>
      <c r="H475" s="918">
        <f>SUM(H473:H473)</f>
        <v>39</v>
      </c>
      <c r="I475" s="918">
        <f>SUM(I473:I473)</f>
        <v>0</v>
      </c>
    </row>
    <row r="476" spans="1:16" ht="15.75" thickBot="1" x14ac:dyDescent="0.3">
      <c r="A476" s="639"/>
      <c r="B476" s="933"/>
      <c r="C476" s="933"/>
      <c r="D476" s="933"/>
      <c r="E476" s="933"/>
      <c r="F476" s="934"/>
      <c r="G476" s="934"/>
      <c r="H476" s="935"/>
      <c r="I476" s="936"/>
      <c r="J476" s="887"/>
      <c r="P476" s="177"/>
    </row>
    <row r="490" spans="1:9" x14ac:dyDescent="0.25">
      <c r="A490" s="1761"/>
      <c r="B490" s="1761"/>
      <c r="C490" s="1761"/>
      <c r="D490" s="1761"/>
      <c r="E490" s="1761"/>
      <c r="F490" s="1761"/>
      <c r="H490" s="177"/>
      <c r="I490" s="177"/>
    </row>
    <row r="491" spans="1:9" x14ac:dyDescent="0.25">
      <c r="A491" s="1752"/>
      <c r="B491" s="1752"/>
      <c r="C491" s="1752"/>
      <c r="D491" s="1752"/>
      <c r="E491" s="1752"/>
      <c r="F491" s="1752"/>
      <c r="G491" s="805"/>
      <c r="H491" s="177"/>
      <c r="I491" s="177"/>
    </row>
    <row r="492" spans="1:9" x14ac:dyDescent="0.25">
      <c r="A492" s="1752"/>
      <c r="B492" s="1752"/>
      <c r="C492" s="1752"/>
      <c r="D492" s="1752"/>
      <c r="E492" s="1752"/>
      <c r="F492" s="1752"/>
      <c r="G492" s="805"/>
      <c r="H492" s="177"/>
      <c r="I492" s="177"/>
    </row>
    <row r="493" spans="1:9" x14ac:dyDescent="0.25">
      <c r="A493" s="1752"/>
      <c r="B493" s="1752"/>
      <c r="C493" s="1752"/>
      <c r="D493" s="1752"/>
      <c r="E493" s="1752"/>
      <c r="F493" s="1752"/>
      <c r="G493" s="805"/>
      <c r="H493" s="177"/>
      <c r="I493" s="177"/>
    </row>
    <row r="494" spans="1:9" x14ac:dyDescent="0.25">
      <c r="A494" s="1761"/>
      <c r="B494" s="1761"/>
      <c r="C494" s="1761"/>
      <c r="D494" s="1761"/>
      <c r="E494" s="1761"/>
      <c r="F494" s="1761"/>
      <c r="H494" s="177"/>
      <c r="I494" s="177"/>
    </row>
    <row r="495" spans="1:9" x14ac:dyDescent="0.25">
      <c r="A495" s="1752"/>
      <c r="B495" s="1752"/>
      <c r="C495" s="1752"/>
      <c r="D495" s="1752"/>
      <c r="E495" s="1752"/>
      <c r="F495" s="1752"/>
      <c r="G495" s="805"/>
      <c r="H495" s="177"/>
      <c r="I495" s="177"/>
    </row>
  </sheetData>
  <mergeCells count="6216">
    <mergeCell ref="A495:F495"/>
    <mergeCell ref="A490:F490"/>
    <mergeCell ref="A491:F491"/>
    <mergeCell ref="A492:F492"/>
    <mergeCell ref="A493:F493"/>
    <mergeCell ref="A494:F494"/>
    <mergeCell ref="A463:F463"/>
    <mergeCell ref="A462:F462"/>
    <mergeCell ref="A459:F459"/>
    <mergeCell ref="A458:F458"/>
    <mergeCell ref="A460:F460"/>
    <mergeCell ref="A461:F461"/>
    <mergeCell ref="A454:E455"/>
    <mergeCell ref="D446:G446"/>
    <mergeCell ref="A434:A435"/>
    <mergeCell ref="A297:A298"/>
    <mergeCell ref="A280:H280"/>
    <mergeCell ref="A453:H453"/>
    <mergeCell ref="A440:A441"/>
    <mergeCell ref="A422:E422"/>
    <mergeCell ref="A283:H283"/>
    <mergeCell ref="A342:D342"/>
    <mergeCell ref="A428:A429"/>
    <mergeCell ref="B428:G428"/>
    <mergeCell ref="A299:E300"/>
    <mergeCell ref="A282:H282"/>
    <mergeCell ref="A281:H281"/>
    <mergeCell ref="A4:E5"/>
    <mergeCell ref="A446:A447"/>
    <mergeCell ref="A22:H22"/>
    <mergeCell ref="B434:G434"/>
    <mergeCell ref="B440:G440"/>
    <mergeCell ref="A154:H154"/>
    <mergeCell ref="A249:H249"/>
    <mergeCell ref="A251:H251"/>
    <mergeCell ref="A278:H278"/>
    <mergeCell ref="A92:H92"/>
    <mergeCell ref="A139:F139"/>
    <mergeCell ref="A140:F140"/>
    <mergeCell ref="A360:H360"/>
    <mergeCell ref="A10:F10"/>
    <mergeCell ref="A156:H156"/>
    <mergeCell ref="A11:E11"/>
    <mergeCell ref="A457:F457"/>
    <mergeCell ref="A279:H279"/>
    <mergeCell ref="A206:H206"/>
    <mergeCell ref="A157:E157"/>
    <mergeCell ref="A164:H164"/>
    <mergeCell ref="A133:E134"/>
    <mergeCell ref="A177:A178"/>
    <mergeCell ref="A184:A185"/>
    <mergeCell ref="A155:H155"/>
    <mergeCell ref="A138:F138"/>
    <mergeCell ref="A173:C173"/>
    <mergeCell ref="A253:E254"/>
    <mergeCell ref="A200:F200"/>
    <mergeCell ref="A250:H250"/>
    <mergeCell ref="A192:A193"/>
    <mergeCell ref="A207:F207"/>
    <mergeCell ref="A176:H176"/>
    <mergeCell ref="A183:H183"/>
    <mergeCell ref="AW79:BA80"/>
    <mergeCell ref="BE79:BI80"/>
    <mergeCell ref="BM79:BQ80"/>
    <mergeCell ref="BU79:BY80"/>
    <mergeCell ref="CC79:CG80"/>
    <mergeCell ref="I79:M80"/>
    <mergeCell ref="Q79:U80"/>
    <mergeCell ref="Y79:AC80"/>
    <mergeCell ref="AG79:AK80"/>
    <mergeCell ref="AO79:AS80"/>
    <mergeCell ref="A14:H14"/>
    <mergeCell ref="A104:H104"/>
    <mergeCell ref="A105:A106"/>
    <mergeCell ref="E105:G105"/>
    <mergeCell ref="H105:H106"/>
    <mergeCell ref="A16:E17"/>
    <mergeCell ref="E94:G94"/>
    <mergeCell ref="A94:A95"/>
    <mergeCell ref="H94:H95"/>
    <mergeCell ref="A79:E80"/>
    <mergeCell ref="HA79:HE80"/>
    <mergeCell ref="HI79:HM80"/>
    <mergeCell ref="HQ79:HU80"/>
    <mergeCell ref="HY79:IC80"/>
    <mergeCell ref="IG79:IK80"/>
    <mergeCell ref="FM79:FQ80"/>
    <mergeCell ref="FU79:FY80"/>
    <mergeCell ref="GC79:GG80"/>
    <mergeCell ref="GK79:GO80"/>
    <mergeCell ref="GS79:GW80"/>
    <mergeCell ref="DY79:EC80"/>
    <mergeCell ref="EG79:EK80"/>
    <mergeCell ref="EO79:ES80"/>
    <mergeCell ref="EW79:FA80"/>
    <mergeCell ref="FE79:FI80"/>
    <mergeCell ref="CK79:CO80"/>
    <mergeCell ref="CS79:CW80"/>
    <mergeCell ref="DA79:DE80"/>
    <mergeCell ref="DI79:DM80"/>
    <mergeCell ref="DQ79:DU80"/>
    <mergeCell ref="NE79:NI80"/>
    <mergeCell ref="NM79:NQ80"/>
    <mergeCell ref="NU79:NY80"/>
    <mergeCell ref="OC79:OG80"/>
    <mergeCell ref="OK79:OO80"/>
    <mergeCell ref="LQ79:LU80"/>
    <mergeCell ref="LY79:MC80"/>
    <mergeCell ref="MG79:MK80"/>
    <mergeCell ref="MO79:MS80"/>
    <mergeCell ref="MW79:NA80"/>
    <mergeCell ref="KC79:KG80"/>
    <mergeCell ref="KK79:KO80"/>
    <mergeCell ref="KS79:KW80"/>
    <mergeCell ref="LA79:LE80"/>
    <mergeCell ref="LI79:LM80"/>
    <mergeCell ref="IO79:IS80"/>
    <mergeCell ref="IW79:JA80"/>
    <mergeCell ref="JE79:JI80"/>
    <mergeCell ref="JM79:JQ80"/>
    <mergeCell ref="JU79:JY80"/>
    <mergeCell ref="TI79:TM80"/>
    <mergeCell ref="TQ79:TU80"/>
    <mergeCell ref="TY79:UC80"/>
    <mergeCell ref="UG79:UK80"/>
    <mergeCell ref="UO79:US80"/>
    <mergeCell ref="RU79:RY80"/>
    <mergeCell ref="SC79:SG80"/>
    <mergeCell ref="SK79:SO80"/>
    <mergeCell ref="SS79:SW80"/>
    <mergeCell ref="TA79:TE80"/>
    <mergeCell ref="QG79:QK80"/>
    <mergeCell ref="QO79:QS80"/>
    <mergeCell ref="QW79:RA80"/>
    <mergeCell ref="RE79:RI80"/>
    <mergeCell ref="RM79:RQ80"/>
    <mergeCell ref="OS79:OW80"/>
    <mergeCell ref="PA79:PE80"/>
    <mergeCell ref="PI79:PM80"/>
    <mergeCell ref="PQ79:PU80"/>
    <mergeCell ref="PY79:QC80"/>
    <mergeCell ref="ZM79:ZQ80"/>
    <mergeCell ref="ZU79:ZY80"/>
    <mergeCell ref="AAC79:AAG80"/>
    <mergeCell ref="AAK79:AAO80"/>
    <mergeCell ref="AAS79:AAW80"/>
    <mergeCell ref="XY79:YC80"/>
    <mergeCell ref="YG79:YK80"/>
    <mergeCell ref="YO79:YS80"/>
    <mergeCell ref="YW79:ZA80"/>
    <mergeCell ref="ZE79:ZI80"/>
    <mergeCell ref="WK79:WO80"/>
    <mergeCell ref="WS79:WW80"/>
    <mergeCell ref="XA79:XE80"/>
    <mergeCell ref="XI79:XM80"/>
    <mergeCell ref="XQ79:XU80"/>
    <mergeCell ref="UW79:VA80"/>
    <mergeCell ref="VE79:VI80"/>
    <mergeCell ref="VM79:VQ80"/>
    <mergeCell ref="VU79:VY80"/>
    <mergeCell ref="WC79:WG80"/>
    <mergeCell ref="AFQ79:AFU80"/>
    <mergeCell ref="AFY79:AGC80"/>
    <mergeCell ref="AGG79:AGK80"/>
    <mergeCell ref="AGO79:AGS80"/>
    <mergeCell ref="AGW79:AHA80"/>
    <mergeCell ref="AEC79:AEG80"/>
    <mergeCell ref="AEK79:AEO80"/>
    <mergeCell ref="AES79:AEW80"/>
    <mergeCell ref="AFA79:AFE80"/>
    <mergeCell ref="AFI79:AFM80"/>
    <mergeCell ref="ACO79:ACS80"/>
    <mergeCell ref="ACW79:ADA80"/>
    <mergeCell ref="ADE79:ADI80"/>
    <mergeCell ref="ADM79:ADQ80"/>
    <mergeCell ref="ADU79:ADY80"/>
    <mergeCell ref="ABA79:ABE80"/>
    <mergeCell ref="ABI79:ABM80"/>
    <mergeCell ref="ABQ79:ABU80"/>
    <mergeCell ref="ABY79:ACC80"/>
    <mergeCell ref="ACG79:ACK80"/>
    <mergeCell ref="ALU79:ALY80"/>
    <mergeCell ref="AMC79:AMG80"/>
    <mergeCell ref="AMK79:AMO80"/>
    <mergeCell ref="AMS79:AMW80"/>
    <mergeCell ref="ANA79:ANE80"/>
    <mergeCell ref="AKG79:AKK80"/>
    <mergeCell ref="AKO79:AKS80"/>
    <mergeCell ref="AKW79:ALA80"/>
    <mergeCell ref="ALE79:ALI80"/>
    <mergeCell ref="ALM79:ALQ80"/>
    <mergeCell ref="AIS79:AIW80"/>
    <mergeCell ref="AJA79:AJE80"/>
    <mergeCell ref="AJI79:AJM80"/>
    <mergeCell ref="AJQ79:AJU80"/>
    <mergeCell ref="AJY79:AKC80"/>
    <mergeCell ref="AHE79:AHI80"/>
    <mergeCell ref="AHM79:AHQ80"/>
    <mergeCell ref="AHU79:AHY80"/>
    <mergeCell ref="AIC79:AIG80"/>
    <mergeCell ref="AIK79:AIO80"/>
    <mergeCell ref="ARY79:ASC80"/>
    <mergeCell ref="ASG79:ASK80"/>
    <mergeCell ref="ASO79:ASS80"/>
    <mergeCell ref="ASW79:ATA80"/>
    <mergeCell ref="ATE79:ATI80"/>
    <mergeCell ref="AQK79:AQO80"/>
    <mergeCell ref="AQS79:AQW80"/>
    <mergeCell ref="ARA79:ARE80"/>
    <mergeCell ref="ARI79:ARM80"/>
    <mergeCell ref="ARQ79:ARU80"/>
    <mergeCell ref="AOW79:APA80"/>
    <mergeCell ref="APE79:API80"/>
    <mergeCell ref="APM79:APQ80"/>
    <mergeCell ref="APU79:APY80"/>
    <mergeCell ref="AQC79:AQG80"/>
    <mergeCell ref="ANI79:ANM80"/>
    <mergeCell ref="ANQ79:ANU80"/>
    <mergeCell ref="ANY79:AOC80"/>
    <mergeCell ref="AOG79:AOK80"/>
    <mergeCell ref="AOO79:AOS80"/>
    <mergeCell ref="AYC79:AYG80"/>
    <mergeCell ref="AYK79:AYO80"/>
    <mergeCell ref="AYS79:AYW80"/>
    <mergeCell ref="AZA79:AZE80"/>
    <mergeCell ref="AZI79:AZM80"/>
    <mergeCell ref="AWO79:AWS80"/>
    <mergeCell ref="AWW79:AXA80"/>
    <mergeCell ref="AXE79:AXI80"/>
    <mergeCell ref="AXM79:AXQ80"/>
    <mergeCell ref="AXU79:AXY80"/>
    <mergeCell ref="AVA79:AVE80"/>
    <mergeCell ref="AVI79:AVM80"/>
    <mergeCell ref="AVQ79:AVU80"/>
    <mergeCell ref="AVY79:AWC80"/>
    <mergeCell ref="AWG79:AWK80"/>
    <mergeCell ref="ATM79:ATQ80"/>
    <mergeCell ref="ATU79:ATY80"/>
    <mergeCell ref="AUC79:AUG80"/>
    <mergeCell ref="AUK79:AUO80"/>
    <mergeCell ref="AUS79:AUW80"/>
    <mergeCell ref="BEG79:BEK80"/>
    <mergeCell ref="BEO79:BES80"/>
    <mergeCell ref="BEW79:BFA80"/>
    <mergeCell ref="BFE79:BFI80"/>
    <mergeCell ref="BFM79:BFQ80"/>
    <mergeCell ref="BCS79:BCW80"/>
    <mergeCell ref="BDA79:BDE80"/>
    <mergeCell ref="BDI79:BDM80"/>
    <mergeCell ref="BDQ79:BDU80"/>
    <mergeCell ref="BDY79:BEC80"/>
    <mergeCell ref="BBE79:BBI80"/>
    <mergeCell ref="BBM79:BBQ80"/>
    <mergeCell ref="BBU79:BBY80"/>
    <mergeCell ref="BCC79:BCG80"/>
    <mergeCell ref="BCK79:BCO80"/>
    <mergeCell ref="AZQ79:AZU80"/>
    <mergeCell ref="AZY79:BAC80"/>
    <mergeCell ref="BAG79:BAK80"/>
    <mergeCell ref="BAO79:BAS80"/>
    <mergeCell ref="BAW79:BBA80"/>
    <mergeCell ref="BKK79:BKO80"/>
    <mergeCell ref="BKS79:BKW80"/>
    <mergeCell ref="BLA79:BLE80"/>
    <mergeCell ref="BLI79:BLM80"/>
    <mergeCell ref="BLQ79:BLU80"/>
    <mergeCell ref="BIW79:BJA80"/>
    <mergeCell ref="BJE79:BJI80"/>
    <mergeCell ref="BJM79:BJQ80"/>
    <mergeCell ref="BJU79:BJY80"/>
    <mergeCell ref="BKC79:BKG80"/>
    <mergeCell ref="BHI79:BHM80"/>
    <mergeCell ref="BHQ79:BHU80"/>
    <mergeCell ref="BHY79:BIC80"/>
    <mergeCell ref="BIG79:BIK80"/>
    <mergeCell ref="BIO79:BIS80"/>
    <mergeCell ref="BFU79:BFY80"/>
    <mergeCell ref="BGC79:BGG80"/>
    <mergeCell ref="BGK79:BGO80"/>
    <mergeCell ref="BGS79:BGW80"/>
    <mergeCell ref="BHA79:BHE80"/>
    <mergeCell ref="BQO79:BQS80"/>
    <mergeCell ref="BQW79:BRA80"/>
    <mergeCell ref="BRE79:BRI80"/>
    <mergeCell ref="BRM79:BRQ80"/>
    <mergeCell ref="BRU79:BRY80"/>
    <mergeCell ref="BPA79:BPE80"/>
    <mergeCell ref="BPI79:BPM80"/>
    <mergeCell ref="BPQ79:BPU80"/>
    <mergeCell ref="BPY79:BQC80"/>
    <mergeCell ref="BQG79:BQK80"/>
    <mergeCell ref="BNM79:BNQ80"/>
    <mergeCell ref="BNU79:BNY80"/>
    <mergeCell ref="BOC79:BOG80"/>
    <mergeCell ref="BOK79:BOO80"/>
    <mergeCell ref="BOS79:BOW80"/>
    <mergeCell ref="BLY79:BMC80"/>
    <mergeCell ref="BMG79:BMK80"/>
    <mergeCell ref="BMO79:BMS80"/>
    <mergeCell ref="BMW79:BNA80"/>
    <mergeCell ref="BNE79:BNI80"/>
    <mergeCell ref="BWS79:BWW80"/>
    <mergeCell ref="BXA79:BXE80"/>
    <mergeCell ref="BXI79:BXM80"/>
    <mergeCell ref="BXQ79:BXU80"/>
    <mergeCell ref="BXY79:BYC80"/>
    <mergeCell ref="BVE79:BVI80"/>
    <mergeCell ref="BVM79:BVQ80"/>
    <mergeCell ref="BVU79:BVY80"/>
    <mergeCell ref="BWC79:BWG80"/>
    <mergeCell ref="BWK79:BWO80"/>
    <mergeCell ref="BTQ79:BTU80"/>
    <mergeCell ref="BTY79:BUC80"/>
    <mergeCell ref="BUG79:BUK80"/>
    <mergeCell ref="BUO79:BUS80"/>
    <mergeCell ref="BUW79:BVA80"/>
    <mergeCell ref="BSC79:BSG80"/>
    <mergeCell ref="BSK79:BSO80"/>
    <mergeCell ref="BSS79:BSW80"/>
    <mergeCell ref="BTA79:BTE80"/>
    <mergeCell ref="BTI79:BTM80"/>
    <mergeCell ref="CCW79:CDA80"/>
    <mergeCell ref="CDE79:CDI80"/>
    <mergeCell ref="CDM79:CDQ80"/>
    <mergeCell ref="CDU79:CDY80"/>
    <mergeCell ref="CEC79:CEG80"/>
    <mergeCell ref="CBI79:CBM80"/>
    <mergeCell ref="CBQ79:CBU80"/>
    <mergeCell ref="CBY79:CCC80"/>
    <mergeCell ref="CCG79:CCK80"/>
    <mergeCell ref="CCO79:CCS80"/>
    <mergeCell ref="BZU79:BZY80"/>
    <mergeCell ref="CAC79:CAG80"/>
    <mergeCell ref="CAK79:CAO80"/>
    <mergeCell ref="CAS79:CAW80"/>
    <mergeCell ref="CBA79:CBE80"/>
    <mergeCell ref="BYG79:BYK80"/>
    <mergeCell ref="BYO79:BYS80"/>
    <mergeCell ref="BYW79:BZA80"/>
    <mergeCell ref="BZE79:BZI80"/>
    <mergeCell ref="BZM79:BZQ80"/>
    <mergeCell ref="CJA79:CJE80"/>
    <mergeCell ref="CJI79:CJM80"/>
    <mergeCell ref="CJQ79:CJU80"/>
    <mergeCell ref="CJY79:CKC80"/>
    <mergeCell ref="CKG79:CKK80"/>
    <mergeCell ref="CHM79:CHQ80"/>
    <mergeCell ref="CHU79:CHY80"/>
    <mergeCell ref="CIC79:CIG80"/>
    <mergeCell ref="CIK79:CIO80"/>
    <mergeCell ref="CIS79:CIW80"/>
    <mergeCell ref="CFY79:CGC80"/>
    <mergeCell ref="CGG79:CGK80"/>
    <mergeCell ref="CGO79:CGS80"/>
    <mergeCell ref="CGW79:CHA80"/>
    <mergeCell ref="CHE79:CHI80"/>
    <mergeCell ref="CEK79:CEO80"/>
    <mergeCell ref="CES79:CEW80"/>
    <mergeCell ref="CFA79:CFE80"/>
    <mergeCell ref="CFI79:CFM80"/>
    <mergeCell ref="CFQ79:CFU80"/>
    <mergeCell ref="CPE79:CPI80"/>
    <mergeCell ref="CPM79:CPQ80"/>
    <mergeCell ref="CPU79:CPY80"/>
    <mergeCell ref="CQC79:CQG80"/>
    <mergeCell ref="CQK79:CQO80"/>
    <mergeCell ref="CNQ79:CNU80"/>
    <mergeCell ref="CNY79:COC80"/>
    <mergeCell ref="COG79:COK80"/>
    <mergeCell ref="COO79:COS80"/>
    <mergeCell ref="COW79:CPA80"/>
    <mergeCell ref="CMC79:CMG80"/>
    <mergeCell ref="CMK79:CMO80"/>
    <mergeCell ref="CMS79:CMW80"/>
    <mergeCell ref="CNA79:CNE80"/>
    <mergeCell ref="CNI79:CNM80"/>
    <mergeCell ref="CKO79:CKS80"/>
    <mergeCell ref="CKW79:CLA80"/>
    <mergeCell ref="CLE79:CLI80"/>
    <mergeCell ref="CLM79:CLQ80"/>
    <mergeCell ref="CLU79:CLY80"/>
    <mergeCell ref="CVI79:CVM80"/>
    <mergeCell ref="CVQ79:CVU80"/>
    <mergeCell ref="CVY79:CWC80"/>
    <mergeCell ref="CWG79:CWK80"/>
    <mergeCell ref="CWO79:CWS80"/>
    <mergeCell ref="CTU79:CTY80"/>
    <mergeCell ref="CUC79:CUG80"/>
    <mergeCell ref="CUK79:CUO80"/>
    <mergeCell ref="CUS79:CUW80"/>
    <mergeCell ref="CVA79:CVE80"/>
    <mergeCell ref="CSG79:CSK80"/>
    <mergeCell ref="CSO79:CSS80"/>
    <mergeCell ref="CSW79:CTA80"/>
    <mergeCell ref="CTE79:CTI80"/>
    <mergeCell ref="CTM79:CTQ80"/>
    <mergeCell ref="CQS79:CQW80"/>
    <mergeCell ref="CRA79:CRE80"/>
    <mergeCell ref="CRI79:CRM80"/>
    <mergeCell ref="CRQ79:CRU80"/>
    <mergeCell ref="CRY79:CSC80"/>
    <mergeCell ref="DBM79:DBQ80"/>
    <mergeCell ref="DBU79:DBY80"/>
    <mergeCell ref="DCC79:DCG80"/>
    <mergeCell ref="DCK79:DCO80"/>
    <mergeCell ref="DCS79:DCW80"/>
    <mergeCell ref="CZY79:DAC80"/>
    <mergeCell ref="DAG79:DAK80"/>
    <mergeCell ref="DAO79:DAS80"/>
    <mergeCell ref="DAW79:DBA80"/>
    <mergeCell ref="DBE79:DBI80"/>
    <mergeCell ref="CYK79:CYO80"/>
    <mergeCell ref="CYS79:CYW80"/>
    <mergeCell ref="CZA79:CZE80"/>
    <mergeCell ref="CZI79:CZM80"/>
    <mergeCell ref="CZQ79:CZU80"/>
    <mergeCell ref="CWW79:CXA80"/>
    <mergeCell ref="CXE79:CXI80"/>
    <mergeCell ref="CXM79:CXQ80"/>
    <mergeCell ref="CXU79:CXY80"/>
    <mergeCell ref="CYC79:CYG80"/>
    <mergeCell ref="DHQ79:DHU80"/>
    <mergeCell ref="DHY79:DIC80"/>
    <mergeCell ref="DIG79:DIK80"/>
    <mergeCell ref="DIO79:DIS80"/>
    <mergeCell ref="DIW79:DJA80"/>
    <mergeCell ref="DGC79:DGG80"/>
    <mergeCell ref="DGK79:DGO80"/>
    <mergeCell ref="DGS79:DGW80"/>
    <mergeCell ref="DHA79:DHE80"/>
    <mergeCell ref="DHI79:DHM80"/>
    <mergeCell ref="DEO79:DES80"/>
    <mergeCell ref="DEW79:DFA80"/>
    <mergeCell ref="DFE79:DFI80"/>
    <mergeCell ref="DFM79:DFQ80"/>
    <mergeCell ref="DFU79:DFY80"/>
    <mergeCell ref="DDA79:DDE80"/>
    <mergeCell ref="DDI79:DDM80"/>
    <mergeCell ref="DDQ79:DDU80"/>
    <mergeCell ref="DDY79:DEC80"/>
    <mergeCell ref="DEG79:DEK80"/>
    <mergeCell ref="DNU79:DNY80"/>
    <mergeCell ref="DOC79:DOG80"/>
    <mergeCell ref="DOK79:DOO80"/>
    <mergeCell ref="DOS79:DOW80"/>
    <mergeCell ref="DPA79:DPE80"/>
    <mergeCell ref="DMG79:DMK80"/>
    <mergeCell ref="DMO79:DMS80"/>
    <mergeCell ref="DMW79:DNA80"/>
    <mergeCell ref="DNE79:DNI80"/>
    <mergeCell ref="DNM79:DNQ80"/>
    <mergeCell ref="DKS79:DKW80"/>
    <mergeCell ref="DLA79:DLE80"/>
    <mergeCell ref="DLI79:DLM80"/>
    <mergeCell ref="DLQ79:DLU80"/>
    <mergeCell ref="DLY79:DMC80"/>
    <mergeCell ref="DJE79:DJI80"/>
    <mergeCell ref="DJM79:DJQ80"/>
    <mergeCell ref="DJU79:DJY80"/>
    <mergeCell ref="DKC79:DKG80"/>
    <mergeCell ref="DKK79:DKO80"/>
    <mergeCell ref="DTY79:DUC80"/>
    <mergeCell ref="DUG79:DUK80"/>
    <mergeCell ref="DUO79:DUS80"/>
    <mergeCell ref="DUW79:DVA80"/>
    <mergeCell ref="DVE79:DVI80"/>
    <mergeCell ref="DSK79:DSO80"/>
    <mergeCell ref="DSS79:DSW80"/>
    <mergeCell ref="DTA79:DTE80"/>
    <mergeCell ref="DTI79:DTM80"/>
    <mergeCell ref="DTQ79:DTU80"/>
    <mergeCell ref="DQW79:DRA80"/>
    <mergeCell ref="DRE79:DRI80"/>
    <mergeCell ref="DRM79:DRQ80"/>
    <mergeCell ref="DRU79:DRY80"/>
    <mergeCell ref="DSC79:DSG80"/>
    <mergeCell ref="DPI79:DPM80"/>
    <mergeCell ref="DPQ79:DPU80"/>
    <mergeCell ref="DPY79:DQC80"/>
    <mergeCell ref="DQG79:DQK80"/>
    <mergeCell ref="DQO79:DQS80"/>
    <mergeCell ref="EAC79:EAG80"/>
    <mergeCell ref="EAK79:EAO80"/>
    <mergeCell ref="EAS79:EAW80"/>
    <mergeCell ref="EBA79:EBE80"/>
    <mergeCell ref="EBI79:EBM80"/>
    <mergeCell ref="DYO79:DYS80"/>
    <mergeCell ref="DYW79:DZA80"/>
    <mergeCell ref="DZE79:DZI80"/>
    <mergeCell ref="DZM79:DZQ80"/>
    <mergeCell ref="DZU79:DZY80"/>
    <mergeCell ref="DXA79:DXE80"/>
    <mergeCell ref="DXI79:DXM80"/>
    <mergeCell ref="DXQ79:DXU80"/>
    <mergeCell ref="DXY79:DYC80"/>
    <mergeCell ref="DYG79:DYK80"/>
    <mergeCell ref="DVM79:DVQ80"/>
    <mergeCell ref="DVU79:DVY80"/>
    <mergeCell ref="DWC79:DWG80"/>
    <mergeCell ref="DWK79:DWO80"/>
    <mergeCell ref="DWS79:DWW80"/>
    <mergeCell ref="EGG79:EGK80"/>
    <mergeCell ref="EGO79:EGS80"/>
    <mergeCell ref="EGW79:EHA80"/>
    <mergeCell ref="EHE79:EHI80"/>
    <mergeCell ref="EHM79:EHQ80"/>
    <mergeCell ref="EES79:EEW80"/>
    <mergeCell ref="EFA79:EFE80"/>
    <mergeCell ref="EFI79:EFM80"/>
    <mergeCell ref="EFQ79:EFU80"/>
    <mergeCell ref="EFY79:EGC80"/>
    <mergeCell ref="EDE79:EDI80"/>
    <mergeCell ref="EDM79:EDQ80"/>
    <mergeCell ref="EDU79:EDY80"/>
    <mergeCell ref="EEC79:EEG80"/>
    <mergeCell ref="EEK79:EEO80"/>
    <mergeCell ref="EBQ79:EBU80"/>
    <mergeCell ref="EBY79:ECC80"/>
    <mergeCell ref="ECG79:ECK80"/>
    <mergeCell ref="ECO79:ECS80"/>
    <mergeCell ref="ECW79:EDA80"/>
    <mergeCell ref="EMK79:EMO80"/>
    <mergeCell ref="EMS79:EMW80"/>
    <mergeCell ref="ENA79:ENE80"/>
    <mergeCell ref="ENI79:ENM80"/>
    <mergeCell ref="ENQ79:ENU80"/>
    <mergeCell ref="EKW79:ELA80"/>
    <mergeCell ref="ELE79:ELI80"/>
    <mergeCell ref="ELM79:ELQ80"/>
    <mergeCell ref="ELU79:ELY80"/>
    <mergeCell ref="EMC79:EMG80"/>
    <mergeCell ref="EJI79:EJM80"/>
    <mergeCell ref="EJQ79:EJU80"/>
    <mergeCell ref="EJY79:EKC80"/>
    <mergeCell ref="EKG79:EKK80"/>
    <mergeCell ref="EKO79:EKS80"/>
    <mergeCell ref="EHU79:EHY80"/>
    <mergeCell ref="EIC79:EIG80"/>
    <mergeCell ref="EIK79:EIO80"/>
    <mergeCell ref="EIS79:EIW80"/>
    <mergeCell ref="EJA79:EJE80"/>
    <mergeCell ref="ESO79:ESS80"/>
    <mergeCell ref="ESW79:ETA80"/>
    <mergeCell ref="ETE79:ETI80"/>
    <mergeCell ref="ETM79:ETQ80"/>
    <mergeCell ref="ETU79:ETY80"/>
    <mergeCell ref="ERA79:ERE80"/>
    <mergeCell ref="ERI79:ERM80"/>
    <mergeCell ref="ERQ79:ERU80"/>
    <mergeCell ref="ERY79:ESC80"/>
    <mergeCell ref="ESG79:ESK80"/>
    <mergeCell ref="EPM79:EPQ80"/>
    <mergeCell ref="EPU79:EPY80"/>
    <mergeCell ref="EQC79:EQG80"/>
    <mergeCell ref="EQK79:EQO80"/>
    <mergeCell ref="EQS79:EQW80"/>
    <mergeCell ref="ENY79:EOC80"/>
    <mergeCell ref="EOG79:EOK80"/>
    <mergeCell ref="EOO79:EOS80"/>
    <mergeCell ref="EOW79:EPA80"/>
    <mergeCell ref="EPE79:EPI80"/>
    <mergeCell ref="EYS79:EYW80"/>
    <mergeCell ref="EZA79:EZE80"/>
    <mergeCell ref="EZI79:EZM80"/>
    <mergeCell ref="EZQ79:EZU80"/>
    <mergeCell ref="EZY79:FAC80"/>
    <mergeCell ref="EXE79:EXI80"/>
    <mergeCell ref="EXM79:EXQ80"/>
    <mergeCell ref="EXU79:EXY80"/>
    <mergeCell ref="EYC79:EYG80"/>
    <mergeCell ref="EYK79:EYO80"/>
    <mergeCell ref="EVQ79:EVU80"/>
    <mergeCell ref="EVY79:EWC80"/>
    <mergeCell ref="EWG79:EWK80"/>
    <mergeCell ref="EWO79:EWS80"/>
    <mergeCell ref="EWW79:EXA80"/>
    <mergeCell ref="EUC79:EUG80"/>
    <mergeCell ref="EUK79:EUO80"/>
    <mergeCell ref="EUS79:EUW80"/>
    <mergeCell ref="EVA79:EVE80"/>
    <mergeCell ref="EVI79:EVM80"/>
    <mergeCell ref="FEW79:FFA80"/>
    <mergeCell ref="FFE79:FFI80"/>
    <mergeCell ref="FFM79:FFQ80"/>
    <mergeCell ref="FFU79:FFY80"/>
    <mergeCell ref="FGC79:FGG80"/>
    <mergeCell ref="FDI79:FDM80"/>
    <mergeCell ref="FDQ79:FDU80"/>
    <mergeCell ref="FDY79:FEC80"/>
    <mergeCell ref="FEG79:FEK80"/>
    <mergeCell ref="FEO79:FES80"/>
    <mergeCell ref="FBU79:FBY80"/>
    <mergeCell ref="FCC79:FCG80"/>
    <mergeCell ref="FCK79:FCO80"/>
    <mergeCell ref="FCS79:FCW80"/>
    <mergeCell ref="FDA79:FDE80"/>
    <mergeCell ref="FAG79:FAK80"/>
    <mergeCell ref="FAO79:FAS80"/>
    <mergeCell ref="FAW79:FBA80"/>
    <mergeCell ref="FBE79:FBI80"/>
    <mergeCell ref="FBM79:FBQ80"/>
    <mergeCell ref="FLA79:FLE80"/>
    <mergeCell ref="FLI79:FLM80"/>
    <mergeCell ref="FLQ79:FLU80"/>
    <mergeCell ref="FLY79:FMC80"/>
    <mergeCell ref="FMG79:FMK80"/>
    <mergeCell ref="FJM79:FJQ80"/>
    <mergeCell ref="FJU79:FJY80"/>
    <mergeCell ref="FKC79:FKG80"/>
    <mergeCell ref="FKK79:FKO80"/>
    <mergeCell ref="FKS79:FKW80"/>
    <mergeCell ref="FHY79:FIC80"/>
    <mergeCell ref="FIG79:FIK80"/>
    <mergeCell ref="FIO79:FIS80"/>
    <mergeCell ref="FIW79:FJA80"/>
    <mergeCell ref="FJE79:FJI80"/>
    <mergeCell ref="FGK79:FGO80"/>
    <mergeCell ref="FGS79:FGW80"/>
    <mergeCell ref="FHA79:FHE80"/>
    <mergeCell ref="FHI79:FHM80"/>
    <mergeCell ref="FHQ79:FHU80"/>
    <mergeCell ref="FRE79:FRI80"/>
    <mergeCell ref="FRM79:FRQ80"/>
    <mergeCell ref="FRU79:FRY80"/>
    <mergeCell ref="FSC79:FSG80"/>
    <mergeCell ref="FSK79:FSO80"/>
    <mergeCell ref="FPQ79:FPU80"/>
    <mergeCell ref="FPY79:FQC80"/>
    <mergeCell ref="FQG79:FQK80"/>
    <mergeCell ref="FQO79:FQS80"/>
    <mergeCell ref="FQW79:FRA80"/>
    <mergeCell ref="FOC79:FOG80"/>
    <mergeCell ref="FOK79:FOO80"/>
    <mergeCell ref="FOS79:FOW80"/>
    <mergeCell ref="FPA79:FPE80"/>
    <mergeCell ref="FPI79:FPM80"/>
    <mergeCell ref="FMO79:FMS80"/>
    <mergeCell ref="FMW79:FNA80"/>
    <mergeCell ref="FNE79:FNI80"/>
    <mergeCell ref="FNM79:FNQ80"/>
    <mergeCell ref="FNU79:FNY80"/>
    <mergeCell ref="FXI79:FXM80"/>
    <mergeCell ref="FXQ79:FXU80"/>
    <mergeCell ref="FXY79:FYC80"/>
    <mergeCell ref="FYG79:FYK80"/>
    <mergeCell ref="FYO79:FYS80"/>
    <mergeCell ref="FVU79:FVY80"/>
    <mergeCell ref="FWC79:FWG80"/>
    <mergeCell ref="FWK79:FWO80"/>
    <mergeCell ref="FWS79:FWW80"/>
    <mergeCell ref="FXA79:FXE80"/>
    <mergeCell ref="FUG79:FUK80"/>
    <mergeCell ref="FUO79:FUS80"/>
    <mergeCell ref="FUW79:FVA80"/>
    <mergeCell ref="FVE79:FVI80"/>
    <mergeCell ref="FVM79:FVQ80"/>
    <mergeCell ref="FSS79:FSW80"/>
    <mergeCell ref="FTA79:FTE80"/>
    <mergeCell ref="FTI79:FTM80"/>
    <mergeCell ref="FTQ79:FTU80"/>
    <mergeCell ref="FTY79:FUC80"/>
    <mergeCell ref="GDM79:GDQ80"/>
    <mergeCell ref="GDU79:GDY80"/>
    <mergeCell ref="GEC79:GEG80"/>
    <mergeCell ref="GEK79:GEO80"/>
    <mergeCell ref="GES79:GEW80"/>
    <mergeCell ref="GBY79:GCC80"/>
    <mergeCell ref="GCG79:GCK80"/>
    <mergeCell ref="GCO79:GCS80"/>
    <mergeCell ref="GCW79:GDA80"/>
    <mergeCell ref="GDE79:GDI80"/>
    <mergeCell ref="GAK79:GAO80"/>
    <mergeCell ref="GAS79:GAW80"/>
    <mergeCell ref="GBA79:GBE80"/>
    <mergeCell ref="GBI79:GBM80"/>
    <mergeCell ref="GBQ79:GBU80"/>
    <mergeCell ref="FYW79:FZA80"/>
    <mergeCell ref="FZE79:FZI80"/>
    <mergeCell ref="FZM79:FZQ80"/>
    <mergeCell ref="FZU79:FZY80"/>
    <mergeCell ref="GAC79:GAG80"/>
    <mergeCell ref="GJQ79:GJU80"/>
    <mergeCell ref="GJY79:GKC80"/>
    <mergeCell ref="GKG79:GKK80"/>
    <mergeCell ref="GKO79:GKS80"/>
    <mergeCell ref="GKW79:GLA80"/>
    <mergeCell ref="GIC79:GIG80"/>
    <mergeCell ref="GIK79:GIO80"/>
    <mergeCell ref="GIS79:GIW80"/>
    <mergeCell ref="GJA79:GJE80"/>
    <mergeCell ref="GJI79:GJM80"/>
    <mergeCell ref="GGO79:GGS80"/>
    <mergeCell ref="GGW79:GHA80"/>
    <mergeCell ref="GHE79:GHI80"/>
    <mergeCell ref="GHM79:GHQ80"/>
    <mergeCell ref="GHU79:GHY80"/>
    <mergeCell ref="GFA79:GFE80"/>
    <mergeCell ref="GFI79:GFM80"/>
    <mergeCell ref="GFQ79:GFU80"/>
    <mergeCell ref="GFY79:GGC80"/>
    <mergeCell ref="GGG79:GGK80"/>
    <mergeCell ref="GPU79:GPY80"/>
    <mergeCell ref="GQC79:GQG80"/>
    <mergeCell ref="GQK79:GQO80"/>
    <mergeCell ref="GQS79:GQW80"/>
    <mergeCell ref="GRA79:GRE80"/>
    <mergeCell ref="GOG79:GOK80"/>
    <mergeCell ref="GOO79:GOS80"/>
    <mergeCell ref="GOW79:GPA80"/>
    <mergeCell ref="GPE79:GPI80"/>
    <mergeCell ref="GPM79:GPQ80"/>
    <mergeCell ref="GMS79:GMW80"/>
    <mergeCell ref="GNA79:GNE80"/>
    <mergeCell ref="GNI79:GNM80"/>
    <mergeCell ref="GNQ79:GNU80"/>
    <mergeCell ref="GNY79:GOC80"/>
    <mergeCell ref="GLE79:GLI80"/>
    <mergeCell ref="GLM79:GLQ80"/>
    <mergeCell ref="GLU79:GLY80"/>
    <mergeCell ref="GMC79:GMG80"/>
    <mergeCell ref="GMK79:GMO80"/>
    <mergeCell ref="GVY79:GWC80"/>
    <mergeCell ref="GWG79:GWK80"/>
    <mergeCell ref="GWO79:GWS80"/>
    <mergeCell ref="GWW79:GXA80"/>
    <mergeCell ref="GXE79:GXI80"/>
    <mergeCell ref="GUK79:GUO80"/>
    <mergeCell ref="GUS79:GUW80"/>
    <mergeCell ref="GVA79:GVE80"/>
    <mergeCell ref="GVI79:GVM80"/>
    <mergeCell ref="GVQ79:GVU80"/>
    <mergeCell ref="GSW79:GTA80"/>
    <mergeCell ref="GTE79:GTI80"/>
    <mergeCell ref="GTM79:GTQ80"/>
    <mergeCell ref="GTU79:GTY80"/>
    <mergeCell ref="GUC79:GUG80"/>
    <mergeCell ref="GRI79:GRM80"/>
    <mergeCell ref="GRQ79:GRU80"/>
    <mergeCell ref="GRY79:GSC80"/>
    <mergeCell ref="GSG79:GSK80"/>
    <mergeCell ref="GSO79:GSS80"/>
    <mergeCell ref="HCC79:HCG80"/>
    <mergeCell ref="HCK79:HCO80"/>
    <mergeCell ref="HCS79:HCW80"/>
    <mergeCell ref="HDA79:HDE80"/>
    <mergeCell ref="HDI79:HDM80"/>
    <mergeCell ref="HAO79:HAS80"/>
    <mergeCell ref="HAW79:HBA80"/>
    <mergeCell ref="HBE79:HBI80"/>
    <mergeCell ref="HBM79:HBQ80"/>
    <mergeCell ref="HBU79:HBY80"/>
    <mergeCell ref="GZA79:GZE80"/>
    <mergeCell ref="GZI79:GZM80"/>
    <mergeCell ref="GZQ79:GZU80"/>
    <mergeCell ref="GZY79:HAC80"/>
    <mergeCell ref="HAG79:HAK80"/>
    <mergeCell ref="GXM79:GXQ80"/>
    <mergeCell ref="GXU79:GXY80"/>
    <mergeCell ref="GYC79:GYG80"/>
    <mergeCell ref="GYK79:GYO80"/>
    <mergeCell ref="GYS79:GYW80"/>
    <mergeCell ref="HIG79:HIK80"/>
    <mergeCell ref="HIO79:HIS80"/>
    <mergeCell ref="HIW79:HJA80"/>
    <mergeCell ref="HJE79:HJI80"/>
    <mergeCell ref="HJM79:HJQ80"/>
    <mergeCell ref="HGS79:HGW80"/>
    <mergeCell ref="HHA79:HHE80"/>
    <mergeCell ref="HHI79:HHM80"/>
    <mergeCell ref="HHQ79:HHU80"/>
    <mergeCell ref="HHY79:HIC80"/>
    <mergeCell ref="HFE79:HFI80"/>
    <mergeCell ref="HFM79:HFQ80"/>
    <mergeCell ref="HFU79:HFY80"/>
    <mergeCell ref="HGC79:HGG80"/>
    <mergeCell ref="HGK79:HGO80"/>
    <mergeCell ref="HDQ79:HDU80"/>
    <mergeCell ref="HDY79:HEC80"/>
    <mergeCell ref="HEG79:HEK80"/>
    <mergeCell ref="HEO79:HES80"/>
    <mergeCell ref="HEW79:HFA80"/>
    <mergeCell ref="HOK79:HOO80"/>
    <mergeCell ref="HOS79:HOW80"/>
    <mergeCell ref="HPA79:HPE80"/>
    <mergeCell ref="HPI79:HPM80"/>
    <mergeCell ref="HPQ79:HPU80"/>
    <mergeCell ref="HMW79:HNA80"/>
    <mergeCell ref="HNE79:HNI80"/>
    <mergeCell ref="HNM79:HNQ80"/>
    <mergeCell ref="HNU79:HNY80"/>
    <mergeCell ref="HOC79:HOG80"/>
    <mergeCell ref="HLI79:HLM80"/>
    <mergeCell ref="HLQ79:HLU80"/>
    <mergeCell ref="HLY79:HMC80"/>
    <mergeCell ref="HMG79:HMK80"/>
    <mergeCell ref="HMO79:HMS80"/>
    <mergeCell ref="HJU79:HJY80"/>
    <mergeCell ref="HKC79:HKG80"/>
    <mergeCell ref="HKK79:HKO80"/>
    <mergeCell ref="HKS79:HKW80"/>
    <mergeCell ref="HLA79:HLE80"/>
    <mergeCell ref="HUO79:HUS80"/>
    <mergeCell ref="HUW79:HVA80"/>
    <mergeCell ref="HVE79:HVI80"/>
    <mergeCell ref="HVM79:HVQ80"/>
    <mergeCell ref="HVU79:HVY80"/>
    <mergeCell ref="HTA79:HTE80"/>
    <mergeCell ref="HTI79:HTM80"/>
    <mergeCell ref="HTQ79:HTU80"/>
    <mergeCell ref="HTY79:HUC80"/>
    <mergeCell ref="HUG79:HUK80"/>
    <mergeCell ref="HRM79:HRQ80"/>
    <mergeCell ref="HRU79:HRY80"/>
    <mergeCell ref="HSC79:HSG80"/>
    <mergeCell ref="HSK79:HSO80"/>
    <mergeCell ref="HSS79:HSW80"/>
    <mergeCell ref="HPY79:HQC80"/>
    <mergeCell ref="HQG79:HQK80"/>
    <mergeCell ref="HQO79:HQS80"/>
    <mergeCell ref="HQW79:HRA80"/>
    <mergeCell ref="HRE79:HRI80"/>
    <mergeCell ref="IAS79:IAW80"/>
    <mergeCell ref="IBA79:IBE80"/>
    <mergeCell ref="IBI79:IBM80"/>
    <mergeCell ref="IBQ79:IBU80"/>
    <mergeCell ref="IBY79:ICC80"/>
    <mergeCell ref="HZE79:HZI80"/>
    <mergeCell ref="HZM79:HZQ80"/>
    <mergeCell ref="HZU79:HZY80"/>
    <mergeCell ref="IAC79:IAG80"/>
    <mergeCell ref="IAK79:IAO80"/>
    <mergeCell ref="HXQ79:HXU80"/>
    <mergeCell ref="HXY79:HYC80"/>
    <mergeCell ref="HYG79:HYK80"/>
    <mergeCell ref="HYO79:HYS80"/>
    <mergeCell ref="HYW79:HZA80"/>
    <mergeCell ref="HWC79:HWG80"/>
    <mergeCell ref="HWK79:HWO80"/>
    <mergeCell ref="HWS79:HWW80"/>
    <mergeCell ref="HXA79:HXE80"/>
    <mergeCell ref="HXI79:HXM80"/>
    <mergeCell ref="IGW79:IHA80"/>
    <mergeCell ref="IHE79:IHI80"/>
    <mergeCell ref="IHM79:IHQ80"/>
    <mergeCell ref="IHU79:IHY80"/>
    <mergeCell ref="IIC79:IIG80"/>
    <mergeCell ref="IFI79:IFM80"/>
    <mergeCell ref="IFQ79:IFU80"/>
    <mergeCell ref="IFY79:IGC80"/>
    <mergeCell ref="IGG79:IGK80"/>
    <mergeCell ref="IGO79:IGS80"/>
    <mergeCell ref="IDU79:IDY80"/>
    <mergeCell ref="IEC79:IEG80"/>
    <mergeCell ref="IEK79:IEO80"/>
    <mergeCell ref="IES79:IEW80"/>
    <mergeCell ref="IFA79:IFE80"/>
    <mergeCell ref="ICG79:ICK80"/>
    <mergeCell ref="ICO79:ICS80"/>
    <mergeCell ref="ICW79:IDA80"/>
    <mergeCell ref="IDE79:IDI80"/>
    <mergeCell ref="IDM79:IDQ80"/>
    <mergeCell ref="INA79:INE80"/>
    <mergeCell ref="INI79:INM80"/>
    <mergeCell ref="INQ79:INU80"/>
    <mergeCell ref="INY79:IOC80"/>
    <mergeCell ref="IOG79:IOK80"/>
    <mergeCell ref="ILM79:ILQ80"/>
    <mergeCell ref="ILU79:ILY80"/>
    <mergeCell ref="IMC79:IMG80"/>
    <mergeCell ref="IMK79:IMO80"/>
    <mergeCell ref="IMS79:IMW80"/>
    <mergeCell ref="IJY79:IKC80"/>
    <mergeCell ref="IKG79:IKK80"/>
    <mergeCell ref="IKO79:IKS80"/>
    <mergeCell ref="IKW79:ILA80"/>
    <mergeCell ref="ILE79:ILI80"/>
    <mergeCell ref="IIK79:IIO80"/>
    <mergeCell ref="IIS79:IIW80"/>
    <mergeCell ref="IJA79:IJE80"/>
    <mergeCell ref="IJI79:IJM80"/>
    <mergeCell ref="IJQ79:IJU80"/>
    <mergeCell ref="ITE79:ITI80"/>
    <mergeCell ref="ITM79:ITQ80"/>
    <mergeCell ref="ITU79:ITY80"/>
    <mergeCell ref="IUC79:IUG80"/>
    <mergeCell ref="IUK79:IUO80"/>
    <mergeCell ref="IRQ79:IRU80"/>
    <mergeCell ref="IRY79:ISC80"/>
    <mergeCell ref="ISG79:ISK80"/>
    <mergeCell ref="ISO79:ISS80"/>
    <mergeCell ref="ISW79:ITA80"/>
    <mergeCell ref="IQC79:IQG80"/>
    <mergeCell ref="IQK79:IQO80"/>
    <mergeCell ref="IQS79:IQW80"/>
    <mergeCell ref="IRA79:IRE80"/>
    <mergeCell ref="IRI79:IRM80"/>
    <mergeCell ref="IOO79:IOS80"/>
    <mergeCell ref="IOW79:IPA80"/>
    <mergeCell ref="IPE79:IPI80"/>
    <mergeCell ref="IPM79:IPQ80"/>
    <mergeCell ref="IPU79:IPY80"/>
    <mergeCell ref="IZI79:IZM80"/>
    <mergeCell ref="IZQ79:IZU80"/>
    <mergeCell ref="IZY79:JAC80"/>
    <mergeCell ref="JAG79:JAK80"/>
    <mergeCell ref="JAO79:JAS80"/>
    <mergeCell ref="IXU79:IXY80"/>
    <mergeCell ref="IYC79:IYG80"/>
    <mergeCell ref="IYK79:IYO80"/>
    <mergeCell ref="IYS79:IYW80"/>
    <mergeCell ref="IZA79:IZE80"/>
    <mergeCell ref="IWG79:IWK80"/>
    <mergeCell ref="IWO79:IWS80"/>
    <mergeCell ref="IWW79:IXA80"/>
    <mergeCell ref="IXE79:IXI80"/>
    <mergeCell ref="IXM79:IXQ80"/>
    <mergeCell ref="IUS79:IUW80"/>
    <mergeCell ref="IVA79:IVE80"/>
    <mergeCell ref="IVI79:IVM80"/>
    <mergeCell ref="IVQ79:IVU80"/>
    <mergeCell ref="IVY79:IWC80"/>
    <mergeCell ref="JFM79:JFQ80"/>
    <mergeCell ref="JFU79:JFY80"/>
    <mergeCell ref="JGC79:JGG80"/>
    <mergeCell ref="JGK79:JGO80"/>
    <mergeCell ref="JGS79:JGW80"/>
    <mergeCell ref="JDY79:JEC80"/>
    <mergeCell ref="JEG79:JEK80"/>
    <mergeCell ref="JEO79:JES80"/>
    <mergeCell ref="JEW79:JFA80"/>
    <mergeCell ref="JFE79:JFI80"/>
    <mergeCell ref="JCK79:JCO80"/>
    <mergeCell ref="JCS79:JCW80"/>
    <mergeCell ref="JDA79:JDE80"/>
    <mergeCell ref="JDI79:JDM80"/>
    <mergeCell ref="JDQ79:JDU80"/>
    <mergeCell ref="JAW79:JBA80"/>
    <mergeCell ref="JBE79:JBI80"/>
    <mergeCell ref="JBM79:JBQ80"/>
    <mergeCell ref="JBU79:JBY80"/>
    <mergeCell ref="JCC79:JCG80"/>
    <mergeCell ref="JLQ79:JLU80"/>
    <mergeCell ref="JLY79:JMC80"/>
    <mergeCell ref="JMG79:JMK80"/>
    <mergeCell ref="JMO79:JMS80"/>
    <mergeCell ref="JMW79:JNA80"/>
    <mergeCell ref="JKC79:JKG80"/>
    <mergeCell ref="JKK79:JKO80"/>
    <mergeCell ref="JKS79:JKW80"/>
    <mergeCell ref="JLA79:JLE80"/>
    <mergeCell ref="JLI79:JLM80"/>
    <mergeCell ref="JIO79:JIS80"/>
    <mergeCell ref="JIW79:JJA80"/>
    <mergeCell ref="JJE79:JJI80"/>
    <mergeCell ref="JJM79:JJQ80"/>
    <mergeCell ref="JJU79:JJY80"/>
    <mergeCell ref="JHA79:JHE80"/>
    <mergeCell ref="JHI79:JHM80"/>
    <mergeCell ref="JHQ79:JHU80"/>
    <mergeCell ref="JHY79:JIC80"/>
    <mergeCell ref="JIG79:JIK80"/>
    <mergeCell ref="JRU79:JRY80"/>
    <mergeCell ref="JSC79:JSG80"/>
    <mergeCell ref="JSK79:JSO80"/>
    <mergeCell ref="JSS79:JSW80"/>
    <mergeCell ref="JTA79:JTE80"/>
    <mergeCell ref="JQG79:JQK80"/>
    <mergeCell ref="JQO79:JQS80"/>
    <mergeCell ref="JQW79:JRA80"/>
    <mergeCell ref="JRE79:JRI80"/>
    <mergeCell ref="JRM79:JRQ80"/>
    <mergeCell ref="JOS79:JOW80"/>
    <mergeCell ref="JPA79:JPE80"/>
    <mergeCell ref="JPI79:JPM80"/>
    <mergeCell ref="JPQ79:JPU80"/>
    <mergeCell ref="JPY79:JQC80"/>
    <mergeCell ref="JNE79:JNI80"/>
    <mergeCell ref="JNM79:JNQ80"/>
    <mergeCell ref="JNU79:JNY80"/>
    <mergeCell ref="JOC79:JOG80"/>
    <mergeCell ref="JOK79:JOO80"/>
    <mergeCell ref="JXY79:JYC80"/>
    <mergeCell ref="JYG79:JYK80"/>
    <mergeCell ref="JYO79:JYS80"/>
    <mergeCell ref="JYW79:JZA80"/>
    <mergeCell ref="JZE79:JZI80"/>
    <mergeCell ref="JWK79:JWO80"/>
    <mergeCell ref="JWS79:JWW80"/>
    <mergeCell ref="JXA79:JXE80"/>
    <mergeCell ref="JXI79:JXM80"/>
    <mergeCell ref="JXQ79:JXU80"/>
    <mergeCell ref="JUW79:JVA80"/>
    <mergeCell ref="JVE79:JVI80"/>
    <mergeCell ref="JVM79:JVQ80"/>
    <mergeCell ref="JVU79:JVY80"/>
    <mergeCell ref="JWC79:JWG80"/>
    <mergeCell ref="JTI79:JTM80"/>
    <mergeCell ref="JTQ79:JTU80"/>
    <mergeCell ref="JTY79:JUC80"/>
    <mergeCell ref="JUG79:JUK80"/>
    <mergeCell ref="JUO79:JUS80"/>
    <mergeCell ref="KEC79:KEG80"/>
    <mergeCell ref="KEK79:KEO80"/>
    <mergeCell ref="KES79:KEW80"/>
    <mergeCell ref="KFA79:KFE80"/>
    <mergeCell ref="KFI79:KFM80"/>
    <mergeCell ref="KCO79:KCS80"/>
    <mergeCell ref="KCW79:KDA80"/>
    <mergeCell ref="KDE79:KDI80"/>
    <mergeCell ref="KDM79:KDQ80"/>
    <mergeCell ref="KDU79:KDY80"/>
    <mergeCell ref="KBA79:KBE80"/>
    <mergeCell ref="KBI79:KBM80"/>
    <mergeCell ref="KBQ79:KBU80"/>
    <mergeCell ref="KBY79:KCC80"/>
    <mergeCell ref="KCG79:KCK80"/>
    <mergeCell ref="JZM79:JZQ80"/>
    <mergeCell ref="JZU79:JZY80"/>
    <mergeCell ref="KAC79:KAG80"/>
    <mergeCell ref="KAK79:KAO80"/>
    <mergeCell ref="KAS79:KAW80"/>
    <mergeCell ref="KKG79:KKK80"/>
    <mergeCell ref="KKO79:KKS80"/>
    <mergeCell ref="KKW79:KLA80"/>
    <mergeCell ref="KLE79:KLI80"/>
    <mergeCell ref="KLM79:KLQ80"/>
    <mergeCell ref="KIS79:KIW80"/>
    <mergeCell ref="KJA79:KJE80"/>
    <mergeCell ref="KJI79:KJM80"/>
    <mergeCell ref="KJQ79:KJU80"/>
    <mergeCell ref="KJY79:KKC80"/>
    <mergeCell ref="KHE79:KHI80"/>
    <mergeCell ref="KHM79:KHQ80"/>
    <mergeCell ref="KHU79:KHY80"/>
    <mergeCell ref="KIC79:KIG80"/>
    <mergeCell ref="KIK79:KIO80"/>
    <mergeCell ref="KFQ79:KFU80"/>
    <mergeCell ref="KFY79:KGC80"/>
    <mergeCell ref="KGG79:KGK80"/>
    <mergeCell ref="KGO79:KGS80"/>
    <mergeCell ref="KGW79:KHA80"/>
    <mergeCell ref="KQK79:KQO80"/>
    <mergeCell ref="KQS79:KQW80"/>
    <mergeCell ref="KRA79:KRE80"/>
    <mergeCell ref="KRI79:KRM80"/>
    <mergeCell ref="KRQ79:KRU80"/>
    <mergeCell ref="KOW79:KPA80"/>
    <mergeCell ref="KPE79:KPI80"/>
    <mergeCell ref="KPM79:KPQ80"/>
    <mergeCell ref="KPU79:KPY80"/>
    <mergeCell ref="KQC79:KQG80"/>
    <mergeCell ref="KNI79:KNM80"/>
    <mergeCell ref="KNQ79:KNU80"/>
    <mergeCell ref="KNY79:KOC80"/>
    <mergeCell ref="KOG79:KOK80"/>
    <mergeCell ref="KOO79:KOS80"/>
    <mergeCell ref="KLU79:KLY80"/>
    <mergeCell ref="KMC79:KMG80"/>
    <mergeCell ref="KMK79:KMO80"/>
    <mergeCell ref="KMS79:KMW80"/>
    <mergeCell ref="KNA79:KNE80"/>
    <mergeCell ref="KWO79:KWS80"/>
    <mergeCell ref="KWW79:KXA80"/>
    <mergeCell ref="KXE79:KXI80"/>
    <mergeCell ref="KXM79:KXQ80"/>
    <mergeCell ref="KXU79:KXY80"/>
    <mergeCell ref="KVA79:KVE80"/>
    <mergeCell ref="KVI79:KVM80"/>
    <mergeCell ref="KVQ79:KVU80"/>
    <mergeCell ref="KVY79:KWC80"/>
    <mergeCell ref="KWG79:KWK80"/>
    <mergeCell ref="KTM79:KTQ80"/>
    <mergeCell ref="KTU79:KTY80"/>
    <mergeCell ref="KUC79:KUG80"/>
    <mergeCell ref="KUK79:KUO80"/>
    <mergeCell ref="KUS79:KUW80"/>
    <mergeCell ref="KRY79:KSC80"/>
    <mergeCell ref="KSG79:KSK80"/>
    <mergeCell ref="KSO79:KSS80"/>
    <mergeCell ref="KSW79:KTA80"/>
    <mergeCell ref="KTE79:KTI80"/>
    <mergeCell ref="LCS79:LCW80"/>
    <mergeCell ref="LDA79:LDE80"/>
    <mergeCell ref="LDI79:LDM80"/>
    <mergeCell ref="LDQ79:LDU80"/>
    <mergeCell ref="LDY79:LEC80"/>
    <mergeCell ref="LBE79:LBI80"/>
    <mergeCell ref="LBM79:LBQ80"/>
    <mergeCell ref="LBU79:LBY80"/>
    <mergeCell ref="LCC79:LCG80"/>
    <mergeCell ref="LCK79:LCO80"/>
    <mergeCell ref="KZQ79:KZU80"/>
    <mergeCell ref="KZY79:LAC80"/>
    <mergeCell ref="LAG79:LAK80"/>
    <mergeCell ref="LAO79:LAS80"/>
    <mergeCell ref="LAW79:LBA80"/>
    <mergeCell ref="KYC79:KYG80"/>
    <mergeCell ref="KYK79:KYO80"/>
    <mergeCell ref="KYS79:KYW80"/>
    <mergeCell ref="KZA79:KZE80"/>
    <mergeCell ref="KZI79:KZM80"/>
    <mergeCell ref="LIW79:LJA80"/>
    <mergeCell ref="LJE79:LJI80"/>
    <mergeCell ref="LJM79:LJQ80"/>
    <mergeCell ref="LJU79:LJY80"/>
    <mergeCell ref="LKC79:LKG80"/>
    <mergeCell ref="LHI79:LHM80"/>
    <mergeCell ref="LHQ79:LHU80"/>
    <mergeCell ref="LHY79:LIC80"/>
    <mergeCell ref="LIG79:LIK80"/>
    <mergeCell ref="LIO79:LIS80"/>
    <mergeCell ref="LFU79:LFY80"/>
    <mergeCell ref="LGC79:LGG80"/>
    <mergeCell ref="LGK79:LGO80"/>
    <mergeCell ref="LGS79:LGW80"/>
    <mergeCell ref="LHA79:LHE80"/>
    <mergeCell ref="LEG79:LEK80"/>
    <mergeCell ref="LEO79:LES80"/>
    <mergeCell ref="LEW79:LFA80"/>
    <mergeCell ref="LFE79:LFI80"/>
    <mergeCell ref="LFM79:LFQ80"/>
    <mergeCell ref="LPA79:LPE80"/>
    <mergeCell ref="LPI79:LPM80"/>
    <mergeCell ref="LPQ79:LPU80"/>
    <mergeCell ref="LPY79:LQC80"/>
    <mergeCell ref="LQG79:LQK80"/>
    <mergeCell ref="LNM79:LNQ80"/>
    <mergeCell ref="LNU79:LNY80"/>
    <mergeCell ref="LOC79:LOG80"/>
    <mergeCell ref="LOK79:LOO80"/>
    <mergeCell ref="LOS79:LOW80"/>
    <mergeCell ref="LLY79:LMC80"/>
    <mergeCell ref="LMG79:LMK80"/>
    <mergeCell ref="LMO79:LMS80"/>
    <mergeCell ref="LMW79:LNA80"/>
    <mergeCell ref="LNE79:LNI80"/>
    <mergeCell ref="LKK79:LKO80"/>
    <mergeCell ref="LKS79:LKW80"/>
    <mergeCell ref="LLA79:LLE80"/>
    <mergeCell ref="LLI79:LLM80"/>
    <mergeCell ref="LLQ79:LLU80"/>
    <mergeCell ref="LVE79:LVI80"/>
    <mergeCell ref="LVM79:LVQ80"/>
    <mergeCell ref="LVU79:LVY80"/>
    <mergeCell ref="LWC79:LWG80"/>
    <mergeCell ref="LWK79:LWO80"/>
    <mergeCell ref="LTQ79:LTU80"/>
    <mergeCell ref="LTY79:LUC80"/>
    <mergeCell ref="LUG79:LUK80"/>
    <mergeCell ref="LUO79:LUS80"/>
    <mergeCell ref="LUW79:LVA80"/>
    <mergeCell ref="LSC79:LSG80"/>
    <mergeCell ref="LSK79:LSO80"/>
    <mergeCell ref="LSS79:LSW80"/>
    <mergeCell ref="LTA79:LTE80"/>
    <mergeCell ref="LTI79:LTM80"/>
    <mergeCell ref="LQO79:LQS80"/>
    <mergeCell ref="LQW79:LRA80"/>
    <mergeCell ref="LRE79:LRI80"/>
    <mergeCell ref="LRM79:LRQ80"/>
    <mergeCell ref="LRU79:LRY80"/>
    <mergeCell ref="MBI79:MBM80"/>
    <mergeCell ref="MBQ79:MBU80"/>
    <mergeCell ref="MBY79:MCC80"/>
    <mergeCell ref="MCG79:MCK80"/>
    <mergeCell ref="MCO79:MCS80"/>
    <mergeCell ref="LZU79:LZY80"/>
    <mergeCell ref="MAC79:MAG80"/>
    <mergeCell ref="MAK79:MAO80"/>
    <mergeCell ref="MAS79:MAW80"/>
    <mergeCell ref="MBA79:MBE80"/>
    <mergeCell ref="LYG79:LYK80"/>
    <mergeCell ref="LYO79:LYS80"/>
    <mergeCell ref="LYW79:LZA80"/>
    <mergeCell ref="LZE79:LZI80"/>
    <mergeCell ref="LZM79:LZQ80"/>
    <mergeCell ref="LWS79:LWW80"/>
    <mergeCell ref="LXA79:LXE80"/>
    <mergeCell ref="LXI79:LXM80"/>
    <mergeCell ref="LXQ79:LXU80"/>
    <mergeCell ref="LXY79:LYC80"/>
    <mergeCell ref="MHM79:MHQ80"/>
    <mergeCell ref="MHU79:MHY80"/>
    <mergeCell ref="MIC79:MIG80"/>
    <mergeCell ref="MIK79:MIO80"/>
    <mergeCell ref="MIS79:MIW80"/>
    <mergeCell ref="MFY79:MGC80"/>
    <mergeCell ref="MGG79:MGK80"/>
    <mergeCell ref="MGO79:MGS80"/>
    <mergeCell ref="MGW79:MHA80"/>
    <mergeCell ref="MHE79:MHI80"/>
    <mergeCell ref="MEK79:MEO80"/>
    <mergeCell ref="MES79:MEW80"/>
    <mergeCell ref="MFA79:MFE80"/>
    <mergeCell ref="MFI79:MFM80"/>
    <mergeCell ref="MFQ79:MFU80"/>
    <mergeCell ref="MCW79:MDA80"/>
    <mergeCell ref="MDE79:MDI80"/>
    <mergeCell ref="MDM79:MDQ80"/>
    <mergeCell ref="MDU79:MDY80"/>
    <mergeCell ref="MEC79:MEG80"/>
    <mergeCell ref="MNQ79:MNU80"/>
    <mergeCell ref="MNY79:MOC80"/>
    <mergeCell ref="MOG79:MOK80"/>
    <mergeCell ref="MOO79:MOS80"/>
    <mergeCell ref="MOW79:MPA80"/>
    <mergeCell ref="MMC79:MMG80"/>
    <mergeCell ref="MMK79:MMO80"/>
    <mergeCell ref="MMS79:MMW80"/>
    <mergeCell ref="MNA79:MNE80"/>
    <mergeCell ref="MNI79:MNM80"/>
    <mergeCell ref="MKO79:MKS80"/>
    <mergeCell ref="MKW79:MLA80"/>
    <mergeCell ref="MLE79:MLI80"/>
    <mergeCell ref="MLM79:MLQ80"/>
    <mergeCell ref="MLU79:MLY80"/>
    <mergeCell ref="MJA79:MJE80"/>
    <mergeCell ref="MJI79:MJM80"/>
    <mergeCell ref="MJQ79:MJU80"/>
    <mergeCell ref="MJY79:MKC80"/>
    <mergeCell ref="MKG79:MKK80"/>
    <mergeCell ref="MTU79:MTY80"/>
    <mergeCell ref="MUC79:MUG80"/>
    <mergeCell ref="MUK79:MUO80"/>
    <mergeCell ref="MUS79:MUW80"/>
    <mergeCell ref="MVA79:MVE80"/>
    <mergeCell ref="MSG79:MSK80"/>
    <mergeCell ref="MSO79:MSS80"/>
    <mergeCell ref="MSW79:MTA80"/>
    <mergeCell ref="MTE79:MTI80"/>
    <mergeCell ref="MTM79:MTQ80"/>
    <mergeCell ref="MQS79:MQW80"/>
    <mergeCell ref="MRA79:MRE80"/>
    <mergeCell ref="MRI79:MRM80"/>
    <mergeCell ref="MRQ79:MRU80"/>
    <mergeCell ref="MRY79:MSC80"/>
    <mergeCell ref="MPE79:MPI80"/>
    <mergeCell ref="MPM79:MPQ80"/>
    <mergeCell ref="MPU79:MPY80"/>
    <mergeCell ref="MQC79:MQG80"/>
    <mergeCell ref="MQK79:MQO80"/>
    <mergeCell ref="MZY79:NAC80"/>
    <mergeCell ref="NAG79:NAK80"/>
    <mergeCell ref="NAO79:NAS80"/>
    <mergeCell ref="NAW79:NBA80"/>
    <mergeCell ref="NBE79:NBI80"/>
    <mergeCell ref="MYK79:MYO80"/>
    <mergeCell ref="MYS79:MYW80"/>
    <mergeCell ref="MZA79:MZE80"/>
    <mergeCell ref="MZI79:MZM80"/>
    <mergeCell ref="MZQ79:MZU80"/>
    <mergeCell ref="MWW79:MXA80"/>
    <mergeCell ref="MXE79:MXI80"/>
    <mergeCell ref="MXM79:MXQ80"/>
    <mergeCell ref="MXU79:MXY80"/>
    <mergeCell ref="MYC79:MYG80"/>
    <mergeCell ref="MVI79:MVM80"/>
    <mergeCell ref="MVQ79:MVU80"/>
    <mergeCell ref="MVY79:MWC80"/>
    <mergeCell ref="MWG79:MWK80"/>
    <mergeCell ref="MWO79:MWS80"/>
    <mergeCell ref="NGC79:NGG80"/>
    <mergeCell ref="NGK79:NGO80"/>
    <mergeCell ref="NGS79:NGW80"/>
    <mergeCell ref="NHA79:NHE80"/>
    <mergeCell ref="NHI79:NHM80"/>
    <mergeCell ref="NEO79:NES80"/>
    <mergeCell ref="NEW79:NFA80"/>
    <mergeCell ref="NFE79:NFI80"/>
    <mergeCell ref="NFM79:NFQ80"/>
    <mergeCell ref="NFU79:NFY80"/>
    <mergeCell ref="NDA79:NDE80"/>
    <mergeCell ref="NDI79:NDM80"/>
    <mergeCell ref="NDQ79:NDU80"/>
    <mergeCell ref="NDY79:NEC80"/>
    <mergeCell ref="NEG79:NEK80"/>
    <mergeCell ref="NBM79:NBQ80"/>
    <mergeCell ref="NBU79:NBY80"/>
    <mergeCell ref="NCC79:NCG80"/>
    <mergeCell ref="NCK79:NCO80"/>
    <mergeCell ref="NCS79:NCW80"/>
    <mergeCell ref="NMG79:NMK80"/>
    <mergeCell ref="NMO79:NMS80"/>
    <mergeCell ref="NMW79:NNA80"/>
    <mergeCell ref="NNE79:NNI80"/>
    <mergeCell ref="NNM79:NNQ80"/>
    <mergeCell ref="NKS79:NKW80"/>
    <mergeCell ref="NLA79:NLE80"/>
    <mergeCell ref="NLI79:NLM80"/>
    <mergeCell ref="NLQ79:NLU80"/>
    <mergeCell ref="NLY79:NMC80"/>
    <mergeCell ref="NJE79:NJI80"/>
    <mergeCell ref="NJM79:NJQ80"/>
    <mergeCell ref="NJU79:NJY80"/>
    <mergeCell ref="NKC79:NKG80"/>
    <mergeCell ref="NKK79:NKO80"/>
    <mergeCell ref="NHQ79:NHU80"/>
    <mergeCell ref="NHY79:NIC80"/>
    <mergeCell ref="NIG79:NIK80"/>
    <mergeCell ref="NIO79:NIS80"/>
    <mergeCell ref="NIW79:NJA80"/>
    <mergeCell ref="NSK79:NSO80"/>
    <mergeCell ref="NSS79:NSW80"/>
    <mergeCell ref="NTA79:NTE80"/>
    <mergeCell ref="NTI79:NTM80"/>
    <mergeCell ref="NTQ79:NTU80"/>
    <mergeCell ref="NQW79:NRA80"/>
    <mergeCell ref="NRE79:NRI80"/>
    <mergeCell ref="NRM79:NRQ80"/>
    <mergeCell ref="NRU79:NRY80"/>
    <mergeCell ref="NSC79:NSG80"/>
    <mergeCell ref="NPI79:NPM80"/>
    <mergeCell ref="NPQ79:NPU80"/>
    <mergeCell ref="NPY79:NQC80"/>
    <mergeCell ref="NQG79:NQK80"/>
    <mergeCell ref="NQO79:NQS80"/>
    <mergeCell ref="NNU79:NNY80"/>
    <mergeCell ref="NOC79:NOG80"/>
    <mergeCell ref="NOK79:NOO80"/>
    <mergeCell ref="NOS79:NOW80"/>
    <mergeCell ref="NPA79:NPE80"/>
    <mergeCell ref="NYO79:NYS80"/>
    <mergeCell ref="NYW79:NZA80"/>
    <mergeCell ref="NZE79:NZI80"/>
    <mergeCell ref="NZM79:NZQ80"/>
    <mergeCell ref="NZU79:NZY80"/>
    <mergeCell ref="NXA79:NXE80"/>
    <mergeCell ref="NXI79:NXM80"/>
    <mergeCell ref="NXQ79:NXU80"/>
    <mergeCell ref="NXY79:NYC80"/>
    <mergeCell ref="NYG79:NYK80"/>
    <mergeCell ref="NVM79:NVQ80"/>
    <mergeCell ref="NVU79:NVY80"/>
    <mergeCell ref="NWC79:NWG80"/>
    <mergeCell ref="NWK79:NWO80"/>
    <mergeCell ref="NWS79:NWW80"/>
    <mergeCell ref="NTY79:NUC80"/>
    <mergeCell ref="NUG79:NUK80"/>
    <mergeCell ref="NUO79:NUS80"/>
    <mergeCell ref="NUW79:NVA80"/>
    <mergeCell ref="NVE79:NVI80"/>
    <mergeCell ref="OES79:OEW80"/>
    <mergeCell ref="OFA79:OFE80"/>
    <mergeCell ref="OFI79:OFM80"/>
    <mergeCell ref="OFQ79:OFU80"/>
    <mergeCell ref="OFY79:OGC80"/>
    <mergeCell ref="ODE79:ODI80"/>
    <mergeCell ref="ODM79:ODQ80"/>
    <mergeCell ref="ODU79:ODY80"/>
    <mergeCell ref="OEC79:OEG80"/>
    <mergeCell ref="OEK79:OEO80"/>
    <mergeCell ref="OBQ79:OBU80"/>
    <mergeCell ref="OBY79:OCC80"/>
    <mergeCell ref="OCG79:OCK80"/>
    <mergeCell ref="OCO79:OCS80"/>
    <mergeCell ref="OCW79:ODA80"/>
    <mergeCell ref="OAC79:OAG80"/>
    <mergeCell ref="OAK79:OAO80"/>
    <mergeCell ref="OAS79:OAW80"/>
    <mergeCell ref="OBA79:OBE80"/>
    <mergeCell ref="OBI79:OBM80"/>
    <mergeCell ref="OKW79:OLA80"/>
    <mergeCell ref="OLE79:OLI80"/>
    <mergeCell ref="OLM79:OLQ80"/>
    <mergeCell ref="OLU79:OLY80"/>
    <mergeCell ref="OMC79:OMG80"/>
    <mergeCell ref="OJI79:OJM80"/>
    <mergeCell ref="OJQ79:OJU80"/>
    <mergeCell ref="OJY79:OKC80"/>
    <mergeCell ref="OKG79:OKK80"/>
    <mergeCell ref="OKO79:OKS80"/>
    <mergeCell ref="OHU79:OHY80"/>
    <mergeCell ref="OIC79:OIG80"/>
    <mergeCell ref="OIK79:OIO80"/>
    <mergeCell ref="OIS79:OIW80"/>
    <mergeCell ref="OJA79:OJE80"/>
    <mergeCell ref="OGG79:OGK80"/>
    <mergeCell ref="OGO79:OGS80"/>
    <mergeCell ref="OGW79:OHA80"/>
    <mergeCell ref="OHE79:OHI80"/>
    <mergeCell ref="OHM79:OHQ80"/>
    <mergeCell ref="ORA79:ORE80"/>
    <mergeCell ref="ORI79:ORM80"/>
    <mergeCell ref="ORQ79:ORU80"/>
    <mergeCell ref="ORY79:OSC80"/>
    <mergeCell ref="OSG79:OSK80"/>
    <mergeCell ref="OPM79:OPQ80"/>
    <mergeCell ref="OPU79:OPY80"/>
    <mergeCell ref="OQC79:OQG80"/>
    <mergeCell ref="OQK79:OQO80"/>
    <mergeCell ref="OQS79:OQW80"/>
    <mergeCell ref="ONY79:OOC80"/>
    <mergeCell ref="OOG79:OOK80"/>
    <mergeCell ref="OOO79:OOS80"/>
    <mergeCell ref="OOW79:OPA80"/>
    <mergeCell ref="OPE79:OPI80"/>
    <mergeCell ref="OMK79:OMO80"/>
    <mergeCell ref="OMS79:OMW80"/>
    <mergeCell ref="ONA79:ONE80"/>
    <mergeCell ref="ONI79:ONM80"/>
    <mergeCell ref="ONQ79:ONU80"/>
    <mergeCell ref="OXE79:OXI80"/>
    <mergeCell ref="OXM79:OXQ80"/>
    <mergeCell ref="OXU79:OXY80"/>
    <mergeCell ref="OYC79:OYG80"/>
    <mergeCell ref="OYK79:OYO80"/>
    <mergeCell ref="OVQ79:OVU80"/>
    <mergeCell ref="OVY79:OWC80"/>
    <mergeCell ref="OWG79:OWK80"/>
    <mergeCell ref="OWO79:OWS80"/>
    <mergeCell ref="OWW79:OXA80"/>
    <mergeCell ref="OUC79:OUG80"/>
    <mergeCell ref="OUK79:OUO80"/>
    <mergeCell ref="OUS79:OUW80"/>
    <mergeCell ref="OVA79:OVE80"/>
    <mergeCell ref="OVI79:OVM80"/>
    <mergeCell ref="OSO79:OSS80"/>
    <mergeCell ref="OSW79:OTA80"/>
    <mergeCell ref="OTE79:OTI80"/>
    <mergeCell ref="OTM79:OTQ80"/>
    <mergeCell ref="OTU79:OTY80"/>
    <mergeCell ref="PDI79:PDM80"/>
    <mergeCell ref="PDQ79:PDU80"/>
    <mergeCell ref="PDY79:PEC80"/>
    <mergeCell ref="PEG79:PEK80"/>
    <mergeCell ref="PEO79:PES80"/>
    <mergeCell ref="PBU79:PBY80"/>
    <mergeCell ref="PCC79:PCG80"/>
    <mergeCell ref="PCK79:PCO80"/>
    <mergeCell ref="PCS79:PCW80"/>
    <mergeCell ref="PDA79:PDE80"/>
    <mergeCell ref="PAG79:PAK80"/>
    <mergeCell ref="PAO79:PAS80"/>
    <mergeCell ref="PAW79:PBA80"/>
    <mergeCell ref="PBE79:PBI80"/>
    <mergeCell ref="PBM79:PBQ80"/>
    <mergeCell ref="OYS79:OYW80"/>
    <mergeCell ref="OZA79:OZE80"/>
    <mergeCell ref="OZI79:OZM80"/>
    <mergeCell ref="OZQ79:OZU80"/>
    <mergeCell ref="OZY79:PAC80"/>
    <mergeCell ref="PJM79:PJQ80"/>
    <mergeCell ref="PJU79:PJY80"/>
    <mergeCell ref="PKC79:PKG80"/>
    <mergeCell ref="PKK79:PKO80"/>
    <mergeCell ref="PKS79:PKW80"/>
    <mergeCell ref="PHY79:PIC80"/>
    <mergeCell ref="PIG79:PIK80"/>
    <mergeCell ref="PIO79:PIS80"/>
    <mergeCell ref="PIW79:PJA80"/>
    <mergeCell ref="PJE79:PJI80"/>
    <mergeCell ref="PGK79:PGO80"/>
    <mergeCell ref="PGS79:PGW80"/>
    <mergeCell ref="PHA79:PHE80"/>
    <mergeCell ref="PHI79:PHM80"/>
    <mergeCell ref="PHQ79:PHU80"/>
    <mergeCell ref="PEW79:PFA80"/>
    <mergeCell ref="PFE79:PFI80"/>
    <mergeCell ref="PFM79:PFQ80"/>
    <mergeCell ref="PFU79:PFY80"/>
    <mergeCell ref="PGC79:PGG80"/>
    <mergeCell ref="PPQ79:PPU80"/>
    <mergeCell ref="PPY79:PQC80"/>
    <mergeCell ref="PQG79:PQK80"/>
    <mergeCell ref="PQO79:PQS80"/>
    <mergeCell ref="PQW79:PRA80"/>
    <mergeCell ref="POC79:POG80"/>
    <mergeCell ref="POK79:POO80"/>
    <mergeCell ref="POS79:POW80"/>
    <mergeCell ref="PPA79:PPE80"/>
    <mergeCell ref="PPI79:PPM80"/>
    <mergeCell ref="PMO79:PMS80"/>
    <mergeCell ref="PMW79:PNA80"/>
    <mergeCell ref="PNE79:PNI80"/>
    <mergeCell ref="PNM79:PNQ80"/>
    <mergeCell ref="PNU79:PNY80"/>
    <mergeCell ref="PLA79:PLE80"/>
    <mergeCell ref="PLI79:PLM80"/>
    <mergeCell ref="PLQ79:PLU80"/>
    <mergeCell ref="PLY79:PMC80"/>
    <mergeCell ref="PMG79:PMK80"/>
    <mergeCell ref="PVU79:PVY80"/>
    <mergeCell ref="PWC79:PWG80"/>
    <mergeCell ref="PWK79:PWO80"/>
    <mergeCell ref="PWS79:PWW80"/>
    <mergeCell ref="PXA79:PXE80"/>
    <mergeCell ref="PUG79:PUK80"/>
    <mergeCell ref="PUO79:PUS80"/>
    <mergeCell ref="PUW79:PVA80"/>
    <mergeCell ref="PVE79:PVI80"/>
    <mergeCell ref="PVM79:PVQ80"/>
    <mergeCell ref="PSS79:PSW80"/>
    <mergeCell ref="PTA79:PTE80"/>
    <mergeCell ref="PTI79:PTM80"/>
    <mergeCell ref="PTQ79:PTU80"/>
    <mergeCell ref="PTY79:PUC80"/>
    <mergeCell ref="PRE79:PRI80"/>
    <mergeCell ref="PRM79:PRQ80"/>
    <mergeCell ref="PRU79:PRY80"/>
    <mergeCell ref="PSC79:PSG80"/>
    <mergeCell ref="PSK79:PSO80"/>
    <mergeCell ref="QBY79:QCC80"/>
    <mergeCell ref="QCG79:QCK80"/>
    <mergeCell ref="QCO79:QCS80"/>
    <mergeCell ref="QCW79:QDA80"/>
    <mergeCell ref="QDE79:QDI80"/>
    <mergeCell ref="QAK79:QAO80"/>
    <mergeCell ref="QAS79:QAW80"/>
    <mergeCell ref="QBA79:QBE80"/>
    <mergeCell ref="QBI79:QBM80"/>
    <mergeCell ref="QBQ79:QBU80"/>
    <mergeCell ref="PYW79:PZA80"/>
    <mergeCell ref="PZE79:PZI80"/>
    <mergeCell ref="PZM79:PZQ80"/>
    <mergeCell ref="PZU79:PZY80"/>
    <mergeCell ref="QAC79:QAG80"/>
    <mergeCell ref="PXI79:PXM80"/>
    <mergeCell ref="PXQ79:PXU80"/>
    <mergeCell ref="PXY79:PYC80"/>
    <mergeCell ref="PYG79:PYK80"/>
    <mergeCell ref="PYO79:PYS80"/>
    <mergeCell ref="QIC79:QIG80"/>
    <mergeCell ref="QIK79:QIO80"/>
    <mergeCell ref="QIS79:QIW80"/>
    <mergeCell ref="QJA79:QJE80"/>
    <mergeCell ref="QJI79:QJM80"/>
    <mergeCell ref="QGO79:QGS80"/>
    <mergeCell ref="QGW79:QHA80"/>
    <mergeCell ref="QHE79:QHI80"/>
    <mergeCell ref="QHM79:QHQ80"/>
    <mergeCell ref="QHU79:QHY80"/>
    <mergeCell ref="QFA79:QFE80"/>
    <mergeCell ref="QFI79:QFM80"/>
    <mergeCell ref="QFQ79:QFU80"/>
    <mergeCell ref="QFY79:QGC80"/>
    <mergeCell ref="QGG79:QGK80"/>
    <mergeCell ref="QDM79:QDQ80"/>
    <mergeCell ref="QDU79:QDY80"/>
    <mergeCell ref="QEC79:QEG80"/>
    <mergeCell ref="QEK79:QEO80"/>
    <mergeCell ref="QES79:QEW80"/>
    <mergeCell ref="QOG79:QOK80"/>
    <mergeCell ref="QOO79:QOS80"/>
    <mergeCell ref="QOW79:QPA80"/>
    <mergeCell ref="QPE79:QPI80"/>
    <mergeCell ref="QPM79:QPQ80"/>
    <mergeCell ref="QMS79:QMW80"/>
    <mergeCell ref="QNA79:QNE80"/>
    <mergeCell ref="QNI79:QNM80"/>
    <mergeCell ref="QNQ79:QNU80"/>
    <mergeCell ref="QNY79:QOC80"/>
    <mergeCell ref="QLE79:QLI80"/>
    <mergeCell ref="QLM79:QLQ80"/>
    <mergeCell ref="QLU79:QLY80"/>
    <mergeCell ref="QMC79:QMG80"/>
    <mergeCell ref="QMK79:QMO80"/>
    <mergeCell ref="QJQ79:QJU80"/>
    <mergeCell ref="QJY79:QKC80"/>
    <mergeCell ref="QKG79:QKK80"/>
    <mergeCell ref="QKO79:QKS80"/>
    <mergeCell ref="QKW79:QLA80"/>
    <mergeCell ref="QUK79:QUO80"/>
    <mergeCell ref="QUS79:QUW80"/>
    <mergeCell ref="QVA79:QVE80"/>
    <mergeCell ref="QVI79:QVM80"/>
    <mergeCell ref="QVQ79:QVU80"/>
    <mergeCell ref="QSW79:QTA80"/>
    <mergeCell ref="QTE79:QTI80"/>
    <mergeCell ref="QTM79:QTQ80"/>
    <mergeCell ref="QTU79:QTY80"/>
    <mergeCell ref="QUC79:QUG80"/>
    <mergeCell ref="QRI79:QRM80"/>
    <mergeCell ref="QRQ79:QRU80"/>
    <mergeCell ref="QRY79:QSC80"/>
    <mergeCell ref="QSG79:QSK80"/>
    <mergeCell ref="QSO79:QSS80"/>
    <mergeCell ref="QPU79:QPY80"/>
    <mergeCell ref="QQC79:QQG80"/>
    <mergeCell ref="QQK79:QQO80"/>
    <mergeCell ref="QQS79:QQW80"/>
    <mergeCell ref="QRA79:QRE80"/>
    <mergeCell ref="RAO79:RAS80"/>
    <mergeCell ref="RAW79:RBA80"/>
    <mergeCell ref="RBE79:RBI80"/>
    <mergeCell ref="RBM79:RBQ80"/>
    <mergeCell ref="RBU79:RBY80"/>
    <mergeCell ref="QZA79:QZE80"/>
    <mergeCell ref="QZI79:QZM80"/>
    <mergeCell ref="QZQ79:QZU80"/>
    <mergeCell ref="QZY79:RAC80"/>
    <mergeCell ref="RAG79:RAK80"/>
    <mergeCell ref="QXM79:QXQ80"/>
    <mergeCell ref="QXU79:QXY80"/>
    <mergeCell ref="QYC79:QYG80"/>
    <mergeCell ref="QYK79:QYO80"/>
    <mergeCell ref="QYS79:QYW80"/>
    <mergeCell ref="QVY79:QWC80"/>
    <mergeCell ref="QWG79:QWK80"/>
    <mergeCell ref="QWO79:QWS80"/>
    <mergeCell ref="QWW79:QXA80"/>
    <mergeCell ref="QXE79:QXI80"/>
    <mergeCell ref="RGS79:RGW80"/>
    <mergeCell ref="RHA79:RHE80"/>
    <mergeCell ref="RHI79:RHM80"/>
    <mergeCell ref="RHQ79:RHU80"/>
    <mergeCell ref="RHY79:RIC80"/>
    <mergeCell ref="RFE79:RFI80"/>
    <mergeCell ref="RFM79:RFQ80"/>
    <mergeCell ref="RFU79:RFY80"/>
    <mergeCell ref="RGC79:RGG80"/>
    <mergeCell ref="RGK79:RGO80"/>
    <mergeCell ref="RDQ79:RDU80"/>
    <mergeCell ref="RDY79:REC80"/>
    <mergeCell ref="REG79:REK80"/>
    <mergeCell ref="REO79:RES80"/>
    <mergeCell ref="REW79:RFA80"/>
    <mergeCell ref="RCC79:RCG80"/>
    <mergeCell ref="RCK79:RCO80"/>
    <mergeCell ref="RCS79:RCW80"/>
    <mergeCell ref="RDA79:RDE80"/>
    <mergeCell ref="RDI79:RDM80"/>
    <mergeCell ref="RMW79:RNA80"/>
    <mergeCell ref="RNE79:RNI80"/>
    <mergeCell ref="RNM79:RNQ80"/>
    <mergeCell ref="RNU79:RNY80"/>
    <mergeCell ref="ROC79:ROG80"/>
    <mergeCell ref="RLI79:RLM80"/>
    <mergeCell ref="RLQ79:RLU80"/>
    <mergeCell ref="RLY79:RMC80"/>
    <mergeCell ref="RMG79:RMK80"/>
    <mergeCell ref="RMO79:RMS80"/>
    <mergeCell ref="RJU79:RJY80"/>
    <mergeCell ref="RKC79:RKG80"/>
    <mergeCell ref="RKK79:RKO80"/>
    <mergeCell ref="RKS79:RKW80"/>
    <mergeCell ref="RLA79:RLE80"/>
    <mergeCell ref="RIG79:RIK80"/>
    <mergeCell ref="RIO79:RIS80"/>
    <mergeCell ref="RIW79:RJA80"/>
    <mergeCell ref="RJE79:RJI80"/>
    <mergeCell ref="RJM79:RJQ80"/>
    <mergeCell ref="RTA79:RTE80"/>
    <mergeCell ref="RTI79:RTM80"/>
    <mergeCell ref="RTQ79:RTU80"/>
    <mergeCell ref="RTY79:RUC80"/>
    <mergeCell ref="RUG79:RUK80"/>
    <mergeCell ref="RRM79:RRQ80"/>
    <mergeCell ref="RRU79:RRY80"/>
    <mergeCell ref="RSC79:RSG80"/>
    <mergeCell ref="RSK79:RSO80"/>
    <mergeCell ref="RSS79:RSW80"/>
    <mergeCell ref="RPY79:RQC80"/>
    <mergeCell ref="RQG79:RQK80"/>
    <mergeCell ref="RQO79:RQS80"/>
    <mergeCell ref="RQW79:RRA80"/>
    <mergeCell ref="RRE79:RRI80"/>
    <mergeCell ref="ROK79:ROO80"/>
    <mergeCell ref="ROS79:ROW80"/>
    <mergeCell ref="RPA79:RPE80"/>
    <mergeCell ref="RPI79:RPM80"/>
    <mergeCell ref="RPQ79:RPU80"/>
    <mergeCell ref="RZE79:RZI80"/>
    <mergeCell ref="RZM79:RZQ80"/>
    <mergeCell ref="RZU79:RZY80"/>
    <mergeCell ref="SAC79:SAG80"/>
    <mergeCell ref="SAK79:SAO80"/>
    <mergeCell ref="RXQ79:RXU80"/>
    <mergeCell ref="RXY79:RYC80"/>
    <mergeCell ref="RYG79:RYK80"/>
    <mergeCell ref="RYO79:RYS80"/>
    <mergeCell ref="RYW79:RZA80"/>
    <mergeCell ref="RWC79:RWG80"/>
    <mergeCell ref="RWK79:RWO80"/>
    <mergeCell ref="RWS79:RWW80"/>
    <mergeCell ref="RXA79:RXE80"/>
    <mergeCell ref="RXI79:RXM80"/>
    <mergeCell ref="RUO79:RUS80"/>
    <mergeCell ref="RUW79:RVA80"/>
    <mergeCell ref="RVE79:RVI80"/>
    <mergeCell ref="RVM79:RVQ80"/>
    <mergeCell ref="RVU79:RVY80"/>
    <mergeCell ref="SFI79:SFM80"/>
    <mergeCell ref="SFQ79:SFU80"/>
    <mergeCell ref="SFY79:SGC80"/>
    <mergeCell ref="SGG79:SGK80"/>
    <mergeCell ref="SGO79:SGS80"/>
    <mergeCell ref="SDU79:SDY80"/>
    <mergeCell ref="SEC79:SEG80"/>
    <mergeCell ref="SEK79:SEO80"/>
    <mergeCell ref="SES79:SEW80"/>
    <mergeCell ref="SFA79:SFE80"/>
    <mergeCell ref="SCG79:SCK80"/>
    <mergeCell ref="SCO79:SCS80"/>
    <mergeCell ref="SCW79:SDA80"/>
    <mergeCell ref="SDE79:SDI80"/>
    <mergeCell ref="SDM79:SDQ80"/>
    <mergeCell ref="SAS79:SAW80"/>
    <mergeCell ref="SBA79:SBE80"/>
    <mergeCell ref="SBI79:SBM80"/>
    <mergeCell ref="SBQ79:SBU80"/>
    <mergeCell ref="SBY79:SCC80"/>
    <mergeCell ref="SLM79:SLQ80"/>
    <mergeCell ref="SLU79:SLY80"/>
    <mergeCell ref="SMC79:SMG80"/>
    <mergeCell ref="SMK79:SMO80"/>
    <mergeCell ref="SMS79:SMW80"/>
    <mergeCell ref="SJY79:SKC80"/>
    <mergeCell ref="SKG79:SKK80"/>
    <mergeCell ref="SKO79:SKS80"/>
    <mergeCell ref="SKW79:SLA80"/>
    <mergeCell ref="SLE79:SLI80"/>
    <mergeCell ref="SIK79:SIO80"/>
    <mergeCell ref="SIS79:SIW80"/>
    <mergeCell ref="SJA79:SJE80"/>
    <mergeCell ref="SJI79:SJM80"/>
    <mergeCell ref="SJQ79:SJU80"/>
    <mergeCell ref="SGW79:SHA80"/>
    <mergeCell ref="SHE79:SHI80"/>
    <mergeCell ref="SHM79:SHQ80"/>
    <mergeCell ref="SHU79:SHY80"/>
    <mergeCell ref="SIC79:SIG80"/>
    <mergeCell ref="SRQ79:SRU80"/>
    <mergeCell ref="SRY79:SSC80"/>
    <mergeCell ref="SSG79:SSK80"/>
    <mergeCell ref="SSO79:SSS80"/>
    <mergeCell ref="SSW79:STA80"/>
    <mergeCell ref="SQC79:SQG80"/>
    <mergeCell ref="SQK79:SQO80"/>
    <mergeCell ref="SQS79:SQW80"/>
    <mergeCell ref="SRA79:SRE80"/>
    <mergeCell ref="SRI79:SRM80"/>
    <mergeCell ref="SOO79:SOS80"/>
    <mergeCell ref="SOW79:SPA80"/>
    <mergeCell ref="SPE79:SPI80"/>
    <mergeCell ref="SPM79:SPQ80"/>
    <mergeCell ref="SPU79:SPY80"/>
    <mergeCell ref="SNA79:SNE80"/>
    <mergeCell ref="SNI79:SNM80"/>
    <mergeCell ref="SNQ79:SNU80"/>
    <mergeCell ref="SNY79:SOC80"/>
    <mergeCell ref="SOG79:SOK80"/>
    <mergeCell ref="SXU79:SXY80"/>
    <mergeCell ref="SYC79:SYG80"/>
    <mergeCell ref="SYK79:SYO80"/>
    <mergeCell ref="SYS79:SYW80"/>
    <mergeCell ref="SZA79:SZE80"/>
    <mergeCell ref="SWG79:SWK80"/>
    <mergeCell ref="SWO79:SWS80"/>
    <mergeCell ref="SWW79:SXA80"/>
    <mergeCell ref="SXE79:SXI80"/>
    <mergeCell ref="SXM79:SXQ80"/>
    <mergeCell ref="SUS79:SUW80"/>
    <mergeCell ref="SVA79:SVE80"/>
    <mergeCell ref="SVI79:SVM80"/>
    <mergeCell ref="SVQ79:SVU80"/>
    <mergeCell ref="SVY79:SWC80"/>
    <mergeCell ref="STE79:STI80"/>
    <mergeCell ref="STM79:STQ80"/>
    <mergeCell ref="STU79:STY80"/>
    <mergeCell ref="SUC79:SUG80"/>
    <mergeCell ref="SUK79:SUO80"/>
    <mergeCell ref="TDY79:TEC80"/>
    <mergeCell ref="TEG79:TEK80"/>
    <mergeCell ref="TEO79:TES80"/>
    <mergeCell ref="TEW79:TFA80"/>
    <mergeCell ref="TFE79:TFI80"/>
    <mergeCell ref="TCK79:TCO80"/>
    <mergeCell ref="TCS79:TCW80"/>
    <mergeCell ref="TDA79:TDE80"/>
    <mergeCell ref="TDI79:TDM80"/>
    <mergeCell ref="TDQ79:TDU80"/>
    <mergeCell ref="TAW79:TBA80"/>
    <mergeCell ref="TBE79:TBI80"/>
    <mergeCell ref="TBM79:TBQ80"/>
    <mergeCell ref="TBU79:TBY80"/>
    <mergeCell ref="TCC79:TCG80"/>
    <mergeCell ref="SZI79:SZM80"/>
    <mergeCell ref="SZQ79:SZU80"/>
    <mergeCell ref="SZY79:TAC80"/>
    <mergeCell ref="TAG79:TAK80"/>
    <mergeCell ref="TAO79:TAS80"/>
    <mergeCell ref="TKC79:TKG80"/>
    <mergeCell ref="TKK79:TKO80"/>
    <mergeCell ref="TKS79:TKW80"/>
    <mergeCell ref="TLA79:TLE80"/>
    <mergeCell ref="TLI79:TLM80"/>
    <mergeCell ref="TIO79:TIS80"/>
    <mergeCell ref="TIW79:TJA80"/>
    <mergeCell ref="TJE79:TJI80"/>
    <mergeCell ref="TJM79:TJQ80"/>
    <mergeCell ref="TJU79:TJY80"/>
    <mergeCell ref="THA79:THE80"/>
    <mergeCell ref="THI79:THM80"/>
    <mergeCell ref="THQ79:THU80"/>
    <mergeCell ref="THY79:TIC80"/>
    <mergeCell ref="TIG79:TIK80"/>
    <mergeCell ref="TFM79:TFQ80"/>
    <mergeCell ref="TFU79:TFY80"/>
    <mergeCell ref="TGC79:TGG80"/>
    <mergeCell ref="TGK79:TGO80"/>
    <mergeCell ref="TGS79:TGW80"/>
    <mergeCell ref="TQG79:TQK80"/>
    <mergeCell ref="TQO79:TQS80"/>
    <mergeCell ref="TQW79:TRA80"/>
    <mergeCell ref="TRE79:TRI80"/>
    <mergeCell ref="TRM79:TRQ80"/>
    <mergeCell ref="TOS79:TOW80"/>
    <mergeCell ref="TPA79:TPE80"/>
    <mergeCell ref="TPI79:TPM80"/>
    <mergeCell ref="TPQ79:TPU80"/>
    <mergeCell ref="TPY79:TQC80"/>
    <mergeCell ref="TNE79:TNI80"/>
    <mergeCell ref="TNM79:TNQ80"/>
    <mergeCell ref="TNU79:TNY80"/>
    <mergeCell ref="TOC79:TOG80"/>
    <mergeCell ref="TOK79:TOO80"/>
    <mergeCell ref="TLQ79:TLU80"/>
    <mergeCell ref="TLY79:TMC80"/>
    <mergeCell ref="TMG79:TMK80"/>
    <mergeCell ref="TMO79:TMS80"/>
    <mergeCell ref="TMW79:TNA80"/>
    <mergeCell ref="TWK79:TWO80"/>
    <mergeCell ref="TWS79:TWW80"/>
    <mergeCell ref="TXA79:TXE80"/>
    <mergeCell ref="TXI79:TXM80"/>
    <mergeCell ref="TXQ79:TXU80"/>
    <mergeCell ref="TUW79:TVA80"/>
    <mergeCell ref="TVE79:TVI80"/>
    <mergeCell ref="TVM79:TVQ80"/>
    <mergeCell ref="TVU79:TVY80"/>
    <mergeCell ref="TWC79:TWG80"/>
    <mergeCell ref="TTI79:TTM80"/>
    <mergeCell ref="TTQ79:TTU80"/>
    <mergeCell ref="TTY79:TUC80"/>
    <mergeCell ref="TUG79:TUK80"/>
    <mergeCell ref="TUO79:TUS80"/>
    <mergeCell ref="TRU79:TRY80"/>
    <mergeCell ref="TSC79:TSG80"/>
    <mergeCell ref="TSK79:TSO80"/>
    <mergeCell ref="TSS79:TSW80"/>
    <mergeCell ref="TTA79:TTE80"/>
    <mergeCell ref="UCO79:UCS80"/>
    <mergeCell ref="UCW79:UDA80"/>
    <mergeCell ref="UDE79:UDI80"/>
    <mergeCell ref="UDM79:UDQ80"/>
    <mergeCell ref="UDU79:UDY80"/>
    <mergeCell ref="UBA79:UBE80"/>
    <mergeCell ref="UBI79:UBM80"/>
    <mergeCell ref="UBQ79:UBU80"/>
    <mergeCell ref="UBY79:UCC80"/>
    <mergeCell ref="UCG79:UCK80"/>
    <mergeCell ref="TZM79:TZQ80"/>
    <mergeCell ref="TZU79:TZY80"/>
    <mergeCell ref="UAC79:UAG80"/>
    <mergeCell ref="UAK79:UAO80"/>
    <mergeCell ref="UAS79:UAW80"/>
    <mergeCell ref="TXY79:TYC80"/>
    <mergeCell ref="TYG79:TYK80"/>
    <mergeCell ref="TYO79:TYS80"/>
    <mergeCell ref="TYW79:TZA80"/>
    <mergeCell ref="TZE79:TZI80"/>
    <mergeCell ref="UIS79:UIW80"/>
    <mergeCell ref="UJA79:UJE80"/>
    <mergeCell ref="UJI79:UJM80"/>
    <mergeCell ref="UJQ79:UJU80"/>
    <mergeCell ref="UJY79:UKC80"/>
    <mergeCell ref="UHE79:UHI80"/>
    <mergeCell ref="UHM79:UHQ80"/>
    <mergeCell ref="UHU79:UHY80"/>
    <mergeCell ref="UIC79:UIG80"/>
    <mergeCell ref="UIK79:UIO80"/>
    <mergeCell ref="UFQ79:UFU80"/>
    <mergeCell ref="UFY79:UGC80"/>
    <mergeCell ref="UGG79:UGK80"/>
    <mergeCell ref="UGO79:UGS80"/>
    <mergeCell ref="UGW79:UHA80"/>
    <mergeCell ref="UEC79:UEG80"/>
    <mergeCell ref="UEK79:UEO80"/>
    <mergeCell ref="UES79:UEW80"/>
    <mergeCell ref="UFA79:UFE80"/>
    <mergeCell ref="UFI79:UFM80"/>
    <mergeCell ref="UOW79:UPA80"/>
    <mergeCell ref="UPE79:UPI80"/>
    <mergeCell ref="UPM79:UPQ80"/>
    <mergeCell ref="UPU79:UPY80"/>
    <mergeCell ref="UQC79:UQG80"/>
    <mergeCell ref="UNI79:UNM80"/>
    <mergeCell ref="UNQ79:UNU80"/>
    <mergeCell ref="UNY79:UOC80"/>
    <mergeCell ref="UOG79:UOK80"/>
    <mergeCell ref="UOO79:UOS80"/>
    <mergeCell ref="ULU79:ULY80"/>
    <mergeCell ref="UMC79:UMG80"/>
    <mergeCell ref="UMK79:UMO80"/>
    <mergeCell ref="UMS79:UMW80"/>
    <mergeCell ref="UNA79:UNE80"/>
    <mergeCell ref="UKG79:UKK80"/>
    <mergeCell ref="UKO79:UKS80"/>
    <mergeCell ref="UKW79:ULA80"/>
    <mergeCell ref="ULE79:ULI80"/>
    <mergeCell ref="ULM79:ULQ80"/>
    <mergeCell ref="UVA79:UVE80"/>
    <mergeCell ref="UVI79:UVM80"/>
    <mergeCell ref="UVQ79:UVU80"/>
    <mergeCell ref="UVY79:UWC80"/>
    <mergeCell ref="UWG79:UWK80"/>
    <mergeCell ref="UTM79:UTQ80"/>
    <mergeCell ref="UTU79:UTY80"/>
    <mergeCell ref="UUC79:UUG80"/>
    <mergeCell ref="UUK79:UUO80"/>
    <mergeCell ref="UUS79:UUW80"/>
    <mergeCell ref="URY79:USC80"/>
    <mergeCell ref="USG79:USK80"/>
    <mergeCell ref="USO79:USS80"/>
    <mergeCell ref="USW79:UTA80"/>
    <mergeCell ref="UTE79:UTI80"/>
    <mergeCell ref="UQK79:UQO80"/>
    <mergeCell ref="UQS79:UQW80"/>
    <mergeCell ref="URA79:URE80"/>
    <mergeCell ref="URI79:URM80"/>
    <mergeCell ref="URQ79:URU80"/>
    <mergeCell ref="VBE79:VBI80"/>
    <mergeCell ref="VBM79:VBQ80"/>
    <mergeCell ref="VBU79:VBY80"/>
    <mergeCell ref="VCC79:VCG80"/>
    <mergeCell ref="VCK79:VCO80"/>
    <mergeCell ref="UZQ79:UZU80"/>
    <mergeCell ref="UZY79:VAC80"/>
    <mergeCell ref="VAG79:VAK80"/>
    <mergeCell ref="VAO79:VAS80"/>
    <mergeCell ref="VAW79:VBA80"/>
    <mergeCell ref="UYC79:UYG80"/>
    <mergeCell ref="UYK79:UYO80"/>
    <mergeCell ref="UYS79:UYW80"/>
    <mergeCell ref="UZA79:UZE80"/>
    <mergeCell ref="UZI79:UZM80"/>
    <mergeCell ref="UWO79:UWS80"/>
    <mergeCell ref="UWW79:UXA80"/>
    <mergeCell ref="UXE79:UXI80"/>
    <mergeCell ref="UXM79:UXQ80"/>
    <mergeCell ref="UXU79:UXY80"/>
    <mergeCell ref="VHI79:VHM80"/>
    <mergeCell ref="VHQ79:VHU80"/>
    <mergeCell ref="VHY79:VIC80"/>
    <mergeCell ref="VIG79:VIK80"/>
    <mergeCell ref="VIO79:VIS80"/>
    <mergeCell ref="VFU79:VFY80"/>
    <mergeCell ref="VGC79:VGG80"/>
    <mergeCell ref="VGK79:VGO80"/>
    <mergeCell ref="VGS79:VGW80"/>
    <mergeCell ref="VHA79:VHE80"/>
    <mergeCell ref="VEG79:VEK80"/>
    <mergeCell ref="VEO79:VES80"/>
    <mergeCell ref="VEW79:VFA80"/>
    <mergeCell ref="VFE79:VFI80"/>
    <mergeCell ref="VFM79:VFQ80"/>
    <mergeCell ref="VCS79:VCW80"/>
    <mergeCell ref="VDA79:VDE80"/>
    <mergeCell ref="VDI79:VDM80"/>
    <mergeCell ref="VDQ79:VDU80"/>
    <mergeCell ref="VDY79:VEC80"/>
    <mergeCell ref="VNM79:VNQ80"/>
    <mergeCell ref="VNU79:VNY80"/>
    <mergeCell ref="VOC79:VOG80"/>
    <mergeCell ref="VOK79:VOO80"/>
    <mergeCell ref="VOS79:VOW80"/>
    <mergeCell ref="VLY79:VMC80"/>
    <mergeCell ref="VMG79:VMK80"/>
    <mergeCell ref="VMO79:VMS80"/>
    <mergeCell ref="VMW79:VNA80"/>
    <mergeCell ref="VNE79:VNI80"/>
    <mergeCell ref="VKK79:VKO80"/>
    <mergeCell ref="VKS79:VKW80"/>
    <mergeCell ref="VLA79:VLE80"/>
    <mergeCell ref="VLI79:VLM80"/>
    <mergeCell ref="VLQ79:VLU80"/>
    <mergeCell ref="VIW79:VJA80"/>
    <mergeCell ref="VJE79:VJI80"/>
    <mergeCell ref="VJM79:VJQ80"/>
    <mergeCell ref="VJU79:VJY80"/>
    <mergeCell ref="VKC79:VKG80"/>
    <mergeCell ref="VTQ79:VTU80"/>
    <mergeCell ref="VTY79:VUC80"/>
    <mergeCell ref="VUG79:VUK80"/>
    <mergeCell ref="VUO79:VUS80"/>
    <mergeCell ref="VUW79:VVA80"/>
    <mergeCell ref="VSC79:VSG80"/>
    <mergeCell ref="VSK79:VSO80"/>
    <mergeCell ref="VSS79:VSW80"/>
    <mergeCell ref="VTA79:VTE80"/>
    <mergeCell ref="VTI79:VTM80"/>
    <mergeCell ref="VQO79:VQS80"/>
    <mergeCell ref="VQW79:VRA80"/>
    <mergeCell ref="VRE79:VRI80"/>
    <mergeCell ref="VRM79:VRQ80"/>
    <mergeCell ref="VRU79:VRY80"/>
    <mergeCell ref="VPA79:VPE80"/>
    <mergeCell ref="VPI79:VPM80"/>
    <mergeCell ref="VPQ79:VPU80"/>
    <mergeCell ref="VPY79:VQC80"/>
    <mergeCell ref="VQG79:VQK80"/>
    <mergeCell ref="VZU79:VZY80"/>
    <mergeCell ref="WAC79:WAG80"/>
    <mergeCell ref="WAK79:WAO80"/>
    <mergeCell ref="WAS79:WAW80"/>
    <mergeCell ref="WBA79:WBE80"/>
    <mergeCell ref="VYG79:VYK80"/>
    <mergeCell ref="VYO79:VYS80"/>
    <mergeCell ref="VYW79:VZA80"/>
    <mergeCell ref="VZE79:VZI80"/>
    <mergeCell ref="VZM79:VZQ80"/>
    <mergeCell ref="VWS79:VWW80"/>
    <mergeCell ref="VXA79:VXE80"/>
    <mergeCell ref="VXI79:VXM80"/>
    <mergeCell ref="VXQ79:VXU80"/>
    <mergeCell ref="VXY79:VYC80"/>
    <mergeCell ref="VVE79:VVI80"/>
    <mergeCell ref="VVM79:VVQ80"/>
    <mergeCell ref="VVU79:VVY80"/>
    <mergeCell ref="VWC79:VWG80"/>
    <mergeCell ref="VWK79:VWO80"/>
    <mergeCell ref="WFY79:WGC80"/>
    <mergeCell ref="WGG79:WGK80"/>
    <mergeCell ref="WGO79:WGS80"/>
    <mergeCell ref="WGW79:WHA80"/>
    <mergeCell ref="WHE79:WHI80"/>
    <mergeCell ref="WEK79:WEO80"/>
    <mergeCell ref="WES79:WEW80"/>
    <mergeCell ref="WFA79:WFE80"/>
    <mergeCell ref="WFI79:WFM80"/>
    <mergeCell ref="WFQ79:WFU80"/>
    <mergeCell ref="WCW79:WDA80"/>
    <mergeCell ref="WDE79:WDI80"/>
    <mergeCell ref="WDM79:WDQ80"/>
    <mergeCell ref="WDU79:WDY80"/>
    <mergeCell ref="WEC79:WEG80"/>
    <mergeCell ref="WBI79:WBM80"/>
    <mergeCell ref="WBQ79:WBU80"/>
    <mergeCell ref="WBY79:WCC80"/>
    <mergeCell ref="WCG79:WCK80"/>
    <mergeCell ref="WCO79:WCS80"/>
    <mergeCell ref="WMC79:WMG80"/>
    <mergeCell ref="WMK79:WMO80"/>
    <mergeCell ref="WMS79:WMW80"/>
    <mergeCell ref="WNA79:WNE80"/>
    <mergeCell ref="WNI79:WNM80"/>
    <mergeCell ref="WKO79:WKS80"/>
    <mergeCell ref="WKW79:WLA80"/>
    <mergeCell ref="WLE79:WLI80"/>
    <mergeCell ref="WLM79:WLQ80"/>
    <mergeCell ref="WLU79:WLY80"/>
    <mergeCell ref="WJA79:WJE80"/>
    <mergeCell ref="WJI79:WJM80"/>
    <mergeCell ref="WJQ79:WJU80"/>
    <mergeCell ref="WJY79:WKC80"/>
    <mergeCell ref="WKG79:WKK80"/>
    <mergeCell ref="WHM79:WHQ80"/>
    <mergeCell ref="WHU79:WHY80"/>
    <mergeCell ref="WIC79:WIG80"/>
    <mergeCell ref="WIK79:WIO80"/>
    <mergeCell ref="WIS79:WIW80"/>
    <mergeCell ref="WSG79:WSK80"/>
    <mergeCell ref="WSO79:WSS80"/>
    <mergeCell ref="WSW79:WTA80"/>
    <mergeCell ref="WTE79:WTI80"/>
    <mergeCell ref="WTM79:WTQ80"/>
    <mergeCell ref="WQS79:WQW80"/>
    <mergeCell ref="WRA79:WRE80"/>
    <mergeCell ref="WRI79:WRM80"/>
    <mergeCell ref="WRQ79:WRU80"/>
    <mergeCell ref="WRY79:WSC80"/>
    <mergeCell ref="WPE79:WPI80"/>
    <mergeCell ref="WPM79:WPQ80"/>
    <mergeCell ref="WPU79:WPY80"/>
    <mergeCell ref="WQC79:WQG80"/>
    <mergeCell ref="WQK79:WQO80"/>
    <mergeCell ref="WNQ79:WNU80"/>
    <mergeCell ref="WNY79:WOC80"/>
    <mergeCell ref="WOG79:WOK80"/>
    <mergeCell ref="WOO79:WOS80"/>
    <mergeCell ref="WOW79:WPA80"/>
    <mergeCell ref="WYS79:WYW80"/>
    <mergeCell ref="WZA79:WZE80"/>
    <mergeCell ref="WZI79:WZM80"/>
    <mergeCell ref="WZQ79:WZU80"/>
    <mergeCell ref="WWW79:WXA80"/>
    <mergeCell ref="WXE79:WXI80"/>
    <mergeCell ref="WXM79:WXQ80"/>
    <mergeCell ref="WXU79:WXY80"/>
    <mergeCell ref="WYC79:WYG80"/>
    <mergeCell ref="WVI79:WVM80"/>
    <mergeCell ref="WVQ79:WVU80"/>
    <mergeCell ref="WVY79:WWC80"/>
    <mergeCell ref="WWG79:WWK80"/>
    <mergeCell ref="WWO79:WWS80"/>
    <mergeCell ref="WTU79:WTY80"/>
    <mergeCell ref="WUC79:WUG80"/>
    <mergeCell ref="WUK79:WUO80"/>
    <mergeCell ref="WUS79:WUW80"/>
    <mergeCell ref="WVA79:WVE80"/>
    <mergeCell ref="XEO79:XES80"/>
    <mergeCell ref="XEW79:XFA80"/>
    <mergeCell ref="A312:E313"/>
    <mergeCell ref="I312:M313"/>
    <mergeCell ref="Q312:U313"/>
    <mergeCell ref="Y312:AC313"/>
    <mergeCell ref="AG312:AK313"/>
    <mergeCell ref="AO312:AS313"/>
    <mergeCell ref="AW312:BA313"/>
    <mergeCell ref="BE312:BI313"/>
    <mergeCell ref="BM312:BQ313"/>
    <mergeCell ref="BU312:BY313"/>
    <mergeCell ref="CC312:CG313"/>
    <mergeCell ref="CK312:CO313"/>
    <mergeCell ref="CS312:CW313"/>
    <mergeCell ref="DA312:DE313"/>
    <mergeCell ref="XDA79:XDE80"/>
    <mergeCell ref="XDI79:XDM80"/>
    <mergeCell ref="XDQ79:XDU80"/>
    <mergeCell ref="XDY79:XEC80"/>
    <mergeCell ref="XEG79:XEK80"/>
    <mergeCell ref="XBM79:XBQ80"/>
    <mergeCell ref="XBU79:XBY80"/>
    <mergeCell ref="XCC79:XCG80"/>
    <mergeCell ref="XCK79:XCO80"/>
    <mergeCell ref="XCS79:XCW80"/>
    <mergeCell ref="WZY79:XAC80"/>
    <mergeCell ref="XAG79:XAK80"/>
    <mergeCell ref="XAO79:XAS80"/>
    <mergeCell ref="XAW79:XBA80"/>
    <mergeCell ref="XBE79:XBI80"/>
    <mergeCell ref="WYK79:WYO80"/>
    <mergeCell ref="HY312:IC313"/>
    <mergeCell ref="IG312:IK313"/>
    <mergeCell ref="IO312:IS313"/>
    <mergeCell ref="IW312:JA313"/>
    <mergeCell ref="JE312:JI313"/>
    <mergeCell ref="GK312:GO313"/>
    <mergeCell ref="GS312:GW313"/>
    <mergeCell ref="HA312:HE313"/>
    <mergeCell ref="HI312:HM313"/>
    <mergeCell ref="HQ312:HU313"/>
    <mergeCell ref="EW312:FA313"/>
    <mergeCell ref="FE312:FI313"/>
    <mergeCell ref="FM312:FQ313"/>
    <mergeCell ref="FU312:FY313"/>
    <mergeCell ref="GC312:GG313"/>
    <mergeCell ref="DI312:DM313"/>
    <mergeCell ref="DQ312:DU313"/>
    <mergeCell ref="DY312:EC313"/>
    <mergeCell ref="EG312:EK313"/>
    <mergeCell ref="EO312:ES313"/>
    <mergeCell ref="OC312:OG313"/>
    <mergeCell ref="OK312:OO313"/>
    <mergeCell ref="OS312:OW313"/>
    <mergeCell ref="PA312:PE313"/>
    <mergeCell ref="PI312:PM313"/>
    <mergeCell ref="MO312:MS313"/>
    <mergeCell ref="MW312:NA313"/>
    <mergeCell ref="NE312:NI313"/>
    <mergeCell ref="NM312:NQ313"/>
    <mergeCell ref="NU312:NY313"/>
    <mergeCell ref="LA312:LE313"/>
    <mergeCell ref="LI312:LM313"/>
    <mergeCell ref="LQ312:LU313"/>
    <mergeCell ref="LY312:MC313"/>
    <mergeCell ref="MG312:MK313"/>
    <mergeCell ref="JM312:JQ313"/>
    <mergeCell ref="JU312:JY313"/>
    <mergeCell ref="KC312:KG313"/>
    <mergeCell ref="KK312:KO313"/>
    <mergeCell ref="KS312:KW313"/>
    <mergeCell ref="UG312:UK313"/>
    <mergeCell ref="UO312:US313"/>
    <mergeCell ref="UW312:VA313"/>
    <mergeCell ref="VE312:VI313"/>
    <mergeCell ref="VM312:VQ313"/>
    <mergeCell ref="SS312:SW313"/>
    <mergeCell ref="TA312:TE313"/>
    <mergeCell ref="TI312:TM313"/>
    <mergeCell ref="TQ312:TU313"/>
    <mergeCell ref="TY312:UC313"/>
    <mergeCell ref="RE312:RI313"/>
    <mergeCell ref="RM312:RQ313"/>
    <mergeCell ref="RU312:RY313"/>
    <mergeCell ref="SC312:SG313"/>
    <mergeCell ref="SK312:SO313"/>
    <mergeCell ref="PQ312:PU313"/>
    <mergeCell ref="PY312:QC313"/>
    <mergeCell ref="QG312:QK313"/>
    <mergeCell ref="QO312:QS313"/>
    <mergeCell ref="QW312:RA313"/>
    <mergeCell ref="AAK312:AAO313"/>
    <mergeCell ref="AAS312:AAW313"/>
    <mergeCell ref="ABA312:ABE313"/>
    <mergeCell ref="ABI312:ABM313"/>
    <mergeCell ref="ABQ312:ABU313"/>
    <mergeCell ref="YW312:ZA313"/>
    <mergeCell ref="ZE312:ZI313"/>
    <mergeCell ref="ZM312:ZQ313"/>
    <mergeCell ref="ZU312:ZY313"/>
    <mergeCell ref="AAC312:AAG313"/>
    <mergeCell ref="XI312:XM313"/>
    <mergeCell ref="XQ312:XU313"/>
    <mergeCell ref="XY312:YC313"/>
    <mergeCell ref="YG312:YK313"/>
    <mergeCell ref="YO312:YS313"/>
    <mergeCell ref="VU312:VY313"/>
    <mergeCell ref="WC312:WG313"/>
    <mergeCell ref="WK312:WO313"/>
    <mergeCell ref="WS312:WW313"/>
    <mergeCell ref="XA312:XE313"/>
    <mergeCell ref="AGO312:AGS313"/>
    <mergeCell ref="AGW312:AHA313"/>
    <mergeCell ref="AHE312:AHI313"/>
    <mergeCell ref="AHM312:AHQ313"/>
    <mergeCell ref="AHU312:AHY313"/>
    <mergeCell ref="AFA312:AFE313"/>
    <mergeCell ref="AFI312:AFM313"/>
    <mergeCell ref="AFQ312:AFU313"/>
    <mergeCell ref="AFY312:AGC313"/>
    <mergeCell ref="AGG312:AGK313"/>
    <mergeCell ref="ADM312:ADQ313"/>
    <mergeCell ref="ADU312:ADY313"/>
    <mergeCell ref="AEC312:AEG313"/>
    <mergeCell ref="AEK312:AEO313"/>
    <mergeCell ref="AES312:AEW313"/>
    <mergeCell ref="ABY312:ACC313"/>
    <mergeCell ref="ACG312:ACK313"/>
    <mergeCell ref="ACO312:ACS313"/>
    <mergeCell ref="ACW312:ADA313"/>
    <mergeCell ref="ADE312:ADI313"/>
    <mergeCell ref="AMS312:AMW313"/>
    <mergeCell ref="ANA312:ANE313"/>
    <mergeCell ref="ANI312:ANM313"/>
    <mergeCell ref="ANQ312:ANU313"/>
    <mergeCell ref="ANY312:AOC313"/>
    <mergeCell ref="ALE312:ALI313"/>
    <mergeCell ref="ALM312:ALQ313"/>
    <mergeCell ref="ALU312:ALY313"/>
    <mergeCell ref="AMC312:AMG313"/>
    <mergeCell ref="AMK312:AMO313"/>
    <mergeCell ref="AJQ312:AJU313"/>
    <mergeCell ref="AJY312:AKC313"/>
    <mergeCell ref="AKG312:AKK313"/>
    <mergeCell ref="AKO312:AKS313"/>
    <mergeCell ref="AKW312:ALA313"/>
    <mergeCell ref="AIC312:AIG313"/>
    <mergeCell ref="AIK312:AIO313"/>
    <mergeCell ref="AIS312:AIW313"/>
    <mergeCell ref="AJA312:AJE313"/>
    <mergeCell ref="AJI312:AJM313"/>
    <mergeCell ref="ASW312:ATA313"/>
    <mergeCell ref="ATE312:ATI313"/>
    <mergeCell ref="ATM312:ATQ313"/>
    <mergeCell ref="ATU312:ATY313"/>
    <mergeCell ref="AUC312:AUG313"/>
    <mergeCell ref="ARI312:ARM313"/>
    <mergeCell ref="ARQ312:ARU313"/>
    <mergeCell ref="ARY312:ASC313"/>
    <mergeCell ref="ASG312:ASK313"/>
    <mergeCell ref="ASO312:ASS313"/>
    <mergeCell ref="APU312:APY313"/>
    <mergeCell ref="AQC312:AQG313"/>
    <mergeCell ref="AQK312:AQO313"/>
    <mergeCell ref="AQS312:AQW313"/>
    <mergeCell ref="ARA312:ARE313"/>
    <mergeCell ref="AOG312:AOK313"/>
    <mergeCell ref="AOO312:AOS313"/>
    <mergeCell ref="AOW312:APA313"/>
    <mergeCell ref="APE312:API313"/>
    <mergeCell ref="APM312:APQ313"/>
    <mergeCell ref="AZA312:AZE313"/>
    <mergeCell ref="AZI312:AZM313"/>
    <mergeCell ref="AZQ312:AZU313"/>
    <mergeCell ref="AZY312:BAC313"/>
    <mergeCell ref="BAG312:BAK313"/>
    <mergeCell ref="AXM312:AXQ313"/>
    <mergeCell ref="AXU312:AXY313"/>
    <mergeCell ref="AYC312:AYG313"/>
    <mergeCell ref="AYK312:AYO313"/>
    <mergeCell ref="AYS312:AYW313"/>
    <mergeCell ref="AVY312:AWC313"/>
    <mergeCell ref="AWG312:AWK313"/>
    <mergeCell ref="AWO312:AWS313"/>
    <mergeCell ref="AWW312:AXA313"/>
    <mergeCell ref="AXE312:AXI313"/>
    <mergeCell ref="AUK312:AUO313"/>
    <mergeCell ref="AUS312:AUW313"/>
    <mergeCell ref="AVA312:AVE313"/>
    <mergeCell ref="AVI312:AVM313"/>
    <mergeCell ref="AVQ312:AVU313"/>
    <mergeCell ref="BFE312:BFI313"/>
    <mergeCell ref="BFM312:BFQ313"/>
    <mergeCell ref="BFU312:BFY313"/>
    <mergeCell ref="BGC312:BGG313"/>
    <mergeCell ref="BGK312:BGO313"/>
    <mergeCell ref="BDQ312:BDU313"/>
    <mergeCell ref="BDY312:BEC313"/>
    <mergeCell ref="BEG312:BEK313"/>
    <mergeCell ref="BEO312:BES313"/>
    <mergeCell ref="BEW312:BFA313"/>
    <mergeCell ref="BCC312:BCG313"/>
    <mergeCell ref="BCK312:BCO313"/>
    <mergeCell ref="BCS312:BCW313"/>
    <mergeCell ref="BDA312:BDE313"/>
    <mergeCell ref="BDI312:BDM313"/>
    <mergeCell ref="BAO312:BAS313"/>
    <mergeCell ref="BAW312:BBA313"/>
    <mergeCell ref="BBE312:BBI313"/>
    <mergeCell ref="BBM312:BBQ313"/>
    <mergeCell ref="BBU312:BBY313"/>
    <mergeCell ref="BLI312:BLM313"/>
    <mergeCell ref="BLQ312:BLU313"/>
    <mergeCell ref="BLY312:BMC313"/>
    <mergeCell ref="BMG312:BMK313"/>
    <mergeCell ref="BMO312:BMS313"/>
    <mergeCell ref="BJU312:BJY313"/>
    <mergeCell ref="BKC312:BKG313"/>
    <mergeCell ref="BKK312:BKO313"/>
    <mergeCell ref="BKS312:BKW313"/>
    <mergeCell ref="BLA312:BLE313"/>
    <mergeCell ref="BIG312:BIK313"/>
    <mergeCell ref="BIO312:BIS313"/>
    <mergeCell ref="BIW312:BJA313"/>
    <mergeCell ref="BJE312:BJI313"/>
    <mergeCell ref="BJM312:BJQ313"/>
    <mergeCell ref="BGS312:BGW313"/>
    <mergeCell ref="BHA312:BHE313"/>
    <mergeCell ref="BHI312:BHM313"/>
    <mergeCell ref="BHQ312:BHU313"/>
    <mergeCell ref="BHY312:BIC313"/>
    <mergeCell ref="BRM312:BRQ313"/>
    <mergeCell ref="BRU312:BRY313"/>
    <mergeCell ref="BSC312:BSG313"/>
    <mergeCell ref="BSK312:BSO313"/>
    <mergeCell ref="BSS312:BSW313"/>
    <mergeCell ref="BPY312:BQC313"/>
    <mergeCell ref="BQG312:BQK313"/>
    <mergeCell ref="BQO312:BQS313"/>
    <mergeCell ref="BQW312:BRA313"/>
    <mergeCell ref="BRE312:BRI313"/>
    <mergeCell ref="BOK312:BOO313"/>
    <mergeCell ref="BOS312:BOW313"/>
    <mergeCell ref="BPA312:BPE313"/>
    <mergeCell ref="BPI312:BPM313"/>
    <mergeCell ref="BPQ312:BPU313"/>
    <mergeCell ref="BMW312:BNA313"/>
    <mergeCell ref="BNE312:BNI313"/>
    <mergeCell ref="BNM312:BNQ313"/>
    <mergeCell ref="BNU312:BNY313"/>
    <mergeCell ref="BOC312:BOG313"/>
    <mergeCell ref="BXQ312:BXU313"/>
    <mergeCell ref="BXY312:BYC313"/>
    <mergeCell ref="BYG312:BYK313"/>
    <mergeCell ref="BYO312:BYS313"/>
    <mergeCell ref="BYW312:BZA313"/>
    <mergeCell ref="BWC312:BWG313"/>
    <mergeCell ref="BWK312:BWO313"/>
    <mergeCell ref="BWS312:BWW313"/>
    <mergeCell ref="BXA312:BXE313"/>
    <mergeCell ref="BXI312:BXM313"/>
    <mergeCell ref="BUO312:BUS313"/>
    <mergeCell ref="BUW312:BVA313"/>
    <mergeCell ref="BVE312:BVI313"/>
    <mergeCell ref="BVM312:BVQ313"/>
    <mergeCell ref="BVU312:BVY313"/>
    <mergeCell ref="BTA312:BTE313"/>
    <mergeCell ref="BTI312:BTM313"/>
    <mergeCell ref="BTQ312:BTU313"/>
    <mergeCell ref="BTY312:BUC313"/>
    <mergeCell ref="BUG312:BUK313"/>
    <mergeCell ref="CDU312:CDY313"/>
    <mergeCell ref="CEC312:CEG313"/>
    <mergeCell ref="CEK312:CEO313"/>
    <mergeCell ref="CES312:CEW313"/>
    <mergeCell ref="CFA312:CFE313"/>
    <mergeCell ref="CCG312:CCK313"/>
    <mergeCell ref="CCO312:CCS313"/>
    <mergeCell ref="CCW312:CDA313"/>
    <mergeCell ref="CDE312:CDI313"/>
    <mergeCell ref="CDM312:CDQ313"/>
    <mergeCell ref="CAS312:CAW313"/>
    <mergeCell ref="CBA312:CBE313"/>
    <mergeCell ref="CBI312:CBM313"/>
    <mergeCell ref="CBQ312:CBU313"/>
    <mergeCell ref="CBY312:CCC313"/>
    <mergeCell ref="BZE312:BZI313"/>
    <mergeCell ref="BZM312:BZQ313"/>
    <mergeCell ref="BZU312:BZY313"/>
    <mergeCell ref="CAC312:CAG313"/>
    <mergeCell ref="CAK312:CAO313"/>
    <mergeCell ref="CJY312:CKC313"/>
    <mergeCell ref="CKG312:CKK313"/>
    <mergeCell ref="CKO312:CKS313"/>
    <mergeCell ref="CKW312:CLA313"/>
    <mergeCell ref="CLE312:CLI313"/>
    <mergeCell ref="CIK312:CIO313"/>
    <mergeCell ref="CIS312:CIW313"/>
    <mergeCell ref="CJA312:CJE313"/>
    <mergeCell ref="CJI312:CJM313"/>
    <mergeCell ref="CJQ312:CJU313"/>
    <mergeCell ref="CGW312:CHA313"/>
    <mergeCell ref="CHE312:CHI313"/>
    <mergeCell ref="CHM312:CHQ313"/>
    <mergeCell ref="CHU312:CHY313"/>
    <mergeCell ref="CIC312:CIG313"/>
    <mergeCell ref="CFI312:CFM313"/>
    <mergeCell ref="CFQ312:CFU313"/>
    <mergeCell ref="CFY312:CGC313"/>
    <mergeCell ref="CGG312:CGK313"/>
    <mergeCell ref="CGO312:CGS313"/>
    <mergeCell ref="CQC312:CQG313"/>
    <mergeCell ref="CQK312:CQO313"/>
    <mergeCell ref="CQS312:CQW313"/>
    <mergeCell ref="CRA312:CRE313"/>
    <mergeCell ref="CRI312:CRM313"/>
    <mergeCell ref="COO312:COS313"/>
    <mergeCell ref="COW312:CPA313"/>
    <mergeCell ref="CPE312:CPI313"/>
    <mergeCell ref="CPM312:CPQ313"/>
    <mergeCell ref="CPU312:CPY313"/>
    <mergeCell ref="CNA312:CNE313"/>
    <mergeCell ref="CNI312:CNM313"/>
    <mergeCell ref="CNQ312:CNU313"/>
    <mergeCell ref="CNY312:COC313"/>
    <mergeCell ref="COG312:COK313"/>
    <mergeCell ref="CLM312:CLQ313"/>
    <mergeCell ref="CLU312:CLY313"/>
    <mergeCell ref="CMC312:CMG313"/>
    <mergeCell ref="CMK312:CMO313"/>
    <mergeCell ref="CMS312:CMW313"/>
    <mergeCell ref="CWG312:CWK313"/>
    <mergeCell ref="CWO312:CWS313"/>
    <mergeCell ref="CWW312:CXA313"/>
    <mergeCell ref="CXE312:CXI313"/>
    <mergeCell ref="CXM312:CXQ313"/>
    <mergeCell ref="CUS312:CUW313"/>
    <mergeCell ref="CVA312:CVE313"/>
    <mergeCell ref="CVI312:CVM313"/>
    <mergeCell ref="CVQ312:CVU313"/>
    <mergeCell ref="CVY312:CWC313"/>
    <mergeCell ref="CTE312:CTI313"/>
    <mergeCell ref="CTM312:CTQ313"/>
    <mergeCell ref="CTU312:CTY313"/>
    <mergeCell ref="CUC312:CUG313"/>
    <mergeCell ref="CUK312:CUO313"/>
    <mergeCell ref="CRQ312:CRU313"/>
    <mergeCell ref="CRY312:CSC313"/>
    <mergeCell ref="CSG312:CSK313"/>
    <mergeCell ref="CSO312:CSS313"/>
    <mergeCell ref="CSW312:CTA313"/>
    <mergeCell ref="DCK312:DCO313"/>
    <mergeCell ref="DCS312:DCW313"/>
    <mergeCell ref="DDA312:DDE313"/>
    <mergeCell ref="DDI312:DDM313"/>
    <mergeCell ref="DDQ312:DDU313"/>
    <mergeCell ref="DAW312:DBA313"/>
    <mergeCell ref="DBE312:DBI313"/>
    <mergeCell ref="DBM312:DBQ313"/>
    <mergeCell ref="DBU312:DBY313"/>
    <mergeCell ref="DCC312:DCG313"/>
    <mergeCell ref="CZI312:CZM313"/>
    <mergeCell ref="CZQ312:CZU313"/>
    <mergeCell ref="CZY312:DAC313"/>
    <mergeCell ref="DAG312:DAK313"/>
    <mergeCell ref="DAO312:DAS313"/>
    <mergeCell ref="CXU312:CXY313"/>
    <mergeCell ref="CYC312:CYG313"/>
    <mergeCell ref="CYK312:CYO313"/>
    <mergeCell ref="CYS312:CYW313"/>
    <mergeCell ref="CZA312:CZE313"/>
    <mergeCell ref="DIO312:DIS313"/>
    <mergeCell ref="DIW312:DJA313"/>
    <mergeCell ref="DJE312:DJI313"/>
    <mergeCell ref="DJM312:DJQ313"/>
    <mergeCell ref="DJU312:DJY313"/>
    <mergeCell ref="DHA312:DHE313"/>
    <mergeCell ref="DHI312:DHM313"/>
    <mergeCell ref="DHQ312:DHU313"/>
    <mergeCell ref="DHY312:DIC313"/>
    <mergeCell ref="DIG312:DIK313"/>
    <mergeCell ref="DFM312:DFQ313"/>
    <mergeCell ref="DFU312:DFY313"/>
    <mergeCell ref="DGC312:DGG313"/>
    <mergeCell ref="DGK312:DGO313"/>
    <mergeCell ref="DGS312:DGW313"/>
    <mergeCell ref="DDY312:DEC313"/>
    <mergeCell ref="DEG312:DEK313"/>
    <mergeCell ref="DEO312:DES313"/>
    <mergeCell ref="DEW312:DFA313"/>
    <mergeCell ref="DFE312:DFI313"/>
    <mergeCell ref="DOS312:DOW313"/>
    <mergeCell ref="DPA312:DPE313"/>
    <mergeCell ref="DPI312:DPM313"/>
    <mergeCell ref="DPQ312:DPU313"/>
    <mergeCell ref="DPY312:DQC313"/>
    <mergeCell ref="DNE312:DNI313"/>
    <mergeCell ref="DNM312:DNQ313"/>
    <mergeCell ref="DNU312:DNY313"/>
    <mergeCell ref="DOC312:DOG313"/>
    <mergeCell ref="DOK312:DOO313"/>
    <mergeCell ref="DLQ312:DLU313"/>
    <mergeCell ref="DLY312:DMC313"/>
    <mergeCell ref="DMG312:DMK313"/>
    <mergeCell ref="DMO312:DMS313"/>
    <mergeCell ref="DMW312:DNA313"/>
    <mergeCell ref="DKC312:DKG313"/>
    <mergeCell ref="DKK312:DKO313"/>
    <mergeCell ref="DKS312:DKW313"/>
    <mergeCell ref="DLA312:DLE313"/>
    <mergeCell ref="DLI312:DLM313"/>
    <mergeCell ref="DUW312:DVA313"/>
    <mergeCell ref="DVE312:DVI313"/>
    <mergeCell ref="DVM312:DVQ313"/>
    <mergeCell ref="DVU312:DVY313"/>
    <mergeCell ref="DWC312:DWG313"/>
    <mergeCell ref="DTI312:DTM313"/>
    <mergeCell ref="DTQ312:DTU313"/>
    <mergeCell ref="DTY312:DUC313"/>
    <mergeCell ref="DUG312:DUK313"/>
    <mergeCell ref="DUO312:DUS313"/>
    <mergeCell ref="DRU312:DRY313"/>
    <mergeCell ref="DSC312:DSG313"/>
    <mergeCell ref="DSK312:DSO313"/>
    <mergeCell ref="DSS312:DSW313"/>
    <mergeCell ref="DTA312:DTE313"/>
    <mergeCell ref="DQG312:DQK313"/>
    <mergeCell ref="DQO312:DQS313"/>
    <mergeCell ref="DQW312:DRA313"/>
    <mergeCell ref="DRE312:DRI313"/>
    <mergeCell ref="DRM312:DRQ313"/>
    <mergeCell ref="EBA312:EBE313"/>
    <mergeCell ref="EBI312:EBM313"/>
    <mergeCell ref="EBQ312:EBU313"/>
    <mergeCell ref="EBY312:ECC313"/>
    <mergeCell ref="ECG312:ECK313"/>
    <mergeCell ref="DZM312:DZQ313"/>
    <mergeCell ref="DZU312:DZY313"/>
    <mergeCell ref="EAC312:EAG313"/>
    <mergeCell ref="EAK312:EAO313"/>
    <mergeCell ref="EAS312:EAW313"/>
    <mergeCell ref="DXY312:DYC313"/>
    <mergeCell ref="DYG312:DYK313"/>
    <mergeCell ref="DYO312:DYS313"/>
    <mergeCell ref="DYW312:DZA313"/>
    <mergeCell ref="DZE312:DZI313"/>
    <mergeCell ref="DWK312:DWO313"/>
    <mergeCell ref="DWS312:DWW313"/>
    <mergeCell ref="DXA312:DXE313"/>
    <mergeCell ref="DXI312:DXM313"/>
    <mergeCell ref="DXQ312:DXU313"/>
    <mergeCell ref="EHE312:EHI313"/>
    <mergeCell ref="EHM312:EHQ313"/>
    <mergeCell ref="EHU312:EHY313"/>
    <mergeCell ref="EIC312:EIG313"/>
    <mergeCell ref="EIK312:EIO313"/>
    <mergeCell ref="EFQ312:EFU313"/>
    <mergeCell ref="EFY312:EGC313"/>
    <mergeCell ref="EGG312:EGK313"/>
    <mergeCell ref="EGO312:EGS313"/>
    <mergeCell ref="EGW312:EHA313"/>
    <mergeCell ref="EEC312:EEG313"/>
    <mergeCell ref="EEK312:EEO313"/>
    <mergeCell ref="EES312:EEW313"/>
    <mergeCell ref="EFA312:EFE313"/>
    <mergeCell ref="EFI312:EFM313"/>
    <mergeCell ref="ECO312:ECS313"/>
    <mergeCell ref="ECW312:EDA313"/>
    <mergeCell ref="EDE312:EDI313"/>
    <mergeCell ref="EDM312:EDQ313"/>
    <mergeCell ref="EDU312:EDY313"/>
    <mergeCell ref="ENI312:ENM313"/>
    <mergeCell ref="ENQ312:ENU313"/>
    <mergeCell ref="ENY312:EOC313"/>
    <mergeCell ref="EOG312:EOK313"/>
    <mergeCell ref="EOO312:EOS313"/>
    <mergeCell ref="ELU312:ELY313"/>
    <mergeCell ref="EMC312:EMG313"/>
    <mergeCell ref="EMK312:EMO313"/>
    <mergeCell ref="EMS312:EMW313"/>
    <mergeCell ref="ENA312:ENE313"/>
    <mergeCell ref="EKG312:EKK313"/>
    <mergeCell ref="EKO312:EKS313"/>
    <mergeCell ref="EKW312:ELA313"/>
    <mergeCell ref="ELE312:ELI313"/>
    <mergeCell ref="ELM312:ELQ313"/>
    <mergeCell ref="EIS312:EIW313"/>
    <mergeCell ref="EJA312:EJE313"/>
    <mergeCell ref="EJI312:EJM313"/>
    <mergeCell ref="EJQ312:EJU313"/>
    <mergeCell ref="EJY312:EKC313"/>
    <mergeCell ref="ETM312:ETQ313"/>
    <mergeCell ref="ETU312:ETY313"/>
    <mergeCell ref="EUC312:EUG313"/>
    <mergeCell ref="EUK312:EUO313"/>
    <mergeCell ref="EUS312:EUW313"/>
    <mergeCell ref="ERY312:ESC313"/>
    <mergeCell ref="ESG312:ESK313"/>
    <mergeCell ref="ESO312:ESS313"/>
    <mergeCell ref="ESW312:ETA313"/>
    <mergeCell ref="ETE312:ETI313"/>
    <mergeCell ref="EQK312:EQO313"/>
    <mergeCell ref="EQS312:EQW313"/>
    <mergeCell ref="ERA312:ERE313"/>
    <mergeCell ref="ERI312:ERM313"/>
    <mergeCell ref="ERQ312:ERU313"/>
    <mergeCell ref="EOW312:EPA313"/>
    <mergeCell ref="EPE312:EPI313"/>
    <mergeCell ref="EPM312:EPQ313"/>
    <mergeCell ref="EPU312:EPY313"/>
    <mergeCell ref="EQC312:EQG313"/>
    <mergeCell ref="EZQ312:EZU313"/>
    <mergeCell ref="EZY312:FAC313"/>
    <mergeCell ref="FAG312:FAK313"/>
    <mergeCell ref="FAO312:FAS313"/>
    <mergeCell ref="FAW312:FBA313"/>
    <mergeCell ref="EYC312:EYG313"/>
    <mergeCell ref="EYK312:EYO313"/>
    <mergeCell ref="EYS312:EYW313"/>
    <mergeCell ref="EZA312:EZE313"/>
    <mergeCell ref="EZI312:EZM313"/>
    <mergeCell ref="EWO312:EWS313"/>
    <mergeCell ref="EWW312:EXA313"/>
    <mergeCell ref="EXE312:EXI313"/>
    <mergeCell ref="EXM312:EXQ313"/>
    <mergeCell ref="EXU312:EXY313"/>
    <mergeCell ref="EVA312:EVE313"/>
    <mergeCell ref="EVI312:EVM313"/>
    <mergeCell ref="EVQ312:EVU313"/>
    <mergeCell ref="EVY312:EWC313"/>
    <mergeCell ref="EWG312:EWK313"/>
    <mergeCell ref="FFU312:FFY313"/>
    <mergeCell ref="FGC312:FGG313"/>
    <mergeCell ref="FGK312:FGO313"/>
    <mergeCell ref="FGS312:FGW313"/>
    <mergeCell ref="FHA312:FHE313"/>
    <mergeCell ref="FEG312:FEK313"/>
    <mergeCell ref="FEO312:FES313"/>
    <mergeCell ref="FEW312:FFA313"/>
    <mergeCell ref="FFE312:FFI313"/>
    <mergeCell ref="FFM312:FFQ313"/>
    <mergeCell ref="FCS312:FCW313"/>
    <mergeCell ref="FDA312:FDE313"/>
    <mergeCell ref="FDI312:FDM313"/>
    <mergeCell ref="FDQ312:FDU313"/>
    <mergeCell ref="FDY312:FEC313"/>
    <mergeCell ref="FBE312:FBI313"/>
    <mergeCell ref="FBM312:FBQ313"/>
    <mergeCell ref="FBU312:FBY313"/>
    <mergeCell ref="FCC312:FCG313"/>
    <mergeCell ref="FCK312:FCO313"/>
    <mergeCell ref="FLY312:FMC313"/>
    <mergeCell ref="FMG312:FMK313"/>
    <mergeCell ref="FMO312:FMS313"/>
    <mergeCell ref="FMW312:FNA313"/>
    <mergeCell ref="FNE312:FNI313"/>
    <mergeCell ref="FKK312:FKO313"/>
    <mergeCell ref="FKS312:FKW313"/>
    <mergeCell ref="FLA312:FLE313"/>
    <mergeCell ref="FLI312:FLM313"/>
    <mergeCell ref="FLQ312:FLU313"/>
    <mergeCell ref="FIW312:FJA313"/>
    <mergeCell ref="FJE312:FJI313"/>
    <mergeCell ref="FJM312:FJQ313"/>
    <mergeCell ref="FJU312:FJY313"/>
    <mergeCell ref="FKC312:FKG313"/>
    <mergeCell ref="FHI312:FHM313"/>
    <mergeCell ref="FHQ312:FHU313"/>
    <mergeCell ref="FHY312:FIC313"/>
    <mergeCell ref="FIG312:FIK313"/>
    <mergeCell ref="FIO312:FIS313"/>
    <mergeCell ref="FSC312:FSG313"/>
    <mergeCell ref="FSK312:FSO313"/>
    <mergeCell ref="FSS312:FSW313"/>
    <mergeCell ref="FTA312:FTE313"/>
    <mergeCell ref="FTI312:FTM313"/>
    <mergeCell ref="FQO312:FQS313"/>
    <mergeCell ref="FQW312:FRA313"/>
    <mergeCell ref="FRE312:FRI313"/>
    <mergeCell ref="FRM312:FRQ313"/>
    <mergeCell ref="FRU312:FRY313"/>
    <mergeCell ref="FPA312:FPE313"/>
    <mergeCell ref="FPI312:FPM313"/>
    <mergeCell ref="FPQ312:FPU313"/>
    <mergeCell ref="FPY312:FQC313"/>
    <mergeCell ref="FQG312:FQK313"/>
    <mergeCell ref="FNM312:FNQ313"/>
    <mergeCell ref="FNU312:FNY313"/>
    <mergeCell ref="FOC312:FOG313"/>
    <mergeCell ref="FOK312:FOO313"/>
    <mergeCell ref="FOS312:FOW313"/>
    <mergeCell ref="FYG312:FYK313"/>
    <mergeCell ref="FYO312:FYS313"/>
    <mergeCell ref="FYW312:FZA313"/>
    <mergeCell ref="FZE312:FZI313"/>
    <mergeCell ref="FZM312:FZQ313"/>
    <mergeCell ref="FWS312:FWW313"/>
    <mergeCell ref="FXA312:FXE313"/>
    <mergeCell ref="FXI312:FXM313"/>
    <mergeCell ref="FXQ312:FXU313"/>
    <mergeCell ref="FXY312:FYC313"/>
    <mergeCell ref="FVE312:FVI313"/>
    <mergeCell ref="FVM312:FVQ313"/>
    <mergeCell ref="FVU312:FVY313"/>
    <mergeCell ref="FWC312:FWG313"/>
    <mergeCell ref="FWK312:FWO313"/>
    <mergeCell ref="FTQ312:FTU313"/>
    <mergeCell ref="FTY312:FUC313"/>
    <mergeCell ref="FUG312:FUK313"/>
    <mergeCell ref="FUO312:FUS313"/>
    <mergeCell ref="FUW312:FVA313"/>
    <mergeCell ref="GEK312:GEO313"/>
    <mergeCell ref="GES312:GEW313"/>
    <mergeCell ref="GFA312:GFE313"/>
    <mergeCell ref="GFI312:GFM313"/>
    <mergeCell ref="GFQ312:GFU313"/>
    <mergeCell ref="GCW312:GDA313"/>
    <mergeCell ref="GDE312:GDI313"/>
    <mergeCell ref="GDM312:GDQ313"/>
    <mergeCell ref="GDU312:GDY313"/>
    <mergeCell ref="GEC312:GEG313"/>
    <mergeCell ref="GBI312:GBM313"/>
    <mergeCell ref="GBQ312:GBU313"/>
    <mergeCell ref="GBY312:GCC313"/>
    <mergeCell ref="GCG312:GCK313"/>
    <mergeCell ref="GCO312:GCS313"/>
    <mergeCell ref="FZU312:FZY313"/>
    <mergeCell ref="GAC312:GAG313"/>
    <mergeCell ref="GAK312:GAO313"/>
    <mergeCell ref="GAS312:GAW313"/>
    <mergeCell ref="GBA312:GBE313"/>
    <mergeCell ref="GKO312:GKS313"/>
    <mergeCell ref="GKW312:GLA313"/>
    <mergeCell ref="GLE312:GLI313"/>
    <mergeCell ref="GLM312:GLQ313"/>
    <mergeCell ref="GLU312:GLY313"/>
    <mergeCell ref="GJA312:GJE313"/>
    <mergeCell ref="GJI312:GJM313"/>
    <mergeCell ref="GJQ312:GJU313"/>
    <mergeCell ref="GJY312:GKC313"/>
    <mergeCell ref="GKG312:GKK313"/>
    <mergeCell ref="GHM312:GHQ313"/>
    <mergeCell ref="GHU312:GHY313"/>
    <mergeCell ref="GIC312:GIG313"/>
    <mergeCell ref="GIK312:GIO313"/>
    <mergeCell ref="GIS312:GIW313"/>
    <mergeCell ref="GFY312:GGC313"/>
    <mergeCell ref="GGG312:GGK313"/>
    <mergeCell ref="GGO312:GGS313"/>
    <mergeCell ref="GGW312:GHA313"/>
    <mergeCell ref="GHE312:GHI313"/>
    <mergeCell ref="GQS312:GQW313"/>
    <mergeCell ref="GRA312:GRE313"/>
    <mergeCell ref="GRI312:GRM313"/>
    <mergeCell ref="GRQ312:GRU313"/>
    <mergeCell ref="GRY312:GSC313"/>
    <mergeCell ref="GPE312:GPI313"/>
    <mergeCell ref="GPM312:GPQ313"/>
    <mergeCell ref="GPU312:GPY313"/>
    <mergeCell ref="GQC312:GQG313"/>
    <mergeCell ref="GQK312:GQO313"/>
    <mergeCell ref="GNQ312:GNU313"/>
    <mergeCell ref="GNY312:GOC313"/>
    <mergeCell ref="GOG312:GOK313"/>
    <mergeCell ref="GOO312:GOS313"/>
    <mergeCell ref="GOW312:GPA313"/>
    <mergeCell ref="GMC312:GMG313"/>
    <mergeCell ref="GMK312:GMO313"/>
    <mergeCell ref="GMS312:GMW313"/>
    <mergeCell ref="GNA312:GNE313"/>
    <mergeCell ref="GNI312:GNM313"/>
    <mergeCell ref="GWW312:GXA313"/>
    <mergeCell ref="GXE312:GXI313"/>
    <mergeCell ref="GXM312:GXQ313"/>
    <mergeCell ref="GXU312:GXY313"/>
    <mergeCell ref="GYC312:GYG313"/>
    <mergeCell ref="GVI312:GVM313"/>
    <mergeCell ref="GVQ312:GVU313"/>
    <mergeCell ref="GVY312:GWC313"/>
    <mergeCell ref="GWG312:GWK313"/>
    <mergeCell ref="GWO312:GWS313"/>
    <mergeCell ref="GTU312:GTY313"/>
    <mergeCell ref="GUC312:GUG313"/>
    <mergeCell ref="GUK312:GUO313"/>
    <mergeCell ref="GUS312:GUW313"/>
    <mergeCell ref="GVA312:GVE313"/>
    <mergeCell ref="GSG312:GSK313"/>
    <mergeCell ref="GSO312:GSS313"/>
    <mergeCell ref="GSW312:GTA313"/>
    <mergeCell ref="GTE312:GTI313"/>
    <mergeCell ref="GTM312:GTQ313"/>
    <mergeCell ref="HDA312:HDE313"/>
    <mergeCell ref="HDI312:HDM313"/>
    <mergeCell ref="HDQ312:HDU313"/>
    <mergeCell ref="HDY312:HEC313"/>
    <mergeCell ref="HEG312:HEK313"/>
    <mergeCell ref="HBM312:HBQ313"/>
    <mergeCell ref="HBU312:HBY313"/>
    <mergeCell ref="HCC312:HCG313"/>
    <mergeCell ref="HCK312:HCO313"/>
    <mergeCell ref="HCS312:HCW313"/>
    <mergeCell ref="GZY312:HAC313"/>
    <mergeCell ref="HAG312:HAK313"/>
    <mergeCell ref="HAO312:HAS313"/>
    <mergeCell ref="HAW312:HBA313"/>
    <mergeCell ref="HBE312:HBI313"/>
    <mergeCell ref="GYK312:GYO313"/>
    <mergeCell ref="GYS312:GYW313"/>
    <mergeCell ref="GZA312:GZE313"/>
    <mergeCell ref="GZI312:GZM313"/>
    <mergeCell ref="GZQ312:GZU313"/>
    <mergeCell ref="HJE312:HJI313"/>
    <mergeCell ref="HJM312:HJQ313"/>
    <mergeCell ref="HJU312:HJY313"/>
    <mergeCell ref="HKC312:HKG313"/>
    <mergeCell ref="HKK312:HKO313"/>
    <mergeCell ref="HHQ312:HHU313"/>
    <mergeCell ref="HHY312:HIC313"/>
    <mergeCell ref="HIG312:HIK313"/>
    <mergeCell ref="HIO312:HIS313"/>
    <mergeCell ref="HIW312:HJA313"/>
    <mergeCell ref="HGC312:HGG313"/>
    <mergeCell ref="HGK312:HGO313"/>
    <mergeCell ref="HGS312:HGW313"/>
    <mergeCell ref="HHA312:HHE313"/>
    <mergeCell ref="HHI312:HHM313"/>
    <mergeCell ref="HEO312:HES313"/>
    <mergeCell ref="HEW312:HFA313"/>
    <mergeCell ref="HFE312:HFI313"/>
    <mergeCell ref="HFM312:HFQ313"/>
    <mergeCell ref="HFU312:HFY313"/>
    <mergeCell ref="HPI312:HPM313"/>
    <mergeCell ref="HPQ312:HPU313"/>
    <mergeCell ref="HPY312:HQC313"/>
    <mergeCell ref="HQG312:HQK313"/>
    <mergeCell ref="HQO312:HQS313"/>
    <mergeCell ref="HNU312:HNY313"/>
    <mergeCell ref="HOC312:HOG313"/>
    <mergeCell ref="HOK312:HOO313"/>
    <mergeCell ref="HOS312:HOW313"/>
    <mergeCell ref="HPA312:HPE313"/>
    <mergeCell ref="HMG312:HMK313"/>
    <mergeCell ref="HMO312:HMS313"/>
    <mergeCell ref="HMW312:HNA313"/>
    <mergeCell ref="HNE312:HNI313"/>
    <mergeCell ref="HNM312:HNQ313"/>
    <mergeCell ref="HKS312:HKW313"/>
    <mergeCell ref="HLA312:HLE313"/>
    <mergeCell ref="HLI312:HLM313"/>
    <mergeCell ref="HLQ312:HLU313"/>
    <mergeCell ref="HLY312:HMC313"/>
    <mergeCell ref="HVM312:HVQ313"/>
    <mergeCell ref="HVU312:HVY313"/>
    <mergeCell ref="HWC312:HWG313"/>
    <mergeCell ref="HWK312:HWO313"/>
    <mergeCell ref="HWS312:HWW313"/>
    <mergeCell ref="HTY312:HUC313"/>
    <mergeCell ref="HUG312:HUK313"/>
    <mergeCell ref="HUO312:HUS313"/>
    <mergeCell ref="HUW312:HVA313"/>
    <mergeCell ref="HVE312:HVI313"/>
    <mergeCell ref="HSK312:HSO313"/>
    <mergeCell ref="HSS312:HSW313"/>
    <mergeCell ref="HTA312:HTE313"/>
    <mergeCell ref="HTI312:HTM313"/>
    <mergeCell ref="HTQ312:HTU313"/>
    <mergeCell ref="HQW312:HRA313"/>
    <mergeCell ref="HRE312:HRI313"/>
    <mergeCell ref="HRM312:HRQ313"/>
    <mergeCell ref="HRU312:HRY313"/>
    <mergeCell ref="HSC312:HSG313"/>
    <mergeCell ref="IBQ312:IBU313"/>
    <mergeCell ref="IBY312:ICC313"/>
    <mergeCell ref="ICG312:ICK313"/>
    <mergeCell ref="ICO312:ICS313"/>
    <mergeCell ref="ICW312:IDA313"/>
    <mergeCell ref="IAC312:IAG313"/>
    <mergeCell ref="IAK312:IAO313"/>
    <mergeCell ref="IAS312:IAW313"/>
    <mergeCell ref="IBA312:IBE313"/>
    <mergeCell ref="IBI312:IBM313"/>
    <mergeCell ref="HYO312:HYS313"/>
    <mergeCell ref="HYW312:HZA313"/>
    <mergeCell ref="HZE312:HZI313"/>
    <mergeCell ref="HZM312:HZQ313"/>
    <mergeCell ref="HZU312:HZY313"/>
    <mergeCell ref="HXA312:HXE313"/>
    <mergeCell ref="HXI312:HXM313"/>
    <mergeCell ref="HXQ312:HXU313"/>
    <mergeCell ref="HXY312:HYC313"/>
    <mergeCell ref="HYG312:HYK313"/>
    <mergeCell ref="IHU312:IHY313"/>
    <mergeCell ref="IIC312:IIG313"/>
    <mergeCell ref="IIK312:IIO313"/>
    <mergeCell ref="IIS312:IIW313"/>
    <mergeCell ref="IJA312:IJE313"/>
    <mergeCell ref="IGG312:IGK313"/>
    <mergeCell ref="IGO312:IGS313"/>
    <mergeCell ref="IGW312:IHA313"/>
    <mergeCell ref="IHE312:IHI313"/>
    <mergeCell ref="IHM312:IHQ313"/>
    <mergeCell ref="IES312:IEW313"/>
    <mergeCell ref="IFA312:IFE313"/>
    <mergeCell ref="IFI312:IFM313"/>
    <mergeCell ref="IFQ312:IFU313"/>
    <mergeCell ref="IFY312:IGC313"/>
    <mergeCell ref="IDE312:IDI313"/>
    <mergeCell ref="IDM312:IDQ313"/>
    <mergeCell ref="IDU312:IDY313"/>
    <mergeCell ref="IEC312:IEG313"/>
    <mergeCell ref="IEK312:IEO313"/>
    <mergeCell ref="INY312:IOC313"/>
    <mergeCell ref="IOG312:IOK313"/>
    <mergeCell ref="IOO312:IOS313"/>
    <mergeCell ref="IOW312:IPA313"/>
    <mergeCell ref="IPE312:IPI313"/>
    <mergeCell ref="IMK312:IMO313"/>
    <mergeCell ref="IMS312:IMW313"/>
    <mergeCell ref="INA312:INE313"/>
    <mergeCell ref="INI312:INM313"/>
    <mergeCell ref="INQ312:INU313"/>
    <mergeCell ref="IKW312:ILA313"/>
    <mergeCell ref="ILE312:ILI313"/>
    <mergeCell ref="ILM312:ILQ313"/>
    <mergeCell ref="ILU312:ILY313"/>
    <mergeCell ref="IMC312:IMG313"/>
    <mergeCell ref="IJI312:IJM313"/>
    <mergeCell ref="IJQ312:IJU313"/>
    <mergeCell ref="IJY312:IKC313"/>
    <mergeCell ref="IKG312:IKK313"/>
    <mergeCell ref="IKO312:IKS313"/>
    <mergeCell ref="IUC312:IUG313"/>
    <mergeCell ref="IUK312:IUO313"/>
    <mergeCell ref="IUS312:IUW313"/>
    <mergeCell ref="IVA312:IVE313"/>
    <mergeCell ref="IVI312:IVM313"/>
    <mergeCell ref="ISO312:ISS313"/>
    <mergeCell ref="ISW312:ITA313"/>
    <mergeCell ref="ITE312:ITI313"/>
    <mergeCell ref="ITM312:ITQ313"/>
    <mergeCell ref="ITU312:ITY313"/>
    <mergeCell ref="IRA312:IRE313"/>
    <mergeCell ref="IRI312:IRM313"/>
    <mergeCell ref="IRQ312:IRU313"/>
    <mergeCell ref="IRY312:ISC313"/>
    <mergeCell ref="ISG312:ISK313"/>
    <mergeCell ref="IPM312:IPQ313"/>
    <mergeCell ref="IPU312:IPY313"/>
    <mergeCell ref="IQC312:IQG313"/>
    <mergeCell ref="IQK312:IQO313"/>
    <mergeCell ref="IQS312:IQW313"/>
    <mergeCell ref="JAG312:JAK313"/>
    <mergeCell ref="JAO312:JAS313"/>
    <mergeCell ref="JAW312:JBA313"/>
    <mergeCell ref="JBE312:JBI313"/>
    <mergeCell ref="JBM312:JBQ313"/>
    <mergeCell ref="IYS312:IYW313"/>
    <mergeCell ref="IZA312:IZE313"/>
    <mergeCell ref="IZI312:IZM313"/>
    <mergeCell ref="IZQ312:IZU313"/>
    <mergeCell ref="IZY312:JAC313"/>
    <mergeCell ref="IXE312:IXI313"/>
    <mergeCell ref="IXM312:IXQ313"/>
    <mergeCell ref="IXU312:IXY313"/>
    <mergeCell ref="IYC312:IYG313"/>
    <mergeCell ref="IYK312:IYO313"/>
    <mergeCell ref="IVQ312:IVU313"/>
    <mergeCell ref="IVY312:IWC313"/>
    <mergeCell ref="IWG312:IWK313"/>
    <mergeCell ref="IWO312:IWS313"/>
    <mergeCell ref="IWW312:IXA313"/>
    <mergeCell ref="JGK312:JGO313"/>
    <mergeCell ref="JGS312:JGW313"/>
    <mergeCell ref="JHA312:JHE313"/>
    <mergeCell ref="JHI312:JHM313"/>
    <mergeCell ref="JHQ312:JHU313"/>
    <mergeCell ref="JEW312:JFA313"/>
    <mergeCell ref="JFE312:JFI313"/>
    <mergeCell ref="JFM312:JFQ313"/>
    <mergeCell ref="JFU312:JFY313"/>
    <mergeCell ref="JGC312:JGG313"/>
    <mergeCell ref="JDI312:JDM313"/>
    <mergeCell ref="JDQ312:JDU313"/>
    <mergeCell ref="JDY312:JEC313"/>
    <mergeCell ref="JEG312:JEK313"/>
    <mergeCell ref="JEO312:JES313"/>
    <mergeCell ref="JBU312:JBY313"/>
    <mergeCell ref="JCC312:JCG313"/>
    <mergeCell ref="JCK312:JCO313"/>
    <mergeCell ref="JCS312:JCW313"/>
    <mergeCell ref="JDA312:JDE313"/>
    <mergeCell ref="JMO312:JMS313"/>
    <mergeCell ref="JMW312:JNA313"/>
    <mergeCell ref="JNE312:JNI313"/>
    <mergeCell ref="JNM312:JNQ313"/>
    <mergeCell ref="JNU312:JNY313"/>
    <mergeCell ref="JLA312:JLE313"/>
    <mergeCell ref="JLI312:JLM313"/>
    <mergeCell ref="JLQ312:JLU313"/>
    <mergeCell ref="JLY312:JMC313"/>
    <mergeCell ref="JMG312:JMK313"/>
    <mergeCell ref="JJM312:JJQ313"/>
    <mergeCell ref="JJU312:JJY313"/>
    <mergeCell ref="JKC312:JKG313"/>
    <mergeCell ref="JKK312:JKO313"/>
    <mergeCell ref="JKS312:JKW313"/>
    <mergeCell ref="JHY312:JIC313"/>
    <mergeCell ref="JIG312:JIK313"/>
    <mergeCell ref="JIO312:JIS313"/>
    <mergeCell ref="JIW312:JJA313"/>
    <mergeCell ref="JJE312:JJI313"/>
    <mergeCell ref="JSS312:JSW313"/>
    <mergeCell ref="JTA312:JTE313"/>
    <mergeCell ref="JTI312:JTM313"/>
    <mergeCell ref="JTQ312:JTU313"/>
    <mergeCell ref="JTY312:JUC313"/>
    <mergeCell ref="JRE312:JRI313"/>
    <mergeCell ref="JRM312:JRQ313"/>
    <mergeCell ref="JRU312:JRY313"/>
    <mergeCell ref="JSC312:JSG313"/>
    <mergeCell ref="JSK312:JSO313"/>
    <mergeCell ref="JPQ312:JPU313"/>
    <mergeCell ref="JPY312:JQC313"/>
    <mergeCell ref="JQG312:JQK313"/>
    <mergeCell ref="JQO312:JQS313"/>
    <mergeCell ref="JQW312:JRA313"/>
    <mergeCell ref="JOC312:JOG313"/>
    <mergeCell ref="JOK312:JOO313"/>
    <mergeCell ref="JOS312:JOW313"/>
    <mergeCell ref="JPA312:JPE313"/>
    <mergeCell ref="JPI312:JPM313"/>
    <mergeCell ref="JYW312:JZA313"/>
    <mergeCell ref="JZE312:JZI313"/>
    <mergeCell ref="JZM312:JZQ313"/>
    <mergeCell ref="JZU312:JZY313"/>
    <mergeCell ref="KAC312:KAG313"/>
    <mergeCell ref="JXI312:JXM313"/>
    <mergeCell ref="JXQ312:JXU313"/>
    <mergeCell ref="JXY312:JYC313"/>
    <mergeCell ref="JYG312:JYK313"/>
    <mergeCell ref="JYO312:JYS313"/>
    <mergeCell ref="JVU312:JVY313"/>
    <mergeCell ref="JWC312:JWG313"/>
    <mergeCell ref="JWK312:JWO313"/>
    <mergeCell ref="JWS312:JWW313"/>
    <mergeCell ref="JXA312:JXE313"/>
    <mergeCell ref="JUG312:JUK313"/>
    <mergeCell ref="JUO312:JUS313"/>
    <mergeCell ref="JUW312:JVA313"/>
    <mergeCell ref="JVE312:JVI313"/>
    <mergeCell ref="JVM312:JVQ313"/>
    <mergeCell ref="KFA312:KFE313"/>
    <mergeCell ref="KFI312:KFM313"/>
    <mergeCell ref="KFQ312:KFU313"/>
    <mergeCell ref="KFY312:KGC313"/>
    <mergeCell ref="KGG312:KGK313"/>
    <mergeCell ref="KDM312:KDQ313"/>
    <mergeCell ref="KDU312:KDY313"/>
    <mergeCell ref="KEC312:KEG313"/>
    <mergeCell ref="KEK312:KEO313"/>
    <mergeCell ref="KES312:KEW313"/>
    <mergeCell ref="KBY312:KCC313"/>
    <mergeCell ref="KCG312:KCK313"/>
    <mergeCell ref="KCO312:KCS313"/>
    <mergeCell ref="KCW312:KDA313"/>
    <mergeCell ref="KDE312:KDI313"/>
    <mergeCell ref="KAK312:KAO313"/>
    <mergeCell ref="KAS312:KAW313"/>
    <mergeCell ref="KBA312:KBE313"/>
    <mergeCell ref="KBI312:KBM313"/>
    <mergeCell ref="KBQ312:KBU313"/>
    <mergeCell ref="KLE312:KLI313"/>
    <mergeCell ref="KLM312:KLQ313"/>
    <mergeCell ref="KLU312:KLY313"/>
    <mergeCell ref="KMC312:KMG313"/>
    <mergeCell ref="KMK312:KMO313"/>
    <mergeCell ref="KJQ312:KJU313"/>
    <mergeCell ref="KJY312:KKC313"/>
    <mergeCell ref="KKG312:KKK313"/>
    <mergeCell ref="KKO312:KKS313"/>
    <mergeCell ref="KKW312:KLA313"/>
    <mergeCell ref="KIC312:KIG313"/>
    <mergeCell ref="KIK312:KIO313"/>
    <mergeCell ref="KIS312:KIW313"/>
    <mergeCell ref="KJA312:KJE313"/>
    <mergeCell ref="KJI312:KJM313"/>
    <mergeCell ref="KGO312:KGS313"/>
    <mergeCell ref="KGW312:KHA313"/>
    <mergeCell ref="KHE312:KHI313"/>
    <mergeCell ref="KHM312:KHQ313"/>
    <mergeCell ref="KHU312:KHY313"/>
    <mergeCell ref="KRI312:KRM313"/>
    <mergeCell ref="KRQ312:KRU313"/>
    <mergeCell ref="KRY312:KSC313"/>
    <mergeCell ref="KSG312:KSK313"/>
    <mergeCell ref="KSO312:KSS313"/>
    <mergeCell ref="KPU312:KPY313"/>
    <mergeCell ref="KQC312:KQG313"/>
    <mergeCell ref="KQK312:KQO313"/>
    <mergeCell ref="KQS312:KQW313"/>
    <mergeCell ref="KRA312:KRE313"/>
    <mergeCell ref="KOG312:KOK313"/>
    <mergeCell ref="KOO312:KOS313"/>
    <mergeCell ref="KOW312:KPA313"/>
    <mergeCell ref="KPE312:KPI313"/>
    <mergeCell ref="KPM312:KPQ313"/>
    <mergeCell ref="KMS312:KMW313"/>
    <mergeCell ref="KNA312:KNE313"/>
    <mergeCell ref="KNI312:KNM313"/>
    <mergeCell ref="KNQ312:KNU313"/>
    <mergeCell ref="KNY312:KOC313"/>
    <mergeCell ref="KXM312:KXQ313"/>
    <mergeCell ref="KXU312:KXY313"/>
    <mergeCell ref="KYC312:KYG313"/>
    <mergeCell ref="KYK312:KYO313"/>
    <mergeCell ref="KYS312:KYW313"/>
    <mergeCell ref="KVY312:KWC313"/>
    <mergeCell ref="KWG312:KWK313"/>
    <mergeCell ref="KWO312:KWS313"/>
    <mergeCell ref="KWW312:KXA313"/>
    <mergeCell ref="KXE312:KXI313"/>
    <mergeCell ref="KUK312:KUO313"/>
    <mergeCell ref="KUS312:KUW313"/>
    <mergeCell ref="KVA312:KVE313"/>
    <mergeCell ref="KVI312:KVM313"/>
    <mergeCell ref="KVQ312:KVU313"/>
    <mergeCell ref="KSW312:KTA313"/>
    <mergeCell ref="KTE312:KTI313"/>
    <mergeCell ref="KTM312:KTQ313"/>
    <mergeCell ref="KTU312:KTY313"/>
    <mergeCell ref="KUC312:KUG313"/>
    <mergeCell ref="LDQ312:LDU313"/>
    <mergeCell ref="LDY312:LEC313"/>
    <mergeCell ref="LEG312:LEK313"/>
    <mergeCell ref="LEO312:LES313"/>
    <mergeCell ref="LEW312:LFA313"/>
    <mergeCell ref="LCC312:LCG313"/>
    <mergeCell ref="LCK312:LCO313"/>
    <mergeCell ref="LCS312:LCW313"/>
    <mergeCell ref="LDA312:LDE313"/>
    <mergeCell ref="LDI312:LDM313"/>
    <mergeCell ref="LAO312:LAS313"/>
    <mergeCell ref="LAW312:LBA313"/>
    <mergeCell ref="LBE312:LBI313"/>
    <mergeCell ref="LBM312:LBQ313"/>
    <mergeCell ref="LBU312:LBY313"/>
    <mergeCell ref="KZA312:KZE313"/>
    <mergeCell ref="KZI312:KZM313"/>
    <mergeCell ref="KZQ312:KZU313"/>
    <mergeCell ref="KZY312:LAC313"/>
    <mergeCell ref="LAG312:LAK313"/>
    <mergeCell ref="LJU312:LJY313"/>
    <mergeCell ref="LKC312:LKG313"/>
    <mergeCell ref="LKK312:LKO313"/>
    <mergeCell ref="LKS312:LKW313"/>
    <mergeCell ref="LLA312:LLE313"/>
    <mergeCell ref="LIG312:LIK313"/>
    <mergeCell ref="LIO312:LIS313"/>
    <mergeCell ref="LIW312:LJA313"/>
    <mergeCell ref="LJE312:LJI313"/>
    <mergeCell ref="LJM312:LJQ313"/>
    <mergeCell ref="LGS312:LGW313"/>
    <mergeCell ref="LHA312:LHE313"/>
    <mergeCell ref="LHI312:LHM313"/>
    <mergeCell ref="LHQ312:LHU313"/>
    <mergeCell ref="LHY312:LIC313"/>
    <mergeCell ref="LFE312:LFI313"/>
    <mergeCell ref="LFM312:LFQ313"/>
    <mergeCell ref="LFU312:LFY313"/>
    <mergeCell ref="LGC312:LGG313"/>
    <mergeCell ref="LGK312:LGO313"/>
    <mergeCell ref="LPY312:LQC313"/>
    <mergeCell ref="LQG312:LQK313"/>
    <mergeCell ref="LQO312:LQS313"/>
    <mergeCell ref="LQW312:LRA313"/>
    <mergeCell ref="LRE312:LRI313"/>
    <mergeCell ref="LOK312:LOO313"/>
    <mergeCell ref="LOS312:LOW313"/>
    <mergeCell ref="LPA312:LPE313"/>
    <mergeCell ref="LPI312:LPM313"/>
    <mergeCell ref="LPQ312:LPU313"/>
    <mergeCell ref="LMW312:LNA313"/>
    <mergeCell ref="LNE312:LNI313"/>
    <mergeCell ref="LNM312:LNQ313"/>
    <mergeCell ref="LNU312:LNY313"/>
    <mergeCell ref="LOC312:LOG313"/>
    <mergeCell ref="LLI312:LLM313"/>
    <mergeCell ref="LLQ312:LLU313"/>
    <mergeCell ref="LLY312:LMC313"/>
    <mergeCell ref="LMG312:LMK313"/>
    <mergeCell ref="LMO312:LMS313"/>
    <mergeCell ref="LWC312:LWG313"/>
    <mergeCell ref="LWK312:LWO313"/>
    <mergeCell ref="LWS312:LWW313"/>
    <mergeCell ref="LXA312:LXE313"/>
    <mergeCell ref="LXI312:LXM313"/>
    <mergeCell ref="LUO312:LUS313"/>
    <mergeCell ref="LUW312:LVA313"/>
    <mergeCell ref="LVE312:LVI313"/>
    <mergeCell ref="LVM312:LVQ313"/>
    <mergeCell ref="LVU312:LVY313"/>
    <mergeCell ref="LTA312:LTE313"/>
    <mergeCell ref="LTI312:LTM313"/>
    <mergeCell ref="LTQ312:LTU313"/>
    <mergeCell ref="LTY312:LUC313"/>
    <mergeCell ref="LUG312:LUK313"/>
    <mergeCell ref="LRM312:LRQ313"/>
    <mergeCell ref="LRU312:LRY313"/>
    <mergeCell ref="LSC312:LSG313"/>
    <mergeCell ref="LSK312:LSO313"/>
    <mergeCell ref="LSS312:LSW313"/>
    <mergeCell ref="MCG312:MCK313"/>
    <mergeCell ref="MCO312:MCS313"/>
    <mergeCell ref="MCW312:MDA313"/>
    <mergeCell ref="MDE312:MDI313"/>
    <mergeCell ref="MDM312:MDQ313"/>
    <mergeCell ref="MAS312:MAW313"/>
    <mergeCell ref="MBA312:MBE313"/>
    <mergeCell ref="MBI312:MBM313"/>
    <mergeCell ref="MBQ312:MBU313"/>
    <mergeCell ref="MBY312:MCC313"/>
    <mergeCell ref="LZE312:LZI313"/>
    <mergeCell ref="LZM312:LZQ313"/>
    <mergeCell ref="LZU312:LZY313"/>
    <mergeCell ref="MAC312:MAG313"/>
    <mergeCell ref="MAK312:MAO313"/>
    <mergeCell ref="LXQ312:LXU313"/>
    <mergeCell ref="LXY312:LYC313"/>
    <mergeCell ref="LYG312:LYK313"/>
    <mergeCell ref="LYO312:LYS313"/>
    <mergeCell ref="LYW312:LZA313"/>
    <mergeCell ref="MIK312:MIO313"/>
    <mergeCell ref="MIS312:MIW313"/>
    <mergeCell ref="MJA312:MJE313"/>
    <mergeCell ref="MJI312:MJM313"/>
    <mergeCell ref="MJQ312:MJU313"/>
    <mergeCell ref="MGW312:MHA313"/>
    <mergeCell ref="MHE312:MHI313"/>
    <mergeCell ref="MHM312:MHQ313"/>
    <mergeCell ref="MHU312:MHY313"/>
    <mergeCell ref="MIC312:MIG313"/>
    <mergeCell ref="MFI312:MFM313"/>
    <mergeCell ref="MFQ312:MFU313"/>
    <mergeCell ref="MFY312:MGC313"/>
    <mergeCell ref="MGG312:MGK313"/>
    <mergeCell ref="MGO312:MGS313"/>
    <mergeCell ref="MDU312:MDY313"/>
    <mergeCell ref="MEC312:MEG313"/>
    <mergeCell ref="MEK312:MEO313"/>
    <mergeCell ref="MES312:MEW313"/>
    <mergeCell ref="MFA312:MFE313"/>
    <mergeCell ref="MOO312:MOS313"/>
    <mergeCell ref="MOW312:MPA313"/>
    <mergeCell ref="MPE312:MPI313"/>
    <mergeCell ref="MPM312:MPQ313"/>
    <mergeCell ref="MPU312:MPY313"/>
    <mergeCell ref="MNA312:MNE313"/>
    <mergeCell ref="MNI312:MNM313"/>
    <mergeCell ref="MNQ312:MNU313"/>
    <mergeCell ref="MNY312:MOC313"/>
    <mergeCell ref="MOG312:MOK313"/>
    <mergeCell ref="MLM312:MLQ313"/>
    <mergeCell ref="MLU312:MLY313"/>
    <mergeCell ref="MMC312:MMG313"/>
    <mergeCell ref="MMK312:MMO313"/>
    <mergeCell ref="MMS312:MMW313"/>
    <mergeCell ref="MJY312:MKC313"/>
    <mergeCell ref="MKG312:MKK313"/>
    <mergeCell ref="MKO312:MKS313"/>
    <mergeCell ref="MKW312:MLA313"/>
    <mergeCell ref="MLE312:MLI313"/>
    <mergeCell ref="MUS312:MUW313"/>
    <mergeCell ref="MVA312:MVE313"/>
    <mergeCell ref="MVI312:MVM313"/>
    <mergeCell ref="MVQ312:MVU313"/>
    <mergeCell ref="MVY312:MWC313"/>
    <mergeCell ref="MTE312:MTI313"/>
    <mergeCell ref="MTM312:MTQ313"/>
    <mergeCell ref="MTU312:MTY313"/>
    <mergeCell ref="MUC312:MUG313"/>
    <mergeCell ref="MUK312:MUO313"/>
    <mergeCell ref="MRQ312:MRU313"/>
    <mergeCell ref="MRY312:MSC313"/>
    <mergeCell ref="MSG312:MSK313"/>
    <mergeCell ref="MSO312:MSS313"/>
    <mergeCell ref="MSW312:MTA313"/>
    <mergeCell ref="MQC312:MQG313"/>
    <mergeCell ref="MQK312:MQO313"/>
    <mergeCell ref="MQS312:MQW313"/>
    <mergeCell ref="MRA312:MRE313"/>
    <mergeCell ref="MRI312:MRM313"/>
    <mergeCell ref="NAW312:NBA313"/>
    <mergeCell ref="NBE312:NBI313"/>
    <mergeCell ref="NBM312:NBQ313"/>
    <mergeCell ref="NBU312:NBY313"/>
    <mergeCell ref="NCC312:NCG313"/>
    <mergeCell ref="MZI312:MZM313"/>
    <mergeCell ref="MZQ312:MZU313"/>
    <mergeCell ref="MZY312:NAC313"/>
    <mergeCell ref="NAG312:NAK313"/>
    <mergeCell ref="NAO312:NAS313"/>
    <mergeCell ref="MXU312:MXY313"/>
    <mergeCell ref="MYC312:MYG313"/>
    <mergeCell ref="MYK312:MYO313"/>
    <mergeCell ref="MYS312:MYW313"/>
    <mergeCell ref="MZA312:MZE313"/>
    <mergeCell ref="MWG312:MWK313"/>
    <mergeCell ref="MWO312:MWS313"/>
    <mergeCell ref="MWW312:MXA313"/>
    <mergeCell ref="MXE312:MXI313"/>
    <mergeCell ref="MXM312:MXQ313"/>
    <mergeCell ref="NHA312:NHE313"/>
    <mergeCell ref="NHI312:NHM313"/>
    <mergeCell ref="NHQ312:NHU313"/>
    <mergeCell ref="NHY312:NIC313"/>
    <mergeCell ref="NIG312:NIK313"/>
    <mergeCell ref="NFM312:NFQ313"/>
    <mergeCell ref="NFU312:NFY313"/>
    <mergeCell ref="NGC312:NGG313"/>
    <mergeCell ref="NGK312:NGO313"/>
    <mergeCell ref="NGS312:NGW313"/>
    <mergeCell ref="NDY312:NEC313"/>
    <mergeCell ref="NEG312:NEK313"/>
    <mergeCell ref="NEO312:NES313"/>
    <mergeCell ref="NEW312:NFA313"/>
    <mergeCell ref="NFE312:NFI313"/>
    <mergeCell ref="NCK312:NCO313"/>
    <mergeCell ref="NCS312:NCW313"/>
    <mergeCell ref="NDA312:NDE313"/>
    <mergeCell ref="NDI312:NDM313"/>
    <mergeCell ref="NDQ312:NDU313"/>
    <mergeCell ref="NNE312:NNI313"/>
    <mergeCell ref="NNM312:NNQ313"/>
    <mergeCell ref="NNU312:NNY313"/>
    <mergeCell ref="NOC312:NOG313"/>
    <mergeCell ref="NOK312:NOO313"/>
    <mergeCell ref="NLQ312:NLU313"/>
    <mergeCell ref="NLY312:NMC313"/>
    <mergeCell ref="NMG312:NMK313"/>
    <mergeCell ref="NMO312:NMS313"/>
    <mergeCell ref="NMW312:NNA313"/>
    <mergeCell ref="NKC312:NKG313"/>
    <mergeCell ref="NKK312:NKO313"/>
    <mergeCell ref="NKS312:NKW313"/>
    <mergeCell ref="NLA312:NLE313"/>
    <mergeCell ref="NLI312:NLM313"/>
    <mergeCell ref="NIO312:NIS313"/>
    <mergeCell ref="NIW312:NJA313"/>
    <mergeCell ref="NJE312:NJI313"/>
    <mergeCell ref="NJM312:NJQ313"/>
    <mergeCell ref="NJU312:NJY313"/>
    <mergeCell ref="NTI312:NTM313"/>
    <mergeCell ref="NTQ312:NTU313"/>
    <mergeCell ref="NTY312:NUC313"/>
    <mergeCell ref="NUG312:NUK313"/>
    <mergeCell ref="NUO312:NUS313"/>
    <mergeCell ref="NRU312:NRY313"/>
    <mergeCell ref="NSC312:NSG313"/>
    <mergeCell ref="NSK312:NSO313"/>
    <mergeCell ref="NSS312:NSW313"/>
    <mergeCell ref="NTA312:NTE313"/>
    <mergeCell ref="NQG312:NQK313"/>
    <mergeCell ref="NQO312:NQS313"/>
    <mergeCell ref="NQW312:NRA313"/>
    <mergeCell ref="NRE312:NRI313"/>
    <mergeCell ref="NRM312:NRQ313"/>
    <mergeCell ref="NOS312:NOW313"/>
    <mergeCell ref="NPA312:NPE313"/>
    <mergeCell ref="NPI312:NPM313"/>
    <mergeCell ref="NPQ312:NPU313"/>
    <mergeCell ref="NPY312:NQC313"/>
    <mergeCell ref="NZM312:NZQ313"/>
    <mergeCell ref="NZU312:NZY313"/>
    <mergeCell ref="OAC312:OAG313"/>
    <mergeCell ref="OAK312:OAO313"/>
    <mergeCell ref="OAS312:OAW313"/>
    <mergeCell ref="NXY312:NYC313"/>
    <mergeCell ref="NYG312:NYK313"/>
    <mergeCell ref="NYO312:NYS313"/>
    <mergeCell ref="NYW312:NZA313"/>
    <mergeCell ref="NZE312:NZI313"/>
    <mergeCell ref="NWK312:NWO313"/>
    <mergeCell ref="NWS312:NWW313"/>
    <mergeCell ref="NXA312:NXE313"/>
    <mergeCell ref="NXI312:NXM313"/>
    <mergeCell ref="NXQ312:NXU313"/>
    <mergeCell ref="NUW312:NVA313"/>
    <mergeCell ref="NVE312:NVI313"/>
    <mergeCell ref="NVM312:NVQ313"/>
    <mergeCell ref="NVU312:NVY313"/>
    <mergeCell ref="NWC312:NWG313"/>
    <mergeCell ref="OFQ312:OFU313"/>
    <mergeCell ref="OFY312:OGC313"/>
    <mergeCell ref="OGG312:OGK313"/>
    <mergeCell ref="OGO312:OGS313"/>
    <mergeCell ref="OGW312:OHA313"/>
    <mergeCell ref="OEC312:OEG313"/>
    <mergeCell ref="OEK312:OEO313"/>
    <mergeCell ref="OES312:OEW313"/>
    <mergeCell ref="OFA312:OFE313"/>
    <mergeCell ref="OFI312:OFM313"/>
    <mergeCell ref="OCO312:OCS313"/>
    <mergeCell ref="OCW312:ODA313"/>
    <mergeCell ref="ODE312:ODI313"/>
    <mergeCell ref="ODM312:ODQ313"/>
    <mergeCell ref="ODU312:ODY313"/>
    <mergeCell ref="OBA312:OBE313"/>
    <mergeCell ref="OBI312:OBM313"/>
    <mergeCell ref="OBQ312:OBU313"/>
    <mergeCell ref="OBY312:OCC313"/>
    <mergeCell ref="OCG312:OCK313"/>
    <mergeCell ref="OLU312:OLY313"/>
    <mergeCell ref="OMC312:OMG313"/>
    <mergeCell ref="OMK312:OMO313"/>
    <mergeCell ref="OMS312:OMW313"/>
    <mergeCell ref="ONA312:ONE313"/>
    <mergeCell ref="OKG312:OKK313"/>
    <mergeCell ref="OKO312:OKS313"/>
    <mergeCell ref="OKW312:OLA313"/>
    <mergeCell ref="OLE312:OLI313"/>
    <mergeCell ref="OLM312:OLQ313"/>
    <mergeCell ref="OIS312:OIW313"/>
    <mergeCell ref="OJA312:OJE313"/>
    <mergeCell ref="OJI312:OJM313"/>
    <mergeCell ref="OJQ312:OJU313"/>
    <mergeCell ref="OJY312:OKC313"/>
    <mergeCell ref="OHE312:OHI313"/>
    <mergeCell ref="OHM312:OHQ313"/>
    <mergeCell ref="OHU312:OHY313"/>
    <mergeCell ref="OIC312:OIG313"/>
    <mergeCell ref="OIK312:OIO313"/>
    <mergeCell ref="ORY312:OSC313"/>
    <mergeCell ref="OSG312:OSK313"/>
    <mergeCell ref="OSO312:OSS313"/>
    <mergeCell ref="OSW312:OTA313"/>
    <mergeCell ref="OTE312:OTI313"/>
    <mergeCell ref="OQK312:OQO313"/>
    <mergeCell ref="OQS312:OQW313"/>
    <mergeCell ref="ORA312:ORE313"/>
    <mergeCell ref="ORI312:ORM313"/>
    <mergeCell ref="ORQ312:ORU313"/>
    <mergeCell ref="OOW312:OPA313"/>
    <mergeCell ref="OPE312:OPI313"/>
    <mergeCell ref="OPM312:OPQ313"/>
    <mergeCell ref="OPU312:OPY313"/>
    <mergeCell ref="OQC312:OQG313"/>
    <mergeCell ref="ONI312:ONM313"/>
    <mergeCell ref="ONQ312:ONU313"/>
    <mergeCell ref="ONY312:OOC313"/>
    <mergeCell ref="OOG312:OOK313"/>
    <mergeCell ref="OOO312:OOS313"/>
    <mergeCell ref="OYC312:OYG313"/>
    <mergeCell ref="OYK312:OYO313"/>
    <mergeCell ref="OYS312:OYW313"/>
    <mergeCell ref="OZA312:OZE313"/>
    <mergeCell ref="OZI312:OZM313"/>
    <mergeCell ref="OWO312:OWS313"/>
    <mergeCell ref="OWW312:OXA313"/>
    <mergeCell ref="OXE312:OXI313"/>
    <mergeCell ref="OXM312:OXQ313"/>
    <mergeCell ref="OXU312:OXY313"/>
    <mergeCell ref="OVA312:OVE313"/>
    <mergeCell ref="OVI312:OVM313"/>
    <mergeCell ref="OVQ312:OVU313"/>
    <mergeCell ref="OVY312:OWC313"/>
    <mergeCell ref="OWG312:OWK313"/>
    <mergeCell ref="OTM312:OTQ313"/>
    <mergeCell ref="OTU312:OTY313"/>
    <mergeCell ref="OUC312:OUG313"/>
    <mergeCell ref="OUK312:OUO313"/>
    <mergeCell ref="OUS312:OUW313"/>
    <mergeCell ref="PEG312:PEK313"/>
    <mergeCell ref="PEO312:PES313"/>
    <mergeCell ref="PEW312:PFA313"/>
    <mergeCell ref="PFE312:PFI313"/>
    <mergeCell ref="PFM312:PFQ313"/>
    <mergeCell ref="PCS312:PCW313"/>
    <mergeCell ref="PDA312:PDE313"/>
    <mergeCell ref="PDI312:PDM313"/>
    <mergeCell ref="PDQ312:PDU313"/>
    <mergeCell ref="PDY312:PEC313"/>
    <mergeCell ref="PBE312:PBI313"/>
    <mergeCell ref="PBM312:PBQ313"/>
    <mergeCell ref="PBU312:PBY313"/>
    <mergeCell ref="PCC312:PCG313"/>
    <mergeCell ref="PCK312:PCO313"/>
    <mergeCell ref="OZQ312:OZU313"/>
    <mergeCell ref="OZY312:PAC313"/>
    <mergeCell ref="PAG312:PAK313"/>
    <mergeCell ref="PAO312:PAS313"/>
    <mergeCell ref="PAW312:PBA313"/>
    <mergeCell ref="PKK312:PKO313"/>
    <mergeCell ref="PKS312:PKW313"/>
    <mergeCell ref="PLA312:PLE313"/>
    <mergeCell ref="PLI312:PLM313"/>
    <mergeCell ref="PLQ312:PLU313"/>
    <mergeCell ref="PIW312:PJA313"/>
    <mergeCell ref="PJE312:PJI313"/>
    <mergeCell ref="PJM312:PJQ313"/>
    <mergeCell ref="PJU312:PJY313"/>
    <mergeCell ref="PKC312:PKG313"/>
    <mergeCell ref="PHI312:PHM313"/>
    <mergeCell ref="PHQ312:PHU313"/>
    <mergeCell ref="PHY312:PIC313"/>
    <mergeCell ref="PIG312:PIK313"/>
    <mergeCell ref="PIO312:PIS313"/>
    <mergeCell ref="PFU312:PFY313"/>
    <mergeCell ref="PGC312:PGG313"/>
    <mergeCell ref="PGK312:PGO313"/>
    <mergeCell ref="PGS312:PGW313"/>
    <mergeCell ref="PHA312:PHE313"/>
    <mergeCell ref="PQO312:PQS313"/>
    <mergeCell ref="PQW312:PRA313"/>
    <mergeCell ref="PRE312:PRI313"/>
    <mergeCell ref="PRM312:PRQ313"/>
    <mergeCell ref="PRU312:PRY313"/>
    <mergeCell ref="PPA312:PPE313"/>
    <mergeCell ref="PPI312:PPM313"/>
    <mergeCell ref="PPQ312:PPU313"/>
    <mergeCell ref="PPY312:PQC313"/>
    <mergeCell ref="PQG312:PQK313"/>
    <mergeCell ref="PNM312:PNQ313"/>
    <mergeCell ref="PNU312:PNY313"/>
    <mergeCell ref="POC312:POG313"/>
    <mergeCell ref="POK312:POO313"/>
    <mergeCell ref="POS312:POW313"/>
    <mergeCell ref="PLY312:PMC313"/>
    <mergeCell ref="PMG312:PMK313"/>
    <mergeCell ref="PMO312:PMS313"/>
    <mergeCell ref="PMW312:PNA313"/>
    <mergeCell ref="PNE312:PNI313"/>
    <mergeCell ref="PWS312:PWW313"/>
    <mergeCell ref="PXA312:PXE313"/>
    <mergeCell ref="PXI312:PXM313"/>
    <mergeCell ref="PXQ312:PXU313"/>
    <mergeCell ref="PXY312:PYC313"/>
    <mergeCell ref="PVE312:PVI313"/>
    <mergeCell ref="PVM312:PVQ313"/>
    <mergeCell ref="PVU312:PVY313"/>
    <mergeCell ref="PWC312:PWG313"/>
    <mergeCell ref="PWK312:PWO313"/>
    <mergeCell ref="PTQ312:PTU313"/>
    <mergeCell ref="PTY312:PUC313"/>
    <mergeCell ref="PUG312:PUK313"/>
    <mergeCell ref="PUO312:PUS313"/>
    <mergeCell ref="PUW312:PVA313"/>
    <mergeCell ref="PSC312:PSG313"/>
    <mergeCell ref="PSK312:PSO313"/>
    <mergeCell ref="PSS312:PSW313"/>
    <mergeCell ref="PTA312:PTE313"/>
    <mergeCell ref="PTI312:PTM313"/>
    <mergeCell ref="QCW312:QDA313"/>
    <mergeCell ref="QDE312:QDI313"/>
    <mergeCell ref="QDM312:QDQ313"/>
    <mergeCell ref="QDU312:QDY313"/>
    <mergeCell ref="QEC312:QEG313"/>
    <mergeCell ref="QBI312:QBM313"/>
    <mergeCell ref="QBQ312:QBU313"/>
    <mergeCell ref="QBY312:QCC313"/>
    <mergeCell ref="QCG312:QCK313"/>
    <mergeCell ref="QCO312:QCS313"/>
    <mergeCell ref="PZU312:PZY313"/>
    <mergeCell ref="QAC312:QAG313"/>
    <mergeCell ref="QAK312:QAO313"/>
    <mergeCell ref="QAS312:QAW313"/>
    <mergeCell ref="QBA312:QBE313"/>
    <mergeCell ref="PYG312:PYK313"/>
    <mergeCell ref="PYO312:PYS313"/>
    <mergeCell ref="PYW312:PZA313"/>
    <mergeCell ref="PZE312:PZI313"/>
    <mergeCell ref="PZM312:PZQ313"/>
    <mergeCell ref="QJA312:QJE313"/>
    <mergeCell ref="QJI312:QJM313"/>
    <mergeCell ref="QJQ312:QJU313"/>
    <mergeCell ref="QJY312:QKC313"/>
    <mergeCell ref="QKG312:QKK313"/>
    <mergeCell ref="QHM312:QHQ313"/>
    <mergeCell ref="QHU312:QHY313"/>
    <mergeCell ref="QIC312:QIG313"/>
    <mergeCell ref="QIK312:QIO313"/>
    <mergeCell ref="QIS312:QIW313"/>
    <mergeCell ref="QFY312:QGC313"/>
    <mergeCell ref="QGG312:QGK313"/>
    <mergeCell ref="QGO312:QGS313"/>
    <mergeCell ref="QGW312:QHA313"/>
    <mergeCell ref="QHE312:QHI313"/>
    <mergeCell ref="QEK312:QEO313"/>
    <mergeCell ref="QES312:QEW313"/>
    <mergeCell ref="QFA312:QFE313"/>
    <mergeCell ref="QFI312:QFM313"/>
    <mergeCell ref="QFQ312:QFU313"/>
    <mergeCell ref="QPE312:QPI313"/>
    <mergeCell ref="QPM312:QPQ313"/>
    <mergeCell ref="QPU312:QPY313"/>
    <mergeCell ref="QQC312:QQG313"/>
    <mergeCell ref="QQK312:QQO313"/>
    <mergeCell ref="QNQ312:QNU313"/>
    <mergeCell ref="QNY312:QOC313"/>
    <mergeCell ref="QOG312:QOK313"/>
    <mergeCell ref="QOO312:QOS313"/>
    <mergeCell ref="QOW312:QPA313"/>
    <mergeCell ref="QMC312:QMG313"/>
    <mergeCell ref="QMK312:QMO313"/>
    <mergeCell ref="QMS312:QMW313"/>
    <mergeCell ref="QNA312:QNE313"/>
    <mergeCell ref="QNI312:QNM313"/>
    <mergeCell ref="QKO312:QKS313"/>
    <mergeCell ref="QKW312:QLA313"/>
    <mergeCell ref="QLE312:QLI313"/>
    <mergeCell ref="QLM312:QLQ313"/>
    <mergeCell ref="QLU312:QLY313"/>
    <mergeCell ref="QVI312:QVM313"/>
    <mergeCell ref="QVQ312:QVU313"/>
    <mergeCell ref="QVY312:QWC313"/>
    <mergeCell ref="QWG312:QWK313"/>
    <mergeCell ref="QWO312:QWS313"/>
    <mergeCell ref="QTU312:QTY313"/>
    <mergeCell ref="QUC312:QUG313"/>
    <mergeCell ref="QUK312:QUO313"/>
    <mergeCell ref="QUS312:QUW313"/>
    <mergeCell ref="QVA312:QVE313"/>
    <mergeCell ref="QSG312:QSK313"/>
    <mergeCell ref="QSO312:QSS313"/>
    <mergeCell ref="QSW312:QTA313"/>
    <mergeCell ref="QTE312:QTI313"/>
    <mergeCell ref="QTM312:QTQ313"/>
    <mergeCell ref="QQS312:QQW313"/>
    <mergeCell ref="QRA312:QRE313"/>
    <mergeCell ref="QRI312:QRM313"/>
    <mergeCell ref="QRQ312:QRU313"/>
    <mergeCell ref="QRY312:QSC313"/>
    <mergeCell ref="RBM312:RBQ313"/>
    <mergeCell ref="RBU312:RBY313"/>
    <mergeCell ref="RCC312:RCG313"/>
    <mergeCell ref="RCK312:RCO313"/>
    <mergeCell ref="RCS312:RCW313"/>
    <mergeCell ref="QZY312:RAC313"/>
    <mergeCell ref="RAG312:RAK313"/>
    <mergeCell ref="RAO312:RAS313"/>
    <mergeCell ref="RAW312:RBA313"/>
    <mergeCell ref="RBE312:RBI313"/>
    <mergeCell ref="QYK312:QYO313"/>
    <mergeCell ref="QYS312:QYW313"/>
    <mergeCell ref="QZA312:QZE313"/>
    <mergeCell ref="QZI312:QZM313"/>
    <mergeCell ref="QZQ312:QZU313"/>
    <mergeCell ref="QWW312:QXA313"/>
    <mergeCell ref="QXE312:QXI313"/>
    <mergeCell ref="QXM312:QXQ313"/>
    <mergeCell ref="QXU312:QXY313"/>
    <mergeCell ref="QYC312:QYG313"/>
    <mergeCell ref="RHQ312:RHU313"/>
    <mergeCell ref="RHY312:RIC313"/>
    <mergeCell ref="RIG312:RIK313"/>
    <mergeCell ref="RIO312:RIS313"/>
    <mergeCell ref="RIW312:RJA313"/>
    <mergeCell ref="RGC312:RGG313"/>
    <mergeCell ref="RGK312:RGO313"/>
    <mergeCell ref="RGS312:RGW313"/>
    <mergeCell ref="RHA312:RHE313"/>
    <mergeCell ref="RHI312:RHM313"/>
    <mergeCell ref="REO312:RES313"/>
    <mergeCell ref="REW312:RFA313"/>
    <mergeCell ref="RFE312:RFI313"/>
    <mergeCell ref="RFM312:RFQ313"/>
    <mergeCell ref="RFU312:RFY313"/>
    <mergeCell ref="RDA312:RDE313"/>
    <mergeCell ref="RDI312:RDM313"/>
    <mergeCell ref="RDQ312:RDU313"/>
    <mergeCell ref="RDY312:REC313"/>
    <mergeCell ref="REG312:REK313"/>
    <mergeCell ref="RNU312:RNY313"/>
    <mergeCell ref="ROC312:ROG313"/>
    <mergeCell ref="ROK312:ROO313"/>
    <mergeCell ref="ROS312:ROW313"/>
    <mergeCell ref="RPA312:RPE313"/>
    <mergeCell ref="RMG312:RMK313"/>
    <mergeCell ref="RMO312:RMS313"/>
    <mergeCell ref="RMW312:RNA313"/>
    <mergeCell ref="RNE312:RNI313"/>
    <mergeCell ref="RNM312:RNQ313"/>
    <mergeCell ref="RKS312:RKW313"/>
    <mergeCell ref="RLA312:RLE313"/>
    <mergeCell ref="RLI312:RLM313"/>
    <mergeCell ref="RLQ312:RLU313"/>
    <mergeCell ref="RLY312:RMC313"/>
    <mergeCell ref="RJE312:RJI313"/>
    <mergeCell ref="RJM312:RJQ313"/>
    <mergeCell ref="RJU312:RJY313"/>
    <mergeCell ref="RKC312:RKG313"/>
    <mergeCell ref="RKK312:RKO313"/>
    <mergeCell ref="RTY312:RUC313"/>
    <mergeCell ref="RUG312:RUK313"/>
    <mergeCell ref="RUO312:RUS313"/>
    <mergeCell ref="RUW312:RVA313"/>
    <mergeCell ref="RVE312:RVI313"/>
    <mergeCell ref="RSK312:RSO313"/>
    <mergeCell ref="RSS312:RSW313"/>
    <mergeCell ref="RTA312:RTE313"/>
    <mergeCell ref="RTI312:RTM313"/>
    <mergeCell ref="RTQ312:RTU313"/>
    <mergeCell ref="RQW312:RRA313"/>
    <mergeCell ref="RRE312:RRI313"/>
    <mergeCell ref="RRM312:RRQ313"/>
    <mergeCell ref="RRU312:RRY313"/>
    <mergeCell ref="RSC312:RSG313"/>
    <mergeCell ref="RPI312:RPM313"/>
    <mergeCell ref="RPQ312:RPU313"/>
    <mergeCell ref="RPY312:RQC313"/>
    <mergeCell ref="RQG312:RQK313"/>
    <mergeCell ref="RQO312:RQS313"/>
    <mergeCell ref="SAC312:SAG313"/>
    <mergeCell ref="SAK312:SAO313"/>
    <mergeCell ref="SAS312:SAW313"/>
    <mergeCell ref="SBA312:SBE313"/>
    <mergeCell ref="SBI312:SBM313"/>
    <mergeCell ref="RYO312:RYS313"/>
    <mergeCell ref="RYW312:RZA313"/>
    <mergeCell ref="RZE312:RZI313"/>
    <mergeCell ref="RZM312:RZQ313"/>
    <mergeCell ref="RZU312:RZY313"/>
    <mergeCell ref="RXA312:RXE313"/>
    <mergeCell ref="RXI312:RXM313"/>
    <mergeCell ref="RXQ312:RXU313"/>
    <mergeCell ref="RXY312:RYC313"/>
    <mergeCell ref="RYG312:RYK313"/>
    <mergeCell ref="RVM312:RVQ313"/>
    <mergeCell ref="RVU312:RVY313"/>
    <mergeCell ref="RWC312:RWG313"/>
    <mergeCell ref="RWK312:RWO313"/>
    <mergeCell ref="RWS312:RWW313"/>
    <mergeCell ref="SGG312:SGK313"/>
    <mergeCell ref="SGO312:SGS313"/>
    <mergeCell ref="SGW312:SHA313"/>
    <mergeCell ref="SHE312:SHI313"/>
    <mergeCell ref="SHM312:SHQ313"/>
    <mergeCell ref="SES312:SEW313"/>
    <mergeCell ref="SFA312:SFE313"/>
    <mergeCell ref="SFI312:SFM313"/>
    <mergeCell ref="SFQ312:SFU313"/>
    <mergeCell ref="SFY312:SGC313"/>
    <mergeCell ref="SDE312:SDI313"/>
    <mergeCell ref="SDM312:SDQ313"/>
    <mergeCell ref="SDU312:SDY313"/>
    <mergeCell ref="SEC312:SEG313"/>
    <mergeCell ref="SEK312:SEO313"/>
    <mergeCell ref="SBQ312:SBU313"/>
    <mergeCell ref="SBY312:SCC313"/>
    <mergeCell ref="SCG312:SCK313"/>
    <mergeCell ref="SCO312:SCS313"/>
    <mergeCell ref="SCW312:SDA313"/>
    <mergeCell ref="SMK312:SMO313"/>
    <mergeCell ref="SMS312:SMW313"/>
    <mergeCell ref="SNA312:SNE313"/>
    <mergeCell ref="SNI312:SNM313"/>
    <mergeCell ref="SNQ312:SNU313"/>
    <mergeCell ref="SKW312:SLA313"/>
    <mergeCell ref="SLE312:SLI313"/>
    <mergeCell ref="SLM312:SLQ313"/>
    <mergeCell ref="SLU312:SLY313"/>
    <mergeCell ref="SMC312:SMG313"/>
    <mergeCell ref="SJI312:SJM313"/>
    <mergeCell ref="SJQ312:SJU313"/>
    <mergeCell ref="SJY312:SKC313"/>
    <mergeCell ref="SKG312:SKK313"/>
    <mergeCell ref="SKO312:SKS313"/>
    <mergeCell ref="SHU312:SHY313"/>
    <mergeCell ref="SIC312:SIG313"/>
    <mergeCell ref="SIK312:SIO313"/>
    <mergeCell ref="SIS312:SIW313"/>
    <mergeCell ref="SJA312:SJE313"/>
    <mergeCell ref="SSO312:SSS313"/>
    <mergeCell ref="SSW312:STA313"/>
    <mergeCell ref="STE312:STI313"/>
    <mergeCell ref="STM312:STQ313"/>
    <mergeCell ref="STU312:STY313"/>
    <mergeCell ref="SRA312:SRE313"/>
    <mergeCell ref="SRI312:SRM313"/>
    <mergeCell ref="SRQ312:SRU313"/>
    <mergeCell ref="SRY312:SSC313"/>
    <mergeCell ref="SSG312:SSK313"/>
    <mergeCell ref="SPM312:SPQ313"/>
    <mergeCell ref="SPU312:SPY313"/>
    <mergeCell ref="SQC312:SQG313"/>
    <mergeCell ref="SQK312:SQO313"/>
    <mergeCell ref="SQS312:SQW313"/>
    <mergeCell ref="SNY312:SOC313"/>
    <mergeCell ref="SOG312:SOK313"/>
    <mergeCell ref="SOO312:SOS313"/>
    <mergeCell ref="SOW312:SPA313"/>
    <mergeCell ref="SPE312:SPI313"/>
    <mergeCell ref="SYS312:SYW313"/>
    <mergeCell ref="SZA312:SZE313"/>
    <mergeCell ref="SZI312:SZM313"/>
    <mergeCell ref="SZQ312:SZU313"/>
    <mergeCell ref="SZY312:TAC313"/>
    <mergeCell ref="SXE312:SXI313"/>
    <mergeCell ref="SXM312:SXQ313"/>
    <mergeCell ref="SXU312:SXY313"/>
    <mergeCell ref="SYC312:SYG313"/>
    <mergeCell ref="SYK312:SYO313"/>
    <mergeCell ref="SVQ312:SVU313"/>
    <mergeCell ref="SVY312:SWC313"/>
    <mergeCell ref="SWG312:SWK313"/>
    <mergeCell ref="SWO312:SWS313"/>
    <mergeCell ref="SWW312:SXA313"/>
    <mergeCell ref="SUC312:SUG313"/>
    <mergeCell ref="SUK312:SUO313"/>
    <mergeCell ref="SUS312:SUW313"/>
    <mergeCell ref="SVA312:SVE313"/>
    <mergeCell ref="SVI312:SVM313"/>
    <mergeCell ref="TEW312:TFA313"/>
    <mergeCell ref="TFE312:TFI313"/>
    <mergeCell ref="TFM312:TFQ313"/>
    <mergeCell ref="TFU312:TFY313"/>
    <mergeCell ref="TGC312:TGG313"/>
    <mergeCell ref="TDI312:TDM313"/>
    <mergeCell ref="TDQ312:TDU313"/>
    <mergeCell ref="TDY312:TEC313"/>
    <mergeCell ref="TEG312:TEK313"/>
    <mergeCell ref="TEO312:TES313"/>
    <mergeCell ref="TBU312:TBY313"/>
    <mergeCell ref="TCC312:TCG313"/>
    <mergeCell ref="TCK312:TCO313"/>
    <mergeCell ref="TCS312:TCW313"/>
    <mergeCell ref="TDA312:TDE313"/>
    <mergeCell ref="TAG312:TAK313"/>
    <mergeCell ref="TAO312:TAS313"/>
    <mergeCell ref="TAW312:TBA313"/>
    <mergeCell ref="TBE312:TBI313"/>
    <mergeCell ref="TBM312:TBQ313"/>
    <mergeCell ref="TLA312:TLE313"/>
    <mergeCell ref="TLI312:TLM313"/>
    <mergeCell ref="TLQ312:TLU313"/>
    <mergeCell ref="TLY312:TMC313"/>
    <mergeCell ref="TMG312:TMK313"/>
    <mergeCell ref="TJM312:TJQ313"/>
    <mergeCell ref="TJU312:TJY313"/>
    <mergeCell ref="TKC312:TKG313"/>
    <mergeCell ref="TKK312:TKO313"/>
    <mergeCell ref="TKS312:TKW313"/>
    <mergeCell ref="THY312:TIC313"/>
    <mergeCell ref="TIG312:TIK313"/>
    <mergeCell ref="TIO312:TIS313"/>
    <mergeCell ref="TIW312:TJA313"/>
    <mergeCell ref="TJE312:TJI313"/>
    <mergeCell ref="TGK312:TGO313"/>
    <mergeCell ref="TGS312:TGW313"/>
    <mergeCell ref="THA312:THE313"/>
    <mergeCell ref="THI312:THM313"/>
    <mergeCell ref="THQ312:THU313"/>
    <mergeCell ref="TRE312:TRI313"/>
    <mergeCell ref="TRM312:TRQ313"/>
    <mergeCell ref="TRU312:TRY313"/>
    <mergeCell ref="TSC312:TSG313"/>
    <mergeCell ref="TSK312:TSO313"/>
    <mergeCell ref="TPQ312:TPU313"/>
    <mergeCell ref="TPY312:TQC313"/>
    <mergeCell ref="TQG312:TQK313"/>
    <mergeCell ref="TQO312:TQS313"/>
    <mergeCell ref="TQW312:TRA313"/>
    <mergeCell ref="TOC312:TOG313"/>
    <mergeCell ref="TOK312:TOO313"/>
    <mergeCell ref="TOS312:TOW313"/>
    <mergeCell ref="TPA312:TPE313"/>
    <mergeCell ref="TPI312:TPM313"/>
    <mergeCell ref="TMO312:TMS313"/>
    <mergeCell ref="TMW312:TNA313"/>
    <mergeCell ref="TNE312:TNI313"/>
    <mergeCell ref="TNM312:TNQ313"/>
    <mergeCell ref="TNU312:TNY313"/>
    <mergeCell ref="TXI312:TXM313"/>
    <mergeCell ref="TXQ312:TXU313"/>
    <mergeCell ref="TXY312:TYC313"/>
    <mergeCell ref="TYG312:TYK313"/>
    <mergeCell ref="TYO312:TYS313"/>
    <mergeCell ref="TVU312:TVY313"/>
    <mergeCell ref="TWC312:TWG313"/>
    <mergeCell ref="TWK312:TWO313"/>
    <mergeCell ref="TWS312:TWW313"/>
    <mergeCell ref="TXA312:TXE313"/>
    <mergeCell ref="TUG312:TUK313"/>
    <mergeCell ref="TUO312:TUS313"/>
    <mergeCell ref="TUW312:TVA313"/>
    <mergeCell ref="TVE312:TVI313"/>
    <mergeCell ref="TVM312:TVQ313"/>
    <mergeCell ref="TSS312:TSW313"/>
    <mergeCell ref="TTA312:TTE313"/>
    <mergeCell ref="TTI312:TTM313"/>
    <mergeCell ref="TTQ312:TTU313"/>
    <mergeCell ref="TTY312:TUC313"/>
    <mergeCell ref="UDM312:UDQ313"/>
    <mergeCell ref="UDU312:UDY313"/>
    <mergeCell ref="UEC312:UEG313"/>
    <mergeCell ref="UEK312:UEO313"/>
    <mergeCell ref="UES312:UEW313"/>
    <mergeCell ref="UBY312:UCC313"/>
    <mergeCell ref="UCG312:UCK313"/>
    <mergeCell ref="UCO312:UCS313"/>
    <mergeCell ref="UCW312:UDA313"/>
    <mergeCell ref="UDE312:UDI313"/>
    <mergeCell ref="UAK312:UAO313"/>
    <mergeCell ref="UAS312:UAW313"/>
    <mergeCell ref="UBA312:UBE313"/>
    <mergeCell ref="UBI312:UBM313"/>
    <mergeCell ref="UBQ312:UBU313"/>
    <mergeCell ref="TYW312:TZA313"/>
    <mergeCell ref="TZE312:TZI313"/>
    <mergeCell ref="TZM312:TZQ313"/>
    <mergeCell ref="TZU312:TZY313"/>
    <mergeCell ref="UAC312:UAG313"/>
    <mergeCell ref="UJQ312:UJU313"/>
    <mergeCell ref="UJY312:UKC313"/>
    <mergeCell ref="UKG312:UKK313"/>
    <mergeCell ref="UKO312:UKS313"/>
    <mergeCell ref="UKW312:ULA313"/>
    <mergeCell ref="UIC312:UIG313"/>
    <mergeCell ref="UIK312:UIO313"/>
    <mergeCell ref="UIS312:UIW313"/>
    <mergeCell ref="UJA312:UJE313"/>
    <mergeCell ref="UJI312:UJM313"/>
    <mergeCell ref="UGO312:UGS313"/>
    <mergeCell ref="UGW312:UHA313"/>
    <mergeCell ref="UHE312:UHI313"/>
    <mergeCell ref="UHM312:UHQ313"/>
    <mergeCell ref="UHU312:UHY313"/>
    <mergeCell ref="UFA312:UFE313"/>
    <mergeCell ref="UFI312:UFM313"/>
    <mergeCell ref="UFQ312:UFU313"/>
    <mergeCell ref="UFY312:UGC313"/>
    <mergeCell ref="UGG312:UGK313"/>
    <mergeCell ref="UPU312:UPY313"/>
    <mergeCell ref="UQC312:UQG313"/>
    <mergeCell ref="UQK312:UQO313"/>
    <mergeCell ref="UQS312:UQW313"/>
    <mergeCell ref="URA312:URE313"/>
    <mergeCell ref="UOG312:UOK313"/>
    <mergeCell ref="UOO312:UOS313"/>
    <mergeCell ref="UOW312:UPA313"/>
    <mergeCell ref="UPE312:UPI313"/>
    <mergeCell ref="UPM312:UPQ313"/>
    <mergeCell ref="UMS312:UMW313"/>
    <mergeCell ref="UNA312:UNE313"/>
    <mergeCell ref="UNI312:UNM313"/>
    <mergeCell ref="UNQ312:UNU313"/>
    <mergeCell ref="UNY312:UOC313"/>
    <mergeCell ref="ULE312:ULI313"/>
    <mergeCell ref="ULM312:ULQ313"/>
    <mergeCell ref="ULU312:ULY313"/>
    <mergeCell ref="UMC312:UMG313"/>
    <mergeCell ref="UMK312:UMO313"/>
    <mergeCell ref="UVY312:UWC313"/>
    <mergeCell ref="UWG312:UWK313"/>
    <mergeCell ref="UWO312:UWS313"/>
    <mergeCell ref="UWW312:UXA313"/>
    <mergeCell ref="UXE312:UXI313"/>
    <mergeCell ref="UUK312:UUO313"/>
    <mergeCell ref="UUS312:UUW313"/>
    <mergeCell ref="UVA312:UVE313"/>
    <mergeCell ref="UVI312:UVM313"/>
    <mergeCell ref="UVQ312:UVU313"/>
    <mergeCell ref="USW312:UTA313"/>
    <mergeCell ref="UTE312:UTI313"/>
    <mergeCell ref="UTM312:UTQ313"/>
    <mergeCell ref="UTU312:UTY313"/>
    <mergeCell ref="UUC312:UUG313"/>
    <mergeCell ref="URI312:URM313"/>
    <mergeCell ref="URQ312:URU313"/>
    <mergeCell ref="URY312:USC313"/>
    <mergeCell ref="USG312:USK313"/>
    <mergeCell ref="USO312:USS313"/>
    <mergeCell ref="VCC312:VCG313"/>
    <mergeCell ref="VCK312:VCO313"/>
    <mergeCell ref="VCS312:VCW313"/>
    <mergeCell ref="VDA312:VDE313"/>
    <mergeCell ref="VDI312:VDM313"/>
    <mergeCell ref="VAO312:VAS313"/>
    <mergeCell ref="VAW312:VBA313"/>
    <mergeCell ref="VBE312:VBI313"/>
    <mergeCell ref="VBM312:VBQ313"/>
    <mergeCell ref="VBU312:VBY313"/>
    <mergeCell ref="UZA312:UZE313"/>
    <mergeCell ref="UZI312:UZM313"/>
    <mergeCell ref="UZQ312:UZU313"/>
    <mergeCell ref="UZY312:VAC313"/>
    <mergeCell ref="VAG312:VAK313"/>
    <mergeCell ref="UXM312:UXQ313"/>
    <mergeCell ref="UXU312:UXY313"/>
    <mergeCell ref="UYC312:UYG313"/>
    <mergeCell ref="UYK312:UYO313"/>
    <mergeCell ref="UYS312:UYW313"/>
    <mergeCell ref="VIG312:VIK313"/>
    <mergeCell ref="VIO312:VIS313"/>
    <mergeCell ref="VIW312:VJA313"/>
    <mergeCell ref="VJE312:VJI313"/>
    <mergeCell ref="VJM312:VJQ313"/>
    <mergeCell ref="VGS312:VGW313"/>
    <mergeCell ref="VHA312:VHE313"/>
    <mergeCell ref="VHI312:VHM313"/>
    <mergeCell ref="VHQ312:VHU313"/>
    <mergeCell ref="VHY312:VIC313"/>
    <mergeCell ref="VFE312:VFI313"/>
    <mergeCell ref="VFM312:VFQ313"/>
    <mergeCell ref="VFU312:VFY313"/>
    <mergeCell ref="VGC312:VGG313"/>
    <mergeCell ref="VGK312:VGO313"/>
    <mergeCell ref="VDQ312:VDU313"/>
    <mergeCell ref="VDY312:VEC313"/>
    <mergeCell ref="VEG312:VEK313"/>
    <mergeCell ref="VEO312:VES313"/>
    <mergeCell ref="VEW312:VFA313"/>
    <mergeCell ref="VOK312:VOO313"/>
    <mergeCell ref="VOS312:VOW313"/>
    <mergeCell ref="VPA312:VPE313"/>
    <mergeCell ref="VPI312:VPM313"/>
    <mergeCell ref="VPQ312:VPU313"/>
    <mergeCell ref="VMW312:VNA313"/>
    <mergeCell ref="VNE312:VNI313"/>
    <mergeCell ref="VNM312:VNQ313"/>
    <mergeCell ref="VNU312:VNY313"/>
    <mergeCell ref="VOC312:VOG313"/>
    <mergeCell ref="VLI312:VLM313"/>
    <mergeCell ref="VLQ312:VLU313"/>
    <mergeCell ref="VLY312:VMC313"/>
    <mergeCell ref="VMG312:VMK313"/>
    <mergeCell ref="VMO312:VMS313"/>
    <mergeCell ref="VJU312:VJY313"/>
    <mergeCell ref="VKC312:VKG313"/>
    <mergeCell ref="VKK312:VKO313"/>
    <mergeCell ref="VKS312:VKW313"/>
    <mergeCell ref="VLA312:VLE313"/>
    <mergeCell ref="VUO312:VUS313"/>
    <mergeCell ref="VUW312:VVA313"/>
    <mergeCell ref="VVE312:VVI313"/>
    <mergeCell ref="VVM312:VVQ313"/>
    <mergeCell ref="VVU312:VVY313"/>
    <mergeCell ref="VTA312:VTE313"/>
    <mergeCell ref="VTI312:VTM313"/>
    <mergeCell ref="VTQ312:VTU313"/>
    <mergeCell ref="VTY312:VUC313"/>
    <mergeCell ref="VUG312:VUK313"/>
    <mergeCell ref="VRM312:VRQ313"/>
    <mergeCell ref="VRU312:VRY313"/>
    <mergeCell ref="VSC312:VSG313"/>
    <mergeCell ref="VSK312:VSO313"/>
    <mergeCell ref="VSS312:VSW313"/>
    <mergeCell ref="VPY312:VQC313"/>
    <mergeCell ref="VQG312:VQK313"/>
    <mergeCell ref="VQO312:VQS313"/>
    <mergeCell ref="VQW312:VRA313"/>
    <mergeCell ref="VRE312:VRI313"/>
    <mergeCell ref="WAS312:WAW313"/>
    <mergeCell ref="WBA312:WBE313"/>
    <mergeCell ref="WBI312:WBM313"/>
    <mergeCell ref="WBQ312:WBU313"/>
    <mergeCell ref="WBY312:WCC313"/>
    <mergeCell ref="VZE312:VZI313"/>
    <mergeCell ref="VZM312:VZQ313"/>
    <mergeCell ref="VZU312:VZY313"/>
    <mergeCell ref="WAC312:WAG313"/>
    <mergeCell ref="WAK312:WAO313"/>
    <mergeCell ref="VXQ312:VXU313"/>
    <mergeCell ref="VXY312:VYC313"/>
    <mergeCell ref="VYG312:VYK313"/>
    <mergeCell ref="VYO312:VYS313"/>
    <mergeCell ref="VYW312:VZA313"/>
    <mergeCell ref="VWC312:VWG313"/>
    <mergeCell ref="VWK312:VWO313"/>
    <mergeCell ref="VWS312:VWW313"/>
    <mergeCell ref="VXA312:VXE313"/>
    <mergeCell ref="VXI312:VXM313"/>
    <mergeCell ref="WGW312:WHA313"/>
    <mergeCell ref="WHE312:WHI313"/>
    <mergeCell ref="WHM312:WHQ313"/>
    <mergeCell ref="WHU312:WHY313"/>
    <mergeCell ref="WIC312:WIG313"/>
    <mergeCell ref="WFI312:WFM313"/>
    <mergeCell ref="WFQ312:WFU313"/>
    <mergeCell ref="WFY312:WGC313"/>
    <mergeCell ref="WGG312:WGK313"/>
    <mergeCell ref="WGO312:WGS313"/>
    <mergeCell ref="WDU312:WDY313"/>
    <mergeCell ref="WEC312:WEG313"/>
    <mergeCell ref="WEK312:WEO313"/>
    <mergeCell ref="WES312:WEW313"/>
    <mergeCell ref="WFA312:WFE313"/>
    <mergeCell ref="WCG312:WCK313"/>
    <mergeCell ref="WCO312:WCS313"/>
    <mergeCell ref="WCW312:WDA313"/>
    <mergeCell ref="WDE312:WDI313"/>
    <mergeCell ref="WDM312:WDQ313"/>
    <mergeCell ref="WNA312:WNE313"/>
    <mergeCell ref="WNI312:WNM313"/>
    <mergeCell ref="WNQ312:WNU313"/>
    <mergeCell ref="WNY312:WOC313"/>
    <mergeCell ref="WOG312:WOK313"/>
    <mergeCell ref="WLM312:WLQ313"/>
    <mergeCell ref="WLU312:WLY313"/>
    <mergeCell ref="WMC312:WMG313"/>
    <mergeCell ref="WMK312:WMO313"/>
    <mergeCell ref="WMS312:WMW313"/>
    <mergeCell ref="WJY312:WKC313"/>
    <mergeCell ref="WKG312:WKK313"/>
    <mergeCell ref="WKO312:WKS313"/>
    <mergeCell ref="WKW312:WLA313"/>
    <mergeCell ref="WLE312:WLI313"/>
    <mergeCell ref="WIK312:WIO313"/>
    <mergeCell ref="WIS312:WIW313"/>
    <mergeCell ref="WJA312:WJE313"/>
    <mergeCell ref="WJI312:WJM313"/>
    <mergeCell ref="WJQ312:WJU313"/>
    <mergeCell ref="WTE312:WTI313"/>
    <mergeCell ref="WTM312:WTQ313"/>
    <mergeCell ref="WTU312:WTY313"/>
    <mergeCell ref="WUC312:WUG313"/>
    <mergeCell ref="WUK312:WUO313"/>
    <mergeCell ref="WRQ312:WRU313"/>
    <mergeCell ref="WRY312:WSC313"/>
    <mergeCell ref="WSG312:WSK313"/>
    <mergeCell ref="WSO312:WSS313"/>
    <mergeCell ref="WSW312:WTA313"/>
    <mergeCell ref="WQC312:WQG313"/>
    <mergeCell ref="WQK312:WQO313"/>
    <mergeCell ref="WQS312:WQW313"/>
    <mergeCell ref="WRA312:WRE313"/>
    <mergeCell ref="WRI312:WRM313"/>
    <mergeCell ref="WOO312:WOS313"/>
    <mergeCell ref="WOW312:WPA313"/>
    <mergeCell ref="WPE312:WPI313"/>
    <mergeCell ref="WPM312:WPQ313"/>
    <mergeCell ref="WPU312:WPY313"/>
    <mergeCell ref="WZQ312:WZU313"/>
    <mergeCell ref="WZY312:XAC313"/>
    <mergeCell ref="XAG312:XAK313"/>
    <mergeCell ref="XAO312:XAS313"/>
    <mergeCell ref="WXU312:WXY313"/>
    <mergeCell ref="WYC312:WYG313"/>
    <mergeCell ref="WYK312:WYO313"/>
    <mergeCell ref="WYS312:WYW313"/>
    <mergeCell ref="WZA312:WZE313"/>
    <mergeCell ref="WWG312:WWK313"/>
    <mergeCell ref="WWO312:WWS313"/>
    <mergeCell ref="WWW312:WXA313"/>
    <mergeCell ref="WXE312:WXI313"/>
    <mergeCell ref="WXM312:WXQ313"/>
    <mergeCell ref="WUS312:WUW313"/>
    <mergeCell ref="WVA312:WVE313"/>
    <mergeCell ref="WVI312:WVM313"/>
    <mergeCell ref="WVQ312:WVU313"/>
    <mergeCell ref="WVY312:WWC313"/>
    <mergeCell ref="CS416:CW417"/>
    <mergeCell ref="DA416:DE417"/>
    <mergeCell ref="DI416:DM417"/>
    <mergeCell ref="DQ416:DU417"/>
    <mergeCell ref="DY416:EC417"/>
    <mergeCell ref="XDY312:XEC313"/>
    <mergeCell ref="XEG312:XEK313"/>
    <mergeCell ref="XEO312:XES313"/>
    <mergeCell ref="XEW312:XFA313"/>
    <mergeCell ref="A416:E417"/>
    <mergeCell ref="I416:M417"/>
    <mergeCell ref="Q416:U417"/>
    <mergeCell ref="Y416:AC417"/>
    <mergeCell ref="AG416:AK417"/>
    <mergeCell ref="AO416:AS417"/>
    <mergeCell ref="AW416:BA417"/>
    <mergeCell ref="BE416:BI417"/>
    <mergeCell ref="BM416:BQ417"/>
    <mergeCell ref="BU416:BY417"/>
    <mergeCell ref="CC416:CG417"/>
    <mergeCell ref="CK416:CO417"/>
    <mergeCell ref="XCK312:XCO313"/>
    <mergeCell ref="XCS312:XCW313"/>
    <mergeCell ref="XDA312:XDE313"/>
    <mergeCell ref="XDI312:XDM313"/>
    <mergeCell ref="XDQ312:XDU313"/>
    <mergeCell ref="XAW312:XBA313"/>
    <mergeCell ref="XBE312:XBI313"/>
    <mergeCell ref="XBM312:XBQ313"/>
    <mergeCell ref="XBU312:XBY313"/>
    <mergeCell ref="XCC312:XCG313"/>
    <mergeCell ref="WZI312:WZM313"/>
    <mergeCell ref="IW416:JA417"/>
    <mergeCell ref="JE416:JI417"/>
    <mergeCell ref="JM416:JQ417"/>
    <mergeCell ref="JU416:JY417"/>
    <mergeCell ref="KC416:KG417"/>
    <mergeCell ref="HI416:HM417"/>
    <mergeCell ref="HQ416:HU417"/>
    <mergeCell ref="HY416:IC417"/>
    <mergeCell ref="IG416:IK417"/>
    <mergeCell ref="IO416:IS417"/>
    <mergeCell ref="FU416:FY417"/>
    <mergeCell ref="GC416:GG417"/>
    <mergeCell ref="GK416:GO417"/>
    <mergeCell ref="GS416:GW417"/>
    <mergeCell ref="HA416:HE417"/>
    <mergeCell ref="EG416:EK417"/>
    <mergeCell ref="EO416:ES417"/>
    <mergeCell ref="EW416:FA417"/>
    <mergeCell ref="FE416:FI417"/>
    <mergeCell ref="FM416:FQ417"/>
    <mergeCell ref="PA416:PE417"/>
    <mergeCell ref="PI416:PM417"/>
    <mergeCell ref="PQ416:PU417"/>
    <mergeCell ref="PY416:QC417"/>
    <mergeCell ref="QG416:QK417"/>
    <mergeCell ref="NM416:NQ417"/>
    <mergeCell ref="NU416:NY417"/>
    <mergeCell ref="OC416:OG417"/>
    <mergeCell ref="OK416:OO417"/>
    <mergeCell ref="OS416:OW417"/>
    <mergeCell ref="LY416:MC417"/>
    <mergeCell ref="MG416:MK417"/>
    <mergeCell ref="MO416:MS417"/>
    <mergeCell ref="MW416:NA417"/>
    <mergeCell ref="NE416:NI417"/>
    <mergeCell ref="KK416:KO417"/>
    <mergeCell ref="KS416:KW417"/>
    <mergeCell ref="LA416:LE417"/>
    <mergeCell ref="LI416:LM417"/>
    <mergeCell ref="LQ416:LU417"/>
    <mergeCell ref="VE416:VI417"/>
    <mergeCell ref="VM416:VQ417"/>
    <mergeCell ref="VU416:VY417"/>
    <mergeCell ref="WC416:WG417"/>
    <mergeCell ref="WK416:WO417"/>
    <mergeCell ref="TQ416:TU417"/>
    <mergeCell ref="TY416:UC417"/>
    <mergeCell ref="UG416:UK417"/>
    <mergeCell ref="UO416:US417"/>
    <mergeCell ref="UW416:VA417"/>
    <mergeCell ref="SC416:SG417"/>
    <mergeCell ref="SK416:SO417"/>
    <mergeCell ref="SS416:SW417"/>
    <mergeCell ref="TA416:TE417"/>
    <mergeCell ref="TI416:TM417"/>
    <mergeCell ref="QO416:QS417"/>
    <mergeCell ref="QW416:RA417"/>
    <mergeCell ref="RE416:RI417"/>
    <mergeCell ref="RM416:RQ417"/>
    <mergeCell ref="RU416:RY417"/>
    <mergeCell ref="ABI416:ABM417"/>
    <mergeCell ref="ABQ416:ABU417"/>
    <mergeCell ref="ABY416:ACC417"/>
    <mergeCell ref="ACG416:ACK417"/>
    <mergeCell ref="ACO416:ACS417"/>
    <mergeCell ref="ZU416:ZY417"/>
    <mergeCell ref="AAC416:AAG417"/>
    <mergeCell ref="AAK416:AAO417"/>
    <mergeCell ref="AAS416:AAW417"/>
    <mergeCell ref="ABA416:ABE417"/>
    <mergeCell ref="YG416:YK417"/>
    <mergeCell ref="YO416:YS417"/>
    <mergeCell ref="YW416:ZA417"/>
    <mergeCell ref="ZE416:ZI417"/>
    <mergeCell ref="ZM416:ZQ417"/>
    <mergeCell ref="WS416:WW417"/>
    <mergeCell ref="XA416:XE417"/>
    <mergeCell ref="XI416:XM417"/>
    <mergeCell ref="XQ416:XU417"/>
    <mergeCell ref="XY416:YC417"/>
    <mergeCell ref="AHM416:AHQ417"/>
    <mergeCell ref="AHU416:AHY417"/>
    <mergeCell ref="AIC416:AIG417"/>
    <mergeCell ref="AIK416:AIO417"/>
    <mergeCell ref="AIS416:AIW417"/>
    <mergeCell ref="AFY416:AGC417"/>
    <mergeCell ref="AGG416:AGK417"/>
    <mergeCell ref="AGO416:AGS417"/>
    <mergeCell ref="AGW416:AHA417"/>
    <mergeCell ref="AHE416:AHI417"/>
    <mergeCell ref="AEK416:AEO417"/>
    <mergeCell ref="AES416:AEW417"/>
    <mergeCell ref="AFA416:AFE417"/>
    <mergeCell ref="AFI416:AFM417"/>
    <mergeCell ref="AFQ416:AFU417"/>
    <mergeCell ref="ACW416:ADA417"/>
    <mergeCell ref="ADE416:ADI417"/>
    <mergeCell ref="ADM416:ADQ417"/>
    <mergeCell ref="ADU416:ADY417"/>
    <mergeCell ref="AEC416:AEG417"/>
    <mergeCell ref="ANQ416:ANU417"/>
    <mergeCell ref="ANY416:AOC417"/>
    <mergeCell ref="AOG416:AOK417"/>
    <mergeCell ref="AOO416:AOS417"/>
    <mergeCell ref="AOW416:APA417"/>
    <mergeCell ref="AMC416:AMG417"/>
    <mergeCell ref="AMK416:AMO417"/>
    <mergeCell ref="AMS416:AMW417"/>
    <mergeCell ref="ANA416:ANE417"/>
    <mergeCell ref="ANI416:ANM417"/>
    <mergeCell ref="AKO416:AKS417"/>
    <mergeCell ref="AKW416:ALA417"/>
    <mergeCell ref="ALE416:ALI417"/>
    <mergeCell ref="ALM416:ALQ417"/>
    <mergeCell ref="ALU416:ALY417"/>
    <mergeCell ref="AJA416:AJE417"/>
    <mergeCell ref="AJI416:AJM417"/>
    <mergeCell ref="AJQ416:AJU417"/>
    <mergeCell ref="AJY416:AKC417"/>
    <mergeCell ref="AKG416:AKK417"/>
    <mergeCell ref="ATU416:ATY417"/>
    <mergeCell ref="AUC416:AUG417"/>
    <mergeCell ref="AUK416:AUO417"/>
    <mergeCell ref="AUS416:AUW417"/>
    <mergeCell ref="AVA416:AVE417"/>
    <mergeCell ref="ASG416:ASK417"/>
    <mergeCell ref="ASO416:ASS417"/>
    <mergeCell ref="ASW416:ATA417"/>
    <mergeCell ref="ATE416:ATI417"/>
    <mergeCell ref="ATM416:ATQ417"/>
    <mergeCell ref="AQS416:AQW417"/>
    <mergeCell ref="ARA416:ARE417"/>
    <mergeCell ref="ARI416:ARM417"/>
    <mergeCell ref="ARQ416:ARU417"/>
    <mergeCell ref="ARY416:ASC417"/>
    <mergeCell ref="APE416:API417"/>
    <mergeCell ref="APM416:APQ417"/>
    <mergeCell ref="APU416:APY417"/>
    <mergeCell ref="AQC416:AQG417"/>
    <mergeCell ref="AQK416:AQO417"/>
    <mergeCell ref="AZY416:BAC417"/>
    <mergeCell ref="BAG416:BAK417"/>
    <mergeCell ref="BAO416:BAS417"/>
    <mergeCell ref="BAW416:BBA417"/>
    <mergeCell ref="BBE416:BBI417"/>
    <mergeCell ref="AYK416:AYO417"/>
    <mergeCell ref="AYS416:AYW417"/>
    <mergeCell ref="AZA416:AZE417"/>
    <mergeCell ref="AZI416:AZM417"/>
    <mergeCell ref="AZQ416:AZU417"/>
    <mergeCell ref="AWW416:AXA417"/>
    <mergeCell ref="AXE416:AXI417"/>
    <mergeCell ref="AXM416:AXQ417"/>
    <mergeCell ref="AXU416:AXY417"/>
    <mergeCell ref="AYC416:AYG417"/>
    <mergeCell ref="AVI416:AVM417"/>
    <mergeCell ref="AVQ416:AVU417"/>
    <mergeCell ref="AVY416:AWC417"/>
    <mergeCell ref="AWG416:AWK417"/>
    <mergeCell ref="AWO416:AWS417"/>
    <mergeCell ref="BGC416:BGG417"/>
    <mergeCell ref="BGK416:BGO417"/>
    <mergeCell ref="BGS416:BGW417"/>
    <mergeCell ref="BHA416:BHE417"/>
    <mergeCell ref="BHI416:BHM417"/>
    <mergeCell ref="BEO416:BES417"/>
    <mergeCell ref="BEW416:BFA417"/>
    <mergeCell ref="BFE416:BFI417"/>
    <mergeCell ref="BFM416:BFQ417"/>
    <mergeCell ref="BFU416:BFY417"/>
    <mergeCell ref="BDA416:BDE417"/>
    <mergeCell ref="BDI416:BDM417"/>
    <mergeCell ref="BDQ416:BDU417"/>
    <mergeCell ref="BDY416:BEC417"/>
    <mergeCell ref="BEG416:BEK417"/>
    <mergeCell ref="BBM416:BBQ417"/>
    <mergeCell ref="BBU416:BBY417"/>
    <mergeCell ref="BCC416:BCG417"/>
    <mergeCell ref="BCK416:BCO417"/>
    <mergeCell ref="BCS416:BCW417"/>
    <mergeCell ref="BMG416:BMK417"/>
    <mergeCell ref="BMO416:BMS417"/>
    <mergeCell ref="BMW416:BNA417"/>
    <mergeCell ref="BNE416:BNI417"/>
    <mergeCell ref="BNM416:BNQ417"/>
    <mergeCell ref="BKS416:BKW417"/>
    <mergeCell ref="BLA416:BLE417"/>
    <mergeCell ref="BLI416:BLM417"/>
    <mergeCell ref="BLQ416:BLU417"/>
    <mergeCell ref="BLY416:BMC417"/>
    <mergeCell ref="BJE416:BJI417"/>
    <mergeCell ref="BJM416:BJQ417"/>
    <mergeCell ref="BJU416:BJY417"/>
    <mergeCell ref="BKC416:BKG417"/>
    <mergeCell ref="BKK416:BKO417"/>
    <mergeCell ref="BHQ416:BHU417"/>
    <mergeCell ref="BHY416:BIC417"/>
    <mergeCell ref="BIG416:BIK417"/>
    <mergeCell ref="BIO416:BIS417"/>
    <mergeCell ref="BIW416:BJA417"/>
    <mergeCell ref="BSK416:BSO417"/>
    <mergeCell ref="BSS416:BSW417"/>
    <mergeCell ref="BTA416:BTE417"/>
    <mergeCell ref="BTI416:BTM417"/>
    <mergeCell ref="BTQ416:BTU417"/>
    <mergeCell ref="BQW416:BRA417"/>
    <mergeCell ref="BRE416:BRI417"/>
    <mergeCell ref="BRM416:BRQ417"/>
    <mergeCell ref="BRU416:BRY417"/>
    <mergeCell ref="BSC416:BSG417"/>
    <mergeCell ref="BPI416:BPM417"/>
    <mergeCell ref="BPQ416:BPU417"/>
    <mergeCell ref="BPY416:BQC417"/>
    <mergeCell ref="BQG416:BQK417"/>
    <mergeCell ref="BQO416:BQS417"/>
    <mergeCell ref="BNU416:BNY417"/>
    <mergeCell ref="BOC416:BOG417"/>
    <mergeCell ref="BOK416:BOO417"/>
    <mergeCell ref="BOS416:BOW417"/>
    <mergeCell ref="BPA416:BPE417"/>
    <mergeCell ref="BYO416:BYS417"/>
    <mergeCell ref="BYW416:BZA417"/>
    <mergeCell ref="BZE416:BZI417"/>
    <mergeCell ref="BZM416:BZQ417"/>
    <mergeCell ref="BZU416:BZY417"/>
    <mergeCell ref="BXA416:BXE417"/>
    <mergeCell ref="BXI416:BXM417"/>
    <mergeCell ref="BXQ416:BXU417"/>
    <mergeCell ref="BXY416:BYC417"/>
    <mergeCell ref="BYG416:BYK417"/>
    <mergeCell ref="BVM416:BVQ417"/>
    <mergeCell ref="BVU416:BVY417"/>
    <mergeCell ref="BWC416:BWG417"/>
    <mergeCell ref="BWK416:BWO417"/>
    <mergeCell ref="BWS416:BWW417"/>
    <mergeCell ref="BTY416:BUC417"/>
    <mergeCell ref="BUG416:BUK417"/>
    <mergeCell ref="BUO416:BUS417"/>
    <mergeCell ref="BUW416:BVA417"/>
    <mergeCell ref="BVE416:BVI417"/>
    <mergeCell ref="CES416:CEW417"/>
    <mergeCell ref="CFA416:CFE417"/>
    <mergeCell ref="CFI416:CFM417"/>
    <mergeCell ref="CFQ416:CFU417"/>
    <mergeCell ref="CFY416:CGC417"/>
    <mergeCell ref="CDE416:CDI417"/>
    <mergeCell ref="CDM416:CDQ417"/>
    <mergeCell ref="CDU416:CDY417"/>
    <mergeCell ref="CEC416:CEG417"/>
    <mergeCell ref="CEK416:CEO417"/>
    <mergeCell ref="CBQ416:CBU417"/>
    <mergeCell ref="CBY416:CCC417"/>
    <mergeCell ref="CCG416:CCK417"/>
    <mergeCell ref="CCO416:CCS417"/>
    <mergeCell ref="CCW416:CDA417"/>
    <mergeCell ref="CAC416:CAG417"/>
    <mergeCell ref="CAK416:CAO417"/>
    <mergeCell ref="CAS416:CAW417"/>
    <mergeCell ref="CBA416:CBE417"/>
    <mergeCell ref="CBI416:CBM417"/>
    <mergeCell ref="CKW416:CLA417"/>
    <mergeCell ref="CLE416:CLI417"/>
    <mergeCell ref="CLM416:CLQ417"/>
    <mergeCell ref="CLU416:CLY417"/>
    <mergeCell ref="CMC416:CMG417"/>
    <mergeCell ref="CJI416:CJM417"/>
    <mergeCell ref="CJQ416:CJU417"/>
    <mergeCell ref="CJY416:CKC417"/>
    <mergeCell ref="CKG416:CKK417"/>
    <mergeCell ref="CKO416:CKS417"/>
    <mergeCell ref="CHU416:CHY417"/>
    <mergeCell ref="CIC416:CIG417"/>
    <mergeCell ref="CIK416:CIO417"/>
    <mergeCell ref="CIS416:CIW417"/>
    <mergeCell ref="CJA416:CJE417"/>
    <mergeCell ref="CGG416:CGK417"/>
    <mergeCell ref="CGO416:CGS417"/>
    <mergeCell ref="CGW416:CHA417"/>
    <mergeCell ref="CHE416:CHI417"/>
    <mergeCell ref="CHM416:CHQ417"/>
    <mergeCell ref="CRA416:CRE417"/>
    <mergeCell ref="CRI416:CRM417"/>
    <mergeCell ref="CRQ416:CRU417"/>
    <mergeCell ref="CRY416:CSC417"/>
    <mergeCell ref="CSG416:CSK417"/>
    <mergeCell ref="CPM416:CPQ417"/>
    <mergeCell ref="CPU416:CPY417"/>
    <mergeCell ref="CQC416:CQG417"/>
    <mergeCell ref="CQK416:CQO417"/>
    <mergeCell ref="CQS416:CQW417"/>
    <mergeCell ref="CNY416:COC417"/>
    <mergeCell ref="COG416:COK417"/>
    <mergeCell ref="COO416:COS417"/>
    <mergeCell ref="COW416:CPA417"/>
    <mergeCell ref="CPE416:CPI417"/>
    <mergeCell ref="CMK416:CMO417"/>
    <mergeCell ref="CMS416:CMW417"/>
    <mergeCell ref="CNA416:CNE417"/>
    <mergeCell ref="CNI416:CNM417"/>
    <mergeCell ref="CNQ416:CNU417"/>
    <mergeCell ref="CXE416:CXI417"/>
    <mergeCell ref="CXM416:CXQ417"/>
    <mergeCell ref="CXU416:CXY417"/>
    <mergeCell ref="CYC416:CYG417"/>
    <mergeCell ref="CYK416:CYO417"/>
    <mergeCell ref="CVQ416:CVU417"/>
    <mergeCell ref="CVY416:CWC417"/>
    <mergeCell ref="CWG416:CWK417"/>
    <mergeCell ref="CWO416:CWS417"/>
    <mergeCell ref="CWW416:CXA417"/>
    <mergeCell ref="CUC416:CUG417"/>
    <mergeCell ref="CUK416:CUO417"/>
    <mergeCell ref="CUS416:CUW417"/>
    <mergeCell ref="CVA416:CVE417"/>
    <mergeCell ref="CVI416:CVM417"/>
    <mergeCell ref="CSO416:CSS417"/>
    <mergeCell ref="CSW416:CTA417"/>
    <mergeCell ref="CTE416:CTI417"/>
    <mergeCell ref="CTM416:CTQ417"/>
    <mergeCell ref="CTU416:CTY417"/>
    <mergeCell ref="DDI416:DDM417"/>
    <mergeCell ref="DDQ416:DDU417"/>
    <mergeCell ref="DDY416:DEC417"/>
    <mergeCell ref="DEG416:DEK417"/>
    <mergeCell ref="DEO416:DES417"/>
    <mergeCell ref="DBU416:DBY417"/>
    <mergeCell ref="DCC416:DCG417"/>
    <mergeCell ref="DCK416:DCO417"/>
    <mergeCell ref="DCS416:DCW417"/>
    <mergeCell ref="DDA416:DDE417"/>
    <mergeCell ref="DAG416:DAK417"/>
    <mergeCell ref="DAO416:DAS417"/>
    <mergeCell ref="DAW416:DBA417"/>
    <mergeCell ref="DBE416:DBI417"/>
    <mergeCell ref="DBM416:DBQ417"/>
    <mergeCell ref="CYS416:CYW417"/>
    <mergeCell ref="CZA416:CZE417"/>
    <mergeCell ref="CZI416:CZM417"/>
    <mergeCell ref="CZQ416:CZU417"/>
    <mergeCell ref="CZY416:DAC417"/>
    <mergeCell ref="DJM416:DJQ417"/>
    <mergeCell ref="DJU416:DJY417"/>
    <mergeCell ref="DKC416:DKG417"/>
    <mergeCell ref="DKK416:DKO417"/>
    <mergeCell ref="DKS416:DKW417"/>
    <mergeCell ref="DHY416:DIC417"/>
    <mergeCell ref="DIG416:DIK417"/>
    <mergeCell ref="DIO416:DIS417"/>
    <mergeCell ref="DIW416:DJA417"/>
    <mergeCell ref="DJE416:DJI417"/>
    <mergeCell ref="DGK416:DGO417"/>
    <mergeCell ref="DGS416:DGW417"/>
    <mergeCell ref="DHA416:DHE417"/>
    <mergeCell ref="DHI416:DHM417"/>
    <mergeCell ref="DHQ416:DHU417"/>
    <mergeCell ref="DEW416:DFA417"/>
    <mergeCell ref="DFE416:DFI417"/>
    <mergeCell ref="DFM416:DFQ417"/>
    <mergeCell ref="DFU416:DFY417"/>
    <mergeCell ref="DGC416:DGG417"/>
    <mergeCell ref="DPQ416:DPU417"/>
    <mergeCell ref="DPY416:DQC417"/>
    <mergeCell ref="DQG416:DQK417"/>
    <mergeCell ref="DQO416:DQS417"/>
    <mergeCell ref="DQW416:DRA417"/>
    <mergeCell ref="DOC416:DOG417"/>
    <mergeCell ref="DOK416:DOO417"/>
    <mergeCell ref="DOS416:DOW417"/>
    <mergeCell ref="DPA416:DPE417"/>
    <mergeCell ref="DPI416:DPM417"/>
    <mergeCell ref="DMO416:DMS417"/>
    <mergeCell ref="DMW416:DNA417"/>
    <mergeCell ref="DNE416:DNI417"/>
    <mergeCell ref="DNM416:DNQ417"/>
    <mergeCell ref="DNU416:DNY417"/>
    <mergeCell ref="DLA416:DLE417"/>
    <mergeCell ref="DLI416:DLM417"/>
    <mergeCell ref="DLQ416:DLU417"/>
    <mergeCell ref="DLY416:DMC417"/>
    <mergeCell ref="DMG416:DMK417"/>
    <mergeCell ref="DVU416:DVY417"/>
    <mergeCell ref="DWC416:DWG417"/>
    <mergeCell ref="DWK416:DWO417"/>
    <mergeCell ref="DWS416:DWW417"/>
    <mergeCell ref="DXA416:DXE417"/>
    <mergeCell ref="DUG416:DUK417"/>
    <mergeCell ref="DUO416:DUS417"/>
    <mergeCell ref="DUW416:DVA417"/>
    <mergeCell ref="DVE416:DVI417"/>
    <mergeCell ref="DVM416:DVQ417"/>
    <mergeCell ref="DSS416:DSW417"/>
    <mergeCell ref="DTA416:DTE417"/>
    <mergeCell ref="DTI416:DTM417"/>
    <mergeCell ref="DTQ416:DTU417"/>
    <mergeCell ref="DTY416:DUC417"/>
    <mergeCell ref="DRE416:DRI417"/>
    <mergeCell ref="DRM416:DRQ417"/>
    <mergeCell ref="DRU416:DRY417"/>
    <mergeCell ref="DSC416:DSG417"/>
    <mergeCell ref="DSK416:DSO417"/>
    <mergeCell ref="EBY416:ECC417"/>
    <mergeCell ref="ECG416:ECK417"/>
    <mergeCell ref="ECO416:ECS417"/>
    <mergeCell ref="ECW416:EDA417"/>
    <mergeCell ref="EDE416:EDI417"/>
    <mergeCell ref="EAK416:EAO417"/>
    <mergeCell ref="EAS416:EAW417"/>
    <mergeCell ref="EBA416:EBE417"/>
    <mergeCell ref="EBI416:EBM417"/>
    <mergeCell ref="EBQ416:EBU417"/>
    <mergeCell ref="DYW416:DZA417"/>
    <mergeCell ref="DZE416:DZI417"/>
    <mergeCell ref="DZM416:DZQ417"/>
    <mergeCell ref="DZU416:DZY417"/>
    <mergeCell ref="EAC416:EAG417"/>
    <mergeCell ref="DXI416:DXM417"/>
    <mergeCell ref="DXQ416:DXU417"/>
    <mergeCell ref="DXY416:DYC417"/>
    <mergeCell ref="DYG416:DYK417"/>
    <mergeCell ref="DYO416:DYS417"/>
    <mergeCell ref="EIC416:EIG417"/>
    <mergeCell ref="EIK416:EIO417"/>
    <mergeCell ref="EIS416:EIW417"/>
    <mergeCell ref="EJA416:EJE417"/>
    <mergeCell ref="EJI416:EJM417"/>
    <mergeCell ref="EGO416:EGS417"/>
    <mergeCell ref="EGW416:EHA417"/>
    <mergeCell ref="EHE416:EHI417"/>
    <mergeCell ref="EHM416:EHQ417"/>
    <mergeCell ref="EHU416:EHY417"/>
    <mergeCell ref="EFA416:EFE417"/>
    <mergeCell ref="EFI416:EFM417"/>
    <mergeCell ref="EFQ416:EFU417"/>
    <mergeCell ref="EFY416:EGC417"/>
    <mergeCell ref="EGG416:EGK417"/>
    <mergeCell ref="EDM416:EDQ417"/>
    <mergeCell ref="EDU416:EDY417"/>
    <mergeCell ref="EEC416:EEG417"/>
    <mergeCell ref="EEK416:EEO417"/>
    <mergeCell ref="EES416:EEW417"/>
    <mergeCell ref="EOG416:EOK417"/>
    <mergeCell ref="EOO416:EOS417"/>
    <mergeCell ref="EOW416:EPA417"/>
    <mergeCell ref="EPE416:EPI417"/>
    <mergeCell ref="EPM416:EPQ417"/>
    <mergeCell ref="EMS416:EMW417"/>
    <mergeCell ref="ENA416:ENE417"/>
    <mergeCell ref="ENI416:ENM417"/>
    <mergeCell ref="ENQ416:ENU417"/>
    <mergeCell ref="ENY416:EOC417"/>
    <mergeCell ref="ELE416:ELI417"/>
    <mergeCell ref="ELM416:ELQ417"/>
    <mergeCell ref="ELU416:ELY417"/>
    <mergeCell ref="EMC416:EMG417"/>
    <mergeCell ref="EMK416:EMO417"/>
    <mergeCell ref="EJQ416:EJU417"/>
    <mergeCell ref="EJY416:EKC417"/>
    <mergeCell ref="EKG416:EKK417"/>
    <mergeCell ref="EKO416:EKS417"/>
    <mergeCell ref="EKW416:ELA417"/>
    <mergeCell ref="EUK416:EUO417"/>
    <mergeCell ref="EUS416:EUW417"/>
    <mergeCell ref="EVA416:EVE417"/>
    <mergeCell ref="EVI416:EVM417"/>
    <mergeCell ref="EVQ416:EVU417"/>
    <mergeCell ref="ESW416:ETA417"/>
    <mergeCell ref="ETE416:ETI417"/>
    <mergeCell ref="ETM416:ETQ417"/>
    <mergeCell ref="ETU416:ETY417"/>
    <mergeCell ref="EUC416:EUG417"/>
    <mergeCell ref="ERI416:ERM417"/>
    <mergeCell ref="ERQ416:ERU417"/>
    <mergeCell ref="ERY416:ESC417"/>
    <mergeCell ref="ESG416:ESK417"/>
    <mergeCell ref="ESO416:ESS417"/>
    <mergeCell ref="EPU416:EPY417"/>
    <mergeCell ref="EQC416:EQG417"/>
    <mergeCell ref="EQK416:EQO417"/>
    <mergeCell ref="EQS416:EQW417"/>
    <mergeCell ref="ERA416:ERE417"/>
    <mergeCell ref="FAO416:FAS417"/>
    <mergeCell ref="FAW416:FBA417"/>
    <mergeCell ref="FBE416:FBI417"/>
    <mergeCell ref="FBM416:FBQ417"/>
    <mergeCell ref="FBU416:FBY417"/>
    <mergeCell ref="EZA416:EZE417"/>
    <mergeCell ref="EZI416:EZM417"/>
    <mergeCell ref="EZQ416:EZU417"/>
    <mergeCell ref="EZY416:FAC417"/>
    <mergeCell ref="FAG416:FAK417"/>
    <mergeCell ref="EXM416:EXQ417"/>
    <mergeCell ref="EXU416:EXY417"/>
    <mergeCell ref="EYC416:EYG417"/>
    <mergeCell ref="EYK416:EYO417"/>
    <mergeCell ref="EYS416:EYW417"/>
    <mergeCell ref="EVY416:EWC417"/>
    <mergeCell ref="EWG416:EWK417"/>
    <mergeCell ref="EWO416:EWS417"/>
    <mergeCell ref="EWW416:EXA417"/>
    <mergeCell ref="EXE416:EXI417"/>
    <mergeCell ref="FGS416:FGW417"/>
    <mergeCell ref="FHA416:FHE417"/>
    <mergeCell ref="FHI416:FHM417"/>
    <mergeCell ref="FHQ416:FHU417"/>
    <mergeCell ref="FHY416:FIC417"/>
    <mergeCell ref="FFE416:FFI417"/>
    <mergeCell ref="FFM416:FFQ417"/>
    <mergeCell ref="FFU416:FFY417"/>
    <mergeCell ref="FGC416:FGG417"/>
    <mergeCell ref="FGK416:FGO417"/>
    <mergeCell ref="FDQ416:FDU417"/>
    <mergeCell ref="FDY416:FEC417"/>
    <mergeCell ref="FEG416:FEK417"/>
    <mergeCell ref="FEO416:FES417"/>
    <mergeCell ref="FEW416:FFA417"/>
    <mergeCell ref="FCC416:FCG417"/>
    <mergeCell ref="FCK416:FCO417"/>
    <mergeCell ref="FCS416:FCW417"/>
    <mergeCell ref="FDA416:FDE417"/>
    <mergeCell ref="FDI416:FDM417"/>
    <mergeCell ref="FMW416:FNA417"/>
    <mergeCell ref="FNE416:FNI417"/>
    <mergeCell ref="FNM416:FNQ417"/>
    <mergeCell ref="FNU416:FNY417"/>
    <mergeCell ref="FOC416:FOG417"/>
    <mergeCell ref="FLI416:FLM417"/>
    <mergeCell ref="FLQ416:FLU417"/>
    <mergeCell ref="FLY416:FMC417"/>
    <mergeCell ref="FMG416:FMK417"/>
    <mergeCell ref="FMO416:FMS417"/>
    <mergeCell ref="FJU416:FJY417"/>
    <mergeCell ref="FKC416:FKG417"/>
    <mergeCell ref="FKK416:FKO417"/>
    <mergeCell ref="FKS416:FKW417"/>
    <mergeCell ref="FLA416:FLE417"/>
    <mergeCell ref="FIG416:FIK417"/>
    <mergeCell ref="FIO416:FIS417"/>
    <mergeCell ref="FIW416:FJA417"/>
    <mergeCell ref="FJE416:FJI417"/>
    <mergeCell ref="FJM416:FJQ417"/>
    <mergeCell ref="FTA416:FTE417"/>
    <mergeCell ref="FTI416:FTM417"/>
    <mergeCell ref="FTQ416:FTU417"/>
    <mergeCell ref="FTY416:FUC417"/>
    <mergeCell ref="FUG416:FUK417"/>
    <mergeCell ref="FRM416:FRQ417"/>
    <mergeCell ref="FRU416:FRY417"/>
    <mergeCell ref="FSC416:FSG417"/>
    <mergeCell ref="FSK416:FSO417"/>
    <mergeCell ref="FSS416:FSW417"/>
    <mergeCell ref="FPY416:FQC417"/>
    <mergeCell ref="FQG416:FQK417"/>
    <mergeCell ref="FQO416:FQS417"/>
    <mergeCell ref="FQW416:FRA417"/>
    <mergeCell ref="FRE416:FRI417"/>
    <mergeCell ref="FOK416:FOO417"/>
    <mergeCell ref="FOS416:FOW417"/>
    <mergeCell ref="FPA416:FPE417"/>
    <mergeCell ref="FPI416:FPM417"/>
    <mergeCell ref="FPQ416:FPU417"/>
    <mergeCell ref="FZE416:FZI417"/>
    <mergeCell ref="FZM416:FZQ417"/>
    <mergeCell ref="FZU416:FZY417"/>
    <mergeCell ref="GAC416:GAG417"/>
    <mergeCell ref="GAK416:GAO417"/>
    <mergeCell ref="FXQ416:FXU417"/>
    <mergeCell ref="FXY416:FYC417"/>
    <mergeCell ref="FYG416:FYK417"/>
    <mergeCell ref="FYO416:FYS417"/>
    <mergeCell ref="FYW416:FZA417"/>
    <mergeCell ref="FWC416:FWG417"/>
    <mergeCell ref="FWK416:FWO417"/>
    <mergeCell ref="FWS416:FWW417"/>
    <mergeCell ref="FXA416:FXE417"/>
    <mergeCell ref="FXI416:FXM417"/>
    <mergeCell ref="FUO416:FUS417"/>
    <mergeCell ref="FUW416:FVA417"/>
    <mergeCell ref="FVE416:FVI417"/>
    <mergeCell ref="FVM416:FVQ417"/>
    <mergeCell ref="FVU416:FVY417"/>
    <mergeCell ref="GFI416:GFM417"/>
    <mergeCell ref="GFQ416:GFU417"/>
    <mergeCell ref="GFY416:GGC417"/>
    <mergeCell ref="GGG416:GGK417"/>
    <mergeCell ref="GGO416:GGS417"/>
    <mergeCell ref="GDU416:GDY417"/>
    <mergeCell ref="GEC416:GEG417"/>
    <mergeCell ref="GEK416:GEO417"/>
    <mergeCell ref="GES416:GEW417"/>
    <mergeCell ref="GFA416:GFE417"/>
    <mergeCell ref="GCG416:GCK417"/>
    <mergeCell ref="GCO416:GCS417"/>
    <mergeCell ref="GCW416:GDA417"/>
    <mergeCell ref="GDE416:GDI417"/>
    <mergeCell ref="GDM416:GDQ417"/>
    <mergeCell ref="GAS416:GAW417"/>
    <mergeCell ref="GBA416:GBE417"/>
    <mergeCell ref="GBI416:GBM417"/>
    <mergeCell ref="GBQ416:GBU417"/>
    <mergeCell ref="GBY416:GCC417"/>
    <mergeCell ref="GLM416:GLQ417"/>
    <mergeCell ref="GLU416:GLY417"/>
    <mergeCell ref="GMC416:GMG417"/>
    <mergeCell ref="GMK416:GMO417"/>
    <mergeCell ref="GMS416:GMW417"/>
    <mergeCell ref="GJY416:GKC417"/>
    <mergeCell ref="GKG416:GKK417"/>
    <mergeCell ref="GKO416:GKS417"/>
    <mergeCell ref="GKW416:GLA417"/>
    <mergeCell ref="GLE416:GLI417"/>
    <mergeCell ref="GIK416:GIO417"/>
    <mergeCell ref="GIS416:GIW417"/>
    <mergeCell ref="GJA416:GJE417"/>
    <mergeCell ref="GJI416:GJM417"/>
    <mergeCell ref="GJQ416:GJU417"/>
    <mergeCell ref="GGW416:GHA417"/>
    <mergeCell ref="GHE416:GHI417"/>
    <mergeCell ref="GHM416:GHQ417"/>
    <mergeCell ref="GHU416:GHY417"/>
    <mergeCell ref="GIC416:GIG417"/>
    <mergeCell ref="GRQ416:GRU417"/>
    <mergeCell ref="GRY416:GSC417"/>
    <mergeCell ref="GSG416:GSK417"/>
    <mergeCell ref="GSO416:GSS417"/>
    <mergeCell ref="GSW416:GTA417"/>
    <mergeCell ref="GQC416:GQG417"/>
    <mergeCell ref="GQK416:GQO417"/>
    <mergeCell ref="GQS416:GQW417"/>
    <mergeCell ref="GRA416:GRE417"/>
    <mergeCell ref="GRI416:GRM417"/>
    <mergeCell ref="GOO416:GOS417"/>
    <mergeCell ref="GOW416:GPA417"/>
    <mergeCell ref="GPE416:GPI417"/>
    <mergeCell ref="GPM416:GPQ417"/>
    <mergeCell ref="GPU416:GPY417"/>
    <mergeCell ref="GNA416:GNE417"/>
    <mergeCell ref="GNI416:GNM417"/>
    <mergeCell ref="GNQ416:GNU417"/>
    <mergeCell ref="GNY416:GOC417"/>
    <mergeCell ref="GOG416:GOK417"/>
    <mergeCell ref="GXU416:GXY417"/>
    <mergeCell ref="GYC416:GYG417"/>
    <mergeCell ref="GYK416:GYO417"/>
    <mergeCell ref="GYS416:GYW417"/>
    <mergeCell ref="GZA416:GZE417"/>
    <mergeCell ref="GWG416:GWK417"/>
    <mergeCell ref="GWO416:GWS417"/>
    <mergeCell ref="GWW416:GXA417"/>
    <mergeCell ref="GXE416:GXI417"/>
    <mergeCell ref="GXM416:GXQ417"/>
    <mergeCell ref="GUS416:GUW417"/>
    <mergeCell ref="GVA416:GVE417"/>
    <mergeCell ref="GVI416:GVM417"/>
    <mergeCell ref="GVQ416:GVU417"/>
    <mergeCell ref="GVY416:GWC417"/>
    <mergeCell ref="GTE416:GTI417"/>
    <mergeCell ref="GTM416:GTQ417"/>
    <mergeCell ref="GTU416:GTY417"/>
    <mergeCell ref="GUC416:GUG417"/>
    <mergeCell ref="GUK416:GUO417"/>
    <mergeCell ref="HDY416:HEC417"/>
    <mergeCell ref="HEG416:HEK417"/>
    <mergeCell ref="HEO416:HES417"/>
    <mergeCell ref="HEW416:HFA417"/>
    <mergeCell ref="HFE416:HFI417"/>
    <mergeCell ref="HCK416:HCO417"/>
    <mergeCell ref="HCS416:HCW417"/>
    <mergeCell ref="HDA416:HDE417"/>
    <mergeCell ref="HDI416:HDM417"/>
    <mergeCell ref="HDQ416:HDU417"/>
    <mergeCell ref="HAW416:HBA417"/>
    <mergeCell ref="HBE416:HBI417"/>
    <mergeCell ref="HBM416:HBQ417"/>
    <mergeCell ref="HBU416:HBY417"/>
    <mergeCell ref="HCC416:HCG417"/>
    <mergeCell ref="GZI416:GZM417"/>
    <mergeCell ref="GZQ416:GZU417"/>
    <mergeCell ref="GZY416:HAC417"/>
    <mergeCell ref="HAG416:HAK417"/>
    <mergeCell ref="HAO416:HAS417"/>
    <mergeCell ref="HKC416:HKG417"/>
    <mergeCell ref="HKK416:HKO417"/>
    <mergeCell ref="HKS416:HKW417"/>
    <mergeCell ref="HLA416:HLE417"/>
    <mergeCell ref="HLI416:HLM417"/>
    <mergeCell ref="HIO416:HIS417"/>
    <mergeCell ref="HIW416:HJA417"/>
    <mergeCell ref="HJE416:HJI417"/>
    <mergeCell ref="HJM416:HJQ417"/>
    <mergeCell ref="HJU416:HJY417"/>
    <mergeCell ref="HHA416:HHE417"/>
    <mergeCell ref="HHI416:HHM417"/>
    <mergeCell ref="HHQ416:HHU417"/>
    <mergeCell ref="HHY416:HIC417"/>
    <mergeCell ref="HIG416:HIK417"/>
    <mergeCell ref="HFM416:HFQ417"/>
    <mergeCell ref="HFU416:HFY417"/>
    <mergeCell ref="HGC416:HGG417"/>
    <mergeCell ref="HGK416:HGO417"/>
    <mergeCell ref="HGS416:HGW417"/>
    <mergeCell ref="HQG416:HQK417"/>
    <mergeCell ref="HQO416:HQS417"/>
    <mergeCell ref="HQW416:HRA417"/>
    <mergeCell ref="HRE416:HRI417"/>
    <mergeCell ref="HRM416:HRQ417"/>
    <mergeCell ref="HOS416:HOW417"/>
    <mergeCell ref="HPA416:HPE417"/>
    <mergeCell ref="HPI416:HPM417"/>
    <mergeCell ref="HPQ416:HPU417"/>
    <mergeCell ref="HPY416:HQC417"/>
    <mergeCell ref="HNE416:HNI417"/>
    <mergeCell ref="HNM416:HNQ417"/>
    <mergeCell ref="HNU416:HNY417"/>
    <mergeCell ref="HOC416:HOG417"/>
    <mergeCell ref="HOK416:HOO417"/>
    <mergeCell ref="HLQ416:HLU417"/>
    <mergeCell ref="HLY416:HMC417"/>
    <mergeCell ref="HMG416:HMK417"/>
    <mergeCell ref="HMO416:HMS417"/>
    <mergeCell ref="HMW416:HNA417"/>
    <mergeCell ref="HWK416:HWO417"/>
    <mergeCell ref="HWS416:HWW417"/>
    <mergeCell ref="HXA416:HXE417"/>
    <mergeCell ref="HXI416:HXM417"/>
    <mergeCell ref="HXQ416:HXU417"/>
    <mergeCell ref="HUW416:HVA417"/>
    <mergeCell ref="HVE416:HVI417"/>
    <mergeCell ref="HVM416:HVQ417"/>
    <mergeCell ref="HVU416:HVY417"/>
    <mergeCell ref="HWC416:HWG417"/>
    <mergeCell ref="HTI416:HTM417"/>
    <mergeCell ref="HTQ416:HTU417"/>
    <mergeCell ref="HTY416:HUC417"/>
    <mergeCell ref="HUG416:HUK417"/>
    <mergeCell ref="HUO416:HUS417"/>
    <mergeCell ref="HRU416:HRY417"/>
    <mergeCell ref="HSC416:HSG417"/>
    <mergeCell ref="HSK416:HSO417"/>
    <mergeCell ref="HSS416:HSW417"/>
    <mergeCell ref="HTA416:HTE417"/>
    <mergeCell ref="ICO416:ICS417"/>
    <mergeCell ref="ICW416:IDA417"/>
    <mergeCell ref="IDE416:IDI417"/>
    <mergeCell ref="IDM416:IDQ417"/>
    <mergeCell ref="IDU416:IDY417"/>
    <mergeCell ref="IBA416:IBE417"/>
    <mergeCell ref="IBI416:IBM417"/>
    <mergeCell ref="IBQ416:IBU417"/>
    <mergeCell ref="IBY416:ICC417"/>
    <mergeCell ref="ICG416:ICK417"/>
    <mergeCell ref="HZM416:HZQ417"/>
    <mergeCell ref="HZU416:HZY417"/>
    <mergeCell ref="IAC416:IAG417"/>
    <mergeCell ref="IAK416:IAO417"/>
    <mergeCell ref="IAS416:IAW417"/>
    <mergeCell ref="HXY416:HYC417"/>
    <mergeCell ref="HYG416:HYK417"/>
    <mergeCell ref="HYO416:HYS417"/>
    <mergeCell ref="HYW416:HZA417"/>
    <mergeCell ref="HZE416:HZI417"/>
    <mergeCell ref="IIS416:IIW417"/>
    <mergeCell ref="IJA416:IJE417"/>
    <mergeCell ref="IJI416:IJM417"/>
    <mergeCell ref="IJQ416:IJU417"/>
    <mergeCell ref="IJY416:IKC417"/>
    <mergeCell ref="IHE416:IHI417"/>
    <mergeCell ref="IHM416:IHQ417"/>
    <mergeCell ref="IHU416:IHY417"/>
    <mergeCell ref="IIC416:IIG417"/>
    <mergeCell ref="IIK416:IIO417"/>
    <mergeCell ref="IFQ416:IFU417"/>
    <mergeCell ref="IFY416:IGC417"/>
    <mergeCell ref="IGG416:IGK417"/>
    <mergeCell ref="IGO416:IGS417"/>
    <mergeCell ref="IGW416:IHA417"/>
    <mergeCell ref="IEC416:IEG417"/>
    <mergeCell ref="IEK416:IEO417"/>
    <mergeCell ref="IES416:IEW417"/>
    <mergeCell ref="IFA416:IFE417"/>
    <mergeCell ref="IFI416:IFM417"/>
    <mergeCell ref="IOW416:IPA417"/>
    <mergeCell ref="IPE416:IPI417"/>
    <mergeCell ref="IPM416:IPQ417"/>
    <mergeCell ref="IPU416:IPY417"/>
    <mergeCell ref="IQC416:IQG417"/>
    <mergeCell ref="INI416:INM417"/>
    <mergeCell ref="INQ416:INU417"/>
    <mergeCell ref="INY416:IOC417"/>
    <mergeCell ref="IOG416:IOK417"/>
    <mergeCell ref="IOO416:IOS417"/>
    <mergeCell ref="ILU416:ILY417"/>
    <mergeCell ref="IMC416:IMG417"/>
    <mergeCell ref="IMK416:IMO417"/>
    <mergeCell ref="IMS416:IMW417"/>
    <mergeCell ref="INA416:INE417"/>
    <mergeCell ref="IKG416:IKK417"/>
    <mergeCell ref="IKO416:IKS417"/>
    <mergeCell ref="IKW416:ILA417"/>
    <mergeCell ref="ILE416:ILI417"/>
    <mergeCell ref="ILM416:ILQ417"/>
    <mergeCell ref="IVA416:IVE417"/>
    <mergeCell ref="IVI416:IVM417"/>
    <mergeCell ref="IVQ416:IVU417"/>
    <mergeCell ref="IVY416:IWC417"/>
    <mergeCell ref="IWG416:IWK417"/>
    <mergeCell ref="ITM416:ITQ417"/>
    <mergeCell ref="ITU416:ITY417"/>
    <mergeCell ref="IUC416:IUG417"/>
    <mergeCell ref="IUK416:IUO417"/>
    <mergeCell ref="IUS416:IUW417"/>
    <mergeCell ref="IRY416:ISC417"/>
    <mergeCell ref="ISG416:ISK417"/>
    <mergeCell ref="ISO416:ISS417"/>
    <mergeCell ref="ISW416:ITA417"/>
    <mergeCell ref="ITE416:ITI417"/>
    <mergeCell ref="IQK416:IQO417"/>
    <mergeCell ref="IQS416:IQW417"/>
    <mergeCell ref="IRA416:IRE417"/>
    <mergeCell ref="IRI416:IRM417"/>
    <mergeCell ref="IRQ416:IRU417"/>
    <mergeCell ref="JBE416:JBI417"/>
    <mergeCell ref="JBM416:JBQ417"/>
    <mergeCell ref="JBU416:JBY417"/>
    <mergeCell ref="JCC416:JCG417"/>
    <mergeCell ref="JCK416:JCO417"/>
    <mergeCell ref="IZQ416:IZU417"/>
    <mergeCell ref="IZY416:JAC417"/>
    <mergeCell ref="JAG416:JAK417"/>
    <mergeCell ref="JAO416:JAS417"/>
    <mergeCell ref="JAW416:JBA417"/>
    <mergeCell ref="IYC416:IYG417"/>
    <mergeCell ref="IYK416:IYO417"/>
    <mergeCell ref="IYS416:IYW417"/>
    <mergeCell ref="IZA416:IZE417"/>
    <mergeCell ref="IZI416:IZM417"/>
    <mergeCell ref="IWO416:IWS417"/>
    <mergeCell ref="IWW416:IXA417"/>
    <mergeCell ref="IXE416:IXI417"/>
    <mergeCell ref="IXM416:IXQ417"/>
    <mergeCell ref="IXU416:IXY417"/>
    <mergeCell ref="JHI416:JHM417"/>
    <mergeCell ref="JHQ416:JHU417"/>
    <mergeCell ref="JHY416:JIC417"/>
    <mergeCell ref="JIG416:JIK417"/>
    <mergeCell ref="JIO416:JIS417"/>
    <mergeCell ref="JFU416:JFY417"/>
    <mergeCell ref="JGC416:JGG417"/>
    <mergeCell ref="JGK416:JGO417"/>
    <mergeCell ref="JGS416:JGW417"/>
    <mergeCell ref="JHA416:JHE417"/>
    <mergeCell ref="JEG416:JEK417"/>
    <mergeCell ref="JEO416:JES417"/>
    <mergeCell ref="JEW416:JFA417"/>
    <mergeCell ref="JFE416:JFI417"/>
    <mergeCell ref="JFM416:JFQ417"/>
    <mergeCell ref="JCS416:JCW417"/>
    <mergeCell ref="JDA416:JDE417"/>
    <mergeCell ref="JDI416:JDM417"/>
    <mergeCell ref="JDQ416:JDU417"/>
    <mergeCell ref="JDY416:JEC417"/>
    <mergeCell ref="JNM416:JNQ417"/>
    <mergeCell ref="JNU416:JNY417"/>
    <mergeCell ref="JOC416:JOG417"/>
    <mergeCell ref="JOK416:JOO417"/>
    <mergeCell ref="JOS416:JOW417"/>
    <mergeCell ref="JLY416:JMC417"/>
    <mergeCell ref="JMG416:JMK417"/>
    <mergeCell ref="JMO416:JMS417"/>
    <mergeCell ref="JMW416:JNA417"/>
    <mergeCell ref="JNE416:JNI417"/>
    <mergeCell ref="JKK416:JKO417"/>
    <mergeCell ref="JKS416:JKW417"/>
    <mergeCell ref="JLA416:JLE417"/>
    <mergeCell ref="JLI416:JLM417"/>
    <mergeCell ref="JLQ416:JLU417"/>
    <mergeCell ref="JIW416:JJA417"/>
    <mergeCell ref="JJE416:JJI417"/>
    <mergeCell ref="JJM416:JJQ417"/>
    <mergeCell ref="JJU416:JJY417"/>
    <mergeCell ref="JKC416:JKG417"/>
    <mergeCell ref="JTQ416:JTU417"/>
    <mergeCell ref="JTY416:JUC417"/>
    <mergeCell ref="JUG416:JUK417"/>
    <mergeCell ref="JUO416:JUS417"/>
    <mergeCell ref="JUW416:JVA417"/>
    <mergeCell ref="JSC416:JSG417"/>
    <mergeCell ref="JSK416:JSO417"/>
    <mergeCell ref="JSS416:JSW417"/>
    <mergeCell ref="JTA416:JTE417"/>
    <mergeCell ref="JTI416:JTM417"/>
    <mergeCell ref="JQO416:JQS417"/>
    <mergeCell ref="JQW416:JRA417"/>
    <mergeCell ref="JRE416:JRI417"/>
    <mergeCell ref="JRM416:JRQ417"/>
    <mergeCell ref="JRU416:JRY417"/>
    <mergeCell ref="JPA416:JPE417"/>
    <mergeCell ref="JPI416:JPM417"/>
    <mergeCell ref="JPQ416:JPU417"/>
    <mergeCell ref="JPY416:JQC417"/>
    <mergeCell ref="JQG416:JQK417"/>
    <mergeCell ref="JZU416:JZY417"/>
    <mergeCell ref="KAC416:KAG417"/>
    <mergeCell ref="KAK416:KAO417"/>
    <mergeCell ref="KAS416:KAW417"/>
    <mergeCell ref="KBA416:KBE417"/>
    <mergeCell ref="JYG416:JYK417"/>
    <mergeCell ref="JYO416:JYS417"/>
    <mergeCell ref="JYW416:JZA417"/>
    <mergeCell ref="JZE416:JZI417"/>
    <mergeCell ref="JZM416:JZQ417"/>
    <mergeCell ref="JWS416:JWW417"/>
    <mergeCell ref="JXA416:JXE417"/>
    <mergeCell ref="JXI416:JXM417"/>
    <mergeCell ref="JXQ416:JXU417"/>
    <mergeCell ref="JXY416:JYC417"/>
    <mergeCell ref="JVE416:JVI417"/>
    <mergeCell ref="JVM416:JVQ417"/>
    <mergeCell ref="JVU416:JVY417"/>
    <mergeCell ref="JWC416:JWG417"/>
    <mergeCell ref="JWK416:JWO417"/>
    <mergeCell ref="KFY416:KGC417"/>
    <mergeCell ref="KGG416:KGK417"/>
    <mergeCell ref="KGO416:KGS417"/>
    <mergeCell ref="KGW416:KHA417"/>
    <mergeCell ref="KHE416:KHI417"/>
    <mergeCell ref="KEK416:KEO417"/>
    <mergeCell ref="KES416:KEW417"/>
    <mergeCell ref="KFA416:KFE417"/>
    <mergeCell ref="KFI416:KFM417"/>
    <mergeCell ref="KFQ416:KFU417"/>
    <mergeCell ref="KCW416:KDA417"/>
    <mergeCell ref="KDE416:KDI417"/>
    <mergeCell ref="KDM416:KDQ417"/>
    <mergeCell ref="KDU416:KDY417"/>
    <mergeCell ref="KEC416:KEG417"/>
    <mergeCell ref="KBI416:KBM417"/>
    <mergeCell ref="KBQ416:KBU417"/>
    <mergeCell ref="KBY416:KCC417"/>
    <mergeCell ref="KCG416:KCK417"/>
    <mergeCell ref="KCO416:KCS417"/>
    <mergeCell ref="KMC416:KMG417"/>
    <mergeCell ref="KMK416:KMO417"/>
    <mergeCell ref="KMS416:KMW417"/>
    <mergeCell ref="KNA416:KNE417"/>
    <mergeCell ref="KNI416:KNM417"/>
    <mergeCell ref="KKO416:KKS417"/>
    <mergeCell ref="KKW416:KLA417"/>
    <mergeCell ref="KLE416:KLI417"/>
    <mergeCell ref="KLM416:KLQ417"/>
    <mergeCell ref="KLU416:KLY417"/>
    <mergeCell ref="KJA416:KJE417"/>
    <mergeCell ref="KJI416:KJM417"/>
    <mergeCell ref="KJQ416:KJU417"/>
    <mergeCell ref="KJY416:KKC417"/>
    <mergeCell ref="KKG416:KKK417"/>
    <mergeCell ref="KHM416:KHQ417"/>
    <mergeCell ref="KHU416:KHY417"/>
    <mergeCell ref="KIC416:KIG417"/>
    <mergeCell ref="KIK416:KIO417"/>
    <mergeCell ref="KIS416:KIW417"/>
    <mergeCell ref="KSG416:KSK417"/>
    <mergeCell ref="KSO416:KSS417"/>
    <mergeCell ref="KSW416:KTA417"/>
    <mergeCell ref="KTE416:KTI417"/>
    <mergeCell ref="KTM416:KTQ417"/>
    <mergeCell ref="KQS416:KQW417"/>
    <mergeCell ref="KRA416:KRE417"/>
    <mergeCell ref="KRI416:KRM417"/>
    <mergeCell ref="KRQ416:KRU417"/>
    <mergeCell ref="KRY416:KSC417"/>
    <mergeCell ref="KPE416:KPI417"/>
    <mergeCell ref="KPM416:KPQ417"/>
    <mergeCell ref="KPU416:KPY417"/>
    <mergeCell ref="KQC416:KQG417"/>
    <mergeCell ref="KQK416:KQO417"/>
    <mergeCell ref="KNQ416:KNU417"/>
    <mergeCell ref="KNY416:KOC417"/>
    <mergeCell ref="KOG416:KOK417"/>
    <mergeCell ref="KOO416:KOS417"/>
    <mergeCell ref="KOW416:KPA417"/>
    <mergeCell ref="KYK416:KYO417"/>
    <mergeCell ref="KYS416:KYW417"/>
    <mergeCell ref="KZA416:KZE417"/>
    <mergeCell ref="KZI416:KZM417"/>
    <mergeCell ref="KZQ416:KZU417"/>
    <mergeCell ref="KWW416:KXA417"/>
    <mergeCell ref="KXE416:KXI417"/>
    <mergeCell ref="KXM416:KXQ417"/>
    <mergeCell ref="KXU416:KXY417"/>
    <mergeCell ref="KYC416:KYG417"/>
    <mergeCell ref="KVI416:KVM417"/>
    <mergeCell ref="KVQ416:KVU417"/>
    <mergeCell ref="KVY416:KWC417"/>
    <mergeCell ref="KWG416:KWK417"/>
    <mergeCell ref="KWO416:KWS417"/>
    <mergeCell ref="KTU416:KTY417"/>
    <mergeCell ref="KUC416:KUG417"/>
    <mergeCell ref="KUK416:KUO417"/>
    <mergeCell ref="KUS416:KUW417"/>
    <mergeCell ref="KVA416:KVE417"/>
    <mergeCell ref="LEO416:LES417"/>
    <mergeCell ref="LEW416:LFA417"/>
    <mergeCell ref="LFE416:LFI417"/>
    <mergeCell ref="LFM416:LFQ417"/>
    <mergeCell ref="LFU416:LFY417"/>
    <mergeCell ref="LDA416:LDE417"/>
    <mergeCell ref="LDI416:LDM417"/>
    <mergeCell ref="LDQ416:LDU417"/>
    <mergeCell ref="LDY416:LEC417"/>
    <mergeCell ref="LEG416:LEK417"/>
    <mergeCell ref="LBM416:LBQ417"/>
    <mergeCell ref="LBU416:LBY417"/>
    <mergeCell ref="LCC416:LCG417"/>
    <mergeCell ref="LCK416:LCO417"/>
    <mergeCell ref="LCS416:LCW417"/>
    <mergeCell ref="KZY416:LAC417"/>
    <mergeCell ref="LAG416:LAK417"/>
    <mergeCell ref="LAO416:LAS417"/>
    <mergeCell ref="LAW416:LBA417"/>
    <mergeCell ref="LBE416:LBI417"/>
    <mergeCell ref="LKS416:LKW417"/>
    <mergeCell ref="LLA416:LLE417"/>
    <mergeCell ref="LLI416:LLM417"/>
    <mergeCell ref="LLQ416:LLU417"/>
    <mergeCell ref="LLY416:LMC417"/>
    <mergeCell ref="LJE416:LJI417"/>
    <mergeCell ref="LJM416:LJQ417"/>
    <mergeCell ref="LJU416:LJY417"/>
    <mergeCell ref="LKC416:LKG417"/>
    <mergeCell ref="LKK416:LKO417"/>
    <mergeCell ref="LHQ416:LHU417"/>
    <mergeCell ref="LHY416:LIC417"/>
    <mergeCell ref="LIG416:LIK417"/>
    <mergeCell ref="LIO416:LIS417"/>
    <mergeCell ref="LIW416:LJA417"/>
    <mergeCell ref="LGC416:LGG417"/>
    <mergeCell ref="LGK416:LGO417"/>
    <mergeCell ref="LGS416:LGW417"/>
    <mergeCell ref="LHA416:LHE417"/>
    <mergeCell ref="LHI416:LHM417"/>
    <mergeCell ref="LQW416:LRA417"/>
    <mergeCell ref="LRE416:LRI417"/>
    <mergeCell ref="LRM416:LRQ417"/>
    <mergeCell ref="LRU416:LRY417"/>
    <mergeCell ref="LSC416:LSG417"/>
    <mergeCell ref="LPI416:LPM417"/>
    <mergeCell ref="LPQ416:LPU417"/>
    <mergeCell ref="LPY416:LQC417"/>
    <mergeCell ref="LQG416:LQK417"/>
    <mergeCell ref="LQO416:LQS417"/>
    <mergeCell ref="LNU416:LNY417"/>
    <mergeCell ref="LOC416:LOG417"/>
    <mergeCell ref="LOK416:LOO417"/>
    <mergeCell ref="LOS416:LOW417"/>
    <mergeCell ref="LPA416:LPE417"/>
    <mergeCell ref="LMG416:LMK417"/>
    <mergeCell ref="LMO416:LMS417"/>
    <mergeCell ref="LMW416:LNA417"/>
    <mergeCell ref="LNE416:LNI417"/>
    <mergeCell ref="LNM416:LNQ417"/>
    <mergeCell ref="LXA416:LXE417"/>
    <mergeCell ref="LXI416:LXM417"/>
    <mergeCell ref="LXQ416:LXU417"/>
    <mergeCell ref="LXY416:LYC417"/>
    <mergeCell ref="LYG416:LYK417"/>
    <mergeCell ref="LVM416:LVQ417"/>
    <mergeCell ref="LVU416:LVY417"/>
    <mergeCell ref="LWC416:LWG417"/>
    <mergeCell ref="LWK416:LWO417"/>
    <mergeCell ref="LWS416:LWW417"/>
    <mergeCell ref="LTY416:LUC417"/>
    <mergeCell ref="LUG416:LUK417"/>
    <mergeCell ref="LUO416:LUS417"/>
    <mergeCell ref="LUW416:LVA417"/>
    <mergeCell ref="LVE416:LVI417"/>
    <mergeCell ref="LSK416:LSO417"/>
    <mergeCell ref="LSS416:LSW417"/>
    <mergeCell ref="LTA416:LTE417"/>
    <mergeCell ref="LTI416:LTM417"/>
    <mergeCell ref="LTQ416:LTU417"/>
    <mergeCell ref="MDE416:MDI417"/>
    <mergeCell ref="MDM416:MDQ417"/>
    <mergeCell ref="MDU416:MDY417"/>
    <mergeCell ref="MEC416:MEG417"/>
    <mergeCell ref="MEK416:MEO417"/>
    <mergeCell ref="MBQ416:MBU417"/>
    <mergeCell ref="MBY416:MCC417"/>
    <mergeCell ref="MCG416:MCK417"/>
    <mergeCell ref="MCO416:MCS417"/>
    <mergeCell ref="MCW416:MDA417"/>
    <mergeCell ref="MAC416:MAG417"/>
    <mergeCell ref="MAK416:MAO417"/>
    <mergeCell ref="MAS416:MAW417"/>
    <mergeCell ref="MBA416:MBE417"/>
    <mergeCell ref="MBI416:MBM417"/>
    <mergeCell ref="LYO416:LYS417"/>
    <mergeCell ref="LYW416:LZA417"/>
    <mergeCell ref="LZE416:LZI417"/>
    <mergeCell ref="LZM416:LZQ417"/>
    <mergeCell ref="LZU416:LZY417"/>
    <mergeCell ref="MJI416:MJM417"/>
    <mergeCell ref="MJQ416:MJU417"/>
    <mergeCell ref="MJY416:MKC417"/>
    <mergeCell ref="MKG416:MKK417"/>
    <mergeCell ref="MKO416:MKS417"/>
    <mergeCell ref="MHU416:MHY417"/>
    <mergeCell ref="MIC416:MIG417"/>
    <mergeCell ref="MIK416:MIO417"/>
    <mergeCell ref="MIS416:MIW417"/>
    <mergeCell ref="MJA416:MJE417"/>
    <mergeCell ref="MGG416:MGK417"/>
    <mergeCell ref="MGO416:MGS417"/>
    <mergeCell ref="MGW416:MHA417"/>
    <mergeCell ref="MHE416:MHI417"/>
    <mergeCell ref="MHM416:MHQ417"/>
    <mergeCell ref="MES416:MEW417"/>
    <mergeCell ref="MFA416:MFE417"/>
    <mergeCell ref="MFI416:MFM417"/>
    <mergeCell ref="MFQ416:MFU417"/>
    <mergeCell ref="MFY416:MGC417"/>
    <mergeCell ref="MPM416:MPQ417"/>
    <mergeCell ref="MPU416:MPY417"/>
    <mergeCell ref="MQC416:MQG417"/>
    <mergeCell ref="MQK416:MQO417"/>
    <mergeCell ref="MQS416:MQW417"/>
    <mergeCell ref="MNY416:MOC417"/>
    <mergeCell ref="MOG416:MOK417"/>
    <mergeCell ref="MOO416:MOS417"/>
    <mergeCell ref="MOW416:MPA417"/>
    <mergeCell ref="MPE416:MPI417"/>
    <mergeCell ref="MMK416:MMO417"/>
    <mergeCell ref="MMS416:MMW417"/>
    <mergeCell ref="MNA416:MNE417"/>
    <mergeCell ref="MNI416:MNM417"/>
    <mergeCell ref="MNQ416:MNU417"/>
    <mergeCell ref="MKW416:MLA417"/>
    <mergeCell ref="MLE416:MLI417"/>
    <mergeCell ref="MLM416:MLQ417"/>
    <mergeCell ref="MLU416:MLY417"/>
    <mergeCell ref="MMC416:MMG417"/>
    <mergeCell ref="MVQ416:MVU417"/>
    <mergeCell ref="MVY416:MWC417"/>
    <mergeCell ref="MWG416:MWK417"/>
    <mergeCell ref="MWO416:MWS417"/>
    <mergeCell ref="MWW416:MXA417"/>
    <mergeCell ref="MUC416:MUG417"/>
    <mergeCell ref="MUK416:MUO417"/>
    <mergeCell ref="MUS416:MUW417"/>
    <mergeCell ref="MVA416:MVE417"/>
    <mergeCell ref="MVI416:MVM417"/>
    <mergeCell ref="MSO416:MSS417"/>
    <mergeCell ref="MSW416:MTA417"/>
    <mergeCell ref="MTE416:MTI417"/>
    <mergeCell ref="MTM416:MTQ417"/>
    <mergeCell ref="MTU416:MTY417"/>
    <mergeCell ref="MRA416:MRE417"/>
    <mergeCell ref="MRI416:MRM417"/>
    <mergeCell ref="MRQ416:MRU417"/>
    <mergeCell ref="MRY416:MSC417"/>
    <mergeCell ref="MSG416:MSK417"/>
    <mergeCell ref="NBU416:NBY417"/>
    <mergeCell ref="NCC416:NCG417"/>
    <mergeCell ref="NCK416:NCO417"/>
    <mergeCell ref="NCS416:NCW417"/>
    <mergeCell ref="NDA416:NDE417"/>
    <mergeCell ref="NAG416:NAK417"/>
    <mergeCell ref="NAO416:NAS417"/>
    <mergeCell ref="NAW416:NBA417"/>
    <mergeCell ref="NBE416:NBI417"/>
    <mergeCell ref="NBM416:NBQ417"/>
    <mergeCell ref="MYS416:MYW417"/>
    <mergeCell ref="MZA416:MZE417"/>
    <mergeCell ref="MZI416:MZM417"/>
    <mergeCell ref="MZQ416:MZU417"/>
    <mergeCell ref="MZY416:NAC417"/>
    <mergeCell ref="MXE416:MXI417"/>
    <mergeCell ref="MXM416:MXQ417"/>
    <mergeCell ref="MXU416:MXY417"/>
    <mergeCell ref="MYC416:MYG417"/>
    <mergeCell ref="MYK416:MYO417"/>
    <mergeCell ref="NHY416:NIC417"/>
    <mergeCell ref="NIG416:NIK417"/>
    <mergeCell ref="NIO416:NIS417"/>
    <mergeCell ref="NIW416:NJA417"/>
    <mergeCell ref="NJE416:NJI417"/>
    <mergeCell ref="NGK416:NGO417"/>
    <mergeCell ref="NGS416:NGW417"/>
    <mergeCell ref="NHA416:NHE417"/>
    <mergeCell ref="NHI416:NHM417"/>
    <mergeCell ref="NHQ416:NHU417"/>
    <mergeCell ref="NEW416:NFA417"/>
    <mergeCell ref="NFE416:NFI417"/>
    <mergeCell ref="NFM416:NFQ417"/>
    <mergeCell ref="NFU416:NFY417"/>
    <mergeCell ref="NGC416:NGG417"/>
    <mergeCell ref="NDI416:NDM417"/>
    <mergeCell ref="NDQ416:NDU417"/>
    <mergeCell ref="NDY416:NEC417"/>
    <mergeCell ref="NEG416:NEK417"/>
    <mergeCell ref="NEO416:NES417"/>
    <mergeCell ref="NOC416:NOG417"/>
    <mergeCell ref="NOK416:NOO417"/>
    <mergeCell ref="NOS416:NOW417"/>
    <mergeCell ref="NPA416:NPE417"/>
    <mergeCell ref="NPI416:NPM417"/>
    <mergeCell ref="NMO416:NMS417"/>
    <mergeCell ref="NMW416:NNA417"/>
    <mergeCell ref="NNE416:NNI417"/>
    <mergeCell ref="NNM416:NNQ417"/>
    <mergeCell ref="NNU416:NNY417"/>
    <mergeCell ref="NLA416:NLE417"/>
    <mergeCell ref="NLI416:NLM417"/>
    <mergeCell ref="NLQ416:NLU417"/>
    <mergeCell ref="NLY416:NMC417"/>
    <mergeCell ref="NMG416:NMK417"/>
    <mergeCell ref="NJM416:NJQ417"/>
    <mergeCell ref="NJU416:NJY417"/>
    <mergeCell ref="NKC416:NKG417"/>
    <mergeCell ref="NKK416:NKO417"/>
    <mergeCell ref="NKS416:NKW417"/>
    <mergeCell ref="NUG416:NUK417"/>
    <mergeCell ref="NUO416:NUS417"/>
    <mergeCell ref="NUW416:NVA417"/>
    <mergeCell ref="NVE416:NVI417"/>
    <mergeCell ref="NVM416:NVQ417"/>
    <mergeCell ref="NSS416:NSW417"/>
    <mergeCell ref="NTA416:NTE417"/>
    <mergeCell ref="NTI416:NTM417"/>
    <mergeCell ref="NTQ416:NTU417"/>
    <mergeCell ref="NTY416:NUC417"/>
    <mergeCell ref="NRE416:NRI417"/>
    <mergeCell ref="NRM416:NRQ417"/>
    <mergeCell ref="NRU416:NRY417"/>
    <mergeCell ref="NSC416:NSG417"/>
    <mergeCell ref="NSK416:NSO417"/>
    <mergeCell ref="NPQ416:NPU417"/>
    <mergeCell ref="NPY416:NQC417"/>
    <mergeCell ref="NQG416:NQK417"/>
    <mergeCell ref="NQO416:NQS417"/>
    <mergeCell ref="NQW416:NRA417"/>
    <mergeCell ref="OAK416:OAO417"/>
    <mergeCell ref="OAS416:OAW417"/>
    <mergeCell ref="OBA416:OBE417"/>
    <mergeCell ref="OBI416:OBM417"/>
    <mergeCell ref="OBQ416:OBU417"/>
    <mergeCell ref="NYW416:NZA417"/>
    <mergeCell ref="NZE416:NZI417"/>
    <mergeCell ref="NZM416:NZQ417"/>
    <mergeCell ref="NZU416:NZY417"/>
    <mergeCell ref="OAC416:OAG417"/>
    <mergeCell ref="NXI416:NXM417"/>
    <mergeCell ref="NXQ416:NXU417"/>
    <mergeCell ref="NXY416:NYC417"/>
    <mergeCell ref="NYG416:NYK417"/>
    <mergeCell ref="NYO416:NYS417"/>
    <mergeCell ref="NVU416:NVY417"/>
    <mergeCell ref="NWC416:NWG417"/>
    <mergeCell ref="NWK416:NWO417"/>
    <mergeCell ref="NWS416:NWW417"/>
    <mergeCell ref="NXA416:NXE417"/>
    <mergeCell ref="OGO416:OGS417"/>
    <mergeCell ref="OGW416:OHA417"/>
    <mergeCell ref="OHE416:OHI417"/>
    <mergeCell ref="OHM416:OHQ417"/>
    <mergeCell ref="OHU416:OHY417"/>
    <mergeCell ref="OFA416:OFE417"/>
    <mergeCell ref="OFI416:OFM417"/>
    <mergeCell ref="OFQ416:OFU417"/>
    <mergeCell ref="OFY416:OGC417"/>
    <mergeCell ref="OGG416:OGK417"/>
    <mergeCell ref="ODM416:ODQ417"/>
    <mergeCell ref="ODU416:ODY417"/>
    <mergeCell ref="OEC416:OEG417"/>
    <mergeCell ref="OEK416:OEO417"/>
    <mergeCell ref="OES416:OEW417"/>
    <mergeCell ref="OBY416:OCC417"/>
    <mergeCell ref="OCG416:OCK417"/>
    <mergeCell ref="OCO416:OCS417"/>
    <mergeCell ref="OCW416:ODA417"/>
    <mergeCell ref="ODE416:ODI417"/>
    <mergeCell ref="OMS416:OMW417"/>
    <mergeCell ref="ONA416:ONE417"/>
    <mergeCell ref="ONI416:ONM417"/>
    <mergeCell ref="ONQ416:ONU417"/>
    <mergeCell ref="ONY416:OOC417"/>
    <mergeCell ref="OLE416:OLI417"/>
    <mergeCell ref="OLM416:OLQ417"/>
    <mergeCell ref="OLU416:OLY417"/>
    <mergeCell ref="OMC416:OMG417"/>
    <mergeCell ref="OMK416:OMO417"/>
    <mergeCell ref="OJQ416:OJU417"/>
    <mergeCell ref="OJY416:OKC417"/>
    <mergeCell ref="OKG416:OKK417"/>
    <mergeCell ref="OKO416:OKS417"/>
    <mergeCell ref="OKW416:OLA417"/>
    <mergeCell ref="OIC416:OIG417"/>
    <mergeCell ref="OIK416:OIO417"/>
    <mergeCell ref="OIS416:OIW417"/>
    <mergeCell ref="OJA416:OJE417"/>
    <mergeCell ref="OJI416:OJM417"/>
    <mergeCell ref="OSW416:OTA417"/>
    <mergeCell ref="OTE416:OTI417"/>
    <mergeCell ref="OTM416:OTQ417"/>
    <mergeCell ref="OTU416:OTY417"/>
    <mergeCell ref="OUC416:OUG417"/>
    <mergeCell ref="ORI416:ORM417"/>
    <mergeCell ref="ORQ416:ORU417"/>
    <mergeCell ref="ORY416:OSC417"/>
    <mergeCell ref="OSG416:OSK417"/>
    <mergeCell ref="OSO416:OSS417"/>
    <mergeCell ref="OPU416:OPY417"/>
    <mergeCell ref="OQC416:OQG417"/>
    <mergeCell ref="OQK416:OQO417"/>
    <mergeCell ref="OQS416:OQW417"/>
    <mergeCell ref="ORA416:ORE417"/>
    <mergeCell ref="OOG416:OOK417"/>
    <mergeCell ref="OOO416:OOS417"/>
    <mergeCell ref="OOW416:OPA417"/>
    <mergeCell ref="OPE416:OPI417"/>
    <mergeCell ref="OPM416:OPQ417"/>
    <mergeCell ref="OZA416:OZE417"/>
    <mergeCell ref="OZI416:OZM417"/>
    <mergeCell ref="OZQ416:OZU417"/>
    <mergeCell ref="OZY416:PAC417"/>
    <mergeCell ref="PAG416:PAK417"/>
    <mergeCell ref="OXM416:OXQ417"/>
    <mergeCell ref="OXU416:OXY417"/>
    <mergeCell ref="OYC416:OYG417"/>
    <mergeCell ref="OYK416:OYO417"/>
    <mergeCell ref="OYS416:OYW417"/>
    <mergeCell ref="OVY416:OWC417"/>
    <mergeCell ref="OWG416:OWK417"/>
    <mergeCell ref="OWO416:OWS417"/>
    <mergeCell ref="OWW416:OXA417"/>
    <mergeCell ref="OXE416:OXI417"/>
    <mergeCell ref="OUK416:OUO417"/>
    <mergeCell ref="OUS416:OUW417"/>
    <mergeCell ref="OVA416:OVE417"/>
    <mergeCell ref="OVI416:OVM417"/>
    <mergeCell ref="OVQ416:OVU417"/>
    <mergeCell ref="PFE416:PFI417"/>
    <mergeCell ref="PFM416:PFQ417"/>
    <mergeCell ref="PFU416:PFY417"/>
    <mergeCell ref="PGC416:PGG417"/>
    <mergeCell ref="PGK416:PGO417"/>
    <mergeCell ref="PDQ416:PDU417"/>
    <mergeCell ref="PDY416:PEC417"/>
    <mergeCell ref="PEG416:PEK417"/>
    <mergeCell ref="PEO416:PES417"/>
    <mergeCell ref="PEW416:PFA417"/>
    <mergeCell ref="PCC416:PCG417"/>
    <mergeCell ref="PCK416:PCO417"/>
    <mergeCell ref="PCS416:PCW417"/>
    <mergeCell ref="PDA416:PDE417"/>
    <mergeCell ref="PDI416:PDM417"/>
    <mergeCell ref="PAO416:PAS417"/>
    <mergeCell ref="PAW416:PBA417"/>
    <mergeCell ref="PBE416:PBI417"/>
    <mergeCell ref="PBM416:PBQ417"/>
    <mergeCell ref="PBU416:PBY417"/>
    <mergeCell ref="PLI416:PLM417"/>
    <mergeCell ref="PLQ416:PLU417"/>
    <mergeCell ref="PLY416:PMC417"/>
    <mergeCell ref="PMG416:PMK417"/>
    <mergeCell ref="PMO416:PMS417"/>
    <mergeCell ref="PJU416:PJY417"/>
    <mergeCell ref="PKC416:PKG417"/>
    <mergeCell ref="PKK416:PKO417"/>
    <mergeCell ref="PKS416:PKW417"/>
    <mergeCell ref="PLA416:PLE417"/>
    <mergeCell ref="PIG416:PIK417"/>
    <mergeCell ref="PIO416:PIS417"/>
    <mergeCell ref="PIW416:PJA417"/>
    <mergeCell ref="PJE416:PJI417"/>
    <mergeCell ref="PJM416:PJQ417"/>
    <mergeCell ref="PGS416:PGW417"/>
    <mergeCell ref="PHA416:PHE417"/>
    <mergeCell ref="PHI416:PHM417"/>
    <mergeCell ref="PHQ416:PHU417"/>
    <mergeCell ref="PHY416:PIC417"/>
    <mergeCell ref="PRM416:PRQ417"/>
    <mergeCell ref="PRU416:PRY417"/>
    <mergeCell ref="PSC416:PSG417"/>
    <mergeCell ref="PSK416:PSO417"/>
    <mergeCell ref="PSS416:PSW417"/>
    <mergeCell ref="PPY416:PQC417"/>
    <mergeCell ref="PQG416:PQK417"/>
    <mergeCell ref="PQO416:PQS417"/>
    <mergeCell ref="PQW416:PRA417"/>
    <mergeCell ref="PRE416:PRI417"/>
    <mergeCell ref="POK416:POO417"/>
    <mergeCell ref="POS416:POW417"/>
    <mergeCell ref="PPA416:PPE417"/>
    <mergeCell ref="PPI416:PPM417"/>
    <mergeCell ref="PPQ416:PPU417"/>
    <mergeCell ref="PMW416:PNA417"/>
    <mergeCell ref="PNE416:PNI417"/>
    <mergeCell ref="PNM416:PNQ417"/>
    <mergeCell ref="PNU416:PNY417"/>
    <mergeCell ref="POC416:POG417"/>
    <mergeCell ref="PXQ416:PXU417"/>
    <mergeCell ref="PXY416:PYC417"/>
    <mergeCell ref="PYG416:PYK417"/>
    <mergeCell ref="PYO416:PYS417"/>
    <mergeCell ref="PYW416:PZA417"/>
    <mergeCell ref="PWC416:PWG417"/>
    <mergeCell ref="PWK416:PWO417"/>
    <mergeCell ref="PWS416:PWW417"/>
    <mergeCell ref="PXA416:PXE417"/>
    <mergeCell ref="PXI416:PXM417"/>
    <mergeCell ref="PUO416:PUS417"/>
    <mergeCell ref="PUW416:PVA417"/>
    <mergeCell ref="PVE416:PVI417"/>
    <mergeCell ref="PVM416:PVQ417"/>
    <mergeCell ref="PVU416:PVY417"/>
    <mergeCell ref="PTA416:PTE417"/>
    <mergeCell ref="PTI416:PTM417"/>
    <mergeCell ref="PTQ416:PTU417"/>
    <mergeCell ref="PTY416:PUC417"/>
    <mergeCell ref="PUG416:PUK417"/>
    <mergeCell ref="QDU416:QDY417"/>
    <mergeCell ref="QEC416:QEG417"/>
    <mergeCell ref="QEK416:QEO417"/>
    <mergeCell ref="QES416:QEW417"/>
    <mergeCell ref="QFA416:QFE417"/>
    <mergeCell ref="QCG416:QCK417"/>
    <mergeCell ref="QCO416:QCS417"/>
    <mergeCell ref="QCW416:QDA417"/>
    <mergeCell ref="QDE416:QDI417"/>
    <mergeCell ref="QDM416:QDQ417"/>
    <mergeCell ref="QAS416:QAW417"/>
    <mergeCell ref="QBA416:QBE417"/>
    <mergeCell ref="QBI416:QBM417"/>
    <mergeCell ref="QBQ416:QBU417"/>
    <mergeCell ref="QBY416:QCC417"/>
    <mergeCell ref="PZE416:PZI417"/>
    <mergeCell ref="PZM416:PZQ417"/>
    <mergeCell ref="PZU416:PZY417"/>
    <mergeCell ref="QAC416:QAG417"/>
    <mergeCell ref="QAK416:QAO417"/>
    <mergeCell ref="QJY416:QKC417"/>
    <mergeCell ref="QKG416:QKK417"/>
    <mergeCell ref="QKO416:QKS417"/>
    <mergeCell ref="QKW416:QLA417"/>
    <mergeCell ref="QLE416:QLI417"/>
    <mergeCell ref="QIK416:QIO417"/>
    <mergeCell ref="QIS416:QIW417"/>
    <mergeCell ref="QJA416:QJE417"/>
    <mergeCell ref="QJI416:QJM417"/>
    <mergeCell ref="QJQ416:QJU417"/>
    <mergeCell ref="QGW416:QHA417"/>
    <mergeCell ref="QHE416:QHI417"/>
    <mergeCell ref="QHM416:QHQ417"/>
    <mergeCell ref="QHU416:QHY417"/>
    <mergeCell ref="QIC416:QIG417"/>
    <mergeCell ref="QFI416:QFM417"/>
    <mergeCell ref="QFQ416:QFU417"/>
    <mergeCell ref="QFY416:QGC417"/>
    <mergeCell ref="QGG416:QGK417"/>
    <mergeCell ref="QGO416:QGS417"/>
    <mergeCell ref="QQC416:QQG417"/>
    <mergeCell ref="QQK416:QQO417"/>
    <mergeCell ref="QQS416:QQW417"/>
    <mergeCell ref="QRA416:QRE417"/>
    <mergeCell ref="QRI416:QRM417"/>
    <mergeCell ref="QOO416:QOS417"/>
    <mergeCell ref="QOW416:QPA417"/>
    <mergeCell ref="QPE416:QPI417"/>
    <mergeCell ref="QPM416:QPQ417"/>
    <mergeCell ref="QPU416:QPY417"/>
    <mergeCell ref="QNA416:QNE417"/>
    <mergeCell ref="QNI416:QNM417"/>
    <mergeCell ref="QNQ416:QNU417"/>
    <mergeCell ref="QNY416:QOC417"/>
    <mergeCell ref="QOG416:QOK417"/>
    <mergeCell ref="QLM416:QLQ417"/>
    <mergeCell ref="QLU416:QLY417"/>
    <mergeCell ref="QMC416:QMG417"/>
    <mergeCell ref="QMK416:QMO417"/>
    <mergeCell ref="QMS416:QMW417"/>
    <mergeCell ref="QWG416:QWK417"/>
    <mergeCell ref="QWO416:QWS417"/>
    <mergeCell ref="QWW416:QXA417"/>
    <mergeCell ref="QXE416:QXI417"/>
    <mergeCell ref="QXM416:QXQ417"/>
    <mergeCell ref="QUS416:QUW417"/>
    <mergeCell ref="QVA416:QVE417"/>
    <mergeCell ref="QVI416:QVM417"/>
    <mergeCell ref="QVQ416:QVU417"/>
    <mergeCell ref="QVY416:QWC417"/>
    <mergeCell ref="QTE416:QTI417"/>
    <mergeCell ref="QTM416:QTQ417"/>
    <mergeCell ref="QTU416:QTY417"/>
    <mergeCell ref="QUC416:QUG417"/>
    <mergeCell ref="QUK416:QUO417"/>
    <mergeCell ref="QRQ416:QRU417"/>
    <mergeCell ref="QRY416:QSC417"/>
    <mergeCell ref="QSG416:QSK417"/>
    <mergeCell ref="QSO416:QSS417"/>
    <mergeCell ref="QSW416:QTA417"/>
    <mergeCell ref="RCK416:RCO417"/>
    <mergeCell ref="RCS416:RCW417"/>
    <mergeCell ref="RDA416:RDE417"/>
    <mergeCell ref="RDI416:RDM417"/>
    <mergeCell ref="RDQ416:RDU417"/>
    <mergeCell ref="RAW416:RBA417"/>
    <mergeCell ref="RBE416:RBI417"/>
    <mergeCell ref="RBM416:RBQ417"/>
    <mergeCell ref="RBU416:RBY417"/>
    <mergeCell ref="RCC416:RCG417"/>
    <mergeCell ref="QZI416:QZM417"/>
    <mergeCell ref="QZQ416:QZU417"/>
    <mergeCell ref="QZY416:RAC417"/>
    <mergeCell ref="RAG416:RAK417"/>
    <mergeCell ref="RAO416:RAS417"/>
    <mergeCell ref="QXU416:QXY417"/>
    <mergeCell ref="QYC416:QYG417"/>
    <mergeCell ref="QYK416:QYO417"/>
    <mergeCell ref="QYS416:QYW417"/>
    <mergeCell ref="QZA416:QZE417"/>
    <mergeCell ref="RIO416:RIS417"/>
    <mergeCell ref="RIW416:RJA417"/>
    <mergeCell ref="RJE416:RJI417"/>
    <mergeCell ref="RJM416:RJQ417"/>
    <mergeCell ref="RJU416:RJY417"/>
    <mergeCell ref="RHA416:RHE417"/>
    <mergeCell ref="RHI416:RHM417"/>
    <mergeCell ref="RHQ416:RHU417"/>
    <mergeCell ref="RHY416:RIC417"/>
    <mergeCell ref="RIG416:RIK417"/>
    <mergeCell ref="RFM416:RFQ417"/>
    <mergeCell ref="RFU416:RFY417"/>
    <mergeCell ref="RGC416:RGG417"/>
    <mergeCell ref="RGK416:RGO417"/>
    <mergeCell ref="RGS416:RGW417"/>
    <mergeCell ref="RDY416:REC417"/>
    <mergeCell ref="REG416:REK417"/>
    <mergeCell ref="REO416:RES417"/>
    <mergeCell ref="REW416:RFA417"/>
    <mergeCell ref="RFE416:RFI417"/>
    <mergeCell ref="ROS416:ROW417"/>
    <mergeCell ref="RPA416:RPE417"/>
    <mergeCell ref="RPI416:RPM417"/>
    <mergeCell ref="RPQ416:RPU417"/>
    <mergeCell ref="RPY416:RQC417"/>
    <mergeCell ref="RNE416:RNI417"/>
    <mergeCell ref="RNM416:RNQ417"/>
    <mergeCell ref="RNU416:RNY417"/>
    <mergeCell ref="ROC416:ROG417"/>
    <mergeCell ref="ROK416:ROO417"/>
    <mergeCell ref="RLQ416:RLU417"/>
    <mergeCell ref="RLY416:RMC417"/>
    <mergeCell ref="RMG416:RMK417"/>
    <mergeCell ref="RMO416:RMS417"/>
    <mergeCell ref="RMW416:RNA417"/>
    <mergeCell ref="RKC416:RKG417"/>
    <mergeCell ref="RKK416:RKO417"/>
    <mergeCell ref="RKS416:RKW417"/>
    <mergeCell ref="RLA416:RLE417"/>
    <mergeCell ref="RLI416:RLM417"/>
    <mergeCell ref="RUW416:RVA417"/>
    <mergeCell ref="RVE416:RVI417"/>
    <mergeCell ref="RVM416:RVQ417"/>
    <mergeCell ref="RVU416:RVY417"/>
    <mergeCell ref="RWC416:RWG417"/>
    <mergeCell ref="RTI416:RTM417"/>
    <mergeCell ref="RTQ416:RTU417"/>
    <mergeCell ref="RTY416:RUC417"/>
    <mergeCell ref="RUG416:RUK417"/>
    <mergeCell ref="RUO416:RUS417"/>
    <mergeCell ref="RRU416:RRY417"/>
    <mergeCell ref="RSC416:RSG417"/>
    <mergeCell ref="RSK416:RSO417"/>
    <mergeCell ref="RSS416:RSW417"/>
    <mergeCell ref="RTA416:RTE417"/>
    <mergeCell ref="RQG416:RQK417"/>
    <mergeCell ref="RQO416:RQS417"/>
    <mergeCell ref="RQW416:RRA417"/>
    <mergeCell ref="RRE416:RRI417"/>
    <mergeCell ref="RRM416:RRQ417"/>
    <mergeCell ref="SBA416:SBE417"/>
    <mergeCell ref="SBI416:SBM417"/>
    <mergeCell ref="SBQ416:SBU417"/>
    <mergeCell ref="SBY416:SCC417"/>
    <mergeCell ref="SCG416:SCK417"/>
    <mergeCell ref="RZM416:RZQ417"/>
    <mergeCell ref="RZU416:RZY417"/>
    <mergeCell ref="SAC416:SAG417"/>
    <mergeCell ref="SAK416:SAO417"/>
    <mergeCell ref="SAS416:SAW417"/>
    <mergeCell ref="RXY416:RYC417"/>
    <mergeCell ref="RYG416:RYK417"/>
    <mergeCell ref="RYO416:RYS417"/>
    <mergeCell ref="RYW416:RZA417"/>
    <mergeCell ref="RZE416:RZI417"/>
    <mergeCell ref="RWK416:RWO417"/>
    <mergeCell ref="RWS416:RWW417"/>
    <mergeCell ref="RXA416:RXE417"/>
    <mergeCell ref="RXI416:RXM417"/>
    <mergeCell ref="RXQ416:RXU417"/>
    <mergeCell ref="SHE416:SHI417"/>
    <mergeCell ref="SHM416:SHQ417"/>
    <mergeCell ref="SHU416:SHY417"/>
    <mergeCell ref="SIC416:SIG417"/>
    <mergeCell ref="SIK416:SIO417"/>
    <mergeCell ref="SFQ416:SFU417"/>
    <mergeCell ref="SFY416:SGC417"/>
    <mergeCell ref="SGG416:SGK417"/>
    <mergeCell ref="SGO416:SGS417"/>
    <mergeCell ref="SGW416:SHA417"/>
    <mergeCell ref="SEC416:SEG417"/>
    <mergeCell ref="SEK416:SEO417"/>
    <mergeCell ref="SES416:SEW417"/>
    <mergeCell ref="SFA416:SFE417"/>
    <mergeCell ref="SFI416:SFM417"/>
    <mergeCell ref="SCO416:SCS417"/>
    <mergeCell ref="SCW416:SDA417"/>
    <mergeCell ref="SDE416:SDI417"/>
    <mergeCell ref="SDM416:SDQ417"/>
    <mergeCell ref="SDU416:SDY417"/>
    <mergeCell ref="SNI416:SNM417"/>
    <mergeCell ref="SNQ416:SNU417"/>
    <mergeCell ref="SNY416:SOC417"/>
    <mergeCell ref="SOG416:SOK417"/>
    <mergeCell ref="SOO416:SOS417"/>
    <mergeCell ref="SLU416:SLY417"/>
    <mergeCell ref="SMC416:SMG417"/>
    <mergeCell ref="SMK416:SMO417"/>
    <mergeCell ref="SMS416:SMW417"/>
    <mergeCell ref="SNA416:SNE417"/>
    <mergeCell ref="SKG416:SKK417"/>
    <mergeCell ref="SKO416:SKS417"/>
    <mergeCell ref="SKW416:SLA417"/>
    <mergeCell ref="SLE416:SLI417"/>
    <mergeCell ref="SLM416:SLQ417"/>
    <mergeCell ref="SIS416:SIW417"/>
    <mergeCell ref="SJA416:SJE417"/>
    <mergeCell ref="SJI416:SJM417"/>
    <mergeCell ref="SJQ416:SJU417"/>
    <mergeCell ref="SJY416:SKC417"/>
    <mergeCell ref="STM416:STQ417"/>
    <mergeCell ref="STU416:STY417"/>
    <mergeCell ref="SUC416:SUG417"/>
    <mergeCell ref="SUK416:SUO417"/>
    <mergeCell ref="SUS416:SUW417"/>
    <mergeCell ref="SRY416:SSC417"/>
    <mergeCell ref="SSG416:SSK417"/>
    <mergeCell ref="SSO416:SSS417"/>
    <mergeCell ref="SSW416:STA417"/>
    <mergeCell ref="STE416:STI417"/>
    <mergeCell ref="SQK416:SQO417"/>
    <mergeCell ref="SQS416:SQW417"/>
    <mergeCell ref="SRA416:SRE417"/>
    <mergeCell ref="SRI416:SRM417"/>
    <mergeCell ref="SRQ416:SRU417"/>
    <mergeCell ref="SOW416:SPA417"/>
    <mergeCell ref="SPE416:SPI417"/>
    <mergeCell ref="SPM416:SPQ417"/>
    <mergeCell ref="SPU416:SPY417"/>
    <mergeCell ref="SQC416:SQG417"/>
    <mergeCell ref="SZQ416:SZU417"/>
    <mergeCell ref="SZY416:TAC417"/>
    <mergeCell ref="TAG416:TAK417"/>
    <mergeCell ref="TAO416:TAS417"/>
    <mergeCell ref="TAW416:TBA417"/>
    <mergeCell ref="SYC416:SYG417"/>
    <mergeCell ref="SYK416:SYO417"/>
    <mergeCell ref="SYS416:SYW417"/>
    <mergeCell ref="SZA416:SZE417"/>
    <mergeCell ref="SZI416:SZM417"/>
    <mergeCell ref="SWO416:SWS417"/>
    <mergeCell ref="SWW416:SXA417"/>
    <mergeCell ref="SXE416:SXI417"/>
    <mergeCell ref="SXM416:SXQ417"/>
    <mergeCell ref="SXU416:SXY417"/>
    <mergeCell ref="SVA416:SVE417"/>
    <mergeCell ref="SVI416:SVM417"/>
    <mergeCell ref="SVQ416:SVU417"/>
    <mergeCell ref="SVY416:SWC417"/>
    <mergeCell ref="SWG416:SWK417"/>
    <mergeCell ref="TFU416:TFY417"/>
    <mergeCell ref="TGC416:TGG417"/>
    <mergeCell ref="TGK416:TGO417"/>
    <mergeCell ref="TGS416:TGW417"/>
    <mergeCell ref="THA416:THE417"/>
    <mergeCell ref="TEG416:TEK417"/>
    <mergeCell ref="TEO416:TES417"/>
    <mergeCell ref="TEW416:TFA417"/>
    <mergeCell ref="TFE416:TFI417"/>
    <mergeCell ref="TFM416:TFQ417"/>
    <mergeCell ref="TCS416:TCW417"/>
    <mergeCell ref="TDA416:TDE417"/>
    <mergeCell ref="TDI416:TDM417"/>
    <mergeCell ref="TDQ416:TDU417"/>
    <mergeCell ref="TDY416:TEC417"/>
    <mergeCell ref="TBE416:TBI417"/>
    <mergeCell ref="TBM416:TBQ417"/>
    <mergeCell ref="TBU416:TBY417"/>
    <mergeCell ref="TCC416:TCG417"/>
    <mergeCell ref="TCK416:TCO417"/>
    <mergeCell ref="TLY416:TMC417"/>
    <mergeCell ref="TMG416:TMK417"/>
    <mergeCell ref="TMO416:TMS417"/>
    <mergeCell ref="TMW416:TNA417"/>
    <mergeCell ref="TNE416:TNI417"/>
    <mergeCell ref="TKK416:TKO417"/>
    <mergeCell ref="TKS416:TKW417"/>
    <mergeCell ref="TLA416:TLE417"/>
    <mergeCell ref="TLI416:TLM417"/>
    <mergeCell ref="TLQ416:TLU417"/>
    <mergeCell ref="TIW416:TJA417"/>
    <mergeCell ref="TJE416:TJI417"/>
    <mergeCell ref="TJM416:TJQ417"/>
    <mergeCell ref="TJU416:TJY417"/>
    <mergeCell ref="TKC416:TKG417"/>
    <mergeCell ref="THI416:THM417"/>
    <mergeCell ref="THQ416:THU417"/>
    <mergeCell ref="THY416:TIC417"/>
    <mergeCell ref="TIG416:TIK417"/>
    <mergeCell ref="TIO416:TIS417"/>
    <mergeCell ref="TSC416:TSG417"/>
    <mergeCell ref="TSK416:TSO417"/>
    <mergeCell ref="TSS416:TSW417"/>
    <mergeCell ref="TTA416:TTE417"/>
    <mergeCell ref="TTI416:TTM417"/>
    <mergeCell ref="TQO416:TQS417"/>
    <mergeCell ref="TQW416:TRA417"/>
    <mergeCell ref="TRE416:TRI417"/>
    <mergeCell ref="TRM416:TRQ417"/>
    <mergeCell ref="TRU416:TRY417"/>
    <mergeCell ref="TPA416:TPE417"/>
    <mergeCell ref="TPI416:TPM417"/>
    <mergeCell ref="TPQ416:TPU417"/>
    <mergeCell ref="TPY416:TQC417"/>
    <mergeCell ref="TQG416:TQK417"/>
    <mergeCell ref="TNM416:TNQ417"/>
    <mergeCell ref="TNU416:TNY417"/>
    <mergeCell ref="TOC416:TOG417"/>
    <mergeCell ref="TOK416:TOO417"/>
    <mergeCell ref="TOS416:TOW417"/>
    <mergeCell ref="TYG416:TYK417"/>
    <mergeCell ref="TYO416:TYS417"/>
    <mergeCell ref="TYW416:TZA417"/>
    <mergeCell ref="TZE416:TZI417"/>
    <mergeCell ref="TZM416:TZQ417"/>
    <mergeCell ref="TWS416:TWW417"/>
    <mergeCell ref="TXA416:TXE417"/>
    <mergeCell ref="TXI416:TXM417"/>
    <mergeCell ref="TXQ416:TXU417"/>
    <mergeCell ref="TXY416:TYC417"/>
    <mergeCell ref="TVE416:TVI417"/>
    <mergeCell ref="TVM416:TVQ417"/>
    <mergeCell ref="TVU416:TVY417"/>
    <mergeCell ref="TWC416:TWG417"/>
    <mergeCell ref="TWK416:TWO417"/>
    <mergeCell ref="TTQ416:TTU417"/>
    <mergeCell ref="TTY416:TUC417"/>
    <mergeCell ref="TUG416:TUK417"/>
    <mergeCell ref="TUO416:TUS417"/>
    <mergeCell ref="TUW416:TVA417"/>
    <mergeCell ref="UEK416:UEO417"/>
    <mergeCell ref="UES416:UEW417"/>
    <mergeCell ref="UFA416:UFE417"/>
    <mergeCell ref="UFI416:UFM417"/>
    <mergeCell ref="UFQ416:UFU417"/>
    <mergeCell ref="UCW416:UDA417"/>
    <mergeCell ref="UDE416:UDI417"/>
    <mergeCell ref="UDM416:UDQ417"/>
    <mergeCell ref="UDU416:UDY417"/>
    <mergeCell ref="UEC416:UEG417"/>
    <mergeCell ref="UBI416:UBM417"/>
    <mergeCell ref="UBQ416:UBU417"/>
    <mergeCell ref="UBY416:UCC417"/>
    <mergeCell ref="UCG416:UCK417"/>
    <mergeCell ref="UCO416:UCS417"/>
    <mergeCell ref="TZU416:TZY417"/>
    <mergeCell ref="UAC416:UAG417"/>
    <mergeCell ref="UAK416:UAO417"/>
    <mergeCell ref="UAS416:UAW417"/>
    <mergeCell ref="UBA416:UBE417"/>
    <mergeCell ref="UKO416:UKS417"/>
    <mergeCell ref="UKW416:ULA417"/>
    <mergeCell ref="ULE416:ULI417"/>
    <mergeCell ref="ULM416:ULQ417"/>
    <mergeCell ref="ULU416:ULY417"/>
    <mergeCell ref="UJA416:UJE417"/>
    <mergeCell ref="UJI416:UJM417"/>
    <mergeCell ref="UJQ416:UJU417"/>
    <mergeCell ref="UJY416:UKC417"/>
    <mergeCell ref="UKG416:UKK417"/>
    <mergeCell ref="UHM416:UHQ417"/>
    <mergeCell ref="UHU416:UHY417"/>
    <mergeCell ref="UIC416:UIG417"/>
    <mergeCell ref="UIK416:UIO417"/>
    <mergeCell ref="UIS416:UIW417"/>
    <mergeCell ref="UFY416:UGC417"/>
    <mergeCell ref="UGG416:UGK417"/>
    <mergeCell ref="UGO416:UGS417"/>
    <mergeCell ref="UGW416:UHA417"/>
    <mergeCell ref="UHE416:UHI417"/>
    <mergeCell ref="UQS416:UQW417"/>
    <mergeCell ref="URA416:URE417"/>
    <mergeCell ref="URI416:URM417"/>
    <mergeCell ref="URQ416:URU417"/>
    <mergeCell ref="URY416:USC417"/>
    <mergeCell ref="UPE416:UPI417"/>
    <mergeCell ref="UPM416:UPQ417"/>
    <mergeCell ref="UPU416:UPY417"/>
    <mergeCell ref="UQC416:UQG417"/>
    <mergeCell ref="UQK416:UQO417"/>
    <mergeCell ref="UNQ416:UNU417"/>
    <mergeCell ref="UNY416:UOC417"/>
    <mergeCell ref="UOG416:UOK417"/>
    <mergeCell ref="UOO416:UOS417"/>
    <mergeCell ref="UOW416:UPA417"/>
    <mergeCell ref="UMC416:UMG417"/>
    <mergeCell ref="UMK416:UMO417"/>
    <mergeCell ref="UMS416:UMW417"/>
    <mergeCell ref="UNA416:UNE417"/>
    <mergeCell ref="UNI416:UNM417"/>
    <mergeCell ref="UWW416:UXA417"/>
    <mergeCell ref="UXE416:UXI417"/>
    <mergeCell ref="UXM416:UXQ417"/>
    <mergeCell ref="UXU416:UXY417"/>
    <mergeCell ref="UYC416:UYG417"/>
    <mergeCell ref="UVI416:UVM417"/>
    <mergeCell ref="UVQ416:UVU417"/>
    <mergeCell ref="UVY416:UWC417"/>
    <mergeCell ref="UWG416:UWK417"/>
    <mergeCell ref="UWO416:UWS417"/>
    <mergeCell ref="UTU416:UTY417"/>
    <mergeCell ref="UUC416:UUG417"/>
    <mergeCell ref="UUK416:UUO417"/>
    <mergeCell ref="UUS416:UUW417"/>
    <mergeCell ref="UVA416:UVE417"/>
    <mergeCell ref="USG416:USK417"/>
    <mergeCell ref="USO416:USS417"/>
    <mergeCell ref="USW416:UTA417"/>
    <mergeCell ref="UTE416:UTI417"/>
    <mergeCell ref="UTM416:UTQ417"/>
    <mergeCell ref="VDA416:VDE417"/>
    <mergeCell ref="VDI416:VDM417"/>
    <mergeCell ref="VDQ416:VDU417"/>
    <mergeCell ref="VDY416:VEC417"/>
    <mergeCell ref="VEG416:VEK417"/>
    <mergeCell ref="VBM416:VBQ417"/>
    <mergeCell ref="VBU416:VBY417"/>
    <mergeCell ref="VCC416:VCG417"/>
    <mergeCell ref="VCK416:VCO417"/>
    <mergeCell ref="VCS416:VCW417"/>
    <mergeCell ref="UZY416:VAC417"/>
    <mergeCell ref="VAG416:VAK417"/>
    <mergeCell ref="VAO416:VAS417"/>
    <mergeCell ref="VAW416:VBA417"/>
    <mergeCell ref="VBE416:VBI417"/>
    <mergeCell ref="UYK416:UYO417"/>
    <mergeCell ref="UYS416:UYW417"/>
    <mergeCell ref="UZA416:UZE417"/>
    <mergeCell ref="UZI416:UZM417"/>
    <mergeCell ref="UZQ416:UZU417"/>
    <mergeCell ref="VJE416:VJI417"/>
    <mergeCell ref="VJM416:VJQ417"/>
    <mergeCell ref="VJU416:VJY417"/>
    <mergeCell ref="VKC416:VKG417"/>
    <mergeCell ref="VKK416:VKO417"/>
    <mergeCell ref="VHQ416:VHU417"/>
    <mergeCell ref="VHY416:VIC417"/>
    <mergeCell ref="VIG416:VIK417"/>
    <mergeCell ref="VIO416:VIS417"/>
    <mergeCell ref="VIW416:VJA417"/>
    <mergeCell ref="VGC416:VGG417"/>
    <mergeCell ref="VGK416:VGO417"/>
    <mergeCell ref="VGS416:VGW417"/>
    <mergeCell ref="VHA416:VHE417"/>
    <mergeCell ref="VHI416:VHM417"/>
    <mergeCell ref="VEO416:VES417"/>
    <mergeCell ref="VEW416:VFA417"/>
    <mergeCell ref="VFE416:VFI417"/>
    <mergeCell ref="VFM416:VFQ417"/>
    <mergeCell ref="VFU416:VFY417"/>
    <mergeCell ref="VPI416:VPM417"/>
    <mergeCell ref="VPQ416:VPU417"/>
    <mergeCell ref="VPY416:VQC417"/>
    <mergeCell ref="VQG416:VQK417"/>
    <mergeCell ref="VQO416:VQS417"/>
    <mergeCell ref="VNU416:VNY417"/>
    <mergeCell ref="VOC416:VOG417"/>
    <mergeCell ref="VOK416:VOO417"/>
    <mergeCell ref="VOS416:VOW417"/>
    <mergeCell ref="VPA416:VPE417"/>
    <mergeCell ref="VMG416:VMK417"/>
    <mergeCell ref="VMO416:VMS417"/>
    <mergeCell ref="VMW416:VNA417"/>
    <mergeCell ref="VNE416:VNI417"/>
    <mergeCell ref="VNM416:VNQ417"/>
    <mergeCell ref="VKS416:VKW417"/>
    <mergeCell ref="VLA416:VLE417"/>
    <mergeCell ref="VLI416:VLM417"/>
    <mergeCell ref="VLQ416:VLU417"/>
    <mergeCell ref="VLY416:VMC417"/>
    <mergeCell ref="VVM416:VVQ417"/>
    <mergeCell ref="VVU416:VVY417"/>
    <mergeCell ref="VWC416:VWG417"/>
    <mergeCell ref="VWK416:VWO417"/>
    <mergeCell ref="VWS416:VWW417"/>
    <mergeCell ref="VTY416:VUC417"/>
    <mergeCell ref="VUG416:VUK417"/>
    <mergeCell ref="VUO416:VUS417"/>
    <mergeCell ref="VUW416:VVA417"/>
    <mergeCell ref="VVE416:VVI417"/>
    <mergeCell ref="VSK416:VSO417"/>
    <mergeCell ref="VSS416:VSW417"/>
    <mergeCell ref="VTA416:VTE417"/>
    <mergeCell ref="VTI416:VTM417"/>
    <mergeCell ref="VTQ416:VTU417"/>
    <mergeCell ref="VQW416:VRA417"/>
    <mergeCell ref="VRE416:VRI417"/>
    <mergeCell ref="VRM416:VRQ417"/>
    <mergeCell ref="VRU416:VRY417"/>
    <mergeCell ref="VSC416:VSG417"/>
    <mergeCell ref="WBQ416:WBU417"/>
    <mergeCell ref="WBY416:WCC417"/>
    <mergeCell ref="WCG416:WCK417"/>
    <mergeCell ref="WCO416:WCS417"/>
    <mergeCell ref="WCW416:WDA417"/>
    <mergeCell ref="WAC416:WAG417"/>
    <mergeCell ref="WAK416:WAO417"/>
    <mergeCell ref="WAS416:WAW417"/>
    <mergeCell ref="WBA416:WBE417"/>
    <mergeCell ref="WBI416:WBM417"/>
    <mergeCell ref="VYO416:VYS417"/>
    <mergeCell ref="VYW416:VZA417"/>
    <mergeCell ref="VZE416:VZI417"/>
    <mergeCell ref="VZM416:VZQ417"/>
    <mergeCell ref="VZU416:VZY417"/>
    <mergeCell ref="VXA416:VXE417"/>
    <mergeCell ref="VXI416:VXM417"/>
    <mergeCell ref="VXQ416:VXU417"/>
    <mergeCell ref="VXY416:VYC417"/>
    <mergeCell ref="VYG416:VYK417"/>
    <mergeCell ref="WHU416:WHY417"/>
    <mergeCell ref="WIC416:WIG417"/>
    <mergeCell ref="WIK416:WIO417"/>
    <mergeCell ref="WIS416:WIW417"/>
    <mergeCell ref="WJA416:WJE417"/>
    <mergeCell ref="WGG416:WGK417"/>
    <mergeCell ref="WGO416:WGS417"/>
    <mergeCell ref="WGW416:WHA417"/>
    <mergeCell ref="WHE416:WHI417"/>
    <mergeCell ref="WHM416:WHQ417"/>
    <mergeCell ref="WES416:WEW417"/>
    <mergeCell ref="WFA416:WFE417"/>
    <mergeCell ref="WFI416:WFM417"/>
    <mergeCell ref="WFQ416:WFU417"/>
    <mergeCell ref="WFY416:WGC417"/>
    <mergeCell ref="WDE416:WDI417"/>
    <mergeCell ref="WDM416:WDQ417"/>
    <mergeCell ref="WDU416:WDY417"/>
    <mergeCell ref="WEC416:WEG417"/>
    <mergeCell ref="WEK416:WEO417"/>
    <mergeCell ref="WNY416:WOC417"/>
    <mergeCell ref="WOG416:WOK417"/>
    <mergeCell ref="WOO416:WOS417"/>
    <mergeCell ref="WOW416:WPA417"/>
    <mergeCell ref="WPE416:WPI417"/>
    <mergeCell ref="WMK416:WMO417"/>
    <mergeCell ref="WMS416:WMW417"/>
    <mergeCell ref="WNA416:WNE417"/>
    <mergeCell ref="WNI416:WNM417"/>
    <mergeCell ref="WNQ416:WNU417"/>
    <mergeCell ref="WKW416:WLA417"/>
    <mergeCell ref="WLE416:WLI417"/>
    <mergeCell ref="WLM416:WLQ417"/>
    <mergeCell ref="WLU416:WLY417"/>
    <mergeCell ref="WMC416:WMG417"/>
    <mergeCell ref="WJI416:WJM417"/>
    <mergeCell ref="WJQ416:WJU417"/>
    <mergeCell ref="WJY416:WKC417"/>
    <mergeCell ref="WKG416:WKK417"/>
    <mergeCell ref="WKO416:WKS417"/>
    <mergeCell ref="WWW416:WXA417"/>
    <mergeCell ref="WUC416:WUG417"/>
    <mergeCell ref="WUK416:WUO417"/>
    <mergeCell ref="WUS416:WUW417"/>
    <mergeCell ref="WVA416:WVE417"/>
    <mergeCell ref="WVI416:WVM417"/>
    <mergeCell ref="WSO416:WSS417"/>
    <mergeCell ref="WSW416:WTA417"/>
    <mergeCell ref="WTE416:WTI417"/>
    <mergeCell ref="WTM416:WTQ417"/>
    <mergeCell ref="WTU416:WTY417"/>
    <mergeCell ref="WRA416:WRE417"/>
    <mergeCell ref="WRI416:WRM417"/>
    <mergeCell ref="WRQ416:WRU417"/>
    <mergeCell ref="WRY416:WSC417"/>
    <mergeCell ref="WSG416:WSK417"/>
    <mergeCell ref="WPM416:WPQ417"/>
    <mergeCell ref="WPU416:WPY417"/>
    <mergeCell ref="WQC416:WQG417"/>
    <mergeCell ref="WQK416:WQO417"/>
    <mergeCell ref="WQS416:WQW417"/>
    <mergeCell ref="XEW416:XFA417"/>
    <mergeCell ref="A198:H198"/>
    <mergeCell ref="A264:H264"/>
    <mergeCell ref="XDI416:XDM417"/>
    <mergeCell ref="XDQ416:XDU417"/>
    <mergeCell ref="XDY416:XEC417"/>
    <mergeCell ref="XEG416:XEK417"/>
    <mergeCell ref="XEO416:XES417"/>
    <mergeCell ref="XBU416:XBY417"/>
    <mergeCell ref="XCC416:XCG417"/>
    <mergeCell ref="XCK416:XCO417"/>
    <mergeCell ref="XCS416:XCW417"/>
    <mergeCell ref="XDA416:XDE417"/>
    <mergeCell ref="XAG416:XAK417"/>
    <mergeCell ref="XAO416:XAS417"/>
    <mergeCell ref="XAW416:XBA417"/>
    <mergeCell ref="XBE416:XBI417"/>
    <mergeCell ref="XBM416:XBQ417"/>
    <mergeCell ref="WYS416:WYW417"/>
    <mergeCell ref="WZA416:WZE417"/>
    <mergeCell ref="WZI416:WZM417"/>
    <mergeCell ref="WZQ416:WZU417"/>
    <mergeCell ref="WZY416:XAC417"/>
    <mergeCell ref="WXE416:WXI417"/>
    <mergeCell ref="WXM416:WXQ417"/>
    <mergeCell ref="WXU416:WXY417"/>
    <mergeCell ref="WYC416:WYG417"/>
    <mergeCell ref="WYK416:WYO417"/>
    <mergeCell ref="WVQ416:WVU417"/>
    <mergeCell ref="WVY416:WWC417"/>
    <mergeCell ref="WWG416:WWK417"/>
    <mergeCell ref="WWO416:WWS417"/>
  </mergeCells>
  <pageMargins left="0.70866141732283472" right="0.70866141732283472" top="0.74803149606299213" bottom="0.74803149606299213" header="0.31496062992125984" footer="0.31496062992125984"/>
  <pageSetup paperSize="9" scale="56" orientation="portrait" r:id="rId1"/>
  <headerFooter>
    <oddHeader>&amp;C&amp;G</oddHeader>
  </headerFooter>
  <rowBreaks count="6" manualBreakCount="6">
    <brk id="78" max="7" man="1"/>
    <brk id="131" max="7" man="1"/>
    <brk id="173" max="7" man="1"/>
    <brk id="251" max="7" man="1"/>
    <brk id="311" max="7" man="1"/>
    <brk id="415" max="7" man="1"/>
  </rowBreaks>
  <colBreaks count="1" manualBreakCount="1">
    <brk id="8" max="467" man="1"/>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V123"/>
  <sheetViews>
    <sheetView showGridLines="0" tabSelected="1" view="pageBreakPreview" zoomScaleNormal="100" zoomScaleSheetLayoutView="100" workbookViewId="0">
      <selection activeCell="C1" sqref="C1"/>
    </sheetView>
  </sheetViews>
  <sheetFormatPr defaultColWidth="8.85546875" defaultRowHeight="15" x14ac:dyDescent="0.25"/>
  <cols>
    <col min="1" max="1" width="59.42578125" style="95" customWidth="1"/>
    <col min="2" max="2" width="15.42578125" style="95" bestFit="1" customWidth="1"/>
    <col min="3" max="3" width="18.140625" style="95" bestFit="1" customWidth="1"/>
    <col min="4" max="4" width="17.5703125" style="95" customWidth="1"/>
    <col min="5" max="5" width="18.42578125" style="95" hidden="1" customWidth="1"/>
    <col min="6" max="6" width="17.42578125" style="95" hidden="1" customWidth="1"/>
    <col min="7" max="7" width="15.5703125" style="95" hidden="1" customWidth="1"/>
    <col min="8" max="10" width="16.42578125" style="95" hidden="1" customWidth="1"/>
    <col min="11" max="11" width="9.5703125" style="95" hidden="1" customWidth="1"/>
    <col min="12" max="12" width="10.5703125" style="95" hidden="1" customWidth="1"/>
    <col min="13" max="13" width="9.85546875" style="95" hidden="1" customWidth="1"/>
    <col min="14" max="14" width="11.5703125" style="95" hidden="1" customWidth="1"/>
    <col min="15" max="15" width="10" style="95" hidden="1" customWidth="1"/>
    <col min="16" max="18" width="0" style="95" hidden="1" customWidth="1"/>
    <col min="19" max="19" width="8.85546875" style="95"/>
    <col min="20" max="20" width="11.42578125" style="95" bestFit="1" customWidth="1"/>
    <col min="21" max="21" width="10.140625" style="95" bestFit="1" customWidth="1"/>
    <col min="22" max="22" width="14" style="95" bestFit="1" customWidth="1"/>
    <col min="23" max="16384" width="8.85546875" style="95"/>
  </cols>
  <sheetData>
    <row r="1" spans="1:20" x14ac:dyDescent="0.25">
      <c r="A1" s="40" t="str">
        <f>PL!A1</f>
        <v>BVC Specialities Private Limited</v>
      </c>
      <c r="B1" s="817"/>
      <c r="C1" s="817"/>
      <c r="D1" s="818"/>
      <c r="E1" s="818"/>
    </row>
    <row r="2" spans="1:20" x14ac:dyDescent="0.25">
      <c r="A2" s="819" t="str">
        <f>'BS  Notes  3-18'!$A$2</f>
        <v>Notes to Financial Statements for the year ended 31 March 2026</v>
      </c>
      <c r="B2" s="820"/>
      <c r="C2" s="820"/>
      <c r="D2" s="821" t="str">
        <f>Input!$D$2</f>
        <v>(₹ in Lakh)</v>
      </c>
      <c r="E2" s="821" t="str">
        <f>Input!$D$2</f>
        <v>(₹ in Lakh)</v>
      </c>
    </row>
    <row r="3" spans="1:20" x14ac:dyDescent="0.25">
      <c r="A3" s="822"/>
      <c r="D3" s="644"/>
      <c r="E3" s="644"/>
    </row>
    <row r="4" spans="1:20" x14ac:dyDescent="0.25">
      <c r="A4" s="1715" t="s">
        <v>0</v>
      </c>
      <c r="B4" s="244"/>
      <c r="C4" s="244" t="s">
        <v>135</v>
      </c>
      <c r="D4" s="245" t="s">
        <v>135</v>
      </c>
      <c r="E4" s="245" t="s">
        <v>135</v>
      </c>
    </row>
    <row r="5" spans="1:20" x14ac:dyDescent="0.25">
      <c r="A5" s="1717"/>
      <c r="B5" s="246"/>
      <c r="C5" s="246" t="str">
        <f>BS!$D$5</f>
        <v>31 March 2026</v>
      </c>
      <c r="D5" s="247" t="str">
        <f>BS!$E$5</f>
        <v>31 March 2025</v>
      </c>
      <c r="E5" s="247" t="str">
        <f>BS!$F$5</f>
        <v>31 March 2022</v>
      </c>
    </row>
    <row r="6" spans="1:20" x14ac:dyDescent="0.25">
      <c r="A6" s="822"/>
      <c r="D6" s="644"/>
      <c r="E6" s="644"/>
    </row>
    <row r="7" spans="1:20" x14ac:dyDescent="0.25">
      <c r="A7" s="314" t="s">
        <v>845</v>
      </c>
      <c r="D7" s="644"/>
      <c r="E7" s="644"/>
    </row>
    <row r="8" spans="1:20" x14ac:dyDescent="0.25">
      <c r="A8" s="314" t="s">
        <v>799</v>
      </c>
      <c r="D8" s="644"/>
      <c r="E8" s="644"/>
    </row>
    <row r="9" spans="1:20" x14ac:dyDescent="0.25">
      <c r="A9" s="822" t="s">
        <v>1699</v>
      </c>
      <c r="D9" s="644"/>
      <c r="E9" s="644"/>
    </row>
    <row r="10" spans="1:20" x14ac:dyDescent="0.25">
      <c r="A10" s="642" t="s">
        <v>755</v>
      </c>
      <c r="C10" s="823">
        <f>-ROUND(SUMIF('TB BVS 31.03.26'!$E:$E,'PL Notes 19-27'!A10,'TB BVS 31.03.26'!$I:$I)/Input!$C$2,Input!$E$2)</f>
        <v>22777</v>
      </c>
      <c r="D10" s="787">
        <f>-ROUND(SUMIF('TB BVS 31.3.25'!$E:$E,'PL Notes 19-27'!A10,'TB BVS 31.3.25'!$I:$I)/Input!$C$2,Input!$E$2)</f>
        <v>702</v>
      </c>
      <c r="E10" s="824" t="e">
        <f>-ROUND(SUMIF('[1]TB - SNS - 31.3.22'!$E:$E,'[2]PL Notes 19-26'!A10,'[1]TB - SNS - 31.3.22'!$L:$L)/[1]Input!$C$2,[1]Input!$E$2)-ROUND(SUMIF('[1]TB - SNS - 31.3.22'!$E:$E,'[2]PL Notes 19-26'!A13,'[1]TB - SNS - 31.3.22'!$L:$L)/[1]Input!$C$2,[1]Input!$E$2)</f>
        <v>#VALUE!</v>
      </c>
      <c r="N10" s="177" t="e">
        <f>SUMIF('[2]TB - SNS - 31.3.24'!F:F,'[2]PL Notes 19-26'!A10,'[2]TB - SNS - 31.3.24'!J:J)/10^5+C10</f>
        <v>#VALUE!</v>
      </c>
      <c r="S10" s="1238">
        <v>52518</v>
      </c>
      <c r="T10" s="225">
        <f>S10-C10</f>
        <v>29741</v>
      </c>
    </row>
    <row r="11" spans="1:20" x14ac:dyDescent="0.25">
      <c r="A11" s="642" t="s">
        <v>1344</v>
      </c>
      <c r="C11" s="823">
        <f>-ROUND(SUMIF('TB BVS 31.03.26'!$E:$E,'PL Notes 19-27'!A11,'TB BVS 31.03.26'!$I:$I)/Input!$C$2,Input!$E$2)</f>
        <v>621</v>
      </c>
      <c r="D11" s="787">
        <f>-ROUND(SUMIF('TB BVS 31.3.25'!$E:$E,'PL Notes 19-27'!A11,'TB BVS 31.3.25'!$I:$I)/Input!$C$2,Input!$E$2)</f>
        <v>392</v>
      </c>
      <c r="E11" s="824"/>
      <c r="N11" s="177"/>
      <c r="S11" s="840">
        <f>C51+C64</f>
        <v>15404.670300885438</v>
      </c>
      <c r="T11" s="840">
        <f>D51+D64</f>
        <v>525.69000000000005</v>
      </c>
    </row>
    <row r="12" spans="1:20" x14ac:dyDescent="0.25">
      <c r="A12" s="822" t="s">
        <v>800</v>
      </c>
      <c r="B12" s="825"/>
      <c r="C12" s="823"/>
      <c r="D12" s="787"/>
      <c r="E12" s="787"/>
      <c r="S12" s="1230">
        <f>S11/C10</f>
        <v>0.67632569262349906</v>
      </c>
      <c r="T12" s="1230">
        <f>T11/D10</f>
        <v>0.74884615384615394</v>
      </c>
    </row>
    <row r="13" spans="1:20" x14ac:dyDescent="0.25">
      <c r="A13" s="642" t="s">
        <v>801</v>
      </c>
      <c r="B13" s="825"/>
      <c r="C13" s="823">
        <f>-ROUND(SUMIF('TB BVS 31.03.26'!$E:$E,'PL Notes 19-27'!A13,'TB BVS 31.03.26'!$I:$I)/Input!$C$2,Input!$E$2)</f>
        <v>40</v>
      </c>
      <c r="D13" s="787">
        <f>-ROUND(SUMIF('TB BVS 31.3.25'!$E:$E,'PL Notes 19-27'!A13,'TB BVS 31.3.25'!$I:$I)/Input!$C$2,Input!$E$2)</f>
        <v>0</v>
      </c>
      <c r="E13" s="787" t="e">
        <f>-ROUND(SUMIF('[1]TB - SNS - 31.3.22'!$E:$E,'[2]PL Notes 19-26'!A12,'[1]TB - SNS - 31.3.22'!$L:$L)/[1]Input!$C$2,[1]Input!$E$2)</f>
        <v>#VALUE!</v>
      </c>
      <c r="N13" s="177" t="e">
        <f>SUMIF('[2]TB - SNS - 31.3.24'!F:F,'[2]PL Notes 19-26'!A12,'[2]TB - SNS - 31.3.24'!J:J)/10^5+C13</f>
        <v>#VALUE!</v>
      </c>
    </row>
    <row r="14" spans="1:20" x14ac:dyDescent="0.25">
      <c r="A14" s="642" t="s">
        <v>1700</v>
      </c>
      <c r="B14" s="825"/>
      <c r="C14" s="823">
        <f>C15+C16</f>
        <v>53</v>
      </c>
      <c r="D14" s="787">
        <v>0</v>
      </c>
      <c r="E14" s="787"/>
      <c r="F14" s="826"/>
      <c r="G14" s="509"/>
      <c r="N14" s="177" t="e">
        <f>SUMIF('[2]TB - SNS - 31.3.24'!F:F,'[2]PL Notes 19-26'!A13,'[2]TB - SNS - 31.3.24'!J:J)/10^5+C14</f>
        <v>#VALUE!</v>
      </c>
    </row>
    <row r="15" spans="1:20" hidden="1" x14ac:dyDescent="0.25">
      <c r="A15" s="642" t="s">
        <v>802</v>
      </c>
      <c r="B15" s="825"/>
      <c r="C15" s="823">
        <f>-ROUND(SUMIF('TB BVS 31.03.26'!$E:$E,'PL Notes 19-27'!A15,'TB BVS 31.03.26'!$I:$I)/Input!$C$2,Input!$E$2)</f>
        <v>14</v>
      </c>
      <c r="D15" s="787">
        <v>0</v>
      </c>
      <c r="E15" s="787" t="e">
        <f>-ROUND(SUMIF('[1]TB - SNS - 31.3.22'!$E:$E,'[2]PL Notes 19-26'!A14,'[1]TB - SNS - 31.3.22'!$L:$L)/[1]Input!$C$2,[1]Input!$E$2)</f>
        <v>#VALUE!</v>
      </c>
      <c r="N15" s="177" t="e">
        <f>SUMIF('[2]TB - SNS - 31.3.24'!F:F,'[2]PL Notes 19-26'!A14,'[2]TB - SNS - 31.3.24'!J:J)/10^5+C15</f>
        <v>#VALUE!</v>
      </c>
    </row>
    <row r="16" spans="1:20" hidden="1" x14ac:dyDescent="0.25">
      <c r="A16" s="642" t="s">
        <v>803</v>
      </c>
      <c r="B16" s="825"/>
      <c r="C16" s="823">
        <f>-ROUND(SUMIF('TB BVS 31.03.26'!$E:$E,'PL Notes 19-27'!A16,'TB BVS 31.03.26'!$I:$I)/Input!$C$2,Input!$E$2)</f>
        <v>39</v>
      </c>
      <c r="D16" s="787">
        <v>0</v>
      </c>
      <c r="E16" s="787"/>
      <c r="N16" s="177"/>
    </row>
    <row r="17" spans="1:20" x14ac:dyDescent="0.25">
      <c r="A17" s="646" t="s">
        <v>67</v>
      </c>
      <c r="B17" s="827"/>
      <c r="C17" s="828">
        <f>SUM(C10:C14)</f>
        <v>23491</v>
      </c>
      <c r="D17" s="829">
        <f>SUM(D10:D16)</f>
        <v>1094</v>
      </c>
      <c r="E17" s="829" t="e">
        <f>SUM(E10:E15)</f>
        <v>#VALUE!</v>
      </c>
      <c r="T17" s="509">
        <f>C17*10%</f>
        <v>2349.1</v>
      </c>
    </row>
    <row r="18" spans="1:20" x14ac:dyDescent="0.25">
      <c r="A18" s="314"/>
      <c r="D18" s="644"/>
      <c r="E18" s="644"/>
    </row>
    <row r="19" spans="1:20" x14ac:dyDescent="0.25">
      <c r="A19" s="314" t="s">
        <v>804</v>
      </c>
      <c r="B19" s="825"/>
      <c r="C19" s="825"/>
      <c r="D19" s="830"/>
      <c r="E19" s="831"/>
    </row>
    <row r="20" spans="1:20" x14ac:dyDescent="0.25">
      <c r="A20" s="822" t="s">
        <v>805</v>
      </c>
      <c r="B20" s="825"/>
      <c r="C20" s="525">
        <f>C23-C22</f>
        <v>23407.025322500001</v>
      </c>
      <c r="D20" s="787">
        <f>D23-D22</f>
        <v>1094</v>
      </c>
      <c r="E20" s="830" t="e">
        <f>E10</f>
        <v>#VALUE!</v>
      </c>
    </row>
    <row r="21" spans="1:20" x14ac:dyDescent="0.25">
      <c r="A21" s="314" t="s">
        <v>806</v>
      </c>
      <c r="B21" s="825"/>
      <c r="C21" s="825"/>
      <c r="D21" s="830"/>
      <c r="E21" s="830"/>
    </row>
    <row r="22" spans="1:20" x14ac:dyDescent="0.25">
      <c r="A22" s="822" t="s">
        <v>807</v>
      </c>
      <c r="B22" s="825"/>
      <c r="C22" s="525">
        <f>-'TB BVS 31.03.26'!I234/100000</f>
        <v>-9.0253224999999997</v>
      </c>
      <c r="D22" s="787">
        <v>0</v>
      </c>
      <c r="E22" s="830">
        <v>0</v>
      </c>
      <c r="F22" s="95" t="s">
        <v>808</v>
      </c>
    </row>
    <row r="23" spans="1:20" x14ac:dyDescent="0.25">
      <c r="A23" s="646" t="s">
        <v>809</v>
      </c>
      <c r="B23" s="827"/>
      <c r="C23" s="833">
        <f>C10+C11</f>
        <v>23398</v>
      </c>
      <c r="D23" s="829">
        <f>D17</f>
        <v>1094</v>
      </c>
      <c r="E23" s="829" t="e">
        <f>E10</f>
        <v>#VALUE!</v>
      </c>
    </row>
    <row r="24" spans="1:20" x14ac:dyDescent="0.25">
      <c r="A24" s="822"/>
      <c r="D24" s="834"/>
      <c r="E24" s="834"/>
    </row>
    <row r="25" spans="1:20" x14ac:dyDescent="0.25">
      <c r="A25" s="314" t="s">
        <v>846</v>
      </c>
      <c r="D25" s="834"/>
      <c r="E25" s="834"/>
    </row>
    <row r="26" spans="1:20" x14ac:dyDescent="0.25">
      <c r="A26" s="314" t="s">
        <v>810</v>
      </c>
      <c r="D26" s="834"/>
      <c r="E26" s="834"/>
    </row>
    <row r="27" spans="1:20" x14ac:dyDescent="0.25">
      <c r="A27" s="822" t="s">
        <v>811</v>
      </c>
      <c r="D27" s="834"/>
      <c r="E27" s="834"/>
    </row>
    <row r="28" spans="1:20" x14ac:dyDescent="0.25">
      <c r="A28" s="835" t="s">
        <v>759</v>
      </c>
      <c r="C28" s="823">
        <f>-ROUND(SUMIF('TB BVS 31.03.26'!$E:$E,'PL Notes 19-27'!A28,'TB BVS 31.03.26'!$I:$I)/Input!$C$2,Input!$E$2)</f>
        <v>4</v>
      </c>
      <c r="D28" s="787">
        <f>-ROUND(SUMIF('TB BVS 31.3.25'!$E:$E,'PL Notes 19-27'!A28,'TB BVS 31.3.25'!$I:$I)/Input!$C$2,Input!$E$2)</f>
        <v>18</v>
      </c>
      <c r="E28" s="824" t="e">
        <f>-ROUND(SUMIF('[1]TB - SNS - 31.3.22'!$E:$E,'[2]PL Notes 19-26'!A27,'[1]TB - SNS - 31.3.22'!$L:$L)/[1]Input!$C$2,[1]Input!$E$2)</f>
        <v>#VALUE!</v>
      </c>
      <c r="F28" s="487">
        <v>15.165298</v>
      </c>
      <c r="G28" s="225">
        <f>D28-F28</f>
        <v>2.8347020000000001</v>
      </c>
      <c r="N28" s="177" t="e">
        <f>SUMIF('[2]TB - SNS - 31.3.24'!F:F,'[2]PL Notes 19-26'!A27,'[2]TB - SNS - 31.3.24'!J:J)/10^5+C28</f>
        <v>#VALUE!</v>
      </c>
    </row>
    <row r="29" spans="1:20" x14ac:dyDescent="0.25">
      <c r="A29" s="835" t="s">
        <v>760</v>
      </c>
      <c r="C29" s="823">
        <f>-ROUND(SUMIF('TB BVS 31.03.26'!$E:$E,'PL Notes 19-27'!A29,'TB BVS 31.03.26'!$I:$I)/Input!$C$2,Input!$E$2)</f>
        <v>19</v>
      </c>
      <c r="D29" s="787">
        <f>-ROUND(SUMIF('TB BVS 31.3.25'!$E:$E,'PL Notes 19-27'!A29,'TB BVS 31.3.25'!$I:$I)/Input!$C$2,Input!$E$2)</f>
        <v>2</v>
      </c>
      <c r="E29" s="824" t="e">
        <f>-ROUND(SUMIF('[1]TB - SNS - 31.3.22'!$E:$E,'[2]PL Notes 19-26'!A28,'[1]TB - SNS - 31.3.22'!$L:$L)/[1]Input!$C$2,[1]Input!$E$2)</f>
        <v>#VALUE!</v>
      </c>
      <c r="F29" s="487">
        <v>77.171246399999902</v>
      </c>
      <c r="G29" s="225">
        <f>D29-F29</f>
        <v>-75.171246399999902</v>
      </c>
      <c r="H29" s="95" t="s">
        <v>812</v>
      </c>
      <c r="N29" s="177" t="e">
        <f>SUMIF('[2]TB - SNS - 31.3.24'!F:F,'[2]PL Notes 19-26'!A28,'[2]TB - SNS - 31.3.24'!J:J)/10^5+C29</f>
        <v>#VALUE!</v>
      </c>
    </row>
    <row r="30" spans="1:20" x14ac:dyDescent="0.25">
      <c r="A30" s="836" t="s">
        <v>912</v>
      </c>
      <c r="C30" s="823">
        <f>-ROUND(SUMIF('TB BVS 31.03.26'!$E:$E,'PL Notes 19-27'!A30,'TB BVS 31.03.26'!$I:$I)/Input!$C$2,Input!$E$2)</f>
        <v>0</v>
      </c>
      <c r="D30" s="787">
        <f>-ROUND(SUMIF('TB BVS 31.3.25'!$E:$E,'PL Notes 19-27'!A30,'TB BVS 31.3.25'!$I:$I)/Input!$C$2,Input!$E$2)</f>
        <v>49</v>
      </c>
      <c r="E30" s="824"/>
      <c r="F30" s="487"/>
      <c r="G30" s="225"/>
      <c r="N30" s="177"/>
    </row>
    <row r="31" spans="1:20" hidden="1" x14ac:dyDescent="0.25">
      <c r="A31" s="822" t="s">
        <v>813</v>
      </c>
      <c r="C31" s="823">
        <f>-ROUND(SUMIF('TB BVS 31.03.26'!$E:$E,'PL Notes 19-27'!A31,'TB BVS 31.03.26'!$I:$I)/Input!$C$2,Input!$E$2)</f>
        <v>0</v>
      </c>
      <c r="D31" s="787">
        <v>0</v>
      </c>
      <c r="E31" s="824" t="e">
        <f>-ROUND(SUMIF('[1]TB - SNS - 31.3.22'!$E:$E,'[2]PL Notes 19-26'!A29,'[1]TB - SNS - 31.3.22'!$L:$L)/[1]Input!$C$2,[1]Input!$E$2)</f>
        <v>#VALUE!</v>
      </c>
      <c r="F31" s="95">
        <v>0</v>
      </c>
      <c r="G31" s="225">
        <f>D31-F31</f>
        <v>0</v>
      </c>
      <c r="H31" s="95" t="s">
        <v>814</v>
      </c>
      <c r="N31" s="177" t="e">
        <f>SUMIF('[2]TB - SNS - 31.3.24'!F:F,'[2]PL Notes 19-26'!A29,'[2]TB - SNS - 31.3.24'!J:J)/10^5+C31</f>
        <v>#VALUE!</v>
      </c>
    </row>
    <row r="32" spans="1:20" x14ac:dyDescent="0.25">
      <c r="A32" s="822" t="s">
        <v>758</v>
      </c>
      <c r="C32" s="823">
        <f>-ROUND(SUMIF('TB BVS 31.03.26'!$E:$E,'PL Notes 19-27'!A32,'TB BVS 31.03.26'!$I:$I)/Input!$C$2,Input!$E$2)</f>
        <v>215</v>
      </c>
      <c r="D32" s="787">
        <f>-ROUND(SUMIF('TB BVS 31.3.25'!$E:$E,'PL Notes 19-27'!A32,'TB BVS 31.3.25'!$I:$I)/Input!$C$2,Input!$E$2)+1</f>
        <v>4</v>
      </c>
      <c r="E32" s="824" t="e">
        <f>-ROUND(SUMIF('[1]TB - SNS - 31.3.22'!$E:$E,'[2]PL Notes 19-26'!A30,'[1]TB - SNS - 31.3.22'!$L:$L)/[1]Input!$C$2,[1]Input!$E$2)</f>
        <v>#VALUE!</v>
      </c>
      <c r="F32" s="487">
        <v>590.00863568963109</v>
      </c>
      <c r="G32" s="225">
        <f>D32-F32</f>
        <v>-586.00863568963109</v>
      </c>
      <c r="N32" s="177" t="e">
        <f>SUMIF('[2]TB - SNS - 31.3.24'!F:F,'[2]PL Notes 19-26'!A30,'[2]TB - SNS - 31.3.24'!J:J)/10^5+C32</f>
        <v>#VALUE!</v>
      </c>
    </row>
    <row r="33" spans="1:16" hidden="1" x14ac:dyDescent="0.25">
      <c r="A33" s="822" t="s">
        <v>815</v>
      </c>
      <c r="C33" s="823">
        <f>-ROUND(SUMIF('TB BVS 31.03.26'!$E:$E,'PL Notes 19-27'!A33,'TB BVS 31.03.26'!$I:$I)/Input!$C$2,Input!$E$2)</f>
        <v>0</v>
      </c>
      <c r="D33" s="787"/>
      <c r="E33" s="824"/>
      <c r="F33" s="487"/>
      <c r="G33" s="225"/>
      <c r="N33" s="177"/>
    </row>
    <row r="34" spans="1:16" hidden="1" x14ac:dyDescent="0.25">
      <c r="A34" s="822" t="s">
        <v>816</v>
      </c>
      <c r="C34" s="823">
        <f>-ROUND(SUMIF('TB BVS 31.03.26'!$E:$E,'PL Notes 19-27'!A34,'TB BVS 31.03.26'!$I:$I)/Input!$C$2,Input!$E$2)</f>
        <v>0</v>
      </c>
      <c r="D34" s="787"/>
      <c r="E34" s="824"/>
      <c r="F34" s="487"/>
      <c r="G34" s="225"/>
      <c r="N34" s="177"/>
    </row>
    <row r="35" spans="1:16" hidden="1" x14ac:dyDescent="0.25">
      <c r="A35" s="822" t="s">
        <v>1539</v>
      </c>
      <c r="C35" s="823">
        <f>-ROUND(SUMIF('TB BVS 31.03.26'!$E:$E,'PL Notes 19-27'!A35,'TB BVS 31.03.26'!$I:$I)/Input!$C$2,Input!$E$2)</f>
        <v>0</v>
      </c>
      <c r="D35" s="787"/>
      <c r="E35" s="824"/>
      <c r="F35" s="487"/>
      <c r="G35" s="225"/>
      <c r="N35" s="177"/>
    </row>
    <row r="36" spans="1:16" s="788" customFormat="1" x14ac:dyDescent="0.25">
      <c r="A36" s="646" t="s">
        <v>67</v>
      </c>
      <c r="B36" s="837"/>
      <c r="C36" s="833">
        <f>SUM(C28:C35)</f>
        <v>238</v>
      </c>
      <c r="D36" s="829">
        <f>SUM(D28:D34)</f>
        <v>73</v>
      </c>
      <c r="E36" s="829" t="e">
        <f>SUM(E28:E32)</f>
        <v>#VALUE!</v>
      </c>
      <c r="F36" s="838">
        <f>SUM(F28:F32)</f>
        <v>682.34518008963096</v>
      </c>
      <c r="G36" s="838">
        <f>SUM(G28:G32)</f>
        <v>-658.34518008963096</v>
      </c>
    </row>
    <row r="37" spans="1:16" x14ac:dyDescent="0.25">
      <c r="A37" s="822"/>
      <c r="D37" s="834"/>
      <c r="E37" s="834"/>
    </row>
    <row r="38" spans="1:16" x14ac:dyDescent="0.25">
      <c r="A38" s="314" t="s">
        <v>847</v>
      </c>
      <c r="D38" s="834"/>
      <c r="E38" s="834"/>
    </row>
    <row r="39" spans="1:16" x14ac:dyDescent="0.25">
      <c r="A39" s="314" t="s">
        <v>819</v>
      </c>
      <c r="D39" s="834"/>
      <c r="E39" s="834"/>
    </row>
    <row r="40" spans="1:16" x14ac:dyDescent="0.25">
      <c r="A40" s="314" t="s">
        <v>820</v>
      </c>
      <c r="D40" s="834"/>
      <c r="E40" s="834"/>
    </row>
    <row r="41" spans="1:16" x14ac:dyDescent="0.25">
      <c r="A41" s="822" t="s">
        <v>821</v>
      </c>
      <c r="C41" s="823">
        <f>D43</f>
        <v>321</v>
      </c>
      <c r="D41" s="787">
        <f>76/100</f>
        <v>0.76</v>
      </c>
      <c r="E41" s="824">
        <f>'[2]BS  Notes  4-18'!J158</f>
        <v>0</v>
      </c>
      <c r="F41" s="487">
        <v>5752.5235014</v>
      </c>
      <c r="G41" s="225">
        <f t="shared" ref="G41:G43" si="0">D41-F41</f>
        <v>-5751.7635013999998</v>
      </c>
      <c r="H41" s="95" t="s">
        <v>822</v>
      </c>
    </row>
    <row r="42" spans="1:16" x14ac:dyDescent="0.25">
      <c r="A42" s="822" t="s">
        <v>761</v>
      </c>
      <c r="C42" s="823">
        <f>C43+C44-C41</f>
        <v>20513.670300885438</v>
      </c>
      <c r="D42" s="787">
        <f>D43+D44-D41</f>
        <v>1192.82</v>
      </c>
      <c r="E42" s="824" t="e">
        <f>ROUND(SUMIF('[1]TB - SNS - 31.3.22'!$E:$E,'[2]PL Notes 19-26'!A46,'[1]TB - SNS - 31.3.22'!$L:$L)/[1]Input!$C$2,[1]Input!$E$2)</f>
        <v>#VALUE!</v>
      </c>
      <c r="F42" s="487">
        <v>41990.219960499999</v>
      </c>
      <c r="G42" s="225">
        <f t="shared" si="0"/>
        <v>-40797.399960499999</v>
      </c>
    </row>
    <row r="43" spans="1:16" x14ac:dyDescent="0.25">
      <c r="A43" s="822" t="s">
        <v>823</v>
      </c>
      <c r="C43" s="823">
        <f>'BS  Notes  3-18'!G71</f>
        <v>1649</v>
      </c>
      <c r="D43" s="839">
        <f>'BS  Notes  3-18'!H71</f>
        <v>321</v>
      </c>
      <c r="E43" s="824">
        <f>'[2]BS  Notes  4-18'!I158</f>
        <v>0</v>
      </c>
      <c r="F43" s="487">
        <v>4276.3641792999997</v>
      </c>
      <c r="G43" s="225">
        <f t="shared" si="0"/>
        <v>-3955.3641792999997</v>
      </c>
    </row>
    <row r="44" spans="1:16" x14ac:dyDescent="0.25">
      <c r="A44" s="822"/>
      <c r="B44" s="840"/>
      <c r="C44" s="841">
        <f>ROUND(SUMIF('TB BVS 31.03.26'!$E:$E,'PL Notes 19-27'!A42,'TB BVS 31.03.26'!$I:$I)/Input!$C$2,Input!$E$2)+V64-PL!D14</f>
        <v>19185.670300885438</v>
      </c>
      <c r="D44" s="842">
        <f>ROUND(SUMIF('TB BVS 31.3.25'!$E:$E,'PL Notes 19-27'!A42,'TB BVS 31.3.25'!$I:$I)/Input!$C$2,Input!$E$2)+(12558/100)</f>
        <v>872.58</v>
      </c>
      <c r="E44" s="843" t="e">
        <f>SUM(E41:E42)-E43</f>
        <v>#VALUE!</v>
      </c>
      <c r="F44" s="844">
        <v>43466.379282599992</v>
      </c>
      <c r="G44" s="838">
        <f>D44-F44</f>
        <v>-42593.79928259999</v>
      </c>
      <c r="N44" s="177" t="e">
        <f>SUMIF('[2]TB - SNS - 31.3.24'!F:F,'[2]PL Notes 19-26'!A46,'[2]TB - SNS - 31.3.24'!J:J)/10^5-C44</f>
        <v>#VALUE!</v>
      </c>
      <c r="P44" s="840">
        <f>C44+C49+C58-C62</f>
        <v>15404.670300885438</v>
      </c>
    </row>
    <row r="45" spans="1:16" x14ac:dyDescent="0.25">
      <c r="A45" s="314" t="s">
        <v>824</v>
      </c>
      <c r="D45" s="787"/>
      <c r="E45" s="824"/>
    </row>
    <row r="46" spans="1:16" x14ac:dyDescent="0.25">
      <c r="A46" s="822" t="s">
        <v>821</v>
      </c>
      <c r="C46" s="823">
        <f>D48</f>
        <v>21</v>
      </c>
      <c r="D46" s="787">
        <v>0</v>
      </c>
      <c r="E46" s="824">
        <f>'[2]BS  Notes  4-18'!J159</f>
        <v>0</v>
      </c>
      <c r="F46" s="487">
        <v>36.870870199999999</v>
      </c>
      <c r="G46" s="225">
        <f t="shared" ref="G46:G48" si="1">D46-F46</f>
        <v>-36.870870199999999</v>
      </c>
      <c r="H46" s="95" t="s">
        <v>825</v>
      </c>
    </row>
    <row r="47" spans="1:16" x14ac:dyDescent="0.25">
      <c r="A47" s="822" t="s">
        <v>1090</v>
      </c>
      <c r="C47" s="823">
        <f>C48+C49-C46</f>
        <v>426</v>
      </c>
      <c r="D47" s="957">
        <f>D48+D49-D46</f>
        <v>61</v>
      </c>
      <c r="E47" s="824" t="e">
        <f>ROUND(SUMIF('[1]TB - SNS - 31.3.22'!$E:$E,'[2]PL Notes 19-26'!A51,'[1]TB - SNS - 31.3.22'!$L:$L)/[1]Input!$C$2,[1]Input!$E$2)</f>
        <v>#VALUE!</v>
      </c>
      <c r="F47" s="487">
        <v>1071.627400899999</v>
      </c>
      <c r="G47" s="509">
        <f t="shared" si="1"/>
        <v>-1010.627400899999</v>
      </c>
    </row>
    <row r="48" spans="1:16" x14ac:dyDescent="0.25">
      <c r="A48" s="822" t="s">
        <v>823</v>
      </c>
      <c r="C48" s="823">
        <f>'BS  Notes  3-18'!G72</f>
        <v>13</v>
      </c>
      <c r="D48" s="957">
        <f>'BS  Notes  3-18'!H72</f>
        <v>21</v>
      </c>
      <c r="E48" s="824">
        <f>'[2]BS  Notes  4-18'!I159</f>
        <v>0</v>
      </c>
      <c r="F48" s="487">
        <v>47.405560800000003</v>
      </c>
      <c r="G48" s="509">
        <f t="shared" si="1"/>
        <v>-26.405560800000003</v>
      </c>
    </row>
    <row r="49" spans="1:22" x14ac:dyDescent="0.25">
      <c r="A49" s="822"/>
      <c r="C49" s="841">
        <f>ROUND(SUMIF('TB BVS 31.03.26'!$E:$E,'PL Notes 19-27'!A47,'TB BVS 31.03.26'!$I:$I)/Input!$C$2,Input!$E$2)</f>
        <v>434</v>
      </c>
      <c r="D49" s="842">
        <f>ROUND(SUMIF('TB BVS 31.3.25'!$E:$E,'PL Notes 19-27'!A47,'TB BVS 31.3.25'!$I:$I)/Input!$C$2,Input!$E$2)</f>
        <v>40</v>
      </c>
      <c r="E49" s="843" t="e">
        <f>SUM(E46:E47)-E48</f>
        <v>#VALUE!</v>
      </c>
      <c r="F49" s="844">
        <v>1061.092710299999</v>
      </c>
      <c r="G49" s="845">
        <f>D49-F49</f>
        <v>-1021.092710299999</v>
      </c>
      <c r="N49" s="177" t="e">
        <f>SUMIF('[2]TB - SNS - 31.3.24'!F:F,'[2]PL Notes 19-26'!A51,'[2]TB - SNS - 31.3.24'!J:J)/10^5-C49</f>
        <v>#VALUE!</v>
      </c>
    </row>
    <row r="50" spans="1:22" x14ac:dyDescent="0.25">
      <c r="A50" s="822"/>
      <c r="D50" s="787"/>
      <c r="E50" s="824"/>
    </row>
    <row r="51" spans="1:22" s="788" customFormat="1" x14ac:dyDescent="0.25">
      <c r="A51" s="646" t="s">
        <v>67</v>
      </c>
      <c r="B51" s="837"/>
      <c r="C51" s="833">
        <f>C44+C49</f>
        <v>19619.670300885438</v>
      </c>
      <c r="D51" s="829">
        <f>D44+D49</f>
        <v>912.58</v>
      </c>
      <c r="E51" s="829" t="e">
        <f>E44+E49</f>
        <v>#VALUE!</v>
      </c>
      <c r="F51" s="838"/>
      <c r="H51" s="846"/>
    </row>
    <row r="52" spans="1:22" x14ac:dyDescent="0.25">
      <c r="A52" s="822"/>
      <c r="D52" s="834"/>
      <c r="E52" s="834"/>
    </row>
    <row r="53" spans="1:22" s="788" customFormat="1" x14ac:dyDescent="0.25">
      <c r="A53" s="314" t="s">
        <v>916</v>
      </c>
      <c r="B53" s="95"/>
      <c r="C53" s="95"/>
      <c r="D53" s="834"/>
      <c r="E53" s="834"/>
    </row>
    <row r="54" spans="1:22" s="788" customFormat="1" x14ac:dyDescent="0.25">
      <c r="A54" s="314" t="s">
        <v>826</v>
      </c>
      <c r="B54" s="95"/>
      <c r="C54" s="95"/>
      <c r="D54" s="834"/>
      <c r="E54" s="834"/>
    </row>
    <row r="55" spans="1:22" s="788" customFormat="1" x14ac:dyDescent="0.25">
      <c r="A55" s="314" t="s">
        <v>827</v>
      </c>
      <c r="B55" s="95"/>
      <c r="C55" s="95"/>
      <c r="D55" s="834"/>
      <c r="E55" s="834"/>
    </row>
    <row r="56" spans="1:22" s="788" customFormat="1" x14ac:dyDescent="0.25">
      <c r="A56" s="822" t="s">
        <v>733</v>
      </c>
      <c r="B56" s="95"/>
      <c r="C56" s="823">
        <f>D60</f>
        <v>399</v>
      </c>
      <c r="D56" s="787">
        <f>52/100</f>
        <v>0.52</v>
      </c>
      <c r="E56" s="824" t="str">
        <f>'[2]BS  Notes  4-18'!J160</f>
        <v>As at</v>
      </c>
      <c r="F56" s="487">
        <v>3179.8941193999999</v>
      </c>
      <c r="G56" s="225">
        <f t="shared" ref="G56:G57" si="2">D56-F56</f>
        <v>-3179.3741193999999</v>
      </c>
      <c r="H56" s="95" t="s">
        <v>828</v>
      </c>
    </row>
    <row r="57" spans="1:22" s="788" customFormat="1" x14ac:dyDescent="0.25">
      <c r="A57" s="822" t="s">
        <v>829</v>
      </c>
      <c r="B57" s="95"/>
      <c r="C57" s="823">
        <f>D61</f>
        <v>0</v>
      </c>
      <c r="D57" s="787">
        <f>1159/100</f>
        <v>11.59</v>
      </c>
      <c r="E57" s="824" t="str">
        <f>'[2]BS  Notes  4-18'!J161</f>
        <v>1 April 2021</v>
      </c>
      <c r="F57" s="487">
        <v>4869.0101662999996</v>
      </c>
      <c r="G57" s="225">
        <f t="shared" si="2"/>
        <v>-4857.4201662999994</v>
      </c>
      <c r="H57" s="95" t="s">
        <v>830</v>
      </c>
    </row>
    <row r="58" spans="1:22" s="788" customFormat="1" x14ac:dyDescent="0.25">
      <c r="A58" s="822"/>
      <c r="B58" s="95"/>
      <c r="C58" s="841">
        <f>SUM(C56:C57)</f>
        <v>399</v>
      </c>
      <c r="D58" s="842">
        <f>SUM(D56:D57)</f>
        <v>12.11</v>
      </c>
      <c r="E58" s="843">
        <f>SUM(E56:E57)</f>
        <v>0</v>
      </c>
      <c r="F58" s="838">
        <f>SUM(F56:F57)</f>
        <v>8048.9042856999995</v>
      </c>
      <c r="G58" s="838">
        <f>SUM(G56:G57)</f>
        <v>-8036.7942856999998</v>
      </c>
    </row>
    <row r="59" spans="1:22" s="788" customFormat="1" x14ac:dyDescent="0.25">
      <c r="A59" s="314" t="s">
        <v>831</v>
      </c>
      <c r="B59" s="95"/>
      <c r="C59" s="95"/>
      <c r="D59" s="787"/>
      <c r="E59" s="824"/>
      <c r="F59" s="95"/>
    </row>
    <row r="60" spans="1:22" s="788" customFormat="1" x14ac:dyDescent="0.25">
      <c r="A60" s="822" t="s">
        <v>733</v>
      </c>
      <c r="B60" s="95"/>
      <c r="C60" s="823">
        <f>'BS  Notes  3-18'!G73</f>
        <v>1831</v>
      </c>
      <c r="D60" s="787">
        <f>'BS  Notes  3-18'!H73</f>
        <v>399</v>
      </c>
      <c r="E60" s="824" t="str">
        <f>'[2]BS  Notes  4-18'!I160</f>
        <v>As at</v>
      </c>
      <c r="F60" s="487">
        <v>3940.0984469652612</v>
      </c>
      <c r="G60" s="225">
        <f t="shared" ref="G60:G61" si="3">D60-F60</f>
        <v>-3541.0984469652612</v>
      </c>
    </row>
    <row r="61" spans="1:22" s="788" customFormat="1" x14ac:dyDescent="0.25">
      <c r="A61" s="822" t="s">
        <v>829</v>
      </c>
      <c r="B61" s="95"/>
      <c r="C61" s="823">
        <f>'BS  Notes  3-18'!G74</f>
        <v>2783</v>
      </c>
      <c r="D61" s="787">
        <f>'BS  Notes  3-18'!H74</f>
        <v>0</v>
      </c>
      <c r="E61" s="824" t="str">
        <f>'[2]BS  Notes  4-18'!I161</f>
        <v>31 March 2022</v>
      </c>
      <c r="F61" s="487">
        <v>5675.1072454347286</v>
      </c>
      <c r="G61" s="225">
        <f t="shared" si="3"/>
        <v>-5675.1072454347286</v>
      </c>
      <c r="I61" s="845"/>
    </row>
    <row r="62" spans="1:22" s="788" customFormat="1" x14ac:dyDescent="0.25">
      <c r="A62" s="822"/>
      <c r="B62" s="95"/>
      <c r="C62" s="841">
        <f>SUM(C60:C61)</f>
        <v>4614</v>
      </c>
      <c r="D62" s="842">
        <f>SUM(D60:D61)</f>
        <v>399</v>
      </c>
      <c r="E62" s="843">
        <f>SUM(E60:E61)</f>
        <v>0</v>
      </c>
      <c r="F62" s="838">
        <f>SUM(F60:F61)</f>
        <v>9615.2056923999899</v>
      </c>
      <c r="G62" s="838">
        <f>SUM(G60:G61)</f>
        <v>-9216.2056923999899</v>
      </c>
    </row>
    <row r="63" spans="1:22" s="788" customFormat="1" x14ac:dyDescent="0.25">
      <c r="A63" s="822"/>
      <c r="B63" s="95"/>
      <c r="C63" s="95"/>
      <c r="D63" s="787"/>
      <c r="E63" s="824"/>
      <c r="G63" s="847"/>
    </row>
    <row r="64" spans="1:22" s="788" customFormat="1" x14ac:dyDescent="0.25">
      <c r="A64" s="646" t="s">
        <v>763</v>
      </c>
      <c r="B64" s="837"/>
      <c r="C64" s="833">
        <f>C58-C62</f>
        <v>-4215</v>
      </c>
      <c r="D64" s="829">
        <f>(D58-D62)</f>
        <v>-386.89</v>
      </c>
      <c r="E64" s="829">
        <f>(E58-E62)</f>
        <v>0</v>
      </c>
      <c r="F64" s="848">
        <f>(F58-F62)</f>
        <v>-1566.3014066999904</v>
      </c>
      <c r="G64" s="845"/>
      <c r="H64" s="845"/>
      <c r="N64" s="177" t="e">
        <f>SUMIF('[2]TB - SNS - 31.3.24'!F:F,'[2]PL Notes 19-26'!A68,'[2]TB - SNS - 31.3.24'!J:J)/10^5-C64</f>
        <v>#VALUE!</v>
      </c>
      <c r="O64" s="846" t="e">
        <f>SUMIF('[2]TB - SNS - 31.3.24'!F:F,'[2]PL Notes 19-26'!A68,'[2]TB - SNS - 31.3.24'!J:J)/10^5</f>
        <v>#VALUE!</v>
      </c>
      <c r="P64" s="846">
        <f>C58-C62</f>
        <v>-4215</v>
      </c>
      <c r="Q64" s="838" t="e">
        <f>O64-P64</f>
        <v>#VALUE!</v>
      </c>
      <c r="T64" s="846">
        <f>ROUND(SUMIF('TB BVS 31.03.26'!$E:$E,'PL Notes 19-27'!A64,'TB BVS 31.03.26'!$I:$I)/Input!$C$2,Input!$E$2)</f>
        <v>3416</v>
      </c>
      <c r="U64" s="846">
        <f>C64</f>
        <v>-4215</v>
      </c>
      <c r="V64" s="838">
        <f>T64-U64</f>
        <v>7631</v>
      </c>
    </row>
    <row r="65" spans="1:22" x14ac:dyDescent="0.25">
      <c r="A65" s="822"/>
      <c r="D65" s="834"/>
      <c r="E65" s="834"/>
    </row>
    <row r="66" spans="1:22" x14ac:dyDescent="0.25">
      <c r="A66" s="314" t="s">
        <v>1087</v>
      </c>
      <c r="D66" s="834"/>
      <c r="E66" s="834"/>
    </row>
    <row r="67" spans="1:22" x14ac:dyDescent="0.25">
      <c r="A67" s="314" t="s">
        <v>832</v>
      </c>
      <c r="D67" s="834"/>
      <c r="E67" s="834"/>
    </row>
    <row r="68" spans="1:22" x14ac:dyDescent="0.25">
      <c r="A68" s="822" t="s">
        <v>1669</v>
      </c>
      <c r="C68" s="525">
        <f>ROUND(SUMIF('TB BVS 31.03.26'!E:E,'PL Notes 19-27'!A68,'TB BVS 31.03.26'!I:I)/Input!$C$2,Input!E2)</f>
        <v>1596</v>
      </c>
      <c r="D68" s="834">
        <f>(69328/100)+(651224.58/100000)*0</f>
        <v>693.28</v>
      </c>
      <c r="E68" s="834"/>
      <c r="S68" s="95">
        <v>10453</v>
      </c>
      <c r="U68" s="98" t="s">
        <v>1079</v>
      </c>
      <c r="V68" s="849">
        <f>(25463237/1000)-(190172/1000)</f>
        <v>25273.065000000002</v>
      </c>
    </row>
    <row r="69" spans="1:22" x14ac:dyDescent="0.25">
      <c r="A69" s="822" t="s">
        <v>833</v>
      </c>
      <c r="C69" s="525">
        <f>ROUND(SUMIF('TB BVS 31.03.26'!E:E,'PL Notes 19-27'!A69,'TB BVS 31.03.26'!I:I)/Input!$C$2,Input!E3)</f>
        <v>51</v>
      </c>
      <c r="D69" s="834">
        <f>ROUND(SUMIF('TB BVS 31.3.25'!$E:$E,'PL Notes 19-27'!A69,'TB BVS 31.3.25'!$I:$I)/Input!$C$2,Input!$E$2)</f>
        <v>6</v>
      </c>
      <c r="E69" s="834"/>
      <c r="S69" s="1238">
        <f>C68+C70</f>
        <v>1596</v>
      </c>
      <c r="U69" s="98" t="s">
        <v>1080</v>
      </c>
      <c r="V69" s="849">
        <f>190172/1000</f>
        <v>190.172</v>
      </c>
    </row>
    <row r="70" spans="1:22" x14ac:dyDescent="0.25">
      <c r="A70" s="822" t="s">
        <v>895</v>
      </c>
      <c r="C70" s="525">
        <v>0</v>
      </c>
      <c r="D70" s="834">
        <f>-58874.53/100+324/100</f>
        <v>-585.50530000000003</v>
      </c>
      <c r="E70" s="834"/>
      <c r="S70" s="1238">
        <f>S68-S69</f>
        <v>8857</v>
      </c>
      <c r="U70" s="98" t="s">
        <v>1079</v>
      </c>
      <c r="V70" s="849">
        <f>SUM(V68:V69)</f>
        <v>25463.237000000001</v>
      </c>
    </row>
    <row r="71" spans="1:22" hidden="1" x14ac:dyDescent="0.25">
      <c r="A71" s="822" t="s">
        <v>834</v>
      </c>
      <c r="C71" s="525">
        <f>ROUND(SUMIF('TB BVS 31.03.26'!E:E,'PL Notes 19-27'!A71,'TB BVS 31.03.26'!I:I)/Input!$C$2,Input!E5)</f>
        <v>0</v>
      </c>
      <c r="D71" s="787">
        <v>0</v>
      </c>
      <c r="E71" s="824" t="e">
        <f>ROUND(SUMIF('[1]TB - SNS - 31.3.22'!$E:$E,'[2]PL Notes 19-26'!A75,'[1]TB - SNS - 31.3.22'!$L:$L)/[1]Input!$C$2,[1]Input!$E$2)</f>
        <v>#VALUE!</v>
      </c>
      <c r="F71" s="487">
        <v>37.052590000000002</v>
      </c>
      <c r="G71" s="225">
        <f t="shared" ref="G71:G72" si="4">D71-F71</f>
        <v>-37.052590000000002</v>
      </c>
      <c r="H71" s="95" t="s">
        <v>835</v>
      </c>
      <c r="N71" s="177" t="e">
        <f>SUMIF('[2]TB - SNS - 31.3.24'!F:F,'[2]PL Notes 19-26'!A75,'[2]TB - SNS - 31.3.24'!J:J)/10^5-C71</f>
        <v>#VALUE!</v>
      </c>
      <c r="U71" s="98"/>
      <c r="V71" s="98"/>
    </row>
    <row r="72" spans="1:22" x14ac:dyDescent="0.25">
      <c r="A72" s="822" t="s">
        <v>836</v>
      </c>
      <c r="C72" s="525">
        <f>ROUND(SUMIF('TB BVS 31.03.26'!E:E,'PL Notes 19-27'!A72,'TB BVS 31.03.26'!I:I)/Input!$C$2,Input!E6)</f>
        <v>342.556938</v>
      </c>
      <c r="D72" s="787">
        <f>ROUND(SUMIF('TB BVS 31.3.25'!$E:$E,'PL Notes 19-27'!A72,'TB BVS 31.3.25'!$I:$I)/Input!$C$2,Input!$E$2)</f>
        <v>34</v>
      </c>
      <c r="E72" s="824" t="e">
        <f>ROUND(SUMIF('[1]TB - SNS - 31.3.22'!$E:$E,'[2]PL Notes 19-26'!A76,'[1]TB - SNS - 31.3.22'!$L:$L)/[1]Input!$C$2,[1]Input!$E$2)</f>
        <v>#VALUE!</v>
      </c>
      <c r="F72" s="487">
        <v>476.26490619999998</v>
      </c>
      <c r="G72" s="225">
        <f t="shared" si="4"/>
        <v>-442.26490619999998</v>
      </c>
      <c r="H72" s="95" t="s">
        <v>837</v>
      </c>
      <c r="N72" s="177" t="e">
        <f>SUMIF('[2]TB - SNS - 31.3.24'!F:F,'[2]PL Notes 19-26'!A76,'[2]TB - SNS - 31.3.24'!J:J)/10^5-C72</f>
        <v>#VALUE!</v>
      </c>
      <c r="T72" s="840">
        <f>S68-C70</f>
        <v>10453</v>
      </c>
      <c r="U72" s="98"/>
      <c r="V72" s="98"/>
    </row>
    <row r="73" spans="1:22" hidden="1" x14ac:dyDescent="0.25">
      <c r="A73" s="822"/>
      <c r="C73" s="850">
        <f>SUM(C68:C72)</f>
        <v>1989.5569379999999</v>
      </c>
      <c r="D73" s="1555">
        <f>SUM(D68:D72)</f>
        <v>147.77469999999994</v>
      </c>
      <c r="E73" s="843" t="e">
        <f>SUM(E71:E72)</f>
        <v>#VALUE!</v>
      </c>
      <c r="F73" s="844">
        <f>SUM(F71:F72)</f>
        <v>513.31749619999994</v>
      </c>
      <c r="G73" s="838">
        <f>SUM(G71:G72)</f>
        <v>-479.31749619999999</v>
      </c>
      <c r="U73" s="98" t="s">
        <v>1081</v>
      </c>
      <c r="V73" s="851">
        <f>C70</f>
        <v>0</v>
      </c>
    </row>
    <row r="74" spans="1:22" s="788" customFormat="1" ht="15.75" thickBot="1" x14ac:dyDescent="0.3">
      <c r="A74" s="916" t="s">
        <v>67</v>
      </c>
      <c r="B74" s="917"/>
      <c r="C74" s="926">
        <f>C73</f>
        <v>1989.5569379999999</v>
      </c>
      <c r="D74" s="927">
        <f>D73</f>
        <v>147.77469999999994</v>
      </c>
      <c r="E74" s="829" t="e">
        <f>E73+#REF!</f>
        <v>#VALUE!</v>
      </c>
      <c r="F74" s="852">
        <f>SUM(F73:F73)</f>
        <v>513.31749619999994</v>
      </c>
      <c r="G74" s="852">
        <f>SUM(G73:G73)</f>
        <v>-479.31749619999999</v>
      </c>
      <c r="U74" s="853" t="s">
        <v>1082</v>
      </c>
      <c r="V74" s="854">
        <f>V70+V73</f>
        <v>25463.237000000001</v>
      </c>
    </row>
    <row r="75" spans="1:22" x14ac:dyDescent="0.25">
      <c r="A75" s="1038"/>
      <c r="B75" s="817"/>
      <c r="C75" s="817"/>
      <c r="D75" s="938"/>
      <c r="E75" s="834"/>
    </row>
    <row r="76" spans="1:22" x14ac:dyDescent="0.25">
      <c r="A76" s="314" t="s">
        <v>1089</v>
      </c>
      <c r="D76" s="644"/>
      <c r="E76" s="644"/>
    </row>
    <row r="77" spans="1:22" x14ac:dyDescent="0.25">
      <c r="A77" s="314" t="s">
        <v>136</v>
      </c>
      <c r="D77" s="644"/>
      <c r="E77" s="644"/>
    </row>
    <row r="78" spans="1:22" x14ac:dyDescent="0.25">
      <c r="A78" s="822" t="s">
        <v>537</v>
      </c>
      <c r="D78" s="855"/>
      <c r="E78" s="856"/>
    </row>
    <row r="79" spans="1:22" x14ac:dyDescent="0.25">
      <c r="A79" s="835" t="s">
        <v>151</v>
      </c>
      <c r="C79" s="525">
        <f>ROUND(SUMIF('TB BVS 31.03.26'!E:E,'PL Notes 19-27'!A79,'TB BVS 31.03.26'!I:I)/Input!$C$2,Input!E13)</f>
        <v>2217</v>
      </c>
      <c r="D79" s="571">
        <f>187422.367015217/100</f>
        <v>1874.2236701521699</v>
      </c>
      <c r="E79" s="856"/>
    </row>
    <row r="80" spans="1:22" x14ac:dyDescent="0.25">
      <c r="A80" s="835" t="s">
        <v>213</v>
      </c>
      <c r="C80" s="525">
        <f>ROUND(SUMIF('TB BVS 31.03.26'!E:E,'PL Notes 19-27'!A80,'TB BVS 31.03.26'!I:I)/Input!$C$2,Input!E14)</f>
        <v>250</v>
      </c>
      <c r="D80" s="571">
        <f>17380.0749847825/100</f>
        <v>173.80074984782499</v>
      </c>
      <c r="E80" s="824">
        <f>ROUND(SUMIF('TB BVS 31.3.22'!$E:$E,A80,'TB BVS 31.3.22'!$L:$L)/Input!$C$2,Input!$E$2)</f>
        <v>34</v>
      </c>
    </row>
    <row r="81" spans="1:19" hidden="1" x14ac:dyDescent="0.25">
      <c r="A81" s="18" t="s">
        <v>1586</v>
      </c>
      <c r="C81" s="525">
        <f>ROUND(SUMIF('TB BVS 31.03.26'!E:E,'PL Notes 19-27'!A81,'TB BVS 31.03.26'!I:I)/Input!$C$2,Input!E15)</f>
        <v>0</v>
      </c>
      <c r="D81" s="571"/>
      <c r="E81" s="824"/>
    </row>
    <row r="82" spans="1:19" x14ac:dyDescent="0.25">
      <c r="A82" s="835" t="s">
        <v>918</v>
      </c>
      <c r="C82" s="525">
        <f>ROUND(SUMIF('TB BVS 31.03.26'!E:E,'PL Notes 19-27'!A82,'TB BVS 31.03.26'!I:I)/Input!$C$2,Input!E15)</f>
        <v>0</v>
      </c>
      <c r="D82" s="787">
        <f>-135593.79/100</f>
        <v>-1355.9379000000001</v>
      </c>
      <c r="E82" s="824"/>
    </row>
    <row r="83" spans="1:19" hidden="1" x14ac:dyDescent="0.25">
      <c r="A83" s="835" t="s">
        <v>536</v>
      </c>
      <c r="C83" s="857">
        <f>ROUND(SUMIF('TB BVS 31.03.26'!E:E,'PL Notes 19-27'!A83,'TB BVS 31.03.26'!I:I)/Input!$C$2,Input!E16)</f>
        <v>0</v>
      </c>
      <c r="D83" s="787">
        <f>ROUND(SUMIF('TB BVS 31.3.25'!$E:$E,'PL Notes 19-27'!A83,'TB BVS 31.3.25'!$I:$I)/Input!$C$2,Input!$E$2)</f>
        <v>0</v>
      </c>
      <c r="E83" s="824">
        <f>ROUND(SUMIF('TB BVS 31.3.22'!$E:$E,A83,'TB BVS 31.3.22'!$L:$L)/Input!$C$2,Input!$E$2)</f>
        <v>4</v>
      </c>
    </row>
    <row r="84" spans="1:19" x14ac:dyDescent="0.25">
      <c r="A84" s="822" t="s">
        <v>917</v>
      </c>
      <c r="C84" s="857">
        <f>ROUND(SUMIF('TB BVS 31.03.26'!E:E,'PL Notes 19-27'!A84,'TB BVS 31.03.26'!I:I)/Input!$C$2,Input!E17)</f>
        <v>232</v>
      </c>
      <c r="D84" s="787">
        <f>ROUND(SUMIF('TB BVS 31.3.25'!$E:$E,'PL Notes 19-27'!A84,'TB BVS 31.3.25'!$I:$I)/Input!$C$2,Input!$E$2)</f>
        <v>20</v>
      </c>
      <c r="E84" s="824">
        <f>ROUND(SUMIF('TB BVS 31.3.22'!$E:$E,A84,'TB BVS 31.3.22'!$L:$L)/Input!$C$2,Input!$E$2)</f>
        <v>0</v>
      </c>
    </row>
    <row r="85" spans="1:19" x14ac:dyDescent="0.25">
      <c r="A85" s="822" t="s">
        <v>894</v>
      </c>
      <c r="C85" s="857">
        <f>ROUND(SUMIF('TB BVS 31.03.26'!E:E,'PL Notes 19-27'!A85,'TB BVS 31.03.26'!I:I)/Input!$C$2,Input!E18)</f>
        <v>0</v>
      </c>
      <c r="D85" s="787">
        <f>ROUND(SUMIF('TB BVS 31.3.25'!$E:$E,'PL Notes 19-27'!A85,'TB BVS 31.3.25'!$I:$I)/Input!$C$2,Input!$E$2)+1</f>
        <v>51</v>
      </c>
      <c r="E85" s="824"/>
    </row>
    <row r="86" spans="1:19" x14ac:dyDescent="0.25">
      <c r="A86" s="646" t="s">
        <v>67</v>
      </c>
      <c r="B86" s="837"/>
      <c r="C86" s="828">
        <f>SUM(C79:C85)</f>
        <v>2699</v>
      </c>
      <c r="D86" s="858">
        <f>SUM(D79:D85)</f>
        <v>763.08651999999461</v>
      </c>
      <c r="E86" s="829">
        <f>SUM(E80:E83)</f>
        <v>38</v>
      </c>
      <c r="F86" s="788"/>
    </row>
    <row r="87" spans="1:19" x14ac:dyDescent="0.25">
      <c r="A87" s="822"/>
      <c r="D87" s="834"/>
      <c r="E87" s="834"/>
    </row>
    <row r="88" spans="1:19" x14ac:dyDescent="0.25">
      <c r="A88" s="314" t="s">
        <v>1088</v>
      </c>
      <c r="D88" s="834"/>
      <c r="E88" s="834"/>
    </row>
    <row r="89" spans="1:19" x14ac:dyDescent="0.25">
      <c r="A89" s="314" t="s">
        <v>137</v>
      </c>
      <c r="D89" s="834"/>
      <c r="E89" s="834"/>
    </row>
    <row r="90" spans="1:19" x14ac:dyDescent="0.25">
      <c r="A90" s="822" t="s">
        <v>1496</v>
      </c>
      <c r="C90" s="523">
        <f>ROUND(SUMIF('TB BVS 31.03.26'!$E:$E,'PL Notes 19-27'!A90,'TB BVS 31.03.26'!$I:$I)/Input!$C$2,Input!$E$2)</f>
        <v>2032</v>
      </c>
      <c r="D90" s="787">
        <f>ROUND(SUMIF('TB BVS 31.3.25'!$E:$E,'PL Notes 19-27'!A90,'TB BVS 31.3.25'!$I:$I)/Input!$C$2,Input!$E$2)</f>
        <v>46</v>
      </c>
      <c r="E90" s="834"/>
    </row>
    <row r="91" spans="1:19" s="859" customFormat="1" x14ac:dyDescent="0.25">
      <c r="A91" s="822" t="s">
        <v>155</v>
      </c>
      <c r="B91" s="95"/>
      <c r="C91" s="523">
        <f>ROUND(SUMIF('TB BVS 31.03.26'!$E:$E,'PL Notes 19-27'!A91,'TB BVS 31.03.26'!$I:$I)/Input!$C$2,Input!$E$2)</f>
        <v>182</v>
      </c>
      <c r="D91" s="787">
        <f>ROUND(SUMIF('TB BVS 31.3.25'!$E:$E,'PL Notes 19-27'!A91,'TB BVS 31.3.25'!$I:$I)/Input!$C$2,Input!$E$2)</f>
        <v>110</v>
      </c>
      <c r="E91" s="824">
        <f>ROUND(SUMIF('TB BVS 31.3.22'!$E:$E,A91,'TB BVS 31.3.22'!$L:$L)/Input!$C$2,Input!$E$2)-1</f>
        <v>35</v>
      </c>
    </row>
    <row r="92" spans="1:19" x14ac:dyDescent="0.25">
      <c r="A92" s="822" t="s">
        <v>138</v>
      </c>
      <c r="C92" s="523">
        <f>ROUND(SUMIF('TB BVS 31.03.26'!$E:$E,'PL Notes 19-27'!A92,'TB BVS 31.03.26'!$I:$I)/Input!$C$2,Input!$E$2)</f>
        <v>30</v>
      </c>
      <c r="D92" s="787">
        <f>ROUND(SUMIF('TB BVS 31.3.25'!$E:$E,'PL Notes 19-27'!A92,'TB BVS 31.3.25'!$I:$I)/Input!$C$2,Input!$E$2)</f>
        <v>6</v>
      </c>
      <c r="E92" s="824">
        <f>ROUND(SUMIF('TB BVS 31.3.22'!$E:$E,A92,'TB BVS 31.3.22'!$L:$L)/Input!$C$2,Input!$E$2)</f>
        <v>0</v>
      </c>
    </row>
    <row r="93" spans="1:19" x14ac:dyDescent="0.25">
      <c r="A93" s="822" t="s">
        <v>519</v>
      </c>
      <c r="C93" s="523"/>
      <c r="D93" s="787"/>
      <c r="E93" s="824">
        <f>ROUND(SUMIF('TB BVS 31.3.22'!$E:$E,A93,'TB BVS 31.3.22'!$L:$L)/Input!$C$2,Input!$E$2)</f>
        <v>0</v>
      </c>
    </row>
    <row r="94" spans="1:19" x14ac:dyDescent="0.25">
      <c r="A94" s="924" t="s">
        <v>1320</v>
      </c>
      <c r="C94" s="523">
        <f>ROUND(SUMIF('TB BVS 31.03.26'!$E:$E,'PL Notes 19-27'!A94,'TB BVS 31.03.26'!$I:$I)/Input!$C$2,Input!$E$2)</f>
        <v>343</v>
      </c>
      <c r="D94" s="787">
        <f>ROUND(SUMIF('TB BVS 31.3.25'!$E:$E,'PL Notes 19-27'!A94,'TB BVS 31.3.25'!$I:$I)/Input!$C$2,Input!$E$2)</f>
        <v>10</v>
      </c>
      <c r="E94" s="824"/>
    </row>
    <row r="95" spans="1:19" x14ac:dyDescent="0.25">
      <c r="A95" s="822" t="s">
        <v>196</v>
      </c>
      <c r="C95" s="523">
        <f>ROUND(SUMIF('TB BVS 31.03.26'!$E:$E,'PL Notes 19-27'!A95,'TB BVS 31.03.26'!$I:$I)/Input!$C$2,Input!$E$2)</f>
        <v>197</v>
      </c>
      <c r="D95" s="787">
        <f>ROUND(SUMIF('TB BVS 31.3.25'!$E:$E,'PL Notes 19-27'!A95,'TB BVS 31.3.25'!$I:$I)/Input!$C$2,Input!$E$2)</f>
        <v>3</v>
      </c>
      <c r="E95" s="824"/>
      <c r="S95" s="1230">
        <f>C95/C10</f>
        <v>8.6490758221012421E-3</v>
      </c>
    </row>
    <row r="96" spans="1:19" x14ac:dyDescent="0.25">
      <c r="A96" s="822" t="s">
        <v>1534</v>
      </c>
      <c r="C96" s="523">
        <f>ROUND(SUMIF('TB BVS 31.03.26'!$E:$E,'PL Notes 19-27'!A96,'TB BVS 31.03.26'!$I:$I)/Input!$C$2,Input!$E$2)</f>
        <v>40</v>
      </c>
      <c r="D96" s="787">
        <f>ROUND(SUMIF('TB BVS 31.3.25'!$E:$E,'PL Notes 19-27'!A96,'TB BVS 31.3.25'!$I:$I)/Input!$C$2,Input!$E$2)</f>
        <v>0</v>
      </c>
      <c r="E96" s="824"/>
    </row>
    <row r="97" spans="1:22" x14ac:dyDescent="0.25">
      <c r="A97" s="822" t="s">
        <v>1208</v>
      </c>
      <c r="C97" s="523">
        <f>ROUND(SUMIF('TB BVS 31.03.26'!$E:$E,'PL Notes 19-27'!A97,'TB BVS 31.03.26'!$I:$I)/Input!$C$2,Input!$E$2)</f>
        <v>61</v>
      </c>
      <c r="D97" s="787">
        <f>ROUND(SUMIF('TB BVS 31.3.25'!$E:$E,'PL Notes 19-27'!A97,'TB BVS 31.3.25'!$I:$I)/Input!$C$2,Input!$E$2)</f>
        <v>12</v>
      </c>
      <c r="E97" s="824"/>
    </row>
    <row r="98" spans="1:22" x14ac:dyDescent="0.25">
      <c r="A98" s="822" t="s">
        <v>200</v>
      </c>
      <c r="C98" s="523">
        <f>ROUND(SUMIF('TB BVS 31.03.26'!$E:$E,'PL Notes 19-27'!A98,'TB BVS 31.03.26'!$I:$I)/Input!$C$2,Input!$E$2)</f>
        <v>3</v>
      </c>
      <c r="D98" s="787">
        <f>ROUND(SUMIF('TB BVS 31.3.25'!$E:$E,'PL Notes 19-27'!A98,'TB BVS 31.3.25'!$I:$I)/Input!$C$2,Input!$E$2)</f>
        <v>2</v>
      </c>
      <c r="E98" s="824"/>
    </row>
    <row r="99" spans="1:22" x14ac:dyDescent="0.25">
      <c r="A99" s="822" t="s">
        <v>72</v>
      </c>
      <c r="C99" s="523">
        <f>ROUND(SUMIF('TB BVS 31.03.26'!$E:$E,'PL Notes 19-27'!A99,'TB BVS 31.03.26'!$I:$I)/Input!$C$2,Input!$E$2)</f>
        <v>12</v>
      </c>
      <c r="D99" s="787">
        <f>ROUND(SUMIF('TB BVS 31.3.25'!$E:$E,'PL Notes 19-27'!A99,'TB BVS 31.3.25'!$I:$I)/Input!$C$2,Input!$E$2)</f>
        <v>6</v>
      </c>
      <c r="E99" s="824">
        <f>ROUND(SUMIF('TB BVS 31.3.22'!$E:$E,A99,'TB BVS 31.3.22'!$L:$L)/Input!$C$2,Input!$E$2)</f>
        <v>1</v>
      </c>
    </row>
    <row r="100" spans="1:22" x14ac:dyDescent="0.25">
      <c r="A100" s="822" t="s">
        <v>1206</v>
      </c>
      <c r="C100" s="523">
        <f>ROUND(SUMIF('TB BVS 31.03.26'!$E:$E,'PL Notes 19-27'!A100,'TB BVS 31.03.26'!$I:$I)/Input!$C$2,Input!$E$2)</f>
        <v>19</v>
      </c>
      <c r="D100" s="787">
        <f>ROUND(SUMIF('TB BVS 31.3.25'!$E:$E,'PL Notes 19-27'!A100,'TB BVS 31.3.25'!$I:$I)/Input!$C$2,Input!$E$2)</f>
        <v>2</v>
      </c>
      <c r="E100" s="824"/>
    </row>
    <row r="101" spans="1:22" x14ac:dyDescent="0.25">
      <c r="A101" s="822" t="s">
        <v>1711</v>
      </c>
      <c r="C101" s="523">
        <f>ROUND(SUMIF('TB BVS 31.03.26'!$E:$E,'PL Notes 19-27'!A101,'TB BVS 31.03.26'!$I:$I)/Input!$C$2,Input!$E$2)</f>
        <v>186</v>
      </c>
      <c r="D101" s="787">
        <f>ROUND(SUMIF('TB BVS 31.3.25'!$E:$E,'PL Notes 19-27'!A101,'TB BVS 31.3.25'!$I:$I)/Input!$C$2,Input!$E$2)</f>
        <v>5</v>
      </c>
      <c r="E101" s="824"/>
    </row>
    <row r="102" spans="1:22" x14ac:dyDescent="0.25">
      <c r="A102" s="822" t="s">
        <v>1701</v>
      </c>
      <c r="C102" s="523">
        <f>ROUND(SUMIF('TB BVS 31.03.26'!$E:$E,'PL Notes 19-27'!A102,'TB BVS 31.03.26'!$I:$I)/Input!$C$2,Input!$E$2)</f>
        <v>13</v>
      </c>
      <c r="D102" s="787">
        <v>0</v>
      </c>
      <c r="E102" s="824"/>
    </row>
    <row r="103" spans="1:22" x14ac:dyDescent="0.25">
      <c r="A103" s="822" t="s">
        <v>1207</v>
      </c>
      <c r="C103" s="523">
        <f>ROUND(SUMIF('TB BVS 31.03.26'!$E:$E,'PL Notes 19-27'!A103,'TB BVS 31.03.26'!$I:$I)/Input!$C$2,Input!$E$2)</f>
        <v>76</v>
      </c>
      <c r="D103" s="787">
        <f>ROUND(SUMIF('TB BVS 31.3.25'!$E:$E,'PL Notes 19-27'!A103,'TB BVS 31.3.25'!$I:$I)/Input!$C$2,Input!$E$2)</f>
        <v>0</v>
      </c>
      <c r="E103" s="824"/>
    </row>
    <row r="104" spans="1:22" x14ac:dyDescent="0.25">
      <c r="A104" s="822" t="s">
        <v>75</v>
      </c>
      <c r="C104" s="523">
        <f>ROUND(SUMIF('TB BVS 31.03.26'!$E:$E,'PL Notes 19-27'!A104,'TB BVS 31.03.26'!$I:$I)/Input!$C$2,Input!$E$2)</f>
        <v>22</v>
      </c>
      <c r="D104" s="787">
        <f>ROUND(SUMIF('TB BVS 31.3.25'!$E:$E,'PL Notes 19-27'!A104,'TB BVS 31.3.25'!$I:$I)/Input!$C$2,Input!$E$2)</f>
        <v>1</v>
      </c>
      <c r="E104" s="824"/>
    </row>
    <row r="105" spans="1:22" x14ac:dyDescent="0.25">
      <c r="A105" s="822" t="s">
        <v>769</v>
      </c>
      <c r="C105" s="523">
        <f>ROUND(SUMIF('TB BVS 31.03.26'!$E:$E,'PL Notes 19-27'!A105,'TB BVS 31.03.26'!$I:$I)/Input!$C$2,Input!$E$2)</f>
        <v>424</v>
      </c>
      <c r="D105" s="787">
        <f>ROUND(SUMIF('TB BVS 31.3.25'!$E:$E,'PL Notes 19-27'!A105,'TB BVS 31.3.25'!$I:$I)/Input!$C$2,Input!$E$2)</f>
        <v>25</v>
      </c>
      <c r="E105" s="824"/>
    </row>
    <row r="106" spans="1:22" x14ac:dyDescent="0.25">
      <c r="A106" s="822" t="s">
        <v>770</v>
      </c>
      <c r="C106" s="523">
        <f>ROUND(SUMIF('TB BVS 31.03.26'!$E:$E,'PL Notes 19-27'!A106,'TB BVS 31.03.26'!$I:$I)/Input!$C$2,Input!$E$2)</f>
        <v>1967</v>
      </c>
      <c r="D106" s="787">
        <f>ROUND(SUMIF('TB BVS 31.3.25'!$E:$E,'PL Notes 19-27'!A106,'TB BVS 31.3.25'!$I:$I)/Input!$C$2,Input!$E$2)</f>
        <v>217</v>
      </c>
      <c r="E106" s="824"/>
    </row>
    <row r="107" spans="1:22" x14ac:dyDescent="0.25">
      <c r="A107" s="822" t="s">
        <v>771</v>
      </c>
      <c r="C107" s="523">
        <f>ROUND(SUMIF('TB BVS 31.03.26'!$E:$E,'PL Notes 19-27'!A107,'TB BVS 31.03.26'!$I:$I)/Input!$C$2,Input!$E$2)</f>
        <v>107</v>
      </c>
      <c r="D107" s="787">
        <f>ROUND(SUMIF('TB BVS 31.3.25'!$E:$E,'PL Notes 19-27'!A107,'TB BVS 31.3.25'!$I:$I)/Input!$C$2,Input!$E$2)</f>
        <v>11</v>
      </c>
      <c r="E107" s="824"/>
    </row>
    <row r="108" spans="1:22" x14ac:dyDescent="0.25">
      <c r="A108" s="822" t="s">
        <v>1542</v>
      </c>
      <c r="C108" s="523">
        <f>ROUND(SUMIF('TB BVS 31.03.26'!$E:$E,'PL Notes 19-27'!A108,'TB BVS 31.03.26'!$I:$I)/Input!$C$2,Input!$E$2)</f>
        <v>15</v>
      </c>
      <c r="D108" s="787">
        <v>0</v>
      </c>
      <c r="E108" s="824"/>
      <c r="T108" s="1230"/>
    </row>
    <row r="109" spans="1:22" x14ac:dyDescent="0.25">
      <c r="A109" s="822" t="s">
        <v>197</v>
      </c>
      <c r="C109" s="523">
        <f>ROUND(SUMIF('TB BVS 31.03.26'!$E:$E,'PL Notes 19-27'!A109,'TB BVS 31.03.26'!$I:$I)/Input!$C$2,Input!$E$2)</f>
        <v>154</v>
      </c>
      <c r="D109" s="787">
        <f>ROUND(SUMIF('TB BVS 31.3.25'!$E:$E,'PL Notes 19-27'!A109,'TB BVS 31.3.25'!$I:$I)/Input!$C$2,Input!$E$2)-1</f>
        <v>10</v>
      </c>
      <c r="E109" s="824"/>
      <c r="S109" s="509">
        <f>C109/1000</f>
        <v>0.154</v>
      </c>
      <c r="T109" s="95">
        <v>-0.83212283999999903</v>
      </c>
      <c r="U109" s="95">
        <v>-0.51233326000000001</v>
      </c>
      <c r="V109" s="95">
        <v>-0.58148811999999994</v>
      </c>
    </row>
    <row r="110" spans="1:22" hidden="1" x14ac:dyDescent="0.25">
      <c r="A110" s="822" t="s">
        <v>535</v>
      </c>
      <c r="C110" s="823">
        <f>ROUND(SUMIF('TB BVS 31.03.26'!$E:$E,'PL Notes 19-27'!A110,'TB BVS 31.03.26'!$I:$I)/Input!$C$2,Input!$E$2)</f>
        <v>0</v>
      </c>
      <c r="D110" s="787">
        <f>ROUND(SUMIF('TB BVS 31.3.23'!$E:$E,'PL Notes 19-27'!A110,'TB BVS 31.3.23'!$L:$L)/Input!$C$2,2)</f>
        <v>0</v>
      </c>
      <c r="E110" s="824">
        <f>ROUND(SUMIF('TB BVS 31.3.22'!$E:$E,A110,'TB BVS 31.3.22'!$L:$L)/Input!$C$2,Input!$E$2)</f>
        <v>2</v>
      </c>
    </row>
    <row r="111" spans="1:22" s="788" customFormat="1" x14ac:dyDescent="0.25">
      <c r="A111" s="646" t="s">
        <v>67</v>
      </c>
      <c r="B111" s="837"/>
      <c r="C111" s="833">
        <f>SUM(C90:C110)</f>
        <v>5883</v>
      </c>
      <c r="D111" s="829">
        <f>SUM(D90:D110)</f>
        <v>466</v>
      </c>
      <c r="E111" s="829">
        <f>SUM(E91:E110)</f>
        <v>38</v>
      </c>
      <c r="S111" s="788">
        <v>109360010.09999983</v>
      </c>
      <c r="T111" s="844">
        <f>S111/1000</f>
        <v>109360.01009999982</v>
      </c>
      <c r="U111" s="838">
        <f>T111-C111</f>
        <v>103477.01009999982</v>
      </c>
      <c r="V111" s="845">
        <f>U111*1000</f>
        <v>103477010.09999983</v>
      </c>
    </row>
    <row r="112" spans="1:22" s="788" customFormat="1" x14ac:dyDescent="0.25">
      <c r="A112" s="314"/>
      <c r="D112" s="830"/>
      <c r="E112" s="830"/>
    </row>
    <row r="113" spans="1:22" s="788" customFormat="1" x14ac:dyDescent="0.25">
      <c r="A113" s="314" t="s">
        <v>1036</v>
      </c>
      <c r="B113" s="95"/>
      <c r="C113" s="95"/>
      <c r="D113" s="834"/>
      <c r="E113" s="834"/>
    </row>
    <row r="114" spans="1:22" s="788" customFormat="1" x14ac:dyDescent="0.25">
      <c r="A114" s="860" t="s">
        <v>407</v>
      </c>
      <c r="B114" s="861"/>
      <c r="C114" s="862">
        <f>C99</f>
        <v>12</v>
      </c>
      <c r="D114" s="863">
        <f>D99</f>
        <v>6</v>
      </c>
      <c r="E114" s="863">
        <f>E99</f>
        <v>1</v>
      </c>
    </row>
    <row r="115" spans="1:22" s="788" customFormat="1" x14ac:dyDescent="0.25">
      <c r="A115" s="314"/>
      <c r="D115" s="830"/>
      <c r="E115" s="830"/>
    </row>
    <row r="116" spans="1:22" x14ac:dyDescent="0.25">
      <c r="A116" s="314" t="s">
        <v>1057</v>
      </c>
      <c r="D116" s="834"/>
      <c r="E116" s="834"/>
    </row>
    <row r="117" spans="1:22" x14ac:dyDescent="0.25">
      <c r="A117" s="314" t="s">
        <v>1653</v>
      </c>
      <c r="D117" s="834"/>
      <c r="E117" s="834"/>
    </row>
    <row r="118" spans="1:22" x14ac:dyDescent="0.25">
      <c r="A118" s="643" t="s">
        <v>1654</v>
      </c>
      <c r="B118" s="864"/>
      <c r="C118" s="865">
        <f>PL!D26</f>
        <v>-5952.2399608000014</v>
      </c>
      <c r="D118" s="1213">
        <f>PL!E26</f>
        <v>-2029.0351560580816</v>
      </c>
      <c r="E118" s="866" t="e">
        <f>PL!F26</f>
        <v>#REF!</v>
      </c>
      <c r="H118" s="867"/>
      <c r="I118" s="867"/>
      <c r="M118" s="867"/>
      <c r="N118" s="867"/>
    </row>
    <row r="119" spans="1:22" x14ac:dyDescent="0.25">
      <c r="A119" s="822" t="s">
        <v>1702</v>
      </c>
      <c r="C119" s="525">
        <f>'WA-Shares'!G13</f>
        <v>285883.35890410957</v>
      </c>
      <c r="D119" s="824">
        <f>211122.690410959</f>
        <v>211122.69041095901</v>
      </c>
      <c r="E119" s="824">
        <v>7342</v>
      </c>
      <c r="T119" s="868">
        <v>45043</v>
      </c>
      <c r="U119" s="868">
        <v>45382</v>
      </c>
      <c r="V119" s="867">
        <v>45747</v>
      </c>
    </row>
    <row r="120" spans="1:22" ht="15.75" thickBot="1" x14ac:dyDescent="0.3">
      <c r="A120" s="646" t="s">
        <v>464</v>
      </c>
      <c r="B120" s="869"/>
      <c r="C120" s="833">
        <f>ROUND(C118*Input!$C$2/C119,Input!$E$2)</f>
        <v>-2082</v>
      </c>
      <c r="D120" s="829">
        <f>ROUND(D118*Input!$C$2/D119,Input!$E$2)</f>
        <v>-961</v>
      </c>
      <c r="E120" s="829" t="e">
        <f>ROUND(E118*Input!$C$2/E119,Input!$E$2)</f>
        <v>#REF!</v>
      </c>
      <c r="G120" s="867"/>
      <c r="L120" s="867"/>
      <c r="T120" s="487">
        <f>U119-T119</f>
        <v>339</v>
      </c>
      <c r="U120" s="487">
        <v>44097</v>
      </c>
      <c r="V120" s="225">
        <f>U120</f>
        <v>44097</v>
      </c>
    </row>
    <row r="121" spans="1:22" ht="32.450000000000003" hidden="1" customHeight="1" thickBot="1" x14ac:dyDescent="0.3">
      <c r="A121" s="1865" t="s">
        <v>1655</v>
      </c>
      <c r="B121" s="1866"/>
      <c r="C121" s="1866"/>
      <c r="D121" s="1867"/>
      <c r="E121" s="870"/>
      <c r="G121" s="788"/>
      <c r="H121" s="868"/>
      <c r="I121" s="868"/>
      <c r="L121" s="871"/>
      <c r="T121" s="487"/>
      <c r="U121" s="487">
        <f>U120/366*T120</f>
        <v>40843.942622950817</v>
      </c>
    </row>
    <row r="122" spans="1:22" ht="30" customHeight="1" x14ac:dyDescent="0.25">
      <c r="A122" s="1722" t="s">
        <v>1655</v>
      </c>
      <c r="B122" s="1868"/>
      <c r="C122" s="1868"/>
      <c r="D122" s="1868"/>
      <c r="E122" s="825"/>
      <c r="H122" s="868"/>
      <c r="I122" s="868"/>
      <c r="L122" s="871"/>
    </row>
    <row r="123" spans="1:22" x14ac:dyDescent="0.25">
      <c r="D123" s="825"/>
      <c r="E123" s="825"/>
      <c r="L123" s="468"/>
    </row>
  </sheetData>
  <mergeCells count="3">
    <mergeCell ref="A4:A5"/>
    <mergeCell ref="A121:D121"/>
    <mergeCell ref="A122:D122"/>
  </mergeCells>
  <pageMargins left="0.70866141732283472" right="0.70866141732283472" top="0.74803149606299213" bottom="0.74803149606299213" header="0.31496062992125984" footer="0.31496062992125984"/>
  <pageSetup paperSize="9" scale="75" orientation="portrait" r:id="rId1"/>
  <headerFooter>
    <oddHeader>&amp;C&amp;G</oddHeader>
  </headerFooter>
  <rowBreaks count="1" manualBreakCount="1">
    <brk id="74" max="4" man="1"/>
  </rowBreak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BAB8E-E121-454A-B1A6-938A91403FF9}">
  <sheetPr codeName="Sheet10">
    <pageSetUpPr fitToPage="1"/>
  </sheetPr>
  <dimension ref="A1:N167"/>
  <sheetViews>
    <sheetView showGridLines="0" view="pageBreakPreview" topLeftCell="A78" zoomScaleNormal="100" zoomScaleSheetLayoutView="100" workbookViewId="0">
      <selection activeCell="B7" sqref="B7:E7"/>
    </sheetView>
  </sheetViews>
  <sheetFormatPr defaultColWidth="8.7109375" defaultRowHeight="15" x14ac:dyDescent="0.25"/>
  <cols>
    <col min="1" max="1" width="9.140625" style="501" customWidth="1"/>
    <col min="2" max="2" width="36" style="501" customWidth="1"/>
    <col min="3" max="3" width="44.5703125" style="501" customWidth="1"/>
    <col min="4" max="4" width="15.5703125" style="501" customWidth="1"/>
    <col min="5" max="5" width="16.42578125" style="501" customWidth="1"/>
    <col min="6" max="6" width="16" style="501" bestFit="1" customWidth="1"/>
    <col min="7" max="7" width="13.140625" style="501" bestFit="1" customWidth="1"/>
    <col min="8" max="8" width="11.5703125" style="501" bestFit="1" customWidth="1"/>
    <col min="9" max="9" width="11.140625" style="501" bestFit="1" customWidth="1"/>
    <col min="10" max="10" width="14.85546875" style="501" bestFit="1" customWidth="1"/>
    <col min="11" max="12" width="9.5703125" style="501" bestFit="1" customWidth="1"/>
    <col min="13" max="13" width="9.7109375" style="501" bestFit="1" customWidth="1"/>
    <col min="14" max="14" width="11.140625" style="501" bestFit="1" customWidth="1"/>
    <col min="15" max="16384" width="8.7109375" style="501"/>
  </cols>
  <sheetData>
    <row r="1" spans="1:10" x14ac:dyDescent="0.25">
      <c r="A1" s="669" t="str">
        <f>PL!$A$1</f>
        <v>BVC Specialities Private Limited</v>
      </c>
      <c r="B1" s="670"/>
      <c r="C1" s="670"/>
      <c r="D1" s="670"/>
      <c r="E1" s="670"/>
      <c r="F1" s="670"/>
      <c r="G1" s="671"/>
    </row>
    <row r="2" spans="1:10" x14ac:dyDescent="0.25">
      <c r="A2" s="672" t="str">
        <f>'BS  Notes  3-18'!$A$2</f>
        <v>Notes to Financial Statements for the year ended 31 March 2026</v>
      </c>
      <c r="B2" s="1120"/>
      <c r="C2" s="1120"/>
      <c r="D2" s="1120"/>
      <c r="E2" s="1120"/>
      <c r="F2" s="1120"/>
      <c r="G2" s="673" t="str">
        <f>Input!$D$2</f>
        <v>(₹ in Lakh)</v>
      </c>
    </row>
    <row r="3" spans="1:10" x14ac:dyDescent="0.25">
      <c r="A3" s="350"/>
      <c r="G3" s="674"/>
    </row>
    <row r="4" spans="1:10" x14ac:dyDescent="0.25">
      <c r="A4" s="17" t="s">
        <v>1058</v>
      </c>
      <c r="G4" s="674"/>
    </row>
    <row r="5" spans="1:10" x14ac:dyDescent="0.25">
      <c r="A5" s="17" t="s">
        <v>299</v>
      </c>
      <c r="G5" s="674"/>
      <c r="J5" s="501" t="s">
        <v>1139</v>
      </c>
    </row>
    <row r="6" spans="1:10" x14ac:dyDescent="0.25">
      <c r="A6" s="350"/>
      <c r="G6" s="674"/>
    </row>
    <row r="7" spans="1:10" x14ac:dyDescent="0.25">
      <c r="A7" s="675" t="s">
        <v>304</v>
      </c>
      <c r="B7" s="1877" t="s">
        <v>300</v>
      </c>
      <c r="C7" s="1877"/>
      <c r="D7" s="1877"/>
      <c r="E7" s="1877"/>
      <c r="G7" s="674"/>
    </row>
    <row r="8" spans="1:10" x14ac:dyDescent="0.25">
      <c r="A8" s="1121"/>
      <c r="B8" s="676" t="s">
        <v>302</v>
      </c>
      <c r="C8" s="1877" t="s">
        <v>303</v>
      </c>
      <c r="D8" s="1877"/>
      <c r="E8" s="1877"/>
      <c r="G8" s="674"/>
    </row>
    <row r="9" spans="1:10" x14ac:dyDescent="0.25">
      <c r="A9" s="677" t="s">
        <v>5</v>
      </c>
      <c r="B9" s="1871" t="s">
        <v>301</v>
      </c>
      <c r="C9" s="1871"/>
      <c r="D9" s="1871"/>
      <c r="E9" s="1871"/>
      <c r="G9" s="674"/>
    </row>
    <row r="10" spans="1:10" x14ac:dyDescent="0.25">
      <c r="A10" s="679"/>
      <c r="B10" s="680" t="s">
        <v>305</v>
      </c>
      <c r="C10" s="1873" t="s">
        <v>306</v>
      </c>
      <c r="D10" s="1873"/>
      <c r="E10" s="1873"/>
      <c r="G10" s="674"/>
    </row>
    <row r="11" spans="1:10" x14ac:dyDescent="0.25">
      <c r="A11" s="679"/>
      <c r="B11" s="680" t="s">
        <v>157</v>
      </c>
      <c r="C11" s="1873" t="s">
        <v>307</v>
      </c>
      <c r="D11" s="1873"/>
      <c r="E11" s="1873"/>
      <c r="G11" s="674"/>
    </row>
    <row r="12" spans="1:10" x14ac:dyDescent="0.25">
      <c r="A12" s="677" t="s">
        <v>7</v>
      </c>
      <c r="B12" s="1871" t="s">
        <v>953</v>
      </c>
      <c r="C12" s="1871"/>
      <c r="D12" s="1871"/>
      <c r="E12" s="1871"/>
      <c r="G12" s="674"/>
    </row>
    <row r="13" spans="1:10" x14ac:dyDescent="0.25">
      <c r="A13" s="677"/>
      <c r="B13" s="680" t="s">
        <v>954</v>
      </c>
      <c r="C13" s="1873" t="s">
        <v>216</v>
      </c>
      <c r="D13" s="1873"/>
      <c r="E13" s="1873"/>
      <c r="G13" s="674"/>
    </row>
    <row r="14" spans="1:10" x14ac:dyDescent="0.25">
      <c r="A14" s="677"/>
      <c r="B14" s="680" t="s">
        <v>1369</v>
      </c>
      <c r="C14" s="1884" t="s">
        <v>1660</v>
      </c>
      <c r="D14" s="1885"/>
      <c r="E14" s="1886"/>
      <c r="G14" s="674"/>
    </row>
    <row r="15" spans="1:10" x14ac:dyDescent="0.25">
      <c r="A15" s="677"/>
      <c r="B15" s="680" t="s">
        <v>709</v>
      </c>
      <c r="C15" s="1873" t="s">
        <v>1384</v>
      </c>
      <c r="D15" s="1873"/>
      <c r="E15" s="1873"/>
      <c r="G15" s="674"/>
    </row>
    <row r="16" spans="1:10" x14ac:dyDescent="0.25">
      <c r="A16" s="677"/>
      <c r="B16" s="680" t="s">
        <v>1368</v>
      </c>
      <c r="C16" s="1873" t="s">
        <v>1386</v>
      </c>
      <c r="D16" s="1873"/>
      <c r="E16" s="1873"/>
      <c r="G16" s="674"/>
    </row>
    <row r="17" spans="1:14" x14ac:dyDescent="0.25">
      <c r="A17" s="677"/>
      <c r="B17" s="680" t="s">
        <v>937</v>
      </c>
      <c r="C17" s="1873" t="s">
        <v>1385</v>
      </c>
      <c r="D17" s="1873"/>
      <c r="E17" s="1873"/>
      <c r="G17" s="674"/>
    </row>
    <row r="18" spans="1:14" x14ac:dyDescent="0.25">
      <c r="A18" s="677" t="s">
        <v>8</v>
      </c>
      <c r="B18" s="1871" t="s">
        <v>956</v>
      </c>
      <c r="C18" s="1871"/>
      <c r="D18" s="1871"/>
      <c r="E18" s="1871"/>
      <c r="G18" s="674"/>
    </row>
    <row r="19" spans="1:14" x14ac:dyDescent="0.25">
      <c r="A19" s="677"/>
      <c r="B19" s="680" t="s">
        <v>955</v>
      </c>
      <c r="C19" s="1873" t="s">
        <v>956</v>
      </c>
      <c r="D19" s="1873"/>
      <c r="E19" s="1873"/>
      <c r="G19" s="674"/>
    </row>
    <row r="20" spans="1:14" x14ac:dyDescent="0.25">
      <c r="A20" s="350"/>
      <c r="G20" s="674"/>
    </row>
    <row r="21" spans="1:14" x14ac:dyDescent="0.25">
      <c r="A21" s="681" t="s">
        <v>308</v>
      </c>
      <c r="B21" s="682" t="s">
        <v>627</v>
      </c>
      <c r="G21" s="674"/>
    </row>
    <row r="22" spans="1:14" x14ac:dyDescent="0.25">
      <c r="A22" s="683" t="s">
        <v>309</v>
      </c>
      <c r="B22" s="676" t="s">
        <v>310</v>
      </c>
      <c r="C22" s="676" t="s">
        <v>311</v>
      </c>
      <c r="D22" s="1872" t="s">
        <v>312</v>
      </c>
      <c r="E22" s="1872"/>
      <c r="F22" s="1872" t="s">
        <v>313</v>
      </c>
      <c r="G22" s="1889"/>
      <c r="H22" s="682"/>
    </row>
    <row r="23" spans="1:14" x14ac:dyDescent="0.25">
      <c r="A23" s="686"/>
      <c r="B23" s="676"/>
      <c r="C23" s="676"/>
      <c r="D23" s="1185" t="s">
        <v>1556</v>
      </c>
      <c r="E23" s="1185" t="s">
        <v>1172</v>
      </c>
      <c r="F23" s="684" t="str">
        <f>D23</f>
        <v>31 March 2026</v>
      </c>
      <c r="G23" s="685" t="str">
        <f>E23</f>
        <v>31 March 2025</v>
      </c>
      <c r="H23" s="682"/>
    </row>
    <row r="24" spans="1:14" ht="30" x14ac:dyDescent="0.25">
      <c r="A24" s="1122">
        <v>1</v>
      </c>
      <c r="B24" s="680" t="s">
        <v>157</v>
      </c>
      <c r="C24" s="1123" t="s">
        <v>957</v>
      </c>
      <c r="D24" s="1245">
        <v>0</v>
      </c>
      <c r="E24" s="1245">
        <v>10000</v>
      </c>
      <c r="F24" s="1245">
        <f>G24+D24</f>
        <v>20000</v>
      </c>
      <c r="G24" s="1246">
        <v>20000</v>
      </c>
    </row>
    <row r="25" spans="1:14" hidden="1" x14ac:dyDescent="0.25">
      <c r="A25" s="1122">
        <f t="shared" ref="A25:A42" si="0">A24+1</f>
        <v>2</v>
      </c>
      <c r="B25" s="680" t="s">
        <v>157</v>
      </c>
      <c r="C25" s="680" t="s">
        <v>467</v>
      </c>
      <c r="D25" s="1247">
        <f>ROUND(D152/Input!$C$2,Input!$E$2)</f>
        <v>0</v>
      </c>
      <c r="E25" s="1247">
        <v>0</v>
      </c>
      <c r="F25" s="1247">
        <f>ROUND(F152/Input!$C$2,Input!$E$2)</f>
        <v>0</v>
      </c>
      <c r="G25" s="1248">
        <v>0</v>
      </c>
    </row>
    <row r="26" spans="1:14" x14ac:dyDescent="0.25">
      <c r="A26" s="1122">
        <f t="shared" si="0"/>
        <v>3</v>
      </c>
      <c r="B26" s="680" t="s">
        <v>157</v>
      </c>
      <c r="C26" s="680" t="s">
        <v>468</v>
      </c>
      <c r="D26" s="1247">
        <v>4095</v>
      </c>
      <c r="E26" s="1247">
        <v>11271</v>
      </c>
      <c r="F26" s="1561">
        <v>0</v>
      </c>
      <c r="G26" s="1248">
        <v>2516</v>
      </c>
      <c r="H26" s="1124"/>
      <c r="I26" s="1124"/>
      <c r="J26" s="1124">
        <f>'[19]Balance Sheet'!$E$24</f>
        <v>116692.16100067808</v>
      </c>
      <c r="K26" s="1124">
        <f>J26-F26</f>
        <v>116692.16100067808</v>
      </c>
    </row>
    <row r="27" spans="1:14" x14ac:dyDescent="0.25">
      <c r="A27" s="1122">
        <f t="shared" si="0"/>
        <v>4</v>
      </c>
      <c r="B27" s="680" t="s">
        <v>157</v>
      </c>
      <c r="C27" s="680" t="s">
        <v>469</v>
      </c>
      <c r="D27" s="1247">
        <v>-44.542059999999999</v>
      </c>
      <c r="E27" s="1247">
        <v>-7337</v>
      </c>
      <c r="F27" s="1247">
        <f>ROUND(F154/Input!$C$2,Input!$E$2)</f>
        <v>0</v>
      </c>
      <c r="G27" s="1248">
        <v>0</v>
      </c>
    </row>
    <row r="28" spans="1:14" ht="30" x14ac:dyDescent="0.25">
      <c r="A28" s="1122">
        <f t="shared" si="0"/>
        <v>5</v>
      </c>
      <c r="B28" s="680" t="s">
        <v>157</v>
      </c>
      <c r="C28" s="680" t="s">
        <v>470</v>
      </c>
      <c r="D28" s="1247">
        <v>294.16001999999997</v>
      </c>
      <c r="E28" s="1247">
        <v>156</v>
      </c>
      <c r="F28" s="1561">
        <v>0</v>
      </c>
      <c r="G28" s="1248">
        <v>143</v>
      </c>
      <c r="H28" s="1124"/>
      <c r="J28" s="702" t="s">
        <v>1170</v>
      </c>
      <c r="K28" s="1080" t="s">
        <v>1167</v>
      </c>
      <c r="L28" s="1080" t="s">
        <v>1168</v>
      </c>
      <c r="M28" s="1080" t="s">
        <v>1169</v>
      </c>
      <c r="N28" s="1080" t="s">
        <v>1171</v>
      </c>
    </row>
    <row r="29" spans="1:14" x14ac:dyDescent="0.25">
      <c r="A29" s="1122">
        <f t="shared" si="0"/>
        <v>6</v>
      </c>
      <c r="B29" s="680" t="s">
        <v>157</v>
      </c>
      <c r="C29" s="680" t="s">
        <v>941</v>
      </c>
      <c r="D29" s="1247">
        <v>11486.45558</v>
      </c>
      <c r="E29" s="1247">
        <v>204</v>
      </c>
      <c r="F29" s="1247">
        <f>491026354/100000-F32-F34-F35</f>
        <v>3876.0558961506854</v>
      </c>
      <c r="G29" s="1248">
        <v>49</v>
      </c>
      <c r="J29" s="1182">
        <f>G26+G28</f>
        <v>2659</v>
      </c>
      <c r="K29" s="1182">
        <f>D26</f>
        <v>4095</v>
      </c>
      <c r="L29" s="1182">
        <f>-D27</f>
        <v>44.542059999999999</v>
      </c>
      <c r="M29" s="1182">
        <f>D28*90%</f>
        <v>264.74401799999998</v>
      </c>
      <c r="N29" s="703">
        <f>SUBTOTAL(9,J29:M29)</f>
        <v>7063.2860780000001</v>
      </c>
    </row>
    <row r="30" spans="1:14" x14ac:dyDescent="0.25">
      <c r="A30" s="1122">
        <f t="shared" si="0"/>
        <v>7</v>
      </c>
      <c r="B30" s="680" t="s">
        <v>157</v>
      </c>
      <c r="C30" s="680" t="s">
        <v>1362</v>
      </c>
      <c r="D30" s="1247">
        <v>12399.701045300002</v>
      </c>
      <c r="E30" s="1247">
        <v>436.80854339999996</v>
      </c>
      <c r="F30" s="1247">
        <v>0</v>
      </c>
      <c r="G30" s="1248">
        <v>443</v>
      </c>
      <c r="J30" s="1124"/>
      <c r="K30" s="1124"/>
      <c r="L30" s="1124"/>
      <c r="M30" s="1124"/>
      <c r="N30" s="1048"/>
    </row>
    <row r="31" spans="1:14" x14ac:dyDescent="0.25">
      <c r="A31" s="1122">
        <f t="shared" si="0"/>
        <v>8</v>
      </c>
      <c r="B31" s="680" t="s">
        <v>157</v>
      </c>
      <c r="C31" s="680" t="s">
        <v>1398</v>
      </c>
      <c r="D31" s="1247">
        <v>621.46874000000003</v>
      </c>
      <c r="E31" s="1247">
        <v>392.27049099999999</v>
      </c>
      <c r="F31" s="1247">
        <v>0</v>
      </c>
      <c r="G31" s="1248">
        <v>0</v>
      </c>
      <c r="J31" s="1124"/>
      <c r="K31" s="1124"/>
      <c r="L31" s="1124"/>
      <c r="M31" s="1124"/>
      <c r="N31" s="1048"/>
    </row>
    <row r="32" spans="1:14" x14ac:dyDescent="0.25">
      <c r="A32" s="1122">
        <f t="shared" si="0"/>
        <v>9</v>
      </c>
      <c r="B32" s="680" t="s">
        <v>157</v>
      </c>
      <c r="C32" s="680" t="s">
        <v>1759</v>
      </c>
      <c r="D32" s="1247">
        <v>49.405329999999999</v>
      </c>
      <c r="E32" s="1247">
        <v>0</v>
      </c>
      <c r="F32" s="1247">
        <f>D32</f>
        <v>49.405329999999999</v>
      </c>
      <c r="G32" s="1248">
        <v>0</v>
      </c>
      <c r="J32" s="1124"/>
      <c r="K32" s="1124"/>
      <c r="L32" s="1124"/>
      <c r="M32" s="1124"/>
      <c r="N32" s="1048"/>
    </row>
    <row r="33" spans="1:14" x14ac:dyDescent="0.25">
      <c r="A33" s="1122">
        <f t="shared" si="0"/>
        <v>10</v>
      </c>
      <c r="B33" s="680" t="s">
        <v>157</v>
      </c>
      <c r="C33" s="680" t="s">
        <v>1367</v>
      </c>
      <c r="D33" s="1247">
        <v>6710.1413700000003</v>
      </c>
      <c r="E33" s="1247">
        <v>6855</v>
      </c>
      <c r="F33" s="1247">
        <f>ROUND(F158/Input!$C$2,Input!$E$2)</f>
        <v>0</v>
      </c>
      <c r="G33" s="1248">
        <v>0</v>
      </c>
      <c r="J33" s="1124"/>
      <c r="K33" s="1124"/>
      <c r="L33" s="1124"/>
      <c r="M33" s="1124"/>
      <c r="N33" s="1048"/>
    </row>
    <row r="34" spans="1:14" x14ac:dyDescent="0.25">
      <c r="A34" s="1122">
        <f t="shared" si="0"/>
        <v>11</v>
      </c>
      <c r="B34" s="680" t="s">
        <v>157</v>
      </c>
      <c r="C34" s="1125" t="s">
        <v>940</v>
      </c>
      <c r="D34" s="1247">
        <v>793.597937</v>
      </c>
      <c r="E34" s="1247">
        <f>17.72</f>
        <v>17.72</v>
      </c>
      <c r="F34" s="1245">
        <f>D34</f>
        <v>793.597937</v>
      </c>
      <c r="G34" s="1246">
        <f>E34</f>
        <v>17.72</v>
      </c>
      <c r="H34" s="1124">
        <f>E34-G34</f>
        <v>0</v>
      </c>
      <c r="I34" s="1124"/>
      <c r="M34" s="1131"/>
    </row>
    <row r="35" spans="1:14" x14ac:dyDescent="0.25">
      <c r="A35" s="1122">
        <f t="shared" si="0"/>
        <v>12</v>
      </c>
      <c r="B35" s="680" t="s">
        <v>157</v>
      </c>
      <c r="C35" s="1125" t="s">
        <v>1366</v>
      </c>
      <c r="D35" s="1247">
        <v>191.20437684931505</v>
      </c>
      <c r="E35" s="1247">
        <v>180</v>
      </c>
      <c r="F35" s="1245">
        <f>D35</f>
        <v>191.20437684931505</v>
      </c>
      <c r="G35" s="1246">
        <f>E35</f>
        <v>180</v>
      </c>
      <c r="H35" s="1124"/>
      <c r="I35" s="1124"/>
      <c r="M35" s="1131"/>
    </row>
    <row r="36" spans="1:14" x14ac:dyDescent="0.25">
      <c r="A36" s="1122">
        <f t="shared" si="0"/>
        <v>13</v>
      </c>
      <c r="B36" s="680" t="s">
        <v>157</v>
      </c>
      <c r="C36" s="680" t="s">
        <v>1703</v>
      </c>
      <c r="D36" s="1247">
        <v>9600</v>
      </c>
      <c r="E36" s="1247">
        <v>10000</v>
      </c>
      <c r="F36" s="1247">
        <v>39600</v>
      </c>
      <c r="G36" s="1248">
        <v>30000</v>
      </c>
      <c r="H36" s="1124"/>
      <c r="I36" s="1124"/>
      <c r="N36" s="1045"/>
    </row>
    <row r="37" spans="1:14" hidden="1" x14ac:dyDescent="0.25">
      <c r="A37" s="1122">
        <f t="shared" si="0"/>
        <v>14</v>
      </c>
      <c r="B37" s="680" t="s">
        <v>947</v>
      </c>
      <c r="C37" s="680" t="s">
        <v>948</v>
      </c>
      <c r="D37" s="1247">
        <f>ROUND(D161/Input!$C$2,Input!$E$2)</f>
        <v>0</v>
      </c>
      <c r="E37" s="1247">
        <v>0</v>
      </c>
      <c r="F37" s="1247">
        <f>ROUND(F161/Input!$C$2,Input!$E$2)</f>
        <v>0</v>
      </c>
      <c r="G37" s="1248">
        <v>0</v>
      </c>
    </row>
    <row r="38" spans="1:14" x14ac:dyDescent="0.25">
      <c r="A38" s="1122">
        <f t="shared" si="0"/>
        <v>15</v>
      </c>
      <c r="B38" s="680" t="s">
        <v>947</v>
      </c>
      <c r="C38" s="680" t="s">
        <v>949</v>
      </c>
      <c r="D38" s="1247">
        <v>0</v>
      </c>
      <c r="E38" s="1247">
        <v>-2929</v>
      </c>
      <c r="F38" s="1247">
        <f>ROUND(F162/Input!$C$2,Input!$E$2)</f>
        <v>0</v>
      </c>
      <c r="G38" s="1248">
        <v>0</v>
      </c>
    </row>
    <row r="39" spans="1:14" x14ac:dyDescent="0.25">
      <c r="A39" s="1122">
        <f t="shared" si="0"/>
        <v>16</v>
      </c>
      <c r="B39" s="680" t="s">
        <v>947</v>
      </c>
      <c r="C39" s="680" t="s">
        <v>950</v>
      </c>
      <c r="D39" s="1247">
        <v>0</v>
      </c>
      <c r="E39" s="1247">
        <v>53</v>
      </c>
      <c r="F39" s="1247">
        <f>ROUND(F163/Input!$C$2,Input!$E$2)</f>
        <v>0</v>
      </c>
      <c r="G39" s="1248">
        <v>0</v>
      </c>
    </row>
    <row r="40" spans="1:14" x14ac:dyDescent="0.25">
      <c r="A40" s="1122">
        <f t="shared" si="0"/>
        <v>17</v>
      </c>
      <c r="B40" s="680" t="s">
        <v>947</v>
      </c>
      <c r="C40" s="680" t="s">
        <v>467</v>
      </c>
      <c r="D40" s="1247">
        <v>0</v>
      </c>
      <c r="E40" s="1247">
        <v>58</v>
      </c>
      <c r="F40" s="1247">
        <f>ROUND(F164/Input!$C$2,Input!$E$2)</f>
        <v>0</v>
      </c>
      <c r="G40" s="1248">
        <v>0</v>
      </c>
    </row>
    <row r="41" spans="1:14" hidden="1" x14ac:dyDescent="0.25">
      <c r="A41" s="1122">
        <f t="shared" si="0"/>
        <v>18</v>
      </c>
      <c r="B41" s="680" t="s">
        <v>947</v>
      </c>
      <c r="C41" s="680" t="s">
        <v>951</v>
      </c>
      <c r="D41" s="1247">
        <f>ROUND(D165/Input!$C$2,Input!$E$2)</f>
        <v>0</v>
      </c>
      <c r="E41" s="1247">
        <v>0</v>
      </c>
      <c r="F41" s="1247">
        <f>ROUND(F165/Input!$C$2,Input!$E$2)</f>
        <v>0</v>
      </c>
      <c r="G41" s="1248">
        <v>0</v>
      </c>
    </row>
    <row r="42" spans="1:14" hidden="1" x14ac:dyDescent="0.25">
      <c r="A42" s="1122">
        <f t="shared" si="0"/>
        <v>19</v>
      </c>
      <c r="B42" s="680" t="s">
        <v>947</v>
      </c>
      <c r="C42" s="680" t="s">
        <v>1029</v>
      </c>
      <c r="D42" s="1247">
        <f>ROUND(D166/Input!$C$2,Input!$E$2)</f>
        <v>0</v>
      </c>
      <c r="E42" s="1247">
        <v>0</v>
      </c>
      <c r="F42" s="1247">
        <f>ROUND(F166/Input!$C$2,Input!$E$2)</f>
        <v>0</v>
      </c>
      <c r="G42" s="1248">
        <v>0</v>
      </c>
    </row>
    <row r="43" spans="1:14" hidden="1" x14ac:dyDescent="0.25">
      <c r="A43" s="1126"/>
      <c r="B43" s="682" t="s">
        <v>439</v>
      </c>
      <c r="D43" s="501" t="s">
        <v>452</v>
      </c>
      <c r="E43" s="687"/>
      <c r="F43" s="687"/>
      <c r="G43" s="688"/>
    </row>
    <row r="44" spans="1:14" x14ac:dyDescent="0.25">
      <c r="A44" s="1127"/>
      <c r="B44" s="1890" t="s">
        <v>1704</v>
      </c>
      <c r="C44" s="1890"/>
      <c r="D44" s="1890"/>
      <c r="E44" s="1890"/>
      <c r="F44" s="1890"/>
      <c r="G44" s="1891"/>
    </row>
    <row r="45" spans="1:14" ht="5.45" customHeight="1" x14ac:dyDescent="0.25">
      <c r="A45" s="1127"/>
      <c r="B45" s="1501"/>
      <c r="C45" s="1501"/>
      <c r="D45" s="1501"/>
      <c r="E45" s="1501"/>
      <c r="F45" s="1501"/>
      <c r="G45" s="1128"/>
      <c r="N45" s="1055"/>
    </row>
    <row r="46" spans="1:14" x14ac:dyDescent="0.25">
      <c r="A46" s="681" t="s">
        <v>1134</v>
      </c>
      <c r="B46" s="682" t="s">
        <v>1135</v>
      </c>
      <c r="C46" s="1501"/>
      <c r="D46" s="1501"/>
      <c r="E46" s="1501"/>
      <c r="F46" s="1501"/>
      <c r="G46" s="1128"/>
    </row>
    <row r="47" spans="1:14" ht="75.599999999999994" customHeight="1" x14ac:dyDescent="0.25">
      <c r="A47" s="1127"/>
      <c r="B47" s="1894" t="s">
        <v>1136</v>
      </c>
      <c r="C47" s="1894"/>
      <c r="D47" s="1894"/>
      <c r="E47" s="1894"/>
      <c r="F47" s="1894"/>
      <c r="G47" s="1895"/>
    </row>
    <row r="48" spans="1:14" ht="6.6" customHeight="1" x14ac:dyDescent="0.25">
      <c r="A48" s="1127"/>
      <c r="B48" s="1501"/>
      <c r="C48" s="1501"/>
      <c r="D48" s="1501"/>
      <c r="E48" s="1501"/>
      <c r="F48" s="1501"/>
      <c r="G48" s="1128"/>
    </row>
    <row r="49" spans="1:7" x14ac:dyDescent="0.25">
      <c r="A49" s="17" t="s">
        <v>1059</v>
      </c>
      <c r="G49" s="674"/>
    </row>
    <row r="50" spans="1:7" x14ac:dyDescent="0.25">
      <c r="A50" s="17" t="s">
        <v>293</v>
      </c>
      <c r="G50" s="674"/>
    </row>
    <row r="51" spans="1:7" x14ac:dyDescent="0.25">
      <c r="A51" s="1781" t="s">
        <v>294</v>
      </c>
      <c r="B51" s="1782"/>
      <c r="C51" s="1782"/>
      <c r="D51" s="1782"/>
      <c r="E51" s="1782"/>
      <c r="F51" s="1782"/>
      <c r="G51" s="1783"/>
    </row>
    <row r="52" spans="1:7" ht="41.45" customHeight="1" x14ac:dyDescent="0.25">
      <c r="A52" s="1781" t="s">
        <v>295</v>
      </c>
      <c r="B52" s="1782"/>
      <c r="C52" s="1782"/>
      <c r="D52" s="1782"/>
      <c r="E52" s="1782"/>
      <c r="F52" s="1782"/>
      <c r="G52" s="1783"/>
    </row>
    <row r="53" spans="1:7" x14ac:dyDescent="0.25">
      <c r="A53" s="1874" t="s">
        <v>296</v>
      </c>
      <c r="B53" s="1875"/>
      <c r="C53" s="1875"/>
      <c r="D53" s="1875"/>
      <c r="E53" s="1875"/>
      <c r="F53" s="1875"/>
      <c r="G53" s="1876"/>
    </row>
    <row r="54" spans="1:7" ht="15" customHeight="1" x14ac:dyDescent="0.25">
      <c r="A54" s="1781" t="s">
        <v>625</v>
      </c>
      <c r="B54" s="1782"/>
      <c r="C54" s="1782"/>
      <c r="D54" s="1782"/>
      <c r="E54" s="1782"/>
      <c r="F54" s="1782"/>
      <c r="G54" s="1783"/>
    </row>
    <row r="55" spans="1:7" ht="30" customHeight="1" x14ac:dyDescent="0.25">
      <c r="A55" s="1781" t="s">
        <v>626</v>
      </c>
      <c r="B55" s="1782"/>
      <c r="C55" s="1782"/>
      <c r="D55" s="1782"/>
      <c r="E55" s="1782"/>
      <c r="F55" s="1782"/>
      <c r="G55" s="1783"/>
    </row>
    <row r="56" spans="1:7" x14ac:dyDescent="0.25">
      <c r="A56" s="1781" t="s">
        <v>431</v>
      </c>
      <c r="B56" s="1782"/>
      <c r="C56" s="1782"/>
      <c r="D56" s="1782"/>
      <c r="E56" s="1782"/>
      <c r="F56" s="1782"/>
      <c r="G56" s="1783"/>
    </row>
    <row r="57" spans="1:7" ht="45" hidden="1" customHeight="1" x14ac:dyDescent="0.25">
      <c r="A57" s="1781" t="s">
        <v>553</v>
      </c>
      <c r="B57" s="1782"/>
      <c r="C57" s="1782"/>
      <c r="D57" s="1782"/>
      <c r="E57" s="1782"/>
      <c r="F57" s="1782"/>
      <c r="G57" s="1783"/>
    </row>
    <row r="58" spans="1:7" x14ac:dyDescent="0.25">
      <c r="A58" s="1781" t="s">
        <v>1656</v>
      </c>
      <c r="B58" s="1782"/>
      <c r="C58" s="1782"/>
      <c r="D58" s="1782"/>
      <c r="E58" s="1782"/>
      <c r="F58" s="1782"/>
      <c r="G58" s="1783"/>
    </row>
    <row r="59" spans="1:7" ht="15.75" thickBot="1" x14ac:dyDescent="0.3">
      <c r="A59" s="1039"/>
      <c r="B59" s="1040"/>
      <c r="C59" s="1040"/>
      <c r="D59" s="1040"/>
      <c r="E59" s="1040"/>
      <c r="F59" s="1040"/>
      <c r="G59" s="1041"/>
    </row>
    <row r="60" spans="1:7" x14ac:dyDescent="0.25">
      <c r="A60" s="669" t="s">
        <v>1597</v>
      </c>
      <c r="B60" s="1042"/>
      <c r="C60" s="1042"/>
      <c r="D60" s="1042"/>
      <c r="E60" s="1042"/>
      <c r="F60" s="1042"/>
      <c r="G60" s="1043"/>
    </row>
    <row r="61" spans="1:7" x14ac:dyDescent="0.25">
      <c r="A61" s="17" t="s">
        <v>586</v>
      </c>
      <c r="B61" s="1094"/>
      <c r="C61" s="1094"/>
      <c r="D61" s="1094"/>
      <c r="E61" s="1094"/>
      <c r="F61" s="1094"/>
      <c r="G61" s="690"/>
    </row>
    <row r="62" spans="1:7" ht="72" customHeight="1" x14ac:dyDescent="0.25">
      <c r="A62" s="1781" t="s">
        <v>1657</v>
      </c>
      <c r="B62" s="1782"/>
      <c r="C62" s="1782"/>
      <c r="D62" s="1782"/>
      <c r="E62" s="1782"/>
      <c r="F62" s="1782"/>
      <c r="G62" s="1783"/>
    </row>
    <row r="63" spans="1:7" x14ac:dyDescent="0.25">
      <c r="A63" s="1826" t="s">
        <v>0</v>
      </c>
      <c r="B63" s="1887"/>
      <c r="C63" s="1887"/>
      <c r="D63" s="250"/>
      <c r="E63" s="250"/>
      <c r="F63" s="1892" t="s">
        <v>135</v>
      </c>
      <c r="G63" s="1893"/>
    </row>
    <row r="64" spans="1:7" x14ac:dyDescent="0.25">
      <c r="A64" s="1827"/>
      <c r="B64" s="1888"/>
      <c r="C64" s="1888"/>
      <c r="D64" s="251"/>
      <c r="E64" s="251"/>
      <c r="F64" s="1186" t="s">
        <v>1556</v>
      </c>
      <c r="G64" s="1187" t="s">
        <v>1172</v>
      </c>
    </row>
    <row r="65" spans="1:7" x14ac:dyDescent="0.25">
      <c r="A65" s="27" t="s">
        <v>1351</v>
      </c>
      <c r="B65" s="1094"/>
      <c r="C65" s="1094"/>
      <c r="D65" s="1094"/>
      <c r="E65" s="1094"/>
      <c r="F65" s="1094"/>
      <c r="G65" s="690"/>
    </row>
    <row r="66" spans="1:7" x14ac:dyDescent="0.25">
      <c r="A66" s="18" t="s">
        <v>1352</v>
      </c>
      <c r="B66" s="1094"/>
      <c r="C66" s="1094"/>
      <c r="D66" s="1094"/>
      <c r="E66" s="1094"/>
      <c r="F66" s="1502">
        <f>Segment!F5</f>
        <v>13021.169785300002</v>
      </c>
      <c r="G66" s="1241">
        <f>82907/100</f>
        <v>829.07</v>
      </c>
    </row>
    <row r="67" spans="1:7" x14ac:dyDescent="0.25">
      <c r="A67" s="18" t="s">
        <v>1353</v>
      </c>
      <c r="B67" s="1094"/>
      <c r="C67" s="1094"/>
      <c r="D67" s="1094"/>
      <c r="E67" s="1094"/>
      <c r="F67" s="1502">
        <v>0</v>
      </c>
      <c r="G67" s="1241">
        <f>18236.9/100</f>
        <v>182.36900000000003</v>
      </c>
    </row>
    <row r="68" spans="1:7" x14ac:dyDescent="0.25">
      <c r="A68" s="638" t="s">
        <v>67</v>
      </c>
      <c r="B68" s="695"/>
      <c r="C68" s="695"/>
      <c r="D68" s="695"/>
      <c r="E68" s="695"/>
      <c r="F68" s="1240">
        <f>SUM(F66:F67)</f>
        <v>13021.169785300002</v>
      </c>
      <c r="G68" s="1242">
        <f>SUM(G66:G67)</f>
        <v>1011.4390000000001</v>
      </c>
    </row>
    <row r="69" spans="1:7" x14ac:dyDescent="0.25">
      <c r="A69" s="689"/>
      <c r="B69" s="1094"/>
      <c r="C69" s="1094"/>
      <c r="D69" s="1094"/>
      <c r="E69" s="1094"/>
      <c r="F69" s="1094"/>
      <c r="G69" s="690"/>
    </row>
    <row r="70" spans="1:7" x14ac:dyDescent="0.25">
      <c r="A70" s="1826" t="s">
        <v>0</v>
      </c>
      <c r="B70" s="1887"/>
      <c r="C70" s="1887"/>
      <c r="D70" s="250"/>
      <c r="E70" s="250"/>
      <c r="F70" s="1892" t="s">
        <v>135</v>
      </c>
      <c r="G70" s="1893"/>
    </row>
    <row r="71" spans="1:7" x14ac:dyDescent="0.25">
      <c r="A71" s="1827"/>
      <c r="B71" s="1888"/>
      <c r="C71" s="1888"/>
      <c r="D71" s="251"/>
      <c r="E71" s="251"/>
      <c r="F71" s="1186" t="s">
        <v>1556</v>
      </c>
      <c r="G71" s="1187" t="s">
        <v>1172</v>
      </c>
    </row>
    <row r="72" spans="1:7" x14ac:dyDescent="0.25">
      <c r="A72" s="27" t="s">
        <v>1049</v>
      </c>
      <c r="B72" s="7"/>
      <c r="C72" s="7"/>
      <c r="D72" s="7"/>
      <c r="F72" s="7"/>
      <c r="G72" s="51"/>
    </row>
    <row r="73" spans="1:7" x14ac:dyDescent="0.25">
      <c r="A73" s="18" t="s">
        <v>1050</v>
      </c>
      <c r="B73" s="7"/>
      <c r="C73" s="7"/>
      <c r="D73" s="7"/>
      <c r="F73" s="523">
        <f>PL!D8-F74</f>
        <v>12811.553468705388</v>
      </c>
      <c r="G73" s="782">
        <f>109443/100</f>
        <v>1094.43</v>
      </c>
    </row>
    <row r="74" spans="1:7" x14ac:dyDescent="0.25">
      <c r="A74" s="179" t="s">
        <v>1051</v>
      </c>
      <c r="B74" s="220"/>
      <c r="C74" s="220"/>
      <c r="D74" s="220"/>
      <c r="E74" s="1120"/>
      <c r="F74" s="759">
        <f>1035811165.28/100000+32133487.8494612/100000</f>
        <v>10679.446531294612</v>
      </c>
      <c r="G74" s="783">
        <v>0</v>
      </c>
    </row>
    <row r="75" spans="1:7" x14ac:dyDescent="0.25">
      <c r="A75" s="638" t="s">
        <v>67</v>
      </c>
      <c r="B75" s="695"/>
      <c r="C75" s="695"/>
      <c r="D75" s="695"/>
      <c r="E75" s="695"/>
      <c r="F75" s="1240">
        <f>SUM(F73:F74)</f>
        <v>23491</v>
      </c>
      <c r="G75" s="1242">
        <f>SUM(G73:G74)</f>
        <v>1094.43</v>
      </c>
    </row>
    <row r="76" spans="1:7" x14ac:dyDescent="0.25">
      <c r="A76" s="27"/>
      <c r="B76" s="1094"/>
      <c r="C76" s="1094"/>
      <c r="D76" s="1094"/>
      <c r="E76" s="1094"/>
      <c r="F76" s="1556"/>
      <c r="G76" s="1557"/>
    </row>
    <row r="77" spans="1:7" x14ac:dyDescent="0.25">
      <c r="A77" s="27" t="s">
        <v>1060</v>
      </c>
      <c r="B77"/>
      <c r="C77"/>
      <c r="D77"/>
      <c r="F77"/>
      <c r="G77" s="58"/>
    </row>
    <row r="78" spans="1:7" x14ac:dyDescent="0.25">
      <c r="A78" s="27" t="s">
        <v>1052</v>
      </c>
      <c r="B78"/>
      <c r="C78"/>
      <c r="D78"/>
      <c r="F78"/>
      <c r="G78" s="58"/>
    </row>
    <row r="79" spans="1:7" x14ac:dyDescent="0.25">
      <c r="A79" s="27" t="s">
        <v>1053</v>
      </c>
      <c r="B79"/>
      <c r="C79"/>
      <c r="D79"/>
      <c r="F79"/>
      <c r="G79" s="58"/>
    </row>
    <row r="80" spans="1:7" x14ac:dyDescent="0.25">
      <c r="A80" s="18" t="s">
        <v>1598</v>
      </c>
      <c r="B80"/>
      <c r="C80"/>
      <c r="D80"/>
      <c r="F80"/>
      <c r="G80" s="58"/>
    </row>
    <row r="81" spans="1:7" x14ac:dyDescent="0.25">
      <c r="A81" s="18"/>
      <c r="B81"/>
      <c r="C81"/>
      <c r="D81"/>
      <c r="F81"/>
      <c r="G81" s="58"/>
    </row>
    <row r="82" spans="1:7" x14ac:dyDescent="0.25">
      <c r="A82" s="27" t="s">
        <v>1054</v>
      </c>
      <c r="B82"/>
      <c r="C82"/>
      <c r="D82"/>
      <c r="F82"/>
      <c r="G82" s="58"/>
    </row>
    <row r="83" spans="1:7" x14ac:dyDescent="0.25">
      <c r="A83" s="18" t="s">
        <v>1055</v>
      </c>
      <c r="B83"/>
      <c r="C83"/>
      <c r="D83"/>
      <c r="F83"/>
      <c r="G83" s="58"/>
    </row>
    <row r="84" spans="1:7" x14ac:dyDescent="0.25">
      <c r="A84" s="1896" t="s">
        <v>0</v>
      </c>
      <c r="B84" s="1892"/>
      <c r="C84" s="1892"/>
      <c r="D84" s="250"/>
      <c r="E84" s="250"/>
      <c r="F84" s="250" t="s">
        <v>68</v>
      </c>
      <c r="G84" s="647" t="s">
        <v>68</v>
      </c>
    </row>
    <row r="85" spans="1:7" x14ac:dyDescent="0.25">
      <c r="A85" s="1130"/>
      <c r="B85" s="252"/>
      <c r="C85" s="252"/>
      <c r="D85" s="711"/>
      <c r="E85" s="711"/>
      <c r="F85" s="711" t="str">
        <f>F71</f>
        <v>31 March 2026</v>
      </c>
      <c r="G85" s="712" t="str">
        <f>G71</f>
        <v>31 March 2025</v>
      </c>
    </row>
    <row r="86" spans="1:7" x14ac:dyDescent="0.25">
      <c r="A86" s="18" t="s">
        <v>80</v>
      </c>
      <c r="B86"/>
      <c r="C86"/>
      <c r="D86" s="275"/>
      <c r="F86" s="275">
        <f>BS!D24</f>
        <v>3026</v>
      </c>
      <c r="G86" s="282">
        <f>BS!E24</f>
        <v>454</v>
      </c>
    </row>
    <row r="87" spans="1:7" x14ac:dyDescent="0.25">
      <c r="A87" s="179" t="s">
        <v>1056</v>
      </c>
      <c r="B87" s="5"/>
      <c r="C87" s="5"/>
      <c r="D87" s="461"/>
      <c r="E87" s="1120"/>
      <c r="F87" s="461">
        <f>'BS  Notes  3-18'!G474</f>
        <v>9</v>
      </c>
      <c r="G87" s="652">
        <v>0</v>
      </c>
    </row>
    <row r="88" spans="1:7" ht="15.75" thickBot="1" x14ac:dyDescent="0.3">
      <c r="A88" s="1503"/>
      <c r="B88" s="1504"/>
      <c r="C88" s="1504"/>
      <c r="D88" s="1504"/>
      <c r="E88" s="1053"/>
      <c r="F88" s="1504"/>
      <c r="G88" s="1505"/>
    </row>
    <row r="89" spans="1:7" hidden="1" x14ac:dyDescent="0.25">
      <c r="A89" s="691" t="s">
        <v>1061</v>
      </c>
      <c r="B89" s="1094"/>
      <c r="C89" s="1094"/>
      <c r="D89" s="1094"/>
      <c r="E89" s="1094"/>
      <c r="F89" s="1094"/>
      <c r="G89" s="690"/>
    </row>
    <row r="90" spans="1:7" hidden="1" x14ac:dyDescent="0.25">
      <c r="A90" s="17" t="s">
        <v>554</v>
      </c>
      <c r="G90" s="674"/>
    </row>
    <row r="91" spans="1:7" hidden="1" x14ac:dyDescent="0.25">
      <c r="A91" s="1881" t="s">
        <v>555</v>
      </c>
      <c r="B91" s="1882"/>
      <c r="C91" s="1882"/>
      <c r="D91" s="1882"/>
      <c r="E91" s="1882"/>
      <c r="F91" s="1882"/>
      <c r="G91" s="1883"/>
    </row>
    <row r="92" spans="1:7" hidden="1" x14ac:dyDescent="0.25">
      <c r="A92" s="1881" t="s">
        <v>556</v>
      </c>
      <c r="B92" s="1882"/>
      <c r="C92" s="1882"/>
      <c r="D92" s="1882"/>
      <c r="E92" s="1882"/>
      <c r="F92" s="1882"/>
      <c r="G92" s="1883"/>
    </row>
    <row r="93" spans="1:7" ht="63.75" hidden="1" customHeight="1" x14ac:dyDescent="0.25">
      <c r="A93" s="1900" t="s">
        <v>1599</v>
      </c>
      <c r="B93" s="1901"/>
      <c r="C93" s="1901"/>
      <c r="D93" s="1901"/>
      <c r="E93" s="1901"/>
      <c r="F93" s="1901"/>
      <c r="G93" s="1902"/>
    </row>
    <row r="94" spans="1:7" ht="5.45" hidden="1" customHeight="1" x14ac:dyDescent="0.25">
      <c r="A94" s="689"/>
      <c r="B94" s="1094"/>
      <c r="C94" s="1094"/>
      <c r="D94" s="1094"/>
      <c r="E94" s="1094"/>
      <c r="F94" s="1094"/>
      <c r="G94" s="690"/>
    </row>
    <row r="95" spans="1:7" hidden="1" x14ac:dyDescent="0.25">
      <c r="A95" s="692" t="s">
        <v>557</v>
      </c>
      <c r="B95" s="1096"/>
      <c r="C95" s="1094"/>
      <c r="D95" s="1094"/>
      <c r="E95" s="1094"/>
      <c r="F95" s="1094"/>
      <c r="G95" s="693" t="str">
        <f>Input!$D$2</f>
        <v>(₹ in Lakh)</v>
      </c>
    </row>
    <row r="96" spans="1:7" hidden="1" x14ac:dyDescent="0.25">
      <c r="A96" s="1903" t="s">
        <v>0</v>
      </c>
      <c r="B96" s="1904"/>
      <c r="C96" s="1904"/>
      <c r="D96" s="1904"/>
      <c r="E96" s="1904"/>
      <c r="F96" s="667" t="s">
        <v>1593</v>
      </c>
      <c r="G96" s="500" t="s">
        <v>1181</v>
      </c>
    </row>
    <row r="97" spans="1:9" hidden="1" x14ac:dyDescent="0.25">
      <c r="A97" s="694" t="s">
        <v>558</v>
      </c>
      <c r="B97" s="695"/>
      <c r="C97" s="695"/>
      <c r="D97" s="695"/>
      <c r="E97" s="695"/>
      <c r="F97" s="696">
        <f>'PPE- note 3'!G23</f>
        <v>34.673342499999997</v>
      </c>
      <c r="G97" s="697">
        <v>34.67</v>
      </c>
    </row>
    <row r="98" spans="1:9" hidden="1" x14ac:dyDescent="0.25">
      <c r="A98" s="1465"/>
      <c r="B98" s="1466"/>
      <c r="C98" s="1466"/>
      <c r="D98" s="1466"/>
      <c r="E98" s="1466"/>
      <c r="F98" s="1467"/>
      <c r="G98" s="1468"/>
    </row>
    <row r="99" spans="1:9" s="810" customFormat="1" ht="71.099999999999994" hidden="1" customHeight="1" x14ac:dyDescent="0.25">
      <c r="A99" s="1914" t="s">
        <v>1600</v>
      </c>
      <c r="B99" s="1915"/>
      <c r="C99" s="1915"/>
      <c r="D99" s="1915"/>
      <c r="E99" s="1915"/>
      <c r="F99" s="1915"/>
      <c r="G99" s="1915"/>
      <c r="H99" s="1464"/>
      <c r="I99" s="690"/>
    </row>
    <row r="100" spans="1:9" s="810" customFormat="1" ht="14.45" hidden="1" customHeight="1" x14ac:dyDescent="0.25">
      <c r="A100" s="1916" t="s">
        <v>1580</v>
      </c>
      <c r="B100" s="1917"/>
      <c r="C100" s="1917"/>
      <c r="D100" s="1917"/>
      <c r="E100" s="1917"/>
      <c r="F100" s="1917"/>
      <c r="G100" s="1917"/>
      <c r="H100" s="1464"/>
      <c r="I100" s="690"/>
    </row>
    <row r="101" spans="1:9" s="810" customFormat="1" ht="14.45" hidden="1" customHeight="1" x14ac:dyDescent="0.25">
      <c r="A101" s="1878" t="s">
        <v>1581</v>
      </c>
      <c r="B101" s="1879"/>
      <c r="C101" s="1879"/>
      <c r="D101" s="1879"/>
      <c r="E101" s="1879"/>
      <c r="F101" s="1879"/>
      <c r="G101" s="1880"/>
      <c r="H101" s="792"/>
      <c r="I101" s="690"/>
    </row>
    <row r="102" spans="1:9" s="810" customFormat="1" hidden="1" x14ac:dyDescent="0.25">
      <c r="A102" s="1896" t="s">
        <v>0</v>
      </c>
      <c r="B102" s="1892"/>
      <c r="C102" s="1892"/>
      <c r="D102" s="250"/>
      <c r="E102" s="250"/>
      <c r="F102" s="250" t="s">
        <v>68</v>
      </c>
      <c r="G102" s="647" t="s">
        <v>68</v>
      </c>
      <c r="I102" s="690"/>
    </row>
    <row r="103" spans="1:9" s="810" customFormat="1" hidden="1" x14ac:dyDescent="0.25">
      <c r="A103" s="1130"/>
      <c r="B103" s="252"/>
      <c r="C103" s="252"/>
      <c r="D103" s="711"/>
      <c r="E103" s="711"/>
      <c r="F103" s="1451" t="str">
        <f>'BS  Notes  3-18'!G254</f>
        <v>31 March 2026</v>
      </c>
      <c r="G103" s="1451" t="str">
        <f>'BS  Notes  3-18'!H254</f>
        <v>31 March 2025</v>
      </c>
      <c r="I103" s="690"/>
    </row>
    <row r="104" spans="1:9" s="810" customFormat="1" hidden="1" x14ac:dyDescent="0.25">
      <c r="A104" s="27" t="s">
        <v>248</v>
      </c>
      <c r="B104"/>
      <c r="C104"/>
      <c r="D104" s="1445"/>
      <c r="E104" s="1445"/>
      <c r="F104" s="1446">
        <v>0</v>
      </c>
      <c r="G104" s="1447">
        <v>0</v>
      </c>
      <c r="I104" s="690"/>
    </row>
    <row r="105" spans="1:9" s="810" customFormat="1" hidden="1" x14ac:dyDescent="0.25">
      <c r="A105" s="18" t="s">
        <v>1582</v>
      </c>
      <c r="B105"/>
      <c r="C105"/>
      <c r="D105" s="7"/>
      <c r="E105" s="7"/>
      <c r="F105" s="523">
        <f>1078543.31853702/100000*0</f>
        <v>0</v>
      </c>
      <c r="G105" s="276">
        <v>0</v>
      </c>
      <c r="I105" s="690"/>
    </row>
    <row r="106" spans="1:9" s="810" customFormat="1" hidden="1" x14ac:dyDescent="0.25">
      <c r="A106" s="18" t="s">
        <v>1583</v>
      </c>
      <c r="B106"/>
      <c r="C106"/>
      <c r="D106" s="7"/>
      <c r="E106" s="7"/>
      <c r="F106" s="275">
        <v>0</v>
      </c>
      <c r="G106" s="276">
        <v>0</v>
      </c>
      <c r="I106" s="690"/>
    </row>
    <row r="107" spans="1:9" s="810" customFormat="1" hidden="1" x14ac:dyDescent="0.25">
      <c r="A107" s="18" t="s">
        <v>1584</v>
      </c>
      <c r="B107"/>
      <c r="C107"/>
      <c r="D107" s="2"/>
      <c r="E107" s="2"/>
      <c r="F107" s="1236">
        <f>'PL Notes 19-27'!C81</f>
        <v>0</v>
      </c>
      <c r="G107" s="282">
        <v>0</v>
      </c>
      <c r="I107" s="690"/>
    </row>
    <row r="108" spans="1:9" s="810" customFormat="1" hidden="1" x14ac:dyDescent="0.25">
      <c r="A108" s="18" t="s">
        <v>1585</v>
      </c>
      <c r="B108"/>
      <c r="C108"/>
      <c r="D108" s="2"/>
      <c r="E108" s="2"/>
      <c r="F108" s="275">
        <f>-153630/100000*0</f>
        <v>0</v>
      </c>
      <c r="G108" s="282">
        <v>0</v>
      </c>
      <c r="I108" s="690"/>
    </row>
    <row r="109" spans="1:9" s="810" customFormat="1" hidden="1" x14ac:dyDescent="0.25">
      <c r="A109" s="241" t="s">
        <v>251</v>
      </c>
      <c r="B109" s="242"/>
      <c r="C109" s="242"/>
      <c r="D109" s="1448"/>
      <c r="E109" s="1448"/>
      <c r="F109" s="277">
        <f>SUM(F104:F108)</f>
        <v>0</v>
      </c>
      <c r="G109" s="278">
        <f>SUM(G104:G108)</f>
        <v>0</v>
      </c>
      <c r="I109" s="690"/>
    </row>
    <row r="110" spans="1:9" s="810" customFormat="1" hidden="1" x14ac:dyDescent="0.25">
      <c r="A110" s="713" t="s">
        <v>84</v>
      </c>
      <c r="B110"/>
      <c r="C110"/>
      <c r="D110" s="1449"/>
      <c r="E110" s="1449"/>
      <c r="F110" s="1237">
        <f>BS!D44</f>
        <v>0</v>
      </c>
      <c r="G110" s="715">
        <v>0</v>
      </c>
      <c r="I110" s="690"/>
    </row>
    <row r="111" spans="1:9" s="810" customFormat="1" hidden="1" x14ac:dyDescent="0.25">
      <c r="A111" s="716" t="s">
        <v>69</v>
      </c>
      <c r="B111" s="5"/>
      <c r="C111" s="5"/>
      <c r="D111" s="1450"/>
      <c r="E111" s="1450"/>
      <c r="F111" s="759">
        <f>BS!D51</f>
        <v>0</v>
      </c>
      <c r="G111" s="652">
        <v>0</v>
      </c>
      <c r="I111" s="690"/>
    </row>
    <row r="112" spans="1:9" s="810" customFormat="1" hidden="1" x14ac:dyDescent="0.25">
      <c r="A112" s="689"/>
      <c r="B112" s="1094"/>
      <c r="C112" s="1094"/>
      <c r="D112" s="1094"/>
      <c r="E112" s="1094"/>
      <c r="F112" s="1094"/>
      <c r="G112" s="1094"/>
      <c r="H112" s="690"/>
      <c r="I112" s="690"/>
    </row>
    <row r="113" spans="1:9" s="810" customFormat="1" hidden="1" x14ac:dyDescent="0.25">
      <c r="A113" s="27" t="s">
        <v>1587</v>
      </c>
      <c r="B113"/>
      <c r="C113"/>
      <c r="D113"/>
      <c r="E113"/>
      <c r="F113" s="279"/>
      <c r="G113" s="1094"/>
      <c r="H113" s="690"/>
      <c r="I113" s="690"/>
    </row>
    <row r="114" spans="1:9" s="810" customFormat="1" hidden="1" x14ac:dyDescent="0.25">
      <c r="A114" s="1912" t="s">
        <v>0</v>
      </c>
      <c r="B114" s="1913"/>
      <c r="C114" s="1913"/>
      <c r="D114" s="1452"/>
      <c r="E114" s="1452"/>
      <c r="F114" s="1453" t="s">
        <v>1593</v>
      </c>
      <c r="G114" s="1454" t="s">
        <v>1181</v>
      </c>
      <c r="I114" s="690"/>
    </row>
    <row r="115" spans="1:9" s="810" customFormat="1" hidden="1" x14ac:dyDescent="0.25">
      <c r="A115" s="18" t="s">
        <v>1588</v>
      </c>
      <c r="B115"/>
      <c r="C115"/>
      <c r="D115" s="1449"/>
      <c r="E115" s="1449"/>
      <c r="F115" s="714">
        <f>'PL Notes 19-27'!C100</f>
        <v>19</v>
      </c>
      <c r="G115" s="715">
        <v>0</v>
      </c>
      <c r="I115" s="690"/>
    </row>
    <row r="116" spans="1:9" s="810" customFormat="1" hidden="1" x14ac:dyDescent="0.25">
      <c r="A116" s="18" t="s">
        <v>1589</v>
      </c>
      <c r="B116"/>
      <c r="C116"/>
      <c r="D116" s="7"/>
      <c r="E116" s="7"/>
      <c r="F116" s="275">
        <f>F107</f>
        <v>0</v>
      </c>
      <c r="G116" s="276">
        <v>0</v>
      </c>
      <c r="I116" s="690"/>
    </row>
    <row r="117" spans="1:9" s="810" customFormat="1" hidden="1" x14ac:dyDescent="0.25">
      <c r="A117" s="179" t="s">
        <v>1590</v>
      </c>
      <c r="B117" s="5"/>
      <c r="C117" s="5"/>
      <c r="D117" s="220"/>
      <c r="E117" s="220"/>
      <c r="F117" s="461">
        <f>'PPE- note 3'!G22</f>
        <v>0</v>
      </c>
      <c r="G117" s="650">
        <v>0</v>
      </c>
      <c r="I117" s="690"/>
    </row>
    <row r="118" spans="1:9" s="810" customFormat="1" hidden="1" x14ac:dyDescent="0.25">
      <c r="A118" s="689"/>
      <c r="B118" s="1094"/>
      <c r="C118" s="1094"/>
      <c r="D118" s="1094"/>
      <c r="E118" s="1094"/>
      <c r="F118" s="1094"/>
      <c r="G118" s="1094"/>
      <c r="H118" s="690"/>
      <c r="I118" s="690"/>
    </row>
    <row r="119" spans="1:9" s="810" customFormat="1" hidden="1" x14ac:dyDescent="0.25">
      <c r="A119" s="27" t="s">
        <v>1591</v>
      </c>
      <c r="B119" s="1094"/>
      <c r="C119" s="1094"/>
      <c r="D119" s="1094"/>
      <c r="E119" s="1094"/>
      <c r="F119" s="1094"/>
      <c r="G119" s="1094"/>
      <c r="H119" s="690"/>
      <c r="I119" s="690"/>
    </row>
    <row r="120" spans="1:9" s="810" customFormat="1" hidden="1" x14ac:dyDescent="0.25">
      <c r="A120" s="1912" t="s">
        <v>0</v>
      </c>
      <c r="B120" s="1913"/>
      <c r="C120" s="1913"/>
      <c r="D120" s="1455"/>
      <c r="E120" s="1455"/>
      <c r="F120" s="1455" t="str">
        <f>F114</f>
        <v>2025-26</v>
      </c>
      <c r="G120" s="1455" t="str">
        <f>G114</f>
        <v>2024-25</v>
      </c>
      <c r="I120" s="1454" t="e">
        <f>#REF!</f>
        <v>#REF!</v>
      </c>
    </row>
    <row r="121" spans="1:9" s="810" customFormat="1" ht="15.75" hidden="1" thickBot="1" x14ac:dyDescent="0.3">
      <c r="A121" s="1456" t="s">
        <v>1592</v>
      </c>
      <c r="B121" s="1457"/>
      <c r="C121" s="1457"/>
      <c r="D121" s="1458"/>
      <c r="E121" s="1458"/>
      <c r="F121" s="1460">
        <f>F108</f>
        <v>0</v>
      </c>
      <c r="G121" s="1460">
        <f>G108</f>
        <v>0</v>
      </c>
      <c r="I121" s="1459" t="e">
        <f>-#REF!</f>
        <v>#REF!</v>
      </c>
    </row>
    <row r="122" spans="1:9" s="810" customFormat="1" hidden="1" x14ac:dyDescent="0.25">
      <c r="A122" s="18"/>
      <c r="B122"/>
      <c r="C122"/>
      <c r="D122" s="2"/>
      <c r="E122" s="2"/>
      <c r="F122" s="2"/>
      <c r="G122" s="1236"/>
      <c r="H122" s="1236"/>
      <c r="I122" s="282"/>
    </row>
    <row r="123" spans="1:9" s="810" customFormat="1" hidden="1" x14ac:dyDescent="0.25">
      <c r="A123" s="27" t="s">
        <v>1594</v>
      </c>
      <c r="B123"/>
      <c r="C123"/>
      <c r="D123" s="2"/>
      <c r="G123" s="1236"/>
      <c r="H123" s="1236"/>
      <c r="I123" s="282"/>
    </row>
    <row r="124" spans="1:9" s="810" customFormat="1" hidden="1" x14ac:dyDescent="0.25">
      <c r="A124" s="1896" t="s">
        <v>0</v>
      </c>
      <c r="B124" s="1892"/>
      <c r="C124" s="1892"/>
      <c r="D124" s="1461"/>
      <c r="E124" s="1461"/>
      <c r="F124" s="250" t="s">
        <v>68</v>
      </c>
      <c r="G124" s="647" t="s">
        <v>68</v>
      </c>
      <c r="I124" s="282"/>
    </row>
    <row r="125" spans="1:9" s="810" customFormat="1" hidden="1" x14ac:dyDescent="0.25">
      <c r="A125" s="1130"/>
      <c r="B125" s="252"/>
      <c r="C125" s="252"/>
      <c r="D125" s="1462"/>
      <c r="E125" s="1462"/>
      <c r="F125" s="1451" t="str">
        <f>F103</f>
        <v>31 March 2026</v>
      </c>
      <c r="G125" s="1451" t="str">
        <f>G103</f>
        <v>31 March 2025</v>
      </c>
      <c r="I125" s="282"/>
    </row>
    <row r="126" spans="1:9" s="810" customFormat="1" hidden="1" x14ac:dyDescent="0.25">
      <c r="A126" s="18" t="s">
        <v>1595</v>
      </c>
      <c r="B126"/>
      <c r="C126"/>
      <c r="D126" s="1449"/>
      <c r="E126" s="1449"/>
      <c r="F126" s="1237">
        <f>(12803*12)/100000</f>
        <v>1.5363599999999999</v>
      </c>
      <c r="G126" s="715">
        <v>0</v>
      </c>
      <c r="I126" s="282"/>
    </row>
    <row r="127" spans="1:9" s="810" customFormat="1" hidden="1" x14ac:dyDescent="0.25">
      <c r="A127" s="18" t="s">
        <v>529</v>
      </c>
      <c r="B127"/>
      <c r="C127"/>
      <c r="D127" s="2"/>
      <c r="E127" s="2"/>
      <c r="F127" s="1236">
        <f>(12803*12)/100000</f>
        <v>1.5363599999999999</v>
      </c>
      <c r="G127" s="282">
        <v>0</v>
      </c>
      <c r="I127" s="282"/>
    </row>
    <row r="128" spans="1:9" s="810" customFormat="1" hidden="1" x14ac:dyDescent="0.25">
      <c r="A128" s="18" t="s">
        <v>1596</v>
      </c>
      <c r="B128"/>
      <c r="C128"/>
      <c r="D128" s="2"/>
      <c r="E128" s="2"/>
      <c r="F128" s="1236">
        <f>(12803*36)/100000</f>
        <v>4.6090799999999996</v>
      </c>
      <c r="G128" s="282">
        <v>0</v>
      </c>
      <c r="I128" s="282"/>
    </row>
    <row r="129" spans="1:9" s="810" customFormat="1" hidden="1" x14ac:dyDescent="0.25">
      <c r="A129" s="18" t="s">
        <v>341</v>
      </c>
      <c r="B129"/>
      <c r="C129"/>
      <c r="D129" s="2"/>
      <c r="E129" s="2"/>
      <c r="F129" s="1236">
        <f>(12803*60)/100000</f>
        <v>7.6818</v>
      </c>
      <c r="G129" s="282">
        <v>0</v>
      </c>
      <c r="I129" s="282"/>
    </row>
    <row r="130" spans="1:9" s="810" customFormat="1" hidden="1" x14ac:dyDescent="0.25">
      <c r="A130" s="1912" t="s">
        <v>67</v>
      </c>
      <c r="B130" s="1913"/>
      <c r="C130" s="1913"/>
      <c r="D130" s="1463"/>
      <c r="E130" s="1463"/>
      <c r="F130" s="496">
        <f>SUM(F126:F129)</f>
        <v>15.363599999999998</v>
      </c>
      <c r="G130" s="496">
        <f>SUM(G126:G129)</f>
        <v>0</v>
      </c>
      <c r="H130" s="278">
        <f>SUM(G126:G129)</f>
        <v>0</v>
      </c>
      <c r="I130" s="282"/>
    </row>
    <row r="131" spans="1:9" x14ac:dyDescent="0.25">
      <c r="A131" s="580"/>
      <c r="B131" s="1094"/>
      <c r="C131" s="1094"/>
      <c r="D131" s="1094"/>
      <c r="E131" s="1094"/>
      <c r="F131" s="1097"/>
      <c r="G131" s="698"/>
    </row>
    <row r="132" spans="1:9" hidden="1" x14ac:dyDescent="0.25">
      <c r="A132" s="17" t="s">
        <v>1030</v>
      </c>
      <c r="B132" s="1094"/>
      <c r="C132" s="1094"/>
      <c r="D132" s="1094"/>
      <c r="E132" s="1094"/>
      <c r="F132" s="1097"/>
      <c r="G132" s="699"/>
    </row>
    <row r="133" spans="1:9" ht="32.1" hidden="1" customHeight="1" x14ac:dyDescent="0.25">
      <c r="A133" s="1781" t="s">
        <v>1394</v>
      </c>
      <c r="B133" s="1782"/>
      <c r="C133" s="1782"/>
      <c r="D133" s="1782"/>
      <c r="E133" s="1782"/>
      <c r="F133" s="1782"/>
      <c r="G133" s="1783"/>
    </row>
    <row r="134" spans="1:9" hidden="1" x14ac:dyDescent="0.25">
      <c r="A134" s="689"/>
      <c r="B134" s="1094"/>
      <c r="C134" s="1094"/>
      <c r="D134" s="1094"/>
      <c r="E134" s="1094"/>
      <c r="F134" s="1094"/>
      <c r="G134" s="690"/>
    </row>
    <row r="135" spans="1:9" hidden="1" x14ac:dyDescent="0.25">
      <c r="A135" s="691" t="s">
        <v>1031</v>
      </c>
      <c r="B135" s="1094"/>
      <c r="C135" s="1094"/>
      <c r="D135" s="1094"/>
      <c r="E135" s="1094"/>
      <c r="F135" s="1094"/>
      <c r="G135" s="690"/>
    </row>
    <row r="136" spans="1:9" hidden="1" x14ac:dyDescent="0.25">
      <c r="A136" s="1905" t="s">
        <v>559</v>
      </c>
      <c r="B136" s="1906"/>
      <c r="C136" s="1094"/>
      <c r="D136" s="1094"/>
      <c r="E136" s="1094"/>
      <c r="F136" s="1094"/>
      <c r="G136" s="690"/>
    </row>
    <row r="137" spans="1:9" hidden="1" x14ac:dyDescent="0.25">
      <c r="A137" s="1907" t="s">
        <v>560</v>
      </c>
      <c r="B137" s="1908"/>
      <c r="C137" s="1908"/>
      <c r="D137" s="1908"/>
      <c r="E137" s="1908"/>
      <c r="F137" s="1908"/>
      <c r="G137" s="1909"/>
    </row>
    <row r="138" spans="1:9" hidden="1" x14ac:dyDescent="0.25">
      <c r="A138" s="689"/>
      <c r="B138" s="1094"/>
      <c r="C138" s="1094"/>
      <c r="D138" s="1094"/>
      <c r="E138" s="1094"/>
      <c r="F138" s="1094"/>
      <c r="G138" s="693" t="str">
        <f>Input!$D$2</f>
        <v>(₹ in Lakh)</v>
      </c>
    </row>
    <row r="139" spans="1:9" hidden="1" x14ac:dyDescent="0.25">
      <c r="A139" s="1910" t="s">
        <v>0</v>
      </c>
      <c r="B139" s="1911"/>
      <c r="C139" s="1911"/>
      <c r="D139" s="1911"/>
      <c r="E139" s="1911"/>
      <c r="F139" s="668" t="str">
        <f>F96</f>
        <v>2025-26</v>
      </c>
      <c r="G139" s="700" t="str">
        <f>G96</f>
        <v>2024-25</v>
      </c>
    </row>
    <row r="140" spans="1:9" hidden="1" x14ac:dyDescent="0.25">
      <c r="A140" s="694" t="s">
        <v>561</v>
      </c>
      <c r="B140" s="695"/>
      <c r="C140" s="695"/>
      <c r="D140" s="695"/>
      <c r="E140" s="695"/>
      <c r="F140" s="701">
        <v>134148</v>
      </c>
      <c r="G140" s="784">
        <f>E28</f>
        <v>156</v>
      </c>
    </row>
    <row r="141" spans="1:9" ht="30" hidden="1" customHeight="1" thickBot="1" x14ac:dyDescent="0.3">
      <c r="A141" s="1897" t="s">
        <v>1184</v>
      </c>
      <c r="B141" s="1898"/>
      <c r="C141" s="1898"/>
      <c r="D141" s="1898"/>
      <c r="E141" s="1898"/>
      <c r="F141" s="1898"/>
      <c r="G141" s="1899"/>
    </row>
    <row r="148" spans="1:8" x14ac:dyDescent="0.25">
      <c r="A148" s="677" t="s">
        <v>309</v>
      </c>
      <c r="B148" s="678" t="s">
        <v>310</v>
      </c>
      <c r="C148" s="678" t="s">
        <v>311</v>
      </c>
      <c r="D148" s="1869" t="s">
        <v>312</v>
      </c>
      <c r="E148" s="1869"/>
      <c r="F148" s="1869" t="s">
        <v>313</v>
      </c>
      <c r="G148" s="1870"/>
    </row>
    <row r="149" spans="1:8" x14ac:dyDescent="0.25">
      <c r="A149" s="679"/>
      <c r="B149" s="678"/>
      <c r="C149" s="678"/>
      <c r="D149" s="1224" t="s">
        <v>1172</v>
      </c>
      <c r="E149" s="1224" t="s">
        <v>711</v>
      </c>
      <c r="F149" s="1224" t="s">
        <v>1172</v>
      </c>
      <c r="G149" s="1224" t="s">
        <v>711</v>
      </c>
    </row>
    <row r="150" spans="1:8" ht="30" x14ac:dyDescent="0.25">
      <c r="A150" s="1122">
        <v>1</v>
      </c>
      <c r="B150" s="680" t="s">
        <v>157</v>
      </c>
      <c r="C150" s="1123" t="s">
        <v>466</v>
      </c>
      <c r="D150" s="703">
        <v>0</v>
      </c>
      <c r="E150" s="703">
        <v>0</v>
      </c>
      <c r="F150" s="703"/>
      <c r="G150" s="704">
        <v>0</v>
      </c>
    </row>
    <row r="151" spans="1:8" ht="30" x14ac:dyDescent="0.25">
      <c r="A151" s="1122">
        <v>2</v>
      </c>
      <c r="B151" s="680" t="s">
        <v>157</v>
      </c>
      <c r="C151" s="1123" t="s">
        <v>957</v>
      </c>
      <c r="D151" s="703">
        <v>999985980</v>
      </c>
      <c r="E151" s="703">
        <v>999987669</v>
      </c>
      <c r="F151" s="703">
        <f>E151+D151</f>
        <v>1999973649</v>
      </c>
      <c r="G151" s="703">
        <v>999987669</v>
      </c>
    </row>
    <row r="152" spans="1:8" x14ac:dyDescent="0.25">
      <c r="A152" s="1122">
        <v>3</v>
      </c>
      <c r="B152" s="680" t="s">
        <v>157</v>
      </c>
      <c r="C152" s="680" t="s">
        <v>467</v>
      </c>
      <c r="D152" s="703"/>
      <c r="E152" s="703">
        <v>2459273.3600000003</v>
      </c>
      <c r="F152" s="703"/>
      <c r="G152" s="704">
        <v>2459273.3600000003</v>
      </c>
    </row>
    <row r="153" spans="1:8" x14ac:dyDescent="0.25">
      <c r="A153" s="1122">
        <f>A152+1</f>
        <v>4</v>
      </c>
      <c r="B153" s="680" t="s">
        <v>157</v>
      </c>
      <c r="C153" s="680" t="s">
        <v>468</v>
      </c>
      <c r="D153" s="703">
        <f>1127039286+22713</f>
        <v>1127061999</v>
      </c>
      <c r="E153" s="703">
        <v>563315081.58000004</v>
      </c>
      <c r="F153" s="703">
        <v>251641412.25</v>
      </c>
      <c r="G153" s="704">
        <v>533315082</v>
      </c>
    </row>
    <row r="154" spans="1:8" x14ac:dyDescent="0.25">
      <c r="A154" s="1122">
        <f>A153+1</f>
        <v>5</v>
      </c>
      <c r="B154" s="680" t="s">
        <v>157</v>
      </c>
      <c r="C154" s="680" t="s">
        <v>469</v>
      </c>
      <c r="D154" s="703">
        <v>733728968</v>
      </c>
      <c r="E154" s="703">
        <v>148230550</v>
      </c>
      <c r="F154" s="703"/>
      <c r="G154" s="704">
        <v>0</v>
      </c>
      <c r="H154" s="1055"/>
    </row>
    <row r="155" spans="1:8" x14ac:dyDescent="0.25">
      <c r="A155" s="1122">
        <f>A154+1</f>
        <v>6</v>
      </c>
      <c r="B155" s="680" t="s">
        <v>157</v>
      </c>
      <c r="C155" s="680" t="s">
        <v>470</v>
      </c>
      <c r="D155" s="703">
        <v>15642067</v>
      </c>
      <c r="E155" s="703">
        <v>11686976.977777777</v>
      </c>
      <c r="F155" s="703">
        <v>14326931</v>
      </c>
      <c r="G155" s="704">
        <v>10518279.279999999</v>
      </c>
    </row>
    <row r="156" spans="1:8" x14ac:dyDescent="0.25">
      <c r="A156" s="1122">
        <f t="shared" ref="A156:A161" si="1">A155+1</f>
        <v>7</v>
      </c>
      <c r="B156" s="680" t="s">
        <v>157</v>
      </c>
      <c r="C156" s="680" t="s">
        <v>941</v>
      </c>
      <c r="D156" s="703">
        <v>20353560.139999997</v>
      </c>
      <c r="E156" s="703">
        <v>8063365.620000001</v>
      </c>
      <c r="F156" s="703">
        <v>4876037.47</v>
      </c>
      <c r="G156" s="704">
        <v>8063365.620000001</v>
      </c>
    </row>
    <row r="157" spans="1:8" x14ac:dyDescent="0.25">
      <c r="A157" s="1122">
        <f t="shared" si="1"/>
        <v>8</v>
      </c>
      <c r="B157" s="680" t="s">
        <v>157</v>
      </c>
      <c r="C157" s="680" t="s">
        <v>1362</v>
      </c>
      <c r="D157" s="703">
        <v>82907903.440000042</v>
      </c>
      <c r="E157" s="703">
        <v>0</v>
      </c>
      <c r="F157" s="703">
        <v>44331972</v>
      </c>
      <c r="G157" s="704">
        <v>0</v>
      </c>
    </row>
    <row r="158" spans="1:8" x14ac:dyDescent="0.25">
      <c r="A158" s="1122">
        <f t="shared" si="1"/>
        <v>9</v>
      </c>
      <c r="B158" s="680" t="s">
        <v>157</v>
      </c>
      <c r="C158" s="680" t="s">
        <v>1363</v>
      </c>
      <c r="D158" s="703">
        <v>685524980</v>
      </c>
      <c r="E158" s="703"/>
      <c r="F158" s="703">
        <v>0</v>
      </c>
      <c r="G158" s="704"/>
    </row>
    <row r="159" spans="1:8" x14ac:dyDescent="0.25">
      <c r="A159" s="1122">
        <f t="shared" si="1"/>
        <v>10</v>
      </c>
      <c r="B159" s="680" t="s">
        <v>157</v>
      </c>
      <c r="C159" s="680" t="s">
        <v>1365</v>
      </c>
      <c r="D159" s="703">
        <v>0</v>
      </c>
      <c r="E159" s="703">
        <v>13956359</v>
      </c>
      <c r="F159" s="703">
        <v>0</v>
      </c>
      <c r="G159" s="704">
        <v>13956359</v>
      </c>
    </row>
    <row r="160" spans="1:8" x14ac:dyDescent="0.25">
      <c r="A160" s="1122">
        <f t="shared" si="1"/>
        <v>11</v>
      </c>
      <c r="B160" s="680" t="s">
        <v>157</v>
      </c>
      <c r="C160" s="680" t="s">
        <v>1366</v>
      </c>
      <c r="D160" s="703">
        <v>18000000</v>
      </c>
      <c r="E160" s="703">
        <v>0</v>
      </c>
      <c r="F160" s="703">
        <v>0</v>
      </c>
      <c r="G160" s="704">
        <v>0</v>
      </c>
    </row>
    <row r="161" spans="1:7" x14ac:dyDescent="0.25">
      <c r="A161" s="1122">
        <f t="shared" si="1"/>
        <v>12</v>
      </c>
      <c r="B161" s="680" t="s">
        <v>947</v>
      </c>
      <c r="C161" s="680" t="s">
        <v>948</v>
      </c>
      <c r="D161" s="703">
        <v>0</v>
      </c>
      <c r="E161" s="703">
        <v>328516708.19999999</v>
      </c>
      <c r="F161" s="703"/>
      <c r="G161" s="704">
        <v>281522108.19999999</v>
      </c>
    </row>
    <row r="162" spans="1:7" x14ac:dyDescent="0.25">
      <c r="A162" s="1122">
        <f t="shared" ref="A162:A167" si="2">A161+1</f>
        <v>13</v>
      </c>
      <c r="B162" s="680" t="s">
        <v>947</v>
      </c>
      <c r="C162" s="680" t="s">
        <v>949</v>
      </c>
      <c r="D162" s="703">
        <v>292929077.89999998</v>
      </c>
      <c r="E162" s="703">
        <v>46994600</v>
      </c>
      <c r="F162" s="703"/>
      <c r="G162" s="704">
        <v>46994600</v>
      </c>
    </row>
    <row r="163" spans="1:7" x14ac:dyDescent="0.25">
      <c r="A163" s="1122">
        <f t="shared" si="2"/>
        <v>14</v>
      </c>
      <c r="B163" s="680" t="s">
        <v>947</v>
      </c>
      <c r="C163" s="680" t="s">
        <v>950</v>
      </c>
      <c r="D163" s="703">
        <v>5294714</v>
      </c>
      <c r="E163" s="703">
        <v>12674415.791904373</v>
      </c>
      <c r="F163" s="703"/>
      <c r="G163" s="704">
        <v>11406974.212713936</v>
      </c>
    </row>
    <row r="164" spans="1:7" x14ac:dyDescent="0.25">
      <c r="A164" s="1122">
        <f t="shared" si="2"/>
        <v>15</v>
      </c>
      <c r="B164" s="680" t="s">
        <v>947</v>
      </c>
      <c r="C164" s="680" t="s">
        <v>467</v>
      </c>
      <c r="D164" s="703">
        <v>5800979.0999999996</v>
      </c>
      <c r="E164" s="703">
        <v>5400</v>
      </c>
      <c r="F164" s="703"/>
      <c r="G164" s="704">
        <v>5400</v>
      </c>
    </row>
    <row r="165" spans="1:7" x14ac:dyDescent="0.25">
      <c r="A165" s="1122">
        <f t="shared" si="2"/>
        <v>16</v>
      </c>
      <c r="B165" s="680" t="s">
        <v>947</v>
      </c>
      <c r="C165" s="680" t="s">
        <v>951</v>
      </c>
      <c r="D165" s="703"/>
      <c r="E165" s="703">
        <v>159200000</v>
      </c>
      <c r="F165" s="703"/>
      <c r="G165" s="704">
        <v>159200000</v>
      </c>
    </row>
    <row r="166" spans="1:7" x14ac:dyDescent="0.25">
      <c r="A166" s="1122">
        <f t="shared" si="2"/>
        <v>17</v>
      </c>
      <c r="B166" s="680" t="s">
        <v>947</v>
      </c>
      <c r="C166" s="680" t="s">
        <v>952</v>
      </c>
      <c r="D166" s="703"/>
      <c r="E166" s="703">
        <v>217778890</v>
      </c>
      <c r="F166" s="703"/>
      <c r="G166" s="704">
        <v>217778890</v>
      </c>
    </row>
    <row r="167" spans="1:7" x14ac:dyDescent="0.25">
      <c r="A167" s="1122">
        <f t="shared" si="2"/>
        <v>18</v>
      </c>
      <c r="B167" s="680" t="s">
        <v>157</v>
      </c>
      <c r="C167" s="680" t="s">
        <v>1361</v>
      </c>
      <c r="D167" s="703">
        <v>1000000000</v>
      </c>
      <c r="E167" s="703">
        <v>2000000000</v>
      </c>
      <c r="F167" s="703">
        <f>D167+E167</f>
        <v>3000000000</v>
      </c>
      <c r="G167" s="704">
        <f>E167</f>
        <v>2000000000</v>
      </c>
    </row>
  </sheetData>
  <mergeCells count="50">
    <mergeCell ref="A141:G141"/>
    <mergeCell ref="A93:G93"/>
    <mergeCell ref="A96:E96"/>
    <mergeCell ref="A136:B136"/>
    <mergeCell ref="A137:G137"/>
    <mergeCell ref="A139:E139"/>
    <mergeCell ref="A102:C102"/>
    <mergeCell ref="A114:C114"/>
    <mergeCell ref="A120:C120"/>
    <mergeCell ref="A124:C124"/>
    <mergeCell ref="A130:C130"/>
    <mergeCell ref="A99:G99"/>
    <mergeCell ref="A100:G100"/>
    <mergeCell ref="C19:E19"/>
    <mergeCell ref="A133:G133"/>
    <mergeCell ref="A101:G101"/>
    <mergeCell ref="A92:G92"/>
    <mergeCell ref="C14:E14"/>
    <mergeCell ref="A70:C71"/>
    <mergeCell ref="A58:G58"/>
    <mergeCell ref="F22:G22"/>
    <mergeCell ref="B44:G44"/>
    <mergeCell ref="A91:G91"/>
    <mergeCell ref="A62:G62"/>
    <mergeCell ref="F70:G70"/>
    <mergeCell ref="B47:G47"/>
    <mergeCell ref="A63:C64"/>
    <mergeCell ref="A84:C84"/>
    <mergeCell ref="F63:G63"/>
    <mergeCell ref="B7:E7"/>
    <mergeCell ref="C8:E8"/>
    <mergeCell ref="B12:E12"/>
    <mergeCell ref="C13:E13"/>
    <mergeCell ref="C15:E15"/>
    <mergeCell ref="D148:E148"/>
    <mergeCell ref="F148:G148"/>
    <mergeCell ref="B9:E9"/>
    <mergeCell ref="D22:E22"/>
    <mergeCell ref="C10:E10"/>
    <mergeCell ref="C11:E11"/>
    <mergeCell ref="A51:G51"/>
    <mergeCell ref="A52:G52"/>
    <mergeCell ref="A53:G53"/>
    <mergeCell ref="A54:G54"/>
    <mergeCell ref="A55:G55"/>
    <mergeCell ref="A56:G56"/>
    <mergeCell ref="A57:G57"/>
    <mergeCell ref="C16:E16"/>
    <mergeCell ref="C17:E17"/>
    <mergeCell ref="B18:E18"/>
  </mergeCells>
  <pageMargins left="0.70866141732283472" right="0.70866141732283472" top="0.74803149606299213" bottom="0.74803149606299213" header="0.31496062992125984" footer="0.31496062992125984"/>
  <pageSetup paperSize="9" scale="54" orientation="portrait" r:id="rId1"/>
  <headerFooter>
    <oddHeader>&amp;C&amp;G</oddHeader>
  </headerFooter>
  <rowBreaks count="2" manualBreakCount="2">
    <brk id="59" max="6" man="1"/>
    <brk id="130" max="6" man="1"/>
  </rowBreaks>
  <ignoredErrors>
    <ignoredError sqref="D37"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72FD-3A44-4074-ADC0-6133FE92D990}">
  <dimension ref="A1:F19"/>
  <sheetViews>
    <sheetView workbookViewId="0">
      <selection activeCell="F8" sqref="F8"/>
    </sheetView>
  </sheetViews>
  <sheetFormatPr defaultRowHeight="15" x14ac:dyDescent="0.25"/>
  <cols>
    <col min="1" max="1" width="10.5703125" bestFit="1" customWidth="1"/>
    <col min="2" max="2" width="23.5703125" bestFit="1" customWidth="1"/>
    <col min="3" max="3" width="13.140625" bestFit="1" customWidth="1"/>
    <col min="4" max="4" width="14" bestFit="1" customWidth="1"/>
    <col min="5" max="5" width="4.28515625" bestFit="1" customWidth="1"/>
    <col min="6" max="6" width="9.7109375" bestFit="1" customWidth="1"/>
  </cols>
  <sheetData>
    <row r="1" spans="1:6" x14ac:dyDescent="0.25">
      <c r="A1" s="199"/>
      <c r="B1" s="199"/>
      <c r="C1" s="199"/>
      <c r="D1" s="1440"/>
      <c r="E1" s="199"/>
      <c r="F1" s="199"/>
    </row>
    <row r="2" spans="1:6" x14ac:dyDescent="0.25">
      <c r="A2" s="199"/>
      <c r="B2" s="199"/>
      <c r="C2" s="199" t="s">
        <v>1562</v>
      </c>
      <c r="D2" s="1440" t="s">
        <v>691</v>
      </c>
      <c r="E2" s="199"/>
      <c r="F2" s="199"/>
    </row>
    <row r="3" spans="1:6" x14ac:dyDescent="0.25">
      <c r="A3" s="199" t="s">
        <v>1563</v>
      </c>
      <c r="B3" s="199" t="s">
        <v>1564</v>
      </c>
      <c r="C3" s="199"/>
      <c r="D3" s="1440"/>
      <c r="E3" s="199"/>
      <c r="F3" s="199"/>
    </row>
    <row r="4" spans="1:6" x14ac:dyDescent="0.25">
      <c r="A4" s="1441" t="s">
        <v>1565</v>
      </c>
      <c r="B4" s="1442">
        <v>74572275</v>
      </c>
      <c r="C4" s="1440">
        <v>-4907250</v>
      </c>
      <c r="D4" s="1440">
        <v>69665025</v>
      </c>
      <c r="E4" s="1443">
        <v>2.9722539910518576E-2</v>
      </c>
      <c r="F4" s="199"/>
    </row>
    <row r="5" spans="1:6" x14ac:dyDescent="0.25">
      <c r="A5" s="1441" t="s">
        <v>1566</v>
      </c>
      <c r="B5" s="1442">
        <v>1302116978.5300002</v>
      </c>
      <c r="C5" s="1440">
        <v>0</v>
      </c>
      <c r="D5" s="1440">
        <v>1302116978.5300002</v>
      </c>
      <c r="E5" s="1443">
        <v>0.5555474050647623</v>
      </c>
      <c r="F5" s="1639">
        <f>D5/100000</f>
        <v>13021.169785300002</v>
      </c>
    </row>
    <row r="6" spans="1:6" x14ac:dyDescent="0.25">
      <c r="A6" s="1441" t="s">
        <v>1567</v>
      </c>
      <c r="B6" s="1442">
        <v>23724080.140000004</v>
      </c>
      <c r="C6" s="1440">
        <v>-7167241.1399999997</v>
      </c>
      <c r="D6" s="1440">
        <v>16556839.000000004</v>
      </c>
      <c r="E6" s="1443">
        <v>7.06396513845406E-3</v>
      </c>
      <c r="F6" s="199"/>
    </row>
    <row r="7" spans="1:6" x14ac:dyDescent="0.25">
      <c r="A7" s="1441" t="s">
        <v>1568</v>
      </c>
      <c r="B7" s="1442">
        <v>356527685.73999977</v>
      </c>
      <c r="C7" s="1636">
        <v>-79106048.969999999</v>
      </c>
      <c r="D7" s="1636">
        <v>277421636.76999974</v>
      </c>
      <c r="E7" s="1637">
        <v>0.11836177006952492</v>
      </c>
      <c r="F7" s="1638" t="s">
        <v>1724</v>
      </c>
    </row>
    <row r="8" spans="1:6" x14ac:dyDescent="0.25">
      <c r="A8" s="1441" t="s">
        <v>1569</v>
      </c>
      <c r="B8" s="1442">
        <v>28317384.179999996</v>
      </c>
      <c r="C8" s="1440">
        <v>-16292485.729999999</v>
      </c>
      <c r="D8" s="1440">
        <v>12024898.449999997</v>
      </c>
      <c r="E8" s="1443">
        <v>5.1304155004617867E-3</v>
      </c>
      <c r="F8" s="199"/>
    </row>
    <row r="9" spans="1:6" x14ac:dyDescent="0.25">
      <c r="A9" s="1441" t="s">
        <v>1570</v>
      </c>
      <c r="B9" s="1442">
        <v>50551997.700000003</v>
      </c>
      <c r="C9" s="1440">
        <v>-13858463.300000001</v>
      </c>
      <c r="D9" s="1440">
        <v>36693534.400000006</v>
      </c>
      <c r="E9" s="1443">
        <v>1.5655273800045093E-2</v>
      </c>
      <c r="F9" s="199"/>
    </row>
    <row r="10" spans="1:6" x14ac:dyDescent="0.25">
      <c r="A10" s="1441" t="s">
        <v>1571</v>
      </c>
      <c r="B10" s="1442">
        <v>5310754.8</v>
      </c>
      <c r="C10" s="1440">
        <v>-4946920.8</v>
      </c>
      <c r="D10" s="1440">
        <v>363834</v>
      </c>
      <c r="E10" s="1443">
        <v>1.5522955149737785E-4</v>
      </c>
      <c r="F10" s="199"/>
    </row>
    <row r="11" spans="1:6" x14ac:dyDescent="0.25">
      <c r="A11" s="1441" t="s">
        <v>1572</v>
      </c>
      <c r="B11" s="1442">
        <v>20631323.300000001</v>
      </c>
      <c r="C11" s="1440">
        <v>-937052.6</v>
      </c>
      <c r="D11" s="1440">
        <v>19694270.699999999</v>
      </c>
      <c r="E11" s="1443">
        <v>8.4025484364543979E-3</v>
      </c>
      <c r="F11" s="199"/>
    </row>
    <row r="12" spans="1:6" x14ac:dyDescent="0.25">
      <c r="A12" s="1441" t="s">
        <v>1573</v>
      </c>
      <c r="B12" s="1442">
        <v>39432236.300000004</v>
      </c>
      <c r="C12" s="1440">
        <v>-11992865.5</v>
      </c>
      <c r="D12" s="1440">
        <v>27439370.800000004</v>
      </c>
      <c r="E12" s="1443">
        <v>1.1706990612901067E-2</v>
      </c>
      <c r="F12" s="199"/>
    </row>
    <row r="13" spans="1:6" x14ac:dyDescent="0.25">
      <c r="A13" s="1441" t="s">
        <v>406</v>
      </c>
      <c r="B13" s="1442">
        <v>498520766.34999985</v>
      </c>
      <c r="C13" s="1440">
        <v>-87106341.649999991</v>
      </c>
      <c r="D13" s="1440">
        <v>411414424.69999987</v>
      </c>
      <c r="E13" s="1443">
        <v>0.1755297103232043</v>
      </c>
      <c r="F13" s="1638" t="s">
        <v>1724</v>
      </c>
    </row>
    <row r="14" spans="1:6" x14ac:dyDescent="0.25">
      <c r="A14" s="1441" t="s">
        <v>1574</v>
      </c>
      <c r="B14" s="1442">
        <v>530376</v>
      </c>
      <c r="C14" s="1440">
        <v>-530376</v>
      </c>
      <c r="D14" s="1440">
        <v>0</v>
      </c>
      <c r="E14" s="1443">
        <v>0</v>
      </c>
      <c r="F14" s="199"/>
    </row>
    <row r="15" spans="1:6" x14ac:dyDescent="0.25">
      <c r="A15" s="1441" t="s">
        <v>1575</v>
      </c>
      <c r="B15" s="1442">
        <v>18717058.010000002</v>
      </c>
      <c r="C15" s="1440">
        <v>0</v>
      </c>
      <c r="D15" s="1440">
        <v>18717058.010000002</v>
      </c>
      <c r="E15" s="1443">
        <v>7.9856212455204946E-3</v>
      </c>
      <c r="F15" s="199"/>
    </row>
    <row r="16" spans="1:6" x14ac:dyDescent="0.25">
      <c r="A16" s="1441" t="s">
        <v>1576</v>
      </c>
      <c r="B16" s="1442">
        <v>5807300</v>
      </c>
      <c r="C16" s="1440">
        <v>0</v>
      </c>
      <c r="D16" s="1440">
        <v>5807300</v>
      </c>
      <c r="E16" s="1443">
        <v>2.4776809600277117E-3</v>
      </c>
      <c r="F16" s="199"/>
    </row>
    <row r="17" spans="1:6" x14ac:dyDescent="0.25">
      <c r="A17" s="1441" t="s">
        <v>1577</v>
      </c>
      <c r="B17" s="1442">
        <v>44167085.239999995</v>
      </c>
      <c r="C17" s="1440">
        <v>-9258068.3000000007</v>
      </c>
      <c r="D17" s="1440">
        <v>34909016.939999998</v>
      </c>
      <c r="E17" s="1443">
        <v>1.4893910527357437E-2</v>
      </c>
      <c r="F17" s="199"/>
    </row>
    <row r="18" spans="1:6" x14ac:dyDescent="0.25">
      <c r="A18" s="1441" t="s">
        <v>1578</v>
      </c>
      <c r="B18" s="1442">
        <v>140300771.72999996</v>
      </c>
      <c r="C18" s="1440">
        <v>-29280011.400000002</v>
      </c>
      <c r="D18" s="1440">
        <v>111020760.32999995</v>
      </c>
      <c r="E18" s="1443">
        <v>4.7366938859270361E-2</v>
      </c>
      <c r="F18" s="199"/>
    </row>
    <row r="19" spans="1:6" x14ac:dyDescent="0.25">
      <c r="A19" s="1441" t="s">
        <v>1210</v>
      </c>
      <c r="B19" s="1442">
        <v>2609228073.02</v>
      </c>
      <c r="C19" s="1442">
        <v>-265383125.39000002</v>
      </c>
      <c r="D19" s="1442">
        <v>2343844947.6300001</v>
      </c>
      <c r="E19" s="199"/>
      <c r="F19" s="19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AC5A-FE26-4EF3-8896-33BAC858FCD9}">
  <sheetPr codeName="Sheet11"/>
  <dimension ref="A1:J172"/>
  <sheetViews>
    <sheetView showGridLines="0" view="pageBreakPreview" topLeftCell="A119" zoomScaleNormal="100" zoomScaleSheetLayoutView="100" workbookViewId="0">
      <selection activeCell="A103" sqref="A103:XFD103"/>
    </sheetView>
  </sheetViews>
  <sheetFormatPr defaultColWidth="8.7109375" defaultRowHeight="15" x14ac:dyDescent="0.25"/>
  <cols>
    <col min="1" max="1" width="34.85546875" style="501" customWidth="1"/>
    <col min="2" max="2" width="10.5703125" style="501" customWidth="1"/>
    <col min="3" max="3" width="10.42578125" style="501" customWidth="1"/>
    <col min="4" max="4" width="15.85546875" style="501" customWidth="1"/>
    <col min="5" max="5" width="12.7109375" style="501" customWidth="1"/>
    <col min="6" max="6" width="14.5703125" style="501" customWidth="1"/>
    <col min="7" max="7" width="14" style="501" customWidth="1"/>
    <col min="8" max="8" width="15.5703125" style="501" customWidth="1"/>
    <col min="9" max="9" width="13" style="501" customWidth="1"/>
    <col min="10" max="10" width="9.5703125" style="501" bestFit="1" customWidth="1"/>
    <col min="11" max="12" width="8.7109375" style="501"/>
    <col min="13" max="14" width="10" style="501" bestFit="1" customWidth="1"/>
    <col min="15" max="16384" width="8.7109375" style="501"/>
  </cols>
  <sheetData>
    <row r="1" spans="1:9" x14ac:dyDescent="0.25">
      <c r="A1" s="669" t="str">
        <f>PL!$A$1</f>
        <v>BVC Specialities Private Limited</v>
      </c>
      <c r="B1" s="670"/>
      <c r="C1" s="670"/>
      <c r="D1" s="670"/>
      <c r="E1" s="670"/>
      <c r="F1" s="670"/>
      <c r="G1" s="670"/>
      <c r="H1" s="670"/>
      <c r="I1" s="671"/>
    </row>
    <row r="2" spans="1:9" x14ac:dyDescent="0.25">
      <c r="A2" s="672" t="str">
        <f>'BS  Notes  3-18'!$A$2</f>
        <v>Notes to Financial Statements for the year ended 31 March 2026</v>
      </c>
      <c r="B2" s="1120"/>
      <c r="C2" s="1120"/>
      <c r="D2" s="1120"/>
      <c r="E2" s="1120"/>
      <c r="F2" s="1120"/>
      <c r="G2" s="1120"/>
      <c r="H2" s="1120"/>
      <c r="I2" s="673" t="str">
        <f>Input!$D$2</f>
        <v>(₹ in Lakh)</v>
      </c>
    </row>
    <row r="3" spans="1:9" x14ac:dyDescent="0.25">
      <c r="A3" s="350"/>
      <c r="I3" s="674"/>
    </row>
    <row r="4" spans="1:9" x14ac:dyDescent="0.25">
      <c r="A4" s="17" t="s">
        <v>1061</v>
      </c>
      <c r="I4" s="674"/>
    </row>
    <row r="5" spans="1:9" x14ac:dyDescent="0.25">
      <c r="A5" s="17" t="s">
        <v>317</v>
      </c>
      <c r="I5" s="674"/>
    </row>
    <row r="6" spans="1:9" x14ac:dyDescent="0.25">
      <c r="A6" s="350"/>
      <c r="I6" s="674"/>
    </row>
    <row r="7" spans="1:9" x14ac:dyDescent="0.25">
      <c r="A7" s="17" t="s">
        <v>318</v>
      </c>
      <c r="I7" s="674"/>
    </row>
    <row r="8" spans="1:9" x14ac:dyDescent="0.25">
      <c r="A8" s="1921" t="s">
        <v>1556</v>
      </c>
      <c r="B8" s="1872" t="s">
        <v>319</v>
      </c>
      <c r="C8" s="1872"/>
      <c r="D8" s="1872"/>
      <c r="E8" s="1872"/>
      <c r="F8" s="1872" t="s">
        <v>320</v>
      </c>
      <c r="G8" s="1872"/>
      <c r="H8" s="1872"/>
      <c r="I8" s="1889"/>
    </row>
    <row r="9" spans="1:9" ht="60" x14ac:dyDescent="0.25">
      <c r="A9" s="1922"/>
      <c r="B9" s="684" t="s">
        <v>321</v>
      </c>
      <c r="C9" s="684" t="s">
        <v>322</v>
      </c>
      <c r="D9" s="684" t="s">
        <v>323</v>
      </c>
      <c r="E9" s="684" t="s">
        <v>67</v>
      </c>
      <c r="F9" s="731" t="s">
        <v>324</v>
      </c>
      <c r="G9" s="731" t="s">
        <v>933</v>
      </c>
      <c r="H9" s="731" t="s">
        <v>934</v>
      </c>
      <c r="I9" s="685" t="s">
        <v>67</v>
      </c>
    </row>
    <row r="10" spans="1:9" x14ac:dyDescent="0.25">
      <c r="A10" s="17" t="s">
        <v>326</v>
      </c>
      <c r="B10" s="732"/>
      <c r="C10" s="732"/>
      <c r="D10" s="732"/>
      <c r="E10" s="732"/>
      <c r="F10" s="732"/>
      <c r="G10" s="732"/>
      <c r="H10" s="732"/>
      <c r="I10" s="733"/>
    </row>
    <row r="11" spans="1:9" x14ac:dyDescent="0.25">
      <c r="A11" s="18" t="s">
        <v>80</v>
      </c>
      <c r="B11" s="734">
        <v>0</v>
      </c>
      <c r="C11" s="734">
        <v>0</v>
      </c>
      <c r="D11" s="734">
        <f>BS!$D$24</f>
        <v>3026</v>
      </c>
      <c r="E11" s="734">
        <f t="shared" ref="E11:E13" si="0">SUM(B11:D11)</f>
        <v>3026</v>
      </c>
      <c r="F11" s="732">
        <v>0</v>
      </c>
      <c r="G11" s="732">
        <v>0</v>
      </c>
      <c r="H11" s="732">
        <v>0</v>
      </c>
      <c r="I11" s="733">
        <f t="shared" ref="I11:I14" si="1">SUM(F11:H11)</f>
        <v>0</v>
      </c>
    </row>
    <row r="12" spans="1:9" x14ac:dyDescent="0.25">
      <c r="A12" s="18" t="s">
        <v>1705</v>
      </c>
      <c r="B12" s="734">
        <f>'BS  Notes  3-18'!G11</f>
        <v>17</v>
      </c>
      <c r="C12" s="734">
        <v>0</v>
      </c>
      <c r="D12" s="734">
        <v>0</v>
      </c>
      <c r="E12" s="734">
        <f t="shared" si="0"/>
        <v>17</v>
      </c>
      <c r="F12" s="732">
        <v>0</v>
      </c>
      <c r="G12" s="1604">
        <f>B12</f>
        <v>17</v>
      </c>
      <c r="H12" s="732">
        <v>0</v>
      </c>
      <c r="I12" s="1605">
        <f t="shared" si="1"/>
        <v>17</v>
      </c>
    </row>
    <row r="13" spans="1:9" x14ac:dyDescent="0.25">
      <c r="A13" s="18" t="s">
        <v>222</v>
      </c>
      <c r="B13" s="734"/>
      <c r="C13" s="734"/>
      <c r="D13" s="734">
        <f>BS!D15</f>
        <v>307</v>
      </c>
      <c r="E13" s="734">
        <f t="shared" si="0"/>
        <v>307</v>
      </c>
      <c r="F13" s="732">
        <v>0</v>
      </c>
      <c r="G13" s="732">
        <v>0</v>
      </c>
      <c r="H13" s="732">
        <v>0</v>
      </c>
      <c r="I13" s="733">
        <v>0</v>
      </c>
    </row>
    <row r="14" spans="1:9" x14ac:dyDescent="0.25">
      <c r="A14" s="350" t="s">
        <v>327</v>
      </c>
      <c r="B14" s="734">
        <v>0</v>
      </c>
      <c r="C14" s="734">
        <v>0</v>
      </c>
      <c r="D14" s="734">
        <f>BS!$D$25</f>
        <v>31</v>
      </c>
      <c r="E14" s="734">
        <f t="shared" ref="E14:E15" si="2">SUM(B14:D14)</f>
        <v>31</v>
      </c>
      <c r="F14" s="732">
        <v>0</v>
      </c>
      <c r="G14" s="732">
        <v>0</v>
      </c>
      <c r="H14" s="732">
        <v>0</v>
      </c>
      <c r="I14" s="733">
        <f t="shared" si="1"/>
        <v>0</v>
      </c>
    </row>
    <row r="15" spans="1:9" x14ac:dyDescent="0.25">
      <c r="A15" s="350" t="s">
        <v>889</v>
      </c>
      <c r="B15" s="734">
        <v>0</v>
      </c>
      <c r="C15" s="734">
        <v>0</v>
      </c>
      <c r="D15" s="734">
        <f>BS!$D$28</f>
        <v>54</v>
      </c>
      <c r="E15" s="734">
        <f t="shared" si="2"/>
        <v>54</v>
      </c>
      <c r="F15" s="732">
        <v>0</v>
      </c>
      <c r="G15" s="732">
        <v>0</v>
      </c>
      <c r="H15" s="732">
        <v>0</v>
      </c>
      <c r="I15" s="733">
        <v>0</v>
      </c>
    </row>
    <row r="16" spans="1:9" x14ac:dyDescent="0.25">
      <c r="A16" s="735" t="s">
        <v>67</v>
      </c>
      <c r="B16" s="736">
        <f t="shared" ref="B16" si="3">SUM(B10:B14)</f>
        <v>17</v>
      </c>
      <c r="C16" s="736">
        <f>SUM(C10:C15)</f>
        <v>0</v>
      </c>
      <c r="D16" s="736">
        <f>SUM(D11:D15)</f>
        <v>3418</v>
      </c>
      <c r="E16" s="736">
        <f>SUM(E10:E15)</f>
        <v>3435</v>
      </c>
      <c r="F16" s="737">
        <f>SUM(F10:F15)</f>
        <v>0</v>
      </c>
      <c r="G16" s="1606">
        <f>SUM(G10:G15)</f>
        <v>17</v>
      </c>
      <c r="H16" s="1606">
        <f>SUM(H10:H15)</f>
        <v>0</v>
      </c>
      <c r="I16" s="1607">
        <f t="shared" ref="I16" si="4">SUM(I10:I14)</f>
        <v>17</v>
      </c>
    </row>
    <row r="17" spans="1:9" x14ac:dyDescent="0.25">
      <c r="A17" s="350"/>
      <c r="B17" s="734"/>
      <c r="C17" s="734"/>
      <c r="D17" s="734"/>
      <c r="E17" s="734"/>
      <c r="F17" s="732"/>
      <c r="G17" s="732"/>
      <c r="H17" s="732"/>
      <c r="I17" s="733"/>
    </row>
    <row r="18" spans="1:9" x14ac:dyDescent="0.25">
      <c r="A18" s="17" t="s">
        <v>28</v>
      </c>
      <c r="B18" s="734"/>
      <c r="C18" s="734"/>
      <c r="D18" s="734"/>
      <c r="E18" s="734"/>
      <c r="F18" s="732"/>
      <c r="G18" s="732"/>
      <c r="H18" s="732"/>
      <c r="I18" s="733"/>
    </row>
    <row r="19" spans="1:9" x14ac:dyDescent="0.25">
      <c r="A19" s="350" t="s">
        <v>83</v>
      </c>
      <c r="B19" s="734">
        <v>0</v>
      </c>
      <c r="C19" s="734">
        <v>0</v>
      </c>
      <c r="D19" s="734">
        <f>BS!D43+BS!D50</f>
        <v>31442</v>
      </c>
      <c r="E19" s="734">
        <f>SUM(B19:D19)</f>
        <v>31442</v>
      </c>
      <c r="F19" s="732">
        <v>0</v>
      </c>
      <c r="G19" s="732">
        <v>0</v>
      </c>
      <c r="H19" s="732">
        <v>0</v>
      </c>
      <c r="I19" s="733">
        <v>0</v>
      </c>
    </row>
    <row r="20" spans="1:9" x14ac:dyDescent="0.25">
      <c r="A20" s="350" t="s">
        <v>225</v>
      </c>
      <c r="B20" s="734">
        <v>0</v>
      </c>
      <c r="C20" s="734">
        <v>0</v>
      </c>
      <c r="D20" s="734">
        <f>BS!D55</f>
        <v>445</v>
      </c>
      <c r="E20" s="734">
        <f>SUM(B20:D20)</f>
        <v>445</v>
      </c>
      <c r="F20" s="732">
        <v>0</v>
      </c>
      <c r="G20" s="732">
        <v>0</v>
      </c>
      <c r="H20" s="732">
        <v>0</v>
      </c>
      <c r="I20" s="733">
        <v>0</v>
      </c>
    </row>
    <row r="21" spans="1:9" x14ac:dyDescent="0.25">
      <c r="A21" s="350" t="s">
        <v>224</v>
      </c>
      <c r="B21" s="734">
        <v>0</v>
      </c>
      <c r="C21" s="734">
        <v>0</v>
      </c>
      <c r="D21" s="734">
        <f>BS!$D$53+BS!$D$54</f>
        <v>9920</v>
      </c>
      <c r="E21" s="734">
        <f t="shared" ref="E21" si="5">SUM(B21:D21)</f>
        <v>9920</v>
      </c>
      <c r="F21" s="732">
        <v>0</v>
      </c>
      <c r="G21" s="732">
        <v>0</v>
      </c>
      <c r="H21" s="732">
        <v>0</v>
      </c>
      <c r="I21" s="733">
        <v>0</v>
      </c>
    </row>
    <row r="22" spans="1:9" x14ac:dyDescent="0.25">
      <c r="A22" s="735" t="s">
        <v>67</v>
      </c>
      <c r="B22" s="736">
        <f t="shared" ref="B22:I22" si="6">SUM(B17:B21)</f>
        <v>0</v>
      </c>
      <c r="C22" s="736">
        <f t="shared" si="6"/>
        <v>0</v>
      </c>
      <c r="D22" s="736">
        <f t="shared" si="6"/>
        <v>41807</v>
      </c>
      <c r="E22" s="736">
        <f t="shared" si="6"/>
        <v>41807</v>
      </c>
      <c r="F22" s="737">
        <f t="shared" si="6"/>
        <v>0</v>
      </c>
      <c r="G22" s="737">
        <f t="shared" si="6"/>
        <v>0</v>
      </c>
      <c r="H22" s="737">
        <f t="shared" si="6"/>
        <v>0</v>
      </c>
      <c r="I22" s="738">
        <f t="shared" si="6"/>
        <v>0</v>
      </c>
    </row>
    <row r="23" spans="1:9" x14ac:dyDescent="0.25">
      <c r="A23" s="17"/>
      <c r="I23" s="674"/>
    </row>
    <row r="24" spans="1:9" x14ac:dyDescent="0.25">
      <c r="A24" s="1921" t="s">
        <v>1172</v>
      </c>
      <c r="B24" s="1872" t="s">
        <v>319</v>
      </c>
      <c r="C24" s="1872"/>
      <c r="D24" s="1872"/>
      <c r="E24" s="1872"/>
      <c r="F24" s="1872" t="s">
        <v>320</v>
      </c>
      <c r="G24" s="1872"/>
      <c r="H24" s="1872"/>
      <c r="I24" s="1889"/>
    </row>
    <row r="25" spans="1:9" ht="60" x14ac:dyDescent="0.25">
      <c r="A25" s="1922"/>
      <c r="B25" s="684" t="s">
        <v>321</v>
      </c>
      <c r="C25" s="684" t="s">
        <v>322</v>
      </c>
      <c r="D25" s="684" t="s">
        <v>323</v>
      </c>
      <c r="E25" s="684" t="s">
        <v>67</v>
      </c>
      <c r="F25" s="731" t="s">
        <v>324</v>
      </c>
      <c r="G25" s="731" t="s">
        <v>933</v>
      </c>
      <c r="H25" s="731" t="s">
        <v>934</v>
      </c>
      <c r="I25" s="685" t="s">
        <v>67</v>
      </c>
    </row>
    <row r="26" spans="1:9" x14ac:dyDescent="0.25">
      <c r="A26" s="17" t="s">
        <v>326</v>
      </c>
      <c r="B26" s="732"/>
      <c r="C26" s="732"/>
      <c r="D26" s="732"/>
      <c r="E26" s="732"/>
      <c r="F26" s="732"/>
      <c r="G26" s="732"/>
      <c r="H26" s="732"/>
      <c r="I26" s="733"/>
    </row>
    <row r="27" spans="1:9" x14ac:dyDescent="0.25">
      <c r="A27" s="18" t="s">
        <v>80</v>
      </c>
      <c r="B27" s="734">
        <v>0</v>
      </c>
      <c r="C27" s="734">
        <v>0</v>
      </c>
      <c r="D27" s="734">
        <f>BS!$E$24</f>
        <v>454</v>
      </c>
      <c r="E27" s="734">
        <f t="shared" ref="E27:E28" si="7">SUM(B27:D27)</f>
        <v>454</v>
      </c>
      <c r="F27" s="732">
        <v>0</v>
      </c>
      <c r="G27" s="732">
        <v>0</v>
      </c>
      <c r="H27" s="732">
        <v>0</v>
      </c>
      <c r="I27" s="733">
        <f t="shared" ref="I27" si="8">SUM(F27:H27)</f>
        <v>0</v>
      </c>
    </row>
    <row r="28" spans="1:9" x14ac:dyDescent="0.25">
      <c r="A28" s="18" t="s">
        <v>222</v>
      </c>
      <c r="B28" s="734">
        <v>0</v>
      </c>
      <c r="C28" s="734">
        <v>0</v>
      </c>
      <c r="D28" s="734">
        <f>BS!E15</f>
        <v>352</v>
      </c>
      <c r="E28" s="734">
        <f t="shared" si="7"/>
        <v>352</v>
      </c>
      <c r="F28" s="732">
        <v>0</v>
      </c>
      <c r="G28" s="732">
        <v>0</v>
      </c>
      <c r="H28" s="732">
        <v>0</v>
      </c>
      <c r="I28" s="733">
        <v>0</v>
      </c>
    </row>
    <row r="29" spans="1:9" x14ac:dyDescent="0.25">
      <c r="A29" s="350" t="s">
        <v>327</v>
      </c>
      <c r="B29" s="734">
        <v>0</v>
      </c>
      <c r="C29" s="734">
        <v>0</v>
      </c>
      <c r="D29" s="734">
        <f>BS!$E$25</f>
        <v>22</v>
      </c>
      <c r="E29" s="734">
        <f t="shared" ref="E29" si="9">SUM(B29:D29)</f>
        <v>22</v>
      </c>
      <c r="F29" s="732">
        <v>0</v>
      </c>
      <c r="G29" s="732">
        <v>0</v>
      </c>
      <c r="H29" s="732">
        <v>0</v>
      </c>
      <c r="I29" s="733">
        <f t="shared" ref="I29" si="10">SUM(F29:H29)</f>
        <v>0</v>
      </c>
    </row>
    <row r="30" spans="1:9" x14ac:dyDescent="0.25">
      <c r="A30" s="735" t="s">
        <v>67</v>
      </c>
      <c r="B30" s="736">
        <f t="shared" ref="B30:I30" si="11">SUM(B26:B29)</f>
        <v>0</v>
      </c>
      <c r="C30" s="736">
        <f t="shared" si="11"/>
        <v>0</v>
      </c>
      <c r="D30" s="736">
        <f>SUM(D26:D29)</f>
        <v>828</v>
      </c>
      <c r="E30" s="736">
        <f t="shared" si="11"/>
        <v>828</v>
      </c>
      <c r="F30" s="737">
        <f t="shared" si="11"/>
        <v>0</v>
      </c>
      <c r="G30" s="737">
        <f t="shared" si="11"/>
        <v>0</v>
      </c>
      <c r="H30" s="737">
        <f t="shared" si="11"/>
        <v>0</v>
      </c>
      <c r="I30" s="738">
        <f t="shared" si="11"/>
        <v>0</v>
      </c>
    </row>
    <row r="31" spans="1:9" x14ac:dyDescent="0.25">
      <c r="A31" s="350"/>
      <c r="B31" s="734"/>
      <c r="C31" s="734"/>
      <c r="D31" s="734"/>
      <c r="E31" s="734"/>
      <c r="F31" s="732"/>
      <c r="G31" s="732"/>
      <c r="H31" s="732"/>
      <c r="I31" s="733"/>
    </row>
    <row r="32" spans="1:9" x14ac:dyDescent="0.25">
      <c r="A32" s="17" t="s">
        <v>28</v>
      </c>
      <c r="B32" s="734"/>
      <c r="C32" s="734"/>
      <c r="D32" s="734"/>
      <c r="E32" s="734"/>
      <c r="F32" s="732"/>
      <c r="G32" s="732"/>
      <c r="H32" s="732"/>
      <c r="I32" s="733"/>
    </row>
    <row r="33" spans="1:10" x14ac:dyDescent="0.25">
      <c r="A33" s="350" t="s">
        <v>83</v>
      </c>
      <c r="B33" s="734">
        <v>0</v>
      </c>
      <c r="C33" s="734">
        <v>0</v>
      </c>
      <c r="D33" s="734">
        <f>BS!E43+BS!E50</f>
        <v>29153</v>
      </c>
      <c r="E33" s="734">
        <f>SUM(B33:D33)</f>
        <v>29153</v>
      </c>
      <c r="F33" s="732">
        <v>0</v>
      </c>
      <c r="G33" s="732">
        <v>0</v>
      </c>
      <c r="H33" s="732">
        <v>0</v>
      </c>
      <c r="I33" s="733">
        <v>0</v>
      </c>
    </row>
    <row r="34" spans="1:10" x14ac:dyDescent="0.25">
      <c r="A34" s="18" t="s">
        <v>225</v>
      </c>
      <c r="B34" s="734"/>
      <c r="C34" s="734"/>
      <c r="D34" s="734">
        <f>BS!E55</f>
        <v>2508</v>
      </c>
      <c r="E34" s="734">
        <f>SUM(B34:D34)</f>
        <v>2508</v>
      </c>
      <c r="F34" s="732"/>
      <c r="G34" s="732"/>
      <c r="H34" s="732"/>
      <c r="I34" s="733"/>
    </row>
    <row r="35" spans="1:10" x14ac:dyDescent="0.25">
      <c r="A35" s="350" t="s">
        <v>224</v>
      </c>
      <c r="B35" s="734">
        <v>0</v>
      </c>
      <c r="C35" s="734">
        <v>0</v>
      </c>
      <c r="D35" s="734">
        <f>BS!$E$53+BS!$E$54</f>
        <v>1813</v>
      </c>
      <c r="E35" s="734">
        <f t="shared" ref="E35" si="12">SUM(B35:D35)</f>
        <v>1813</v>
      </c>
      <c r="F35" s="732">
        <v>0</v>
      </c>
      <c r="G35" s="732">
        <v>0</v>
      </c>
      <c r="H35" s="732">
        <v>0</v>
      </c>
      <c r="I35" s="733">
        <v>0</v>
      </c>
    </row>
    <row r="36" spans="1:10" x14ac:dyDescent="0.25">
      <c r="A36" s="735" t="s">
        <v>67</v>
      </c>
      <c r="B36" s="736">
        <f t="shared" ref="B36:I36" si="13">SUM(B31:B35)</f>
        <v>0</v>
      </c>
      <c r="C36" s="736">
        <f t="shared" si="13"/>
        <v>0</v>
      </c>
      <c r="D36" s="736">
        <f t="shared" si="13"/>
        <v>33474</v>
      </c>
      <c r="E36" s="736">
        <f t="shared" si="13"/>
        <v>33474</v>
      </c>
      <c r="F36" s="737">
        <f t="shared" si="13"/>
        <v>0</v>
      </c>
      <c r="G36" s="737">
        <f t="shared" si="13"/>
        <v>0</v>
      </c>
      <c r="H36" s="737">
        <f t="shared" si="13"/>
        <v>0</v>
      </c>
      <c r="I36" s="738">
        <f t="shared" si="13"/>
        <v>0</v>
      </c>
    </row>
    <row r="37" spans="1:10" x14ac:dyDescent="0.25">
      <c r="A37" s="17"/>
      <c r="I37" s="674"/>
    </row>
    <row r="38" spans="1:10" hidden="1" x14ac:dyDescent="0.25">
      <c r="A38" s="1927" t="str">
        <f>Input!$C$5</f>
        <v>31 March 2023</v>
      </c>
      <c r="B38" s="1872" t="s">
        <v>319</v>
      </c>
      <c r="C38" s="1872"/>
      <c r="D38" s="1872"/>
      <c r="E38" s="1872"/>
      <c r="F38" s="1872" t="s">
        <v>320</v>
      </c>
      <c r="G38" s="1872"/>
      <c r="H38" s="1872"/>
      <c r="I38" s="1889"/>
    </row>
    <row r="39" spans="1:10" ht="63.75" hidden="1" customHeight="1" x14ac:dyDescent="0.25">
      <c r="A39" s="1922"/>
      <c r="B39" s="684" t="s">
        <v>321</v>
      </c>
      <c r="C39" s="684" t="s">
        <v>322</v>
      </c>
      <c r="D39" s="684" t="s">
        <v>323</v>
      </c>
      <c r="E39" s="684" t="s">
        <v>67</v>
      </c>
      <c r="F39" s="731" t="s">
        <v>324</v>
      </c>
      <c r="G39" s="731" t="s">
        <v>933</v>
      </c>
      <c r="H39" s="731" t="s">
        <v>934</v>
      </c>
      <c r="I39" s="685" t="s">
        <v>67</v>
      </c>
    </row>
    <row r="40" spans="1:10" hidden="1" x14ac:dyDescent="0.25">
      <c r="A40" s="17" t="s">
        <v>326</v>
      </c>
      <c r="B40" s="732"/>
      <c r="C40" s="732"/>
      <c r="D40" s="732"/>
      <c r="E40" s="732"/>
      <c r="F40" s="732"/>
      <c r="G40" s="732"/>
      <c r="H40" s="732"/>
      <c r="I40" s="733"/>
    </row>
    <row r="41" spans="1:10" hidden="1" x14ac:dyDescent="0.25">
      <c r="A41" s="350" t="s">
        <v>327</v>
      </c>
      <c r="B41" s="734">
        <v>0</v>
      </c>
      <c r="C41" s="734">
        <v>0</v>
      </c>
      <c r="D41" s="734">
        <f>BS!$E$25</f>
        <v>22</v>
      </c>
      <c r="E41" s="734">
        <f t="shared" ref="E41" si="14">SUM(B41:D41)</f>
        <v>22</v>
      </c>
      <c r="F41" s="732">
        <v>0</v>
      </c>
      <c r="G41" s="732">
        <v>0</v>
      </c>
      <c r="H41" s="732">
        <v>0</v>
      </c>
      <c r="I41" s="733">
        <f t="shared" ref="I41" si="15">SUM(F41:H41)</f>
        <v>0</v>
      </c>
    </row>
    <row r="42" spans="1:10" hidden="1" x14ac:dyDescent="0.25">
      <c r="A42" s="735" t="s">
        <v>67</v>
      </c>
      <c r="B42" s="736">
        <f t="shared" ref="B42:I42" si="16">SUM(B40:B41)</f>
        <v>0</v>
      </c>
      <c r="C42" s="736">
        <f t="shared" si="16"/>
        <v>0</v>
      </c>
      <c r="D42" s="736">
        <f t="shared" si="16"/>
        <v>22</v>
      </c>
      <c r="E42" s="736">
        <f t="shared" si="16"/>
        <v>22</v>
      </c>
      <c r="F42" s="737">
        <f t="shared" si="16"/>
        <v>0</v>
      </c>
      <c r="G42" s="737">
        <f t="shared" si="16"/>
        <v>0</v>
      </c>
      <c r="H42" s="737">
        <f t="shared" si="16"/>
        <v>0</v>
      </c>
      <c r="I42" s="738">
        <f t="shared" si="16"/>
        <v>0</v>
      </c>
      <c r="J42" s="1131">
        <f>E42-(BS!E30-BS!E29)</f>
        <v>-1265</v>
      </c>
    </row>
    <row r="43" spans="1:10" hidden="1" x14ac:dyDescent="0.25">
      <c r="A43" s="350"/>
      <c r="B43" s="734"/>
      <c r="C43" s="734"/>
      <c r="D43" s="734"/>
      <c r="E43" s="734"/>
      <c r="F43" s="732"/>
      <c r="G43" s="732"/>
      <c r="H43" s="732"/>
      <c r="I43" s="733"/>
    </row>
    <row r="44" spans="1:10" hidden="1" x14ac:dyDescent="0.25">
      <c r="A44" s="17" t="s">
        <v>28</v>
      </c>
      <c r="B44" s="734"/>
      <c r="C44" s="734"/>
      <c r="D44" s="734"/>
      <c r="E44" s="734"/>
      <c r="F44" s="732"/>
      <c r="G44" s="732"/>
      <c r="H44" s="732"/>
      <c r="I44" s="733"/>
    </row>
    <row r="45" spans="1:10" hidden="1" x14ac:dyDescent="0.25">
      <c r="A45" s="350" t="s">
        <v>83</v>
      </c>
      <c r="B45" s="734">
        <v>0</v>
      </c>
      <c r="C45" s="734">
        <v>0</v>
      </c>
      <c r="D45" s="734">
        <f>BS!E43+BS!E50</f>
        <v>29153</v>
      </c>
      <c r="E45" s="734">
        <f>SUM(B45:D45)</f>
        <v>29153</v>
      </c>
      <c r="F45" s="732">
        <v>0</v>
      </c>
      <c r="G45" s="732">
        <v>0</v>
      </c>
      <c r="H45" s="732">
        <v>0</v>
      </c>
      <c r="I45" s="733">
        <v>0</v>
      </c>
    </row>
    <row r="46" spans="1:10" hidden="1" x14ac:dyDescent="0.25">
      <c r="A46" s="350" t="s">
        <v>224</v>
      </c>
      <c r="B46" s="734">
        <v>0</v>
      </c>
      <c r="C46" s="734">
        <v>0</v>
      </c>
      <c r="D46" s="734">
        <f>BS!$E$53+BS!$E$54</f>
        <v>1813</v>
      </c>
      <c r="E46" s="734">
        <f t="shared" ref="E46" si="17">SUM(B46:D46)</f>
        <v>1813</v>
      </c>
      <c r="F46" s="732">
        <v>0</v>
      </c>
      <c r="G46" s="732">
        <v>0</v>
      </c>
      <c r="H46" s="732">
        <v>0</v>
      </c>
      <c r="I46" s="733">
        <v>0</v>
      </c>
    </row>
    <row r="47" spans="1:10" hidden="1" x14ac:dyDescent="0.25">
      <c r="A47" s="735" t="s">
        <v>67</v>
      </c>
      <c r="B47" s="736">
        <f t="shared" ref="B47:I47" si="18">SUM(B43:B46)</f>
        <v>0</v>
      </c>
      <c r="C47" s="736">
        <f t="shared" si="18"/>
        <v>0</v>
      </c>
      <c r="D47" s="736">
        <f t="shared" si="18"/>
        <v>30966</v>
      </c>
      <c r="E47" s="736">
        <f t="shared" si="18"/>
        <v>30966</v>
      </c>
      <c r="F47" s="737">
        <f t="shared" si="18"/>
        <v>0</v>
      </c>
      <c r="G47" s="737">
        <f t="shared" si="18"/>
        <v>0</v>
      </c>
      <c r="H47" s="737">
        <f t="shared" si="18"/>
        <v>0</v>
      </c>
      <c r="I47" s="738">
        <f t="shared" si="18"/>
        <v>0</v>
      </c>
      <c r="J47" s="1131">
        <f>E47-(BS!E60-BS!E16-BS!E56)</f>
        <v>-2554</v>
      </c>
    </row>
    <row r="48" spans="1:10" hidden="1" x14ac:dyDescent="0.25">
      <c r="A48" s="350"/>
      <c r="B48" s="1124"/>
      <c r="C48" s="1124"/>
      <c r="D48" s="1124"/>
      <c r="E48" s="1124"/>
      <c r="I48" s="674"/>
    </row>
    <row r="49" spans="1:10" hidden="1" x14ac:dyDescent="0.25">
      <c r="A49" s="1927" t="str">
        <f>Input!$C$6</f>
        <v>31 March 2022</v>
      </c>
      <c r="B49" s="1929" t="s">
        <v>319</v>
      </c>
      <c r="C49" s="1929"/>
      <c r="D49" s="1929"/>
      <c r="E49" s="1929"/>
      <c r="F49" s="1872" t="s">
        <v>320</v>
      </c>
      <c r="G49" s="1872"/>
      <c r="H49" s="1872"/>
      <c r="I49" s="1889"/>
    </row>
    <row r="50" spans="1:10" ht="60" hidden="1" x14ac:dyDescent="0.25">
      <c r="A50" s="1922"/>
      <c r="B50" s="739" t="s">
        <v>321</v>
      </c>
      <c r="C50" s="739" t="s">
        <v>322</v>
      </c>
      <c r="D50" s="739" t="s">
        <v>325</v>
      </c>
      <c r="E50" s="739" t="s">
        <v>67</v>
      </c>
      <c r="F50" s="731" t="s">
        <v>324</v>
      </c>
      <c r="G50" s="731" t="s">
        <v>933</v>
      </c>
      <c r="H50" s="731" t="s">
        <v>934</v>
      </c>
      <c r="I50" s="685" t="s">
        <v>67</v>
      </c>
    </row>
    <row r="51" spans="1:10" hidden="1" x14ac:dyDescent="0.25">
      <c r="A51" s="17" t="s">
        <v>326</v>
      </c>
      <c r="B51" s="734"/>
      <c r="C51" s="734"/>
      <c r="D51" s="734"/>
      <c r="E51" s="734"/>
      <c r="F51" s="732"/>
      <c r="G51" s="732"/>
      <c r="H51" s="732"/>
      <c r="I51" s="733"/>
    </row>
    <row r="52" spans="1:10" hidden="1" x14ac:dyDescent="0.25">
      <c r="A52" s="350" t="s">
        <v>327</v>
      </c>
      <c r="B52" s="734">
        <v>0</v>
      </c>
      <c r="C52" s="734">
        <v>0</v>
      </c>
      <c r="D52" s="734">
        <f>BS!$F$25</f>
        <v>24</v>
      </c>
      <c r="E52" s="734">
        <f>SUM(B52:D52)</f>
        <v>24</v>
      </c>
      <c r="F52" s="732">
        <v>0</v>
      </c>
      <c r="G52" s="732">
        <v>0</v>
      </c>
      <c r="H52" s="732">
        <v>0</v>
      </c>
      <c r="I52" s="733">
        <f>SUM(F52:H52)</f>
        <v>0</v>
      </c>
    </row>
    <row r="53" spans="1:10" hidden="1" x14ac:dyDescent="0.25">
      <c r="A53" s="735" t="s">
        <v>67</v>
      </c>
      <c r="B53" s="736">
        <f t="shared" ref="B53:I53" si="19">SUM(B51:B52)</f>
        <v>0</v>
      </c>
      <c r="C53" s="736">
        <f t="shared" si="19"/>
        <v>0</v>
      </c>
      <c r="D53" s="736">
        <f t="shared" si="19"/>
        <v>24</v>
      </c>
      <c r="E53" s="736">
        <f t="shared" si="19"/>
        <v>24</v>
      </c>
      <c r="F53" s="737">
        <f t="shared" si="19"/>
        <v>0</v>
      </c>
      <c r="G53" s="737">
        <f t="shared" si="19"/>
        <v>0</v>
      </c>
      <c r="H53" s="737">
        <f t="shared" si="19"/>
        <v>0</v>
      </c>
      <c r="I53" s="738">
        <f t="shared" si="19"/>
        <v>0</v>
      </c>
      <c r="J53" s="1131">
        <f>E53-(BS!F30-BS!F29)</f>
        <v>0</v>
      </c>
    </row>
    <row r="54" spans="1:10" hidden="1" x14ac:dyDescent="0.25">
      <c r="A54" s="350"/>
      <c r="B54" s="734"/>
      <c r="C54" s="734"/>
      <c r="D54" s="734"/>
      <c r="E54" s="734"/>
      <c r="F54" s="732"/>
      <c r="G54" s="732"/>
      <c r="H54" s="732"/>
      <c r="I54" s="733"/>
    </row>
    <row r="55" spans="1:10" hidden="1" x14ac:dyDescent="0.25">
      <c r="A55" s="17" t="s">
        <v>28</v>
      </c>
      <c r="B55" s="734"/>
      <c r="C55" s="734"/>
      <c r="D55" s="734"/>
      <c r="E55" s="734"/>
      <c r="F55" s="732"/>
      <c r="G55" s="732"/>
      <c r="H55" s="732"/>
      <c r="I55" s="733"/>
    </row>
    <row r="56" spans="1:10" hidden="1" x14ac:dyDescent="0.25">
      <c r="A56" s="350" t="s">
        <v>83</v>
      </c>
      <c r="B56" s="734">
        <v>0</v>
      </c>
      <c r="C56" s="734">
        <v>0</v>
      </c>
      <c r="D56" s="734">
        <f>BS!F43+BS!F50</f>
        <v>525</v>
      </c>
      <c r="E56" s="734">
        <f>SUM(B56:D56)</f>
        <v>525</v>
      </c>
      <c r="F56" s="732">
        <v>0</v>
      </c>
      <c r="G56" s="732">
        <v>0</v>
      </c>
      <c r="H56" s="732">
        <v>0</v>
      </c>
      <c r="I56" s="733">
        <v>0</v>
      </c>
    </row>
    <row r="57" spans="1:10" hidden="1" x14ac:dyDescent="0.25">
      <c r="A57" s="350" t="s">
        <v>224</v>
      </c>
      <c r="B57" s="734">
        <v>0</v>
      </c>
      <c r="C57" s="734">
        <v>0</v>
      </c>
      <c r="D57" s="734">
        <f>BS!$F$53+BS!$F$54</f>
        <v>14</v>
      </c>
      <c r="E57" s="734">
        <f>SUM(B57:D57)</f>
        <v>14</v>
      </c>
      <c r="F57" s="732">
        <v>0</v>
      </c>
      <c r="G57" s="732">
        <v>0</v>
      </c>
      <c r="H57" s="732">
        <v>0</v>
      </c>
      <c r="I57" s="733">
        <f>SUM(F57:H57)</f>
        <v>0</v>
      </c>
    </row>
    <row r="58" spans="1:10" hidden="1" x14ac:dyDescent="0.25">
      <c r="A58" s="735" t="s">
        <v>67</v>
      </c>
      <c r="B58" s="736">
        <f t="shared" ref="B58:I58" si="20">SUM(B54:B57)</f>
        <v>0</v>
      </c>
      <c r="C58" s="736">
        <f t="shared" si="20"/>
        <v>0</v>
      </c>
      <c r="D58" s="736">
        <f t="shared" si="20"/>
        <v>539</v>
      </c>
      <c r="E58" s="736">
        <f t="shared" si="20"/>
        <v>539</v>
      </c>
      <c r="F58" s="737">
        <f t="shared" si="20"/>
        <v>0</v>
      </c>
      <c r="G58" s="737">
        <f t="shared" si="20"/>
        <v>0</v>
      </c>
      <c r="H58" s="737">
        <f t="shared" si="20"/>
        <v>0</v>
      </c>
      <c r="I58" s="738">
        <f t="shared" si="20"/>
        <v>0</v>
      </c>
      <c r="J58" s="1131">
        <f>E58-(BS!F60-BS!F16-BS!F56)</f>
        <v>0</v>
      </c>
    </row>
    <row r="59" spans="1:10" ht="27" customHeight="1" x14ac:dyDescent="0.25">
      <c r="A59" s="1930" t="s">
        <v>471</v>
      </c>
      <c r="B59" s="1931"/>
      <c r="C59" s="1931"/>
      <c r="D59" s="1931"/>
      <c r="E59" s="1931"/>
      <c r="F59" s="1931"/>
      <c r="G59" s="1931"/>
      <c r="H59" s="1931"/>
      <c r="I59" s="1932"/>
    </row>
    <row r="60" spans="1:10" x14ac:dyDescent="0.25">
      <c r="A60" s="350"/>
      <c r="I60" s="674"/>
    </row>
    <row r="61" spans="1:10" x14ac:dyDescent="0.25">
      <c r="A61" s="17" t="s">
        <v>328</v>
      </c>
      <c r="I61" s="674"/>
    </row>
    <row r="62" spans="1:10" x14ac:dyDescent="0.25">
      <c r="A62" s="1924" t="s">
        <v>1164</v>
      </c>
      <c r="B62" s="1925"/>
      <c r="C62" s="1925"/>
      <c r="D62" s="1925"/>
      <c r="E62" s="1925"/>
      <c r="F62" s="1925"/>
      <c r="G62" s="1925"/>
      <c r="H62" s="1925"/>
      <c r="I62" s="1926"/>
    </row>
    <row r="63" spans="1:10" ht="44.25" customHeight="1" x14ac:dyDescent="0.25">
      <c r="A63" s="1924" t="s">
        <v>1165</v>
      </c>
      <c r="B63" s="1925"/>
      <c r="C63" s="1925"/>
      <c r="D63" s="1925"/>
      <c r="E63" s="1925"/>
      <c r="F63" s="1925"/>
      <c r="G63" s="1925"/>
      <c r="H63" s="1925"/>
      <c r="I63" s="1926"/>
    </row>
    <row r="64" spans="1:10" x14ac:dyDescent="0.25">
      <c r="A64" s="1924" t="s">
        <v>1166</v>
      </c>
      <c r="B64" s="1925"/>
      <c r="C64" s="1925"/>
      <c r="D64" s="1925"/>
      <c r="E64" s="1925"/>
      <c r="F64" s="1925"/>
      <c r="G64" s="1925"/>
      <c r="H64" s="1925"/>
      <c r="I64" s="1926"/>
    </row>
    <row r="65" spans="1:9" x14ac:dyDescent="0.25">
      <c r="A65" s="350"/>
      <c r="I65" s="674"/>
    </row>
    <row r="66" spans="1:9" x14ac:dyDescent="0.25">
      <c r="A66" s="17" t="s">
        <v>481</v>
      </c>
      <c r="I66" s="674"/>
    </row>
    <row r="67" spans="1:9" ht="47.25" customHeight="1" thickBot="1" x14ac:dyDescent="0.3">
      <c r="A67" s="1934" t="s">
        <v>562</v>
      </c>
      <c r="B67" s="1935"/>
      <c r="C67" s="1935"/>
      <c r="D67" s="1935"/>
      <c r="E67" s="1935"/>
      <c r="F67" s="1935"/>
      <c r="G67" s="1935"/>
      <c r="H67" s="1935"/>
      <c r="I67" s="1936"/>
    </row>
    <row r="68" spans="1:9" x14ac:dyDescent="0.25">
      <c r="A68" s="1046"/>
      <c r="B68" s="670"/>
      <c r="C68" s="670"/>
      <c r="D68" s="670"/>
      <c r="E68" s="670"/>
      <c r="F68" s="670"/>
      <c r="G68" s="670"/>
      <c r="H68" s="670"/>
      <c r="I68" s="671"/>
    </row>
    <row r="69" spans="1:9" x14ac:dyDescent="0.25">
      <c r="A69" s="17" t="s">
        <v>329</v>
      </c>
      <c r="I69" s="674"/>
    </row>
    <row r="70" spans="1:9" ht="75.75" customHeight="1" x14ac:dyDescent="0.25">
      <c r="A70" s="1937" t="s">
        <v>563</v>
      </c>
      <c r="B70" s="1890"/>
      <c r="C70" s="1890"/>
      <c r="D70" s="1890"/>
      <c r="E70" s="1890"/>
      <c r="F70" s="1890"/>
      <c r="G70" s="1890"/>
      <c r="H70" s="1890"/>
      <c r="I70" s="1891"/>
    </row>
    <row r="71" spans="1:9" x14ac:dyDescent="0.25">
      <c r="A71" s="17" t="s">
        <v>335</v>
      </c>
      <c r="I71" s="674"/>
    </row>
    <row r="72" spans="1:9" ht="31.5" customHeight="1" x14ac:dyDescent="0.25">
      <c r="A72" s="1781" t="s">
        <v>336</v>
      </c>
      <c r="B72" s="1782"/>
      <c r="C72" s="1782"/>
      <c r="D72" s="1782"/>
      <c r="E72" s="1782"/>
      <c r="F72" s="1782"/>
      <c r="G72" s="1782"/>
      <c r="H72" s="1782"/>
      <c r="I72" s="1783"/>
    </row>
    <row r="73" spans="1:9" x14ac:dyDescent="0.25">
      <c r="A73" s="740" t="s">
        <v>337</v>
      </c>
      <c r="I73" s="674"/>
    </row>
    <row r="74" spans="1:9" x14ac:dyDescent="0.25">
      <c r="A74" s="350" t="s">
        <v>935</v>
      </c>
      <c r="I74" s="674"/>
    </row>
    <row r="75" spans="1:9" ht="14.45" customHeight="1" x14ac:dyDescent="0.25">
      <c r="A75" s="350"/>
      <c r="I75" s="674"/>
    </row>
    <row r="76" spans="1:9" ht="14.45" customHeight="1" x14ac:dyDescent="0.25">
      <c r="A76" s="1923" t="s">
        <v>1556</v>
      </c>
      <c r="B76" s="1928"/>
      <c r="C76" s="1928"/>
      <c r="D76" s="741"/>
      <c r="E76" s="1918" t="s">
        <v>338</v>
      </c>
      <c r="F76" s="1919"/>
      <c r="G76" s="1919"/>
      <c r="H76" s="1919"/>
      <c r="I76" s="1920"/>
    </row>
    <row r="77" spans="1:9" ht="30" x14ac:dyDescent="0.25">
      <c r="A77" s="1827"/>
      <c r="B77" s="1888"/>
      <c r="C77" s="1888"/>
      <c r="D77" s="254" t="s">
        <v>319</v>
      </c>
      <c r="E77" s="254" t="s">
        <v>67</v>
      </c>
      <c r="F77" s="255" t="s">
        <v>339</v>
      </c>
      <c r="G77" s="255" t="s">
        <v>332</v>
      </c>
      <c r="H77" s="255" t="s">
        <v>340</v>
      </c>
      <c r="I77" s="1702" t="s">
        <v>341</v>
      </c>
    </row>
    <row r="78" spans="1:9" x14ac:dyDescent="0.25">
      <c r="A78" s="742" t="s">
        <v>153</v>
      </c>
      <c r="D78" s="743">
        <f>E21</f>
        <v>9920</v>
      </c>
      <c r="E78" s="744">
        <f>SUM(F78:I78)</f>
        <v>9920</v>
      </c>
      <c r="F78" s="745">
        <f>D78</f>
        <v>9920</v>
      </c>
      <c r="G78" s="745">
        <v>0</v>
      </c>
      <c r="H78" s="745">
        <v>0</v>
      </c>
      <c r="I78" s="1703">
        <v>0</v>
      </c>
    </row>
    <row r="79" spans="1:9" x14ac:dyDescent="0.25">
      <c r="A79" s="742" t="s">
        <v>1348</v>
      </c>
      <c r="D79" s="743">
        <f>E20</f>
        <v>445</v>
      </c>
      <c r="E79" s="744">
        <f>SUM(F79:I79)</f>
        <v>445</v>
      </c>
      <c r="F79" s="745">
        <f>D79</f>
        <v>445</v>
      </c>
      <c r="G79" s="745">
        <v>0</v>
      </c>
      <c r="H79" s="745">
        <v>0</v>
      </c>
      <c r="I79" s="1703">
        <v>0</v>
      </c>
    </row>
    <row r="80" spans="1:9" x14ac:dyDescent="0.25">
      <c r="A80" s="742" t="s">
        <v>83</v>
      </c>
      <c r="D80" s="743">
        <f>D19</f>
        <v>31442</v>
      </c>
      <c r="E80" s="744">
        <f>SUM(F80:I80)</f>
        <v>39333.694562999997</v>
      </c>
      <c r="F80" s="745">
        <f>1415438246/100000</f>
        <v>14154.382460000001</v>
      </c>
      <c r="G80" s="745">
        <f>1722858017/100000</f>
        <v>17228.580170000001</v>
      </c>
      <c r="H80" s="745">
        <f>795073193.3/100000</f>
        <v>7950.7319329999991</v>
      </c>
      <c r="I80" s="1703">
        <v>0</v>
      </c>
    </row>
    <row r="81" spans="1:9" x14ac:dyDescent="0.25">
      <c r="A81" s="747" t="s">
        <v>67</v>
      </c>
      <c r="B81" s="1700"/>
      <c r="C81" s="1701"/>
      <c r="D81" s="748">
        <f t="shared" ref="D81:I81" si="21">SUM(D78:D80)</f>
        <v>41807</v>
      </c>
      <c r="E81" s="749">
        <f t="shared" si="21"/>
        <v>49698.694562999997</v>
      </c>
      <c r="F81" s="749">
        <f t="shared" si="21"/>
        <v>24519.382460000001</v>
      </c>
      <c r="G81" s="750">
        <f t="shared" si="21"/>
        <v>17228.580170000001</v>
      </c>
      <c r="H81" s="750">
        <f t="shared" si="21"/>
        <v>7950.7319329999991</v>
      </c>
      <c r="I81" s="1704">
        <f t="shared" si="21"/>
        <v>0</v>
      </c>
    </row>
    <row r="82" spans="1:9" x14ac:dyDescent="0.25">
      <c r="A82" s="350"/>
      <c r="I82" s="674"/>
    </row>
    <row r="83" spans="1:9" ht="14.45" customHeight="1" x14ac:dyDescent="0.25">
      <c r="A83" s="1923" t="s">
        <v>1172</v>
      </c>
      <c r="B83" s="1928"/>
      <c r="C83" s="1928"/>
      <c r="D83" s="741"/>
      <c r="E83" s="1918" t="s">
        <v>338</v>
      </c>
      <c r="F83" s="1919"/>
      <c r="G83" s="1919"/>
      <c r="H83" s="1919"/>
      <c r="I83" s="1920"/>
    </row>
    <row r="84" spans="1:9" ht="30" x14ac:dyDescent="0.25">
      <c r="A84" s="1827"/>
      <c r="B84" s="1888"/>
      <c r="C84" s="1888"/>
      <c r="D84" s="254" t="s">
        <v>319</v>
      </c>
      <c r="E84" s="254" t="s">
        <v>67</v>
      </c>
      <c r="F84" s="255" t="s">
        <v>339</v>
      </c>
      <c r="G84" s="255" t="s">
        <v>332</v>
      </c>
      <c r="H84" s="255" t="s">
        <v>340</v>
      </c>
      <c r="I84" s="1702" t="s">
        <v>341</v>
      </c>
    </row>
    <row r="85" spans="1:9" x14ac:dyDescent="0.25">
      <c r="A85" s="742" t="s">
        <v>153</v>
      </c>
      <c r="D85" s="743">
        <f>E35</f>
        <v>1813</v>
      </c>
      <c r="E85" s="744">
        <f>SUM(F85:I85)</f>
        <v>1813</v>
      </c>
      <c r="F85" s="745">
        <f>D85</f>
        <v>1813</v>
      </c>
      <c r="G85" s="745">
        <v>0</v>
      </c>
      <c r="H85" s="745">
        <v>0</v>
      </c>
      <c r="I85" s="1703">
        <v>0</v>
      </c>
    </row>
    <row r="86" spans="1:9" x14ac:dyDescent="0.25">
      <c r="A86" s="742" t="s">
        <v>1348</v>
      </c>
      <c r="D86" s="743">
        <f>D34</f>
        <v>2508</v>
      </c>
      <c r="E86" s="744">
        <f>D86</f>
        <v>2508</v>
      </c>
      <c r="F86" s="745">
        <f>E86</f>
        <v>2508</v>
      </c>
      <c r="G86" s="745"/>
      <c r="H86" s="745"/>
      <c r="I86" s="1703"/>
    </row>
    <row r="87" spans="1:9" x14ac:dyDescent="0.25">
      <c r="A87" s="742" t="s">
        <v>83</v>
      </c>
      <c r="D87" s="743">
        <f>D33</f>
        <v>29153</v>
      </c>
      <c r="E87" s="744">
        <f>SUM(F87:I87)</f>
        <v>36936</v>
      </c>
      <c r="F87" s="745">
        <v>5410</v>
      </c>
      <c r="G87" s="745">
        <v>27915</v>
      </c>
      <c r="H87" s="745">
        <v>3272</v>
      </c>
      <c r="I87" s="1703">
        <v>339</v>
      </c>
    </row>
    <row r="88" spans="1:9" x14ac:dyDescent="0.25">
      <c r="A88" s="747" t="s">
        <v>67</v>
      </c>
      <c r="B88" s="1700"/>
      <c r="C88" s="1701"/>
      <c r="D88" s="748">
        <f t="shared" ref="D88:I88" si="22">SUM(D85:D87)</f>
        <v>33474</v>
      </c>
      <c r="E88" s="749">
        <f t="shared" si="22"/>
        <v>41257</v>
      </c>
      <c r="F88" s="749">
        <f t="shared" si="22"/>
        <v>9731</v>
      </c>
      <c r="G88" s="750">
        <f t="shared" si="22"/>
        <v>27915</v>
      </c>
      <c r="H88" s="750">
        <f t="shared" si="22"/>
        <v>3272</v>
      </c>
      <c r="I88" s="1704">
        <f t="shared" si="22"/>
        <v>339</v>
      </c>
    </row>
    <row r="89" spans="1:9" x14ac:dyDescent="0.25">
      <c r="A89" s="350"/>
      <c r="I89" s="674"/>
    </row>
    <row r="90" spans="1:9" hidden="1" x14ac:dyDescent="0.25">
      <c r="A90" s="1923" t="s">
        <v>291</v>
      </c>
      <c r="B90" s="741"/>
      <c r="C90" s="1918" t="s">
        <v>338</v>
      </c>
      <c r="D90" s="1919"/>
      <c r="E90" s="1919"/>
      <c r="F90" s="1919"/>
      <c r="G90" s="1938"/>
      <c r="I90" s="674"/>
    </row>
    <row r="91" spans="1:9" ht="30" hidden="1" x14ac:dyDescent="0.25">
      <c r="A91" s="1827"/>
      <c r="B91" s="254" t="s">
        <v>319</v>
      </c>
      <c r="C91" s="254" t="s">
        <v>67</v>
      </c>
      <c r="D91" s="255" t="s">
        <v>339</v>
      </c>
      <c r="E91" s="255" t="s">
        <v>332</v>
      </c>
      <c r="F91" s="255" t="s">
        <v>340</v>
      </c>
      <c r="G91" s="256" t="s">
        <v>341</v>
      </c>
      <c r="I91" s="674"/>
    </row>
    <row r="92" spans="1:9" hidden="1" x14ac:dyDescent="0.25">
      <c r="A92" s="742" t="s">
        <v>153</v>
      </c>
      <c r="B92" s="743">
        <v>204</v>
      </c>
      <c r="C92" s="744">
        <f>SUM(D92:G92)</f>
        <v>204</v>
      </c>
      <c r="D92" s="745">
        <v>204</v>
      </c>
      <c r="E92" s="745">
        <v>0</v>
      </c>
      <c r="F92" s="745">
        <v>0</v>
      </c>
      <c r="G92" s="746">
        <v>0</v>
      </c>
      <c r="I92" s="674"/>
    </row>
    <row r="93" spans="1:9" hidden="1" x14ac:dyDescent="0.25">
      <c r="A93" s="742" t="s">
        <v>83</v>
      </c>
      <c r="B93" s="743">
        <v>171357</v>
      </c>
      <c r="C93" s="744">
        <f>SUM(D93:G93)</f>
        <v>318230</v>
      </c>
      <c r="D93" s="745">
        <v>0</v>
      </c>
      <c r="E93" s="745">
        <v>118231</v>
      </c>
      <c r="F93" s="745">
        <v>0</v>
      </c>
      <c r="G93" s="746">
        <v>199999</v>
      </c>
      <c r="I93" s="674"/>
    </row>
    <row r="94" spans="1:9" hidden="1" x14ac:dyDescent="0.25">
      <c r="A94" s="747" t="s">
        <v>67</v>
      </c>
      <c r="B94" s="748">
        <f t="shared" ref="B94:G94" si="23">SUM(B92:B93)</f>
        <v>171561</v>
      </c>
      <c r="C94" s="749">
        <f t="shared" si="23"/>
        <v>318434</v>
      </c>
      <c r="D94" s="749">
        <f t="shared" si="23"/>
        <v>204</v>
      </c>
      <c r="E94" s="750">
        <f t="shared" si="23"/>
        <v>118231</v>
      </c>
      <c r="F94" s="750">
        <f t="shared" si="23"/>
        <v>0</v>
      </c>
      <c r="G94" s="751">
        <f t="shared" si="23"/>
        <v>199999</v>
      </c>
      <c r="I94" s="674"/>
    </row>
    <row r="95" spans="1:9" hidden="1" x14ac:dyDescent="0.25">
      <c r="A95" s="350"/>
      <c r="I95" s="674"/>
    </row>
    <row r="96" spans="1:9" hidden="1" x14ac:dyDescent="0.25">
      <c r="A96" s="1826" t="str">
        <f>Input!$C$6</f>
        <v>31 March 2022</v>
      </c>
      <c r="B96" s="741"/>
      <c r="C96" s="1918" t="s">
        <v>338</v>
      </c>
      <c r="D96" s="1919"/>
      <c r="E96" s="1919"/>
      <c r="F96" s="1919"/>
      <c r="G96" s="1938"/>
      <c r="I96" s="674"/>
    </row>
    <row r="97" spans="1:9" ht="30" hidden="1" x14ac:dyDescent="0.25">
      <c r="A97" s="1827"/>
      <c r="B97" s="254" t="s">
        <v>319</v>
      </c>
      <c r="C97" s="254" t="s">
        <v>67</v>
      </c>
      <c r="D97" s="255" t="s">
        <v>339</v>
      </c>
      <c r="E97" s="255" t="s">
        <v>332</v>
      </c>
      <c r="F97" s="255" t="s">
        <v>340</v>
      </c>
      <c r="G97" s="256" t="s">
        <v>341</v>
      </c>
      <c r="I97" s="674"/>
    </row>
    <row r="98" spans="1:9" hidden="1" x14ac:dyDescent="0.25">
      <c r="A98" s="752" t="s">
        <v>153</v>
      </c>
      <c r="B98" s="743">
        <f>E57</f>
        <v>14</v>
      </c>
      <c r="C98" s="744">
        <f>SUM(D98:G98)</f>
        <v>14</v>
      </c>
      <c r="D98" s="745">
        <f>B98</f>
        <v>14</v>
      </c>
      <c r="E98" s="745">
        <v>0</v>
      </c>
      <c r="F98" s="745">
        <v>0</v>
      </c>
      <c r="G98" s="746">
        <v>0</v>
      </c>
      <c r="I98" s="674"/>
    </row>
    <row r="99" spans="1:9" hidden="1" x14ac:dyDescent="0.25">
      <c r="A99" s="752" t="s">
        <v>83</v>
      </c>
      <c r="B99" s="743">
        <f>D56</f>
        <v>525</v>
      </c>
      <c r="C99" s="744" t="e">
        <f>SUM(D99:G99)</f>
        <v>#REF!</v>
      </c>
      <c r="D99" s="745">
        <f>+BS!F50</f>
        <v>30</v>
      </c>
      <c r="E99" s="745">
        <v>0</v>
      </c>
      <c r="F99" s="745">
        <v>0</v>
      </c>
      <c r="G99" s="746" t="e">
        <f>#REF!</f>
        <v>#REF!</v>
      </c>
      <c r="I99" s="674"/>
    </row>
    <row r="100" spans="1:9" hidden="1" x14ac:dyDescent="0.25">
      <c r="A100" s="753" t="s">
        <v>67</v>
      </c>
      <c r="B100" s="748">
        <f t="shared" ref="B100:G100" si="24">SUM(B98:B99)</f>
        <v>539</v>
      </c>
      <c r="C100" s="749" t="e">
        <f t="shared" si="24"/>
        <v>#REF!</v>
      </c>
      <c r="D100" s="749">
        <f t="shared" si="24"/>
        <v>44</v>
      </c>
      <c r="E100" s="750">
        <f t="shared" si="24"/>
        <v>0</v>
      </c>
      <c r="F100" s="750">
        <f t="shared" si="24"/>
        <v>0</v>
      </c>
      <c r="G100" s="751" t="e">
        <f t="shared" si="24"/>
        <v>#REF!</v>
      </c>
      <c r="I100" s="674"/>
    </row>
    <row r="101" spans="1:9" hidden="1" x14ac:dyDescent="0.25">
      <c r="A101" s="350"/>
      <c r="I101" s="674"/>
    </row>
    <row r="102" spans="1:9" x14ac:dyDescent="0.25">
      <c r="A102" s="17" t="s">
        <v>342</v>
      </c>
      <c r="I102" s="674"/>
    </row>
    <row r="103" spans="1:9" customFormat="1" hidden="1" x14ac:dyDescent="0.25">
      <c r="A103" s="27"/>
      <c r="F103" s="1167"/>
      <c r="I103" s="58"/>
    </row>
    <row r="104" spans="1:9" customFormat="1" ht="86.45" customHeight="1" x14ac:dyDescent="0.25">
      <c r="A104" s="1939" t="s">
        <v>1712</v>
      </c>
      <c r="B104" s="1940"/>
      <c r="C104" s="1940"/>
      <c r="D104" s="1940"/>
      <c r="E104" s="1940"/>
      <c r="F104" s="1940"/>
      <c r="G104" s="1940"/>
      <c r="H104" s="1940"/>
      <c r="I104" s="1941"/>
    </row>
    <row r="105" spans="1:9" customFormat="1" x14ac:dyDescent="0.25">
      <c r="A105" s="18"/>
      <c r="F105" s="1167"/>
      <c r="I105" s="58"/>
    </row>
    <row r="106" spans="1:9" customFormat="1" x14ac:dyDescent="0.25">
      <c r="A106" s="1609" t="s">
        <v>0</v>
      </c>
      <c r="B106" s="1461"/>
      <c r="C106" s="1675"/>
      <c r="D106" s="1675"/>
      <c r="E106" s="1675"/>
      <c r="F106" s="1942" t="s">
        <v>1610</v>
      </c>
      <c r="G106" s="1942"/>
      <c r="H106" s="1942" t="s">
        <v>1173</v>
      </c>
      <c r="I106" s="1943"/>
    </row>
    <row r="107" spans="1:9" customFormat="1" x14ac:dyDescent="0.25">
      <c r="A107" s="1610"/>
      <c r="B107" s="1615"/>
      <c r="C107" s="1462"/>
      <c r="D107" s="1462"/>
      <c r="E107" s="1462"/>
      <c r="F107" s="1462" t="s">
        <v>1716</v>
      </c>
      <c r="G107" s="1462" t="s">
        <v>1717</v>
      </c>
      <c r="H107" s="1462" t="s">
        <v>1716</v>
      </c>
      <c r="I107" s="1614" t="s">
        <v>1717</v>
      </c>
    </row>
    <row r="108" spans="1:9" customFormat="1" x14ac:dyDescent="0.25">
      <c r="A108" s="1611" t="s">
        <v>83</v>
      </c>
      <c r="I108" s="1168"/>
    </row>
    <row r="109" spans="1:9" customFormat="1" x14ac:dyDescent="0.25">
      <c r="A109" s="18" t="s">
        <v>1714</v>
      </c>
      <c r="C109" s="1681"/>
      <c r="D109" s="208"/>
      <c r="E109" s="7"/>
      <c r="F109" s="1681">
        <f>279610.32/100000</f>
        <v>2.7961032000000001</v>
      </c>
      <c r="G109" s="208">
        <f>F109*94.84</f>
        <v>265.18242748800003</v>
      </c>
      <c r="H109" s="7">
        <v>0</v>
      </c>
      <c r="I109" s="51">
        <v>0</v>
      </c>
    </row>
    <row r="110" spans="1:9" customFormat="1" ht="9.6" customHeight="1" x14ac:dyDescent="0.25">
      <c r="A110" s="18"/>
      <c r="I110" s="1168"/>
    </row>
    <row r="111" spans="1:9" customFormat="1" x14ac:dyDescent="0.25">
      <c r="A111" s="1611" t="s">
        <v>737</v>
      </c>
      <c r="I111" s="1168"/>
    </row>
    <row r="112" spans="1:9" customFormat="1" x14ac:dyDescent="0.25">
      <c r="A112" s="18" t="s">
        <v>1714</v>
      </c>
      <c r="C112" s="208"/>
      <c r="D112" s="208"/>
      <c r="E112" s="7"/>
      <c r="F112" s="208">
        <f>2136663/100000</f>
        <v>21.366630000000001</v>
      </c>
      <c r="G112" s="208">
        <f>F112*94.84</f>
        <v>2026.4111892000001</v>
      </c>
      <c r="H112" s="7">
        <v>0</v>
      </c>
      <c r="I112" s="51">
        <v>0</v>
      </c>
    </row>
    <row r="113" spans="1:9" customFormat="1" ht="9" customHeight="1" x14ac:dyDescent="0.25">
      <c r="A113" s="18"/>
      <c r="I113" s="1168"/>
    </row>
    <row r="114" spans="1:9" customFormat="1" x14ac:dyDescent="0.25">
      <c r="A114" s="1611" t="s">
        <v>153</v>
      </c>
      <c r="I114" s="1168"/>
    </row>
    <row r="115" spans="1:9" customFormat="1" x14ac:dyDescent="0.25">
      <c r="A115" s="1612" t="s">
        <v>1713</v>
      </c>
      <c r="C115" s="7"/>
      <c r="D115" s="7"/>
      <c r="E115" s="1647"/>
      <c r="F115" s="7">
        <v>0</v>
      </c>
      <c r="G115" s="7">
        <v>0</v>
      </c>
      <c r="H115" s="1647">
        <f>82212/100000</f>
        <v>0.82211999999999996</v>
      </c>
      <c r="I115" s="1616">
        <f>H115*90.22</f>
        <v>74.171666399999992</v>
      </c>
    </row>
    <row r="116" spans="1:9" customFormat="1" x14ac:dyDescent="0.25">
      <c r="A116" s="1612" t="s">
        <v>1714</v>
      </c>
      <c r="C116" s="208"/>
      <c r="D116" s="208"/>
      <c r="E116" s="208"/>
      <c r="F116" s="208">
        <f>1363284/100000</f>
        <v>13.63284</v>
      </c>
      <c r="G116" s="208">
        <f>F116*94.84</f>
        <v>1292.9385456</v>
      </c>
      <c r="H116" s="208">
        <f>306557/100000</f>
        <v>3.0655700000000001</v>
      </c>
      <c r="I116" s="1616">
        <f>H116*90.22</f>
        <v>276.57572540000001</v>
      </c>
    </row>
    <row r="117" spans="1:9" customFormat="1" x14ac:dyDescent="0.25">
      <c r="A117" s="1613" t="s">
        <v>1715</v>
      </c>
      <c r="B117" s="1617"/>
      <c r="C117" s="1618"/>
      <c r="D117" s="1618"/>
      <c r="E117" s="1618"/>
      <c r="F117" s="1677">
        <f>SUM(F109:F116)</f>
        <v>37.7955732</v>
      </c>
      <c r="G117" s="1677">
        <f>SUM(G109:G116)</f>
        <v>3584.5321622880001</v>
      </c>
      <c r="H117" s="1677">
        <f>SUM(H109:H116)</f>
        <v>3.8876900000000001</v>
      </c>
      <c r="I117" s="1619">
        <f>SUM(I109:I116)</f>
        <v>350.7473918</v>
      </c>
    </row>
    <row r="118" spans="1:9" customFormat="1" x14ac:dyDescent="0.25">
      <c r="A118" s="18"/>
      <c r="F118" s="1678"/>
      <c r="G118" s="1142"/>
      <c r="H118" s="1142"/>
      <c r="I118" s="58"/>
    </row>
    <row r="119" spans="1:9" customFormat="1" ht="45.95" customHeight="1" x14ac:dyDescent="0.25">
      <c r="A119" s="1939" t="s">
        <v>1718</v>
      </c>
      <c r="B119" s="1940"/>
      <c r="C119" s="1940"/>
      <c r="D119" s="1940"/>
      <c r="E119" s="1940"/>
      <c r="F119" s="1940"/>
      <c r="G119" s="1940"/>
      <c r="H119" s="1940"/>
      <c r="I119" s="1941"/>
    </row>
    <row r="120" spans="1:9" customFormat="1" x14ac:dyDescent="0.25">
      <c r="A120" s="18"/>
      <c r="F120" s="1676"/>
      <c r="G120" s="5"/>
      <c r="H120" s="5"/>
      <c r="I120" s="58"/>
    </row>
    <row r="121" spans="1:9" customFormat="1" x14ac:dyDescent="0.25">
      <c r="A121" s="1620" t="s">
        <v>1719</v>
      </c>
      <c r="B121" s="1621"/>
      <c r="C121" s="1679"/>
      <c r="D121" s="1679"/>
      <c r="E121" s="1679"/>
      <c r="F121" s="1623" t="s">
        <v>1720</v>
      </c>
      <c r="G121" s="1623"/>
      <c r="H121" s="1623" t="s">
        <v>1721</v>
      </c>
      <c r="I121" s="1680"/>
    </row>
    <row r="122" spans="1:9" customFormat="1" x14ac:dyDescent="0.25">
      <c r="A122" s="1622"/>
      <c r="B122" s="1623"/>
      <c r="C122" s="1624"/>
      <c r="D122" s="1624"/>
      <c r="E122" s="1624"/>
      <c r="F122" s="1624" t="s">
        <v>1593</v>
      </c>
      <c r="G122" s="1624" t="s">
        <v>1181</v>
      </c>
      <c r="H122" s="1624" t="str">
        <f t="shared" ref="H122:I124" si="25">F122</f>
        <v>2025-26</v>
      </c>
      <c r="I122" s="1625" t="str">
        <f t="shared" si="25"/>
        <v>2024-25</v>
      </c>
    </row>
    <row r="123" spans="1:9" customFormat="1" x14ac:dyDescent="0.25">
      <c r="A123" s="1627" t="s">
        <v>1722</v>
      </c>
      <c r="B123" s="1626"/>
      <c r="C123" s="1631"/>
      <c r="D123" s="1629"/>
      <c r="E123" s="1631"/>
      <c r="F123" s="1631">
        <f>(G109+G116-G112)*5%</f>
        <v>-23.414510805600003</v>
      </c>
      <c r="G123" s="1629">
        <f>(I109+I116-I112)*5%</f>
        <v>13.828786270000002</v>
      </c>
      <c r="H123" s="1631">
        <f t="shared" si="25"/>
        <v>-23.414510805600003</v>
      </c>
      <c r="I123" s="1630">
        <f t="shared" si="25"/>
        <v>13.828786270000002</v>
      </c>
    </row>
    <row r="124" spans="1:9" customFormat="1" x14ac:dyDescent="0.25">
      <c r="A124" s="1628" t="s">
        <v>1723</v>
      </c>
      <c r="B124" s="5"/>
      <c r="C124" s="1632"/>
      <c r="D124" s="1633"/>
      <c r="E124" s="1634"/>
      <c r="F124" s="1632">
        <f>-F123</f>
        <v>23.414510805600003</v>
      </c>
      <c r="G124" s="1633">
        <f>-G123</f>
        <v>-13.828786270000002</v>
      </c>
      <c r="H124" s="1634">
        <f t="shared" si="25"/>
        <v>23.414510805600003</v>
      </c>
      <c r="I124" s="1635">
        <f t="shared" si="25"/>
        <v>-13.828786270000002</v>
      </c>
    </row>
    <row r="125" spans="1:9" x14ac:dyDescent="0.25">
      <c r="A125" s="350"/>
      <c r="I125" s="674"/>
    </row>
    <row r="126" spans="1:9" x14ac:dyDescent="0.25">
      <c r="A126" s="17" t="s">
        <v>348</v>
      </c>
      <c r="I126" s="674"/>
    </row>
    <row r="127" spans="1:9" ht="51.75" customHeight="1" thickBot="1" x14ac:dyDescent="0.3">
      <c r="A127" s="1934" t="s">
        <v>936</v>
      </c>
      <c r="B127" s="1935"/>
      <c r="C127" s="1935"/>
      <c r="D127" s="1935"/>
      <c r="E127" s="1935"/>
      <c r="F127" s="1935"/>
      <c r="G127" s="1935"/>
      <c r="H127" s="1935"/>
      <c r="I127" s="1936"/>
    </row>
    <row r="128" spans="1:9" x14ac:dyDescent="0.25">
      <c r="A128" s="217"/>
      <c r="B128" s="218"/>
      <c r="C128" s="218"/>
      <c r="D128" s="206"/>
      <c r="E128" s="206"/>
      <c r="F128" s="206"/>
      <c r="G128" s="206"/>
      <c r="H128" s="206"/>
    </row>
    <row r="129" spans="1:8" x14ac:dyDescent="0.25">
      <c r="A129" s="1132"/>
      <c r="B129" s="754"/>
      <c r="C129" s="754"/>
      <c r="D129" s="754"/>
      <c r="E129" s="754"/>
      <c r="F129" s="754"/>
      <c r="G129" s="754"/>
      <c r="H129" s="754"/>
    </row>
    <row r="130" spans="1:8" x14ac:dyDescent="0.25">
      <c r="A130" s="1132"/>
      <c r="B130" s="754"/>
      <c r="C130" s="754"/>
      <c r="D130" s="754"/>
      <c r="E130" s="754"/>
      <c r="F130" s="754"/>
      <c r="G130" s="754"/>
      <c r="H130" s="754"/>
    </row>
    <row r="131" spans="1:8" x14ac:dyDescent="0.25">
      <c r="A131" s="682"/>
      <c r="B131" s="755"/>
      <c r="C131" s="755"/>
      <c r="D131" s="755"/>
      <c r="E131" s="755"/>
      <c r="F131" s="755"/>
      <c r="G131" s="755"/>
      <c r="H131" s="755"/>
    </row>
    <row r="132" spans="1:8" x14ac:dyDescent="0.25">
      <c r="A132" s="682"/>
      <c r="B132" s="755"/>
      <c r="C132" s="755"/>
      <c r="D132" s="755"/>
      <c r="E132" s="755"/>
      <c r="F132" s="755"/>
      <c r="G132" s="755"/>
      <c r="H132" s="755"/>
    </row>
    <row r="133" spans="1:8" x14ac:dyDescent="0.25">
      <c r="A133" s="217"/>
      <c r="B133" s="218"/>
      <c r="C133" s="218"/>
      <c r="D133" s="206"/>
      <c r="E133" s="206"/>
      <c r="F133" s="206"/>
      <c r="G133" s="755"/>
      <c r="H133" s="755"/>
    </row>
    <row r="134" spans="1:8" x14ac:dyDescent="0.25">
      <c r="A134" s="1132"/>
      <c r="B134" s="754"/>
      <c r="C134" s="754"/>
      <c r="D134" s="754"/>
      <c r="E134" s="754"/>
      <c r="F134" s="754"/>
      <c r="G134" s="755"/>
      <c r="H134" s="755"/>
    </row>
    <row r="135" spans="1:8" x14ac:dyDescent="0.25">
      <c r="A135" s="1132"/>
      <c r="B135" s="754"/>
      <c r="C135" s="754"/>
      <c r="D135" s="754"/>
      <c r="E135" s="754"/>
      <c r="F135" s="754"/>
      <c r="G135" s="755"/>
      <c r="H135" s="755"/>
    </row>
    <row r="136" spans="1:8" x14ac:dyDescent="0.25">
      <c r="A136" s="682"/>
      <c r="B136" s="755"/>
      <c r="C136" s="755"/>
      <c r="D136" s="755"/>
      <c r="E136" s="755"/>
      <c r="F136" s="755"/>
      <c r="G136" s="755"/>
      <c r="H136" s="755"/>
    </row>
    <row r="137" spans="1:8" x14ac:dyDescent="0.25">
      <c r="A137" s="682"/>
      <c r="B137" s="755"/>
      <c r="C137" s="755"/>
      <c r="D137" s="755"/>
      <c r="E137" s="755"/>
      <c r="F137" s="755"/>
      <c r="G137" s="755"/>
      <c r="H137" s="755"/>
    </row>
    <row r="138" spans="1:8" x14ac:dyDescent="0.25">
      <c r="A138" s="217"/>
      <c r="B138" s="218"/>
      <c r="C138" s="218"/>
      <c r="D138" s="206"/>
      <c r="E138" s="206"/>
      <c r="F138" s="206"/>
      <c r="G138" s="755"/>
      <c r="H138" s="755"/>
    </row>
    <row r="139" spans="1:8" x14ac:dyDescent="0.25">
      <c r="A139" s="1132"/>
      <c r="B139" s="754"/>
      <c r="C139" s="754"/>
      <c r="D139" s="754"/>
      <c r="E139" s="754"/>
      <c r="F139" s="754"/>
      <c r="G139" s="755"/>
      <c r="H139" s="755"/>
    </row>
    <row r="140" spans="1:8" x14ac:dyDescent="0.25">
      <c r="A140" s="1132"/>
      <c r="B140" s="754"/>
      <c r="C140" s="754"/>
      <c r="D140" s="754"/>
      <c r="E140" s="754"/>
      <c r="F140" s="754"/>
      <c r="G140" s="755"/>
      <c r="H140" s="755"/>
    </row>
    <row r="141" spans="1:8" x14ac:dyDescent="0.25">
      <c r="A141" s="682"/>
      <c r="B141" s="755"/>
      <c r="C141" s="755"/>
      <c r="D141" s="755"/>
      <c r="E141" s="755"/>
      <c r="F141" s="755"/>
      <c r="G141" s="755"/>
      <c r="H141" s="755"/>
    </row>
    <row r="142" spans="1:8" x14ac:dyDescent="0.25">
      <c r="A142" s="682"/>
      <c r="B142" s="755"/>
      <c r="C142" s="755"/>
      <c r="D142" s="755"/>
      <c r="E142" s="755"/>
      <c r="F142" s="755"/>
      <c r="G142" s="755"/>
      <c r="H142" s="755"/>
    </row>
    <row r="143" spans="1:8" x14ac:dyDescent="0.25">
      <c r="A143" s="756"/>
      <c r="B143" s="755"/>
      <c r="C143" s="755"/>
      <c r="D143" s="755"/>
      <c r="E143" s="755"/>
      <c r="F143" s="755"/>
      <c r="G143" s="755"/>
      <c r="H143" s="755"/>
    </row>
    <row r="144" spans="1:8" x14ac:dyDescent="0.25">
      <c r="A144" s="682"/>
      <c r="B144" s="755"/>
      <c r="C144" s="755"/>
      <c r="D144" s="755"/>
      <c r="E144" s="755"/>
      <c r="F144" s="755"/>
      <c r="G144" s="755"/>
      <c r="H144" s="755"/>
    </row>
    <row r="148" spans="1:9" x14ac:dyDescent="0.25">
      <c r="A148" s="757"/>
      <c r="B148" s="757"/>
      <c r="C148" s="757"/>
      <c r="D148" s="757"/>
      <c r="E148" s="757"/>
      <c r="F148" s="757"/>
      <c r="G148" s="757"/>
      <c r="H148" s="1933"/>
      <c r="I148" s="1933"/>
    </row>
    <row r="149" spans="1:9" x14ac:dyDescent="0.25">
      <c r="A149" s="687"/>
      <c r="B149" s="687"/>
      <c r="C149" s="687"/>
      <c r="D149" s="757"/>
      <c r="E149" s="757"/>
      <c r="F149" s="757"/>
      <c r="G149" s="757"/>
      <c r="H149" s="757"/>
      <c r="I149" s="757"/>
    </row>
    <row r="150" spans="1:9" x14ac:dyDescent="0.25">
      <c r="A150" s="758"/>
      <c r="B150" s="687"/>
      <c r="C150" s="687"/>
      <c r="D150" s="687"/>
      <c r="E150" s="687"/>
      <c r="F150" s="687"/>
      <c r="G150" s="687"/>
      <c r="H150" s="687"/>
      <c r="I150" s="687"/>
    </row>
    <row r="151" spans="1:9" x14ac:dyDescent="0.25">
      <c r="A151" s="687"/>
      <c r="B151" s="687"/>
      <c r="C151" s="687"/>
      <c r="D151" s="687"/>
      <c r="E151" s="687"/>
      <c r="F151" s="687"/>
      <c r="G151" s="687"/>
      <c r="H151" s="687"/>
      <c r="I151" s="687"/>
    </row>
    <row r="152" spans="1:9" x14ac:dyDescent="0.25">
      <c r="A152" s="687"/>
      <c r="B152" s="687"/>
      <c r="C152" s="687"/>
      <c r="D152" s="687"/>
      <c r="E152" s="687"/>
      <c r="F152" s="687"/>
      <c r="G152" s="687"/>
      <c r="H152" s="687"/>
      <c r="I152" s="687"/>
    </row>
    <row r="153" spans="1:9" x14ac:dyDescent="0.25">
      <c r="A153" s="687"/>
      <c r="B153" s="687"/>
      <c r="C153" s="687"/>
      <c r="D153" s="687"/>
      <c r="E153" s="687"/>
      <c r="F153" s="687"/>
      <c r="G153" s="687"/>
      <c r="H153" s="687"/>
      <c r="I153" s="687"/>
    </row>
    <row r="154" spans="1:9" x14ac:dyDescent="0.25">
      <c r="A154" s="687"/>
      <c r="B154" s="687"/>
      <c r="C154" s="687"/>
      <c r="D154" s="687"/>
      <c r="E154" s="687"/>
      <c r="F154" s="687"/>
      <c r="G154" s="687"/>
      <c r="H154" s="687"/>
      <c r="I154" s="687"/>
    </row>
    <row r="155" spans="1:9" x14ac:dyDescent="0.25">
      <c r="A155" s="687"/>
      <c r="B155" s="687"/>
      <c r="C155" s="687"/>
      <c r="D155" s="687"/>
      <c r="E155" s="687"/>
      <c r="F155" s="687"/>
      <c r="G155" s="687"/>
      <c r="H155" s="687"/>
      <c r="I155" s="687"/>
    </row>
    <row r="156" spans="1:9" x14ac:dyDescent="0.25">
      <c r="A156" s="687"/>
      <c r="B156" s="687"/>
      <c r="C156" s="687"/>
      <c r="D156" s="687"/>
      <c r="E156" s="687"/>
      <c r="F156" s="687"/>
      <c r="G156" s="687"/>
      <c r="H156" s="687"/>
      <c r="I156" s="687"/>
    </row>
    <row r="157" spans="1:9" x14ac:dyDescent="0.25">
      <c r="A157" s="687"/>
      <c r="B157" s="687"/>
      <c r="C157" s="687"/>
      <c r="D157" s="687"/>
      <c r="E157" s="687"/>
      <c r="F157" s="687"/>
      <c r="G157" s="687"/>
      <c r="H157" s="687"/>
      <c r="I157" s="687"/>
    </row>
    <row r="158" spans="1:9" x14ac:dyDescent="0.25">
      <c r="A158" s="687"/>
      <c r="B158" s="687"/>
      <c r="C158" s="687"/>
      <c r="D158" s="687"/>
      <c r="E158" s="687"/>
      <c r="F158" s="687"/>
      <c r="G158" s="687"/>
      <c r="H158" s="687"/>
      <c r="I158" s="687"/>
    </row>
    <row r="159" spans="1:9" x14ac:dyDescent="0.25">
      <c r="A159" s="687"/>
      <c r="B159" s="687"/>
      <c r="C159" s="687"/>
      <c r="D159" s="687"/>
      <c r="E159" s="687"/>
      <c r="F159" s="687"/>
      <c r="G159" s="687"/>
      <c r="H159" s="687"/>
      <c r="I159" s="687"/>
    </row>
    <row r="160" spans="1:9" x14ac:dyDescent="0.25">
      <c r="A160" s="687"/>
      <c r="B160" s="687"/>
      <c r="C160" s="687"/>
      <c r="D160" s="687"/>
      <c r="E160" s="687"/>
      <c r="F160" s="687"/>
      <c r="G160" s="687"/>
      <c r="H160" s="687"/>
      <c r="I160" s="687"/>
    </row>
    <row r="161" spans="1:9" x14ac:dyDescent="0.25">
      <c r="A161" s="687"/>
      <c r="B161" s="687"/>
      <c r="C161" s="687"/>
      <c r="D161" s="687"/>
      <c r="E161" s="687"/>
      <c r="F161" s="687"/>
      <c r="G161" s="687"/>
      <c r="H161" s="687"/>
      <c r="I161" s="687"/>
    </row>
    <row r="162" spans="1:9" x14ac:dyDescent="0.25">
      <c r="A162" s="687"/>
      <c r="B162" s="687"/>
      <c r="C162" s="687"/>
      <c r="D162" s="687"/>
      <c r="E162" s="687"/>
      <c r="F162" s="687"/>
      <c r="G162" s="687"/>
      <c r="H162" s="687"/>
      <c r="I162" s="687"/>
    </row>
    <row r="163" spans="1:9" x14ac:dyDescent="0.25">
      <c r="A163" s="687"/>
      <c r="B163" s="687"/>
      <c r="C163" s="687"/>
      <c r="D163" s="687"/>
      <c r="E163" s="687"/>
      <c r="F163" s="687"/>
      <c r="G163" s="687"/>
      <c r="H163" s="687"/>
      <c r="I163" s="687"/>
    </row>
    <row r="164" spans="1:9" x14ac:dyDescent="0.25">
      <c r="A164" s="758"/>
      <c r="B164" s="687"/>
      <c r="C164" s="687"/>
      <c r="D164" s="687"/>
      <c r="E164" s="687"/>
      <c r="F164" s="687"/>
      <c r="G164" s="687"/>
      <c r="H164" s="687"/>
      <c r="I164" s="687"/>
    </row>
    <row r="165" spans="1:9" x14ac:dyDescent="0.25">
      <c r="A165" s="687"/>
      <c r="B165" s="687"/>
      <c r="C165" s="687"/>
      <c r="D165" s="687"/>
      <c r="E165" s="687"/>
      <c r="F165" s="687"/>
      <c r="G165" s="687"/>
      <c r="H165" s="687"/>
      <c r="I165" s="687"/>
    </row>
    <row r="166" spans="1:9" x14ac:dyDescent="0.25">
      <c r="A166" s="687"/>
      <c r="B166" s="687"/>
      <c r="C166" s="687"/>
      <c r="D166" s="687"/>
      <c r="E166" s="687"/>
      <c r="F166" s="687"/>
      <c r="G166" s="687"/>
      <c r="H166" s="687"/>
      <c r="I166" s="687"/>
    </row>
    <row r="167" spans="1:9" x14ac:dyDescent="0.25">
      <c r="A167" s="758"/>
      <c r="B167" s="687"/>
      <c r="C167" s="687"/>
      <c r="D167" s="687"/>
      <c r="E167" s="687"/>
      <c r="F167" s="687"/>
      <c r="G167" s="687"/>
      <c r="H167" s="687"/>
      <c r="I167" s="687"/>
    </row>
    <row r="168" spans="1:9" x14ac:dyDescent="0.25">
      <c r="A168" s="687"/>
      <c r="B168" s="687"/>
      <c r="C168" s="687"/>
      <c r="D168" s="687"/>
      <c r="E168" s="687"/>
      <c r="F168" s="687"/>
      <c r="G168" s="687"/>
      <c r="H168" s="687"/>
      <c r="I168" s="687"/>
    </row>
    <row r="169" spans="1:9" x14ac:dyDescent="0.25">
      <c r="A169" s="687"/>
      <c r="B169" s="687"/>
      <c r="C169" s="687"/>
      <c r="D169" s="687"/>
      <c r="E169" s="687"/>
      <c r="F169" s="687"/>
      <c r="G169" s="687"/>
      <c r="H169" s="687"/>
      <c r="I169" s="687"/>
    </row>
    <row r="170" spans="1:9" x14ac:dyDescent="0.25">
      <c r="A170" s="758"/>
      <c r="B170" s="687"/>
      <c r="C170" s="687"/>
      <c r="D170" s="687"/>
      <c r="E170" s="687"/>
      <c r="F170" s="687"/>
      <c r="G170" s="687"/>
      <c r="H170" s="687"/>
      <c r="I170" s="687"/>
    </row>
    <row r="171" spans="1:9" x14ac:dyDescent="0.25">
      <c r="A171" s="687"/>
      <c r="B171" s="687"/>
      <c r="C171" s="687"/>
      <c r="D171" s="687"/>
      <c r="E171" s="687"/>
      <c r="F171" s="687"/>
      <c r="G171" s="687"/>
      <c r="H171" s="687"/>
      <c r="I171" s="687"/>
    </row>
    <row r="172" spans="1:9" x14ac:dyDescent="0.25">
      <c r="A172" s="687"/>
      <c r="B172" s="687"/>
      <c r="C172" s="687"/>
      <c r="D172" s="687"/>
      <c r="E172" s="687"/>
      <c r="F172" s="687"/>
      <c r="G172" s="687"/>
      <c r="H172" s="687"/>
      <c r="I172" s="687"/>
    </row>
  </sheetData>
  <mergeCells count="37">
    <mergeCell ref="H148:I148"/>
    <mergeCell ref="A127:I127"/>
    <mergeCell ref="A67:I67"/>
    <mergeCell ref="A70:I70"/>
    <mergeCell ref="A72:I72"/>
    <mergeCell ref="A90:A91"/>
    <mergeCell ref="C90:G90"/>
    <mergeCell ref="A96:A97"/>
    <mergeCell ref="C96:G96"/>
    <mergeCell ref="A83:A84"/>
    <mergeCell ref="A104:I104"/>
    <mergeCell ref="H106:I106"/>
    <mergeCell ref="F106:G106"/>
    <mergeCell ref="A119:I119"/>
    <mergeCell ref="B83:B84"/>
    <mergeCell ref="C83:C84"/>
    <mergeCell ref="B49:E49"/>
    <mergeCell ref="F49:I49"/>
    <mergeCell ref="A59:I59"/>
    <mergeCell ref="A62:I62"/>
    <mergeCell ref="A63:I63"/>
    <mergeCell ref="E83:I83"/>
    <mergeCell ref="A8:A9"/>
    <mergeCell ref="B8:E8"/>
    <mergeCell ref="F8:I8"/>
    <mergeCell ref="A76:A77"/>
    <mergeCell ref="A24:A25"/>
    <mergeCell ref="B24:E24"/>
    <mergeCell ref="F24:I24"/>
    <mergeCell ref="A64:I64"/>
    <mergeCell ref="A38:A39"/>
    <mergeCell ref="B38:E38"/>
    <mergeCell ref="F38:I38"/>
    <mergeCell ref="A49:A50"/>
    <mergeCell ref="B76:B77"/>
    <mergeCell ref="C76:C77"/>
    <mergeCell ref="E76:I76"/>
  </mergeCells>
  <pageMargins left="0.70866141732283472" right="0.70866141732283472" top="0.74803149606299213" bottom="0.74803149606299213" header="0.31496062992125984" footer="0.31496062992125984"/>
  <pageSetup paperSize="9" scale="60" orientation="portrait" r:id="rId1"/>
  <headerFooter>
    <oddHeader>&amp;C&amp;G</oddHeader>
  </headerFooter>
  <rowBreaks count="2" manualBreakCount="2">
    <brk id="67" max="5" man="1"/>
    <brk id="142" max="8" man="1"/>
  </rowBreak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20A3-CD95-4032-B7AC-49063EB7BD59}">
  <sheetPr codeName="Sheet12">
    <pageSetUpPr fitToPage="1"/>
  </sheetPr>
  <dimension ref="A1:H54"/>
  <sheetViews>
    <sheetView showGridLines="0" view="pageBreakPreview" topLeftCell="A6" zoomScaleNormal="100" zoomScaleSheetLayoutView="100" workbookViewId="0">
      <selection activeCell="D40" sqref="D40"/>
    </sheetView>
  </sheetViews>
  <sheetFormatPr defaultRowHeight="15" x14ac:dyDescent="0.25"/>
  <cols>
    <col min="1" max="1" width="33.5703125" customWidth="1"/>
    <col min="2" max="2" width="31.5703125" customWidth="1"/>
    <col min="3" max="3" width="29.85546875" customWidth="1"/>
    <col min="4" max="4" width="12.85546875" customWidth="1"/>
    <col min="5" max="5" width="11.42578125" customWidth="1"/>
    <col min="6" max="6" width="13.140625" hidden="1" customWidth="1"/>
    <col min="7" max="7" width="15.42578125" customWidth="1"/>
    <col min="8" max="8" width="35.140625" customWidth="1"/>
  </cols>
  <sheetData>
    <row r="1" spans="1:8" x14ac:dyDescent="0.25">
      <c r="A1" s="193" t="str">
        <f>PL!$A$1</f>
        <v>BVC Specialities Private Limited</v>
      </c>
      <c r="B1" s="55"/>
      <c r="C1" s="55"/>
      <c r="D1" s="55"/>
      <c r="E1" s="55"/>
      <c r="F1" s="55"/>
      <c r="G1" s="55"/>
      <c r="H1" s="56"/>
    </row>
    <row r="2" spans="1:8" x14ac:dyDescent="0.25">
      <c r="A2" s="59" t="str">
        <f>'BS  Notes  3-18'!$A$2</f>
        <v>Notes to Financial Statements for the year ended 31 March 2026</v>
      </c>
      <c r="B2" s="5"/>
      <c r="C2" s="5"/>
      <c r="D2" s="5"/>
      <c r="E2" s="5"/>
      <c r="F2" s="5"/>
      <c r="G2" s="5"/>
      <c r="H2" s="181" t="str">
        <f>Input!$D$2</f>
        <v>(₹ in Lakh)</v>
      </c>
    </row>
    <row r="3" spans="1:8" x14ac:dyDescent="0.25">
      <c r="A3" s="18"/>
      <c r="H3" s="58"/>
    </row>
    <row r="4" spans="1:8" x14ac:dyDescent="0.25">
      <c r="A4" s="27" t="s">
        <v>1030</v>
      </c>
      <c r="H4" s="58"/>
    </row>
    <row r="5" spans="1:8" x14ac:dyDescent="0.25">
      <c r="A5" s="27" t="s">
        <v>349</v>
      </c>
      <c r="H5" s="58"/>
    </row>
    <row r="6" spans="1:8" s="501" customFormat="1" ht="30.75" customHeight="1" x14ac:dyDescent="0.25">
      <c r="A6" s="497" t="s">
        <v>0</v>
      </c>
      <c r="B6" s="498" t="s">
        <v>350</v>
      </c>
      <c r="C6" s="499" t="s">
        <v>351</v>
      </c>
      <c r="D6" s="498" t="s">
        <v>1593</v>
      </c>
      <c r="E6" s="498" t="s">
        <v>1181</v>
      </c>
      <c r="F6" s="498" t="s">
        <v>89</v>
      </c>
      <c r="G6" s="498" t="s">
        <v>352</v>
      </c>
      <c r="H6" s="500" t="s">
        <v>353</v>
      </c>
    </row>
    <row r="7" spans="1:8" x14ac:dyDescent="0.25">
      <c r="A7" s="194" t="s">
        <v>354</v>
      </c>
      <c r="B7" s="184"/>
      <c r="C7" s="185"/>
      <c r="D7" s="772"/>
      <c r="E7" s="772"/>
      <c r="F7" s="772"/>
      <c r="G7" s="772"/>
      <c r="H7" s="462"/>
    </row>
    <row r="8" spans="1:8" ht="30" x14ac:dyDescent="0.25">
      <c r="A8" s="1133" t="s">
        <v>355</v>
      </c>
      <c r="B8" s="1134" t="s">
        <v>16</v>
      </c>
      <c r="C8" s="1135" t="s">
        <v>33</v>
      </c>
      <c r="D8" s="773">
        <f>BS!D30/BS!D59</f>
        <v>0.71661259799945931</v>
      </c>
      <c r="E8" s="773">
        <f>BS!E30/BS!E59</f>
        <v>0.86572532303183691</v>
      </c>
      <c r="F8" s="773">
        <f>BS!F30/BS!F59</f>
        <v>7.2727272727272725</v>
      </c>
      <c r="G8" s="774">
        <f>D8/E8-1</f>
        <v>-0.17224022569903963</v>
      </c>
      <c r="H8" s="1136" t="s">
        <v>1661</v>
      </c>
    </row>
    <row r="9" spans="1:8" ht="15" customHeight="1" x14ac:dyDescent="0.25">
      <c r="A9" s="194" t="s">
        <v>356</v>
      </c>
      <c r="B9" s="184"/>
      <c r="C9" s="221"/>
      <c r="D9" s="775"/>
      <c r="E9" s="772"/>
      <c r="F9" s="776"/>
      <c r="G9" s="776"/>
      <c r="H9" s="222"/>
    </row>
    <row r="10" spans="1:8" ht="27.95" customHeight="1" x14ac:dyDescent="0.25">
      <c r="A10" s="1133" t="s">
        <v>357</v>
      </c>
      <c r="B10" s="1135" t="s">
        <v>473</v>
      </c>
      <c r="C10" s="1137" t="s">
        <v>25</v>
      </c>
      <c r="D10" s="777">
        <f>(BS!D43+BS!D50)/BS!D38</f>
        <v>1.1415113849033245</v>
      </c>
      <c r="E10" s="777">
        <f>(BS!E43+BS!E50)/BS!E38</f>
        <v>1.0886807076752398</v>
      </c>
      <c r="F10" s="777" t="e">
        <f>(BS!F43+BS!F50)/BS!F38</f>
        <v>#REF!</v>
      </c>
      <c r="G10" s="764">
        <f>D10/E10-1</f>
        <v>4.8527246653335965E-2</v>
      </c>
      <c r="H10" s="1145"/>
    </row>
    <row r="11" spans="1:8" ht="60" customHeight="1" x14ac:dyDescent="0.25">
      <c r="A11" s="1133" t="s">
        <v>358</v>
      </c>
      <c r="B11" s="1138" t="s">
        <v>524</v>
      </c>
      <c r="C11" s="1139" t="s">
        <v>525</v>
      </c>
      <c r="D11" s="1140">
        <f>(PL!D26+PL!D17+PL!D18+PL!D19+PL!D25-PL!D9)/PL!D17</f>
        <v>1.4762664179325671</v>
      </c>
      <c r="E11" s="773">
        <f>(PL!E26+PL!E17+PL!E18+PL!E19+PL!E25-PL!E9)/PL!E17</f>
        <v>0.55109779687892158</v>
      </c>
      <c r="F11" s="1140" t="e">
        <f>(PL!F21+PL!F17)/#REF!</f>
        <v>#REF!</v>
      </c>
      <c r="G11" s="764">
        <f>D11/E11-1</f>
        <v>1.6787739422897907</v>
      </c>
      <c r="H11" s="1608" t="s">
        <v>1706</v>
      </c>
    </row>
    <row r="12" spans="1:8" x14ac:dyDescent="0.25">
      <c r="A12" s="194" t="s">
        <v>359</v>
      </c>
      <c r="B12" s="78"/>
      <c r="C12" s="1142"/>
      <c r="D12" s="1944"/>
      <c r="E12" s="1945"/>
      <c r="F12" s="1945"/>
      <c r="G12" s="1945"/>
      <c r="H12" s="1946"/>
    </row>
    <row r="13" spans="1:8" s="199" customFormat="1" ht="60" customHeight="1" x14ac:dyDescent="0.25">
      <c r="A13" s="1133" t="s">
        <v>361</v>
      </c>
      <c r="B13" s="1134" t="s">
        <v>526</v>
      </c>
      <c r="C13" s="1135" t="s">
        <v>362</v>
      </c>
      <c r="D13" s="804">
        <f>PL!D26/PL!D8</f>
        <v>-0.25338384746498666</v>
      </c>
      <c r="E13" s="804">
        <f>PL!E26/PL!E8</f>
        <v>-1.8546939269269485</v>
      </c>
      <c r="F13" s="1143"/>
      <c r="G13" s="764">
        <f>D13/E13-1</f>
        <v>-0.86338239221777169</v>
      </c>
      <c r="H13" s="1141" t="s">
        <v>1706</v>
      </c>
    </row>
    <row r="14" spans="1:8" ht="75" x14ac:dyDescent="0.25">
      <c r="A14" s="1133" t="s">
        <v>360</v>
      </c>
      <c r="B14" s="1134" t="s">
        <v>526</v>
      </c>
      <c r="C14" s="1135" t="s">
        <v>564</v>
      </c>
      <c r="D14" s="1470">
        <f>PL!D26/(BS!D38+BS!E38/2)</f>
        <v>-0.14541305515675992</v>
      </c>
      <c r="E14" s="1470">
        <v>-6.1949592260137999E-2</v>
      </c>
      <c r="F14" s="1470" t="e">
        <f>PL!F26/(BS!F38)</f>
        <v>#REF!</v>
      </c>
      <c r="G14" s="766">
        <f>D14/E14-1</f>
        <v>1.3472802620902353</v>
      </c>
      <c r="H14" s="1141" t="s">
        <v>1706</v>
      </c>
    </row>
    <row r="15" spans="1:8" ht="60" x14ac:dyDescent="0.25">
      <c r="A15" s="1133" t="s">
        <v>363</v>
      </c>
      <c r="B15" s="1144" t="s">
        <v>524</v>
      </c>
      <c r="C15" s="1144" t="s">
        <v>565</v>
      </c>
      <c r="D15" s="763">
        <f>(PL!D26+PL!D17)/B47</f>
        <v>-9.8498306659055984E-2</v>
      </c>
      <c r="E15" s="763">
        <f>(PL!E26+PL!E17)/B47</f>
        <v>-3.8329111430931692E-2</v>
      </c>
      <c r="F15" s="763" t="e">
        <f>(PL!F26+PL!F17)/D47</f>
        <v>#REF!</v>
      </c>
      <c r="G15" s="764">
        <f>D15/E15-1</f>
        <v>1.5698040727228442</v>
      </c>
      <c r="H15" s="1145" t="s">
        <v>1707</v>
      </c>
    </row>
    <row r="16" spans="1:8" ht="14.45" hidden="1" customHeight="1" x14ac:dyDescent="0.25">
      <c r="A16" s="1146" t="s">
        <v>364</v>
      </c>
      <c r="B16" s="1138" t="s">
        <v>365</v>
      </c>
      <c r="C16" s="1139" t="s">
        <v>366</v>
      </c>
      <c r="D16" s="1950" t="s">
        <v>369</v>
      </c>
      <c r="E16" s="1951"/>
      <c r="F16" s="1951"/>
      <c r="G16" s="1952"/>
      <c r="H16" s="1147" t="s">
        <v>226</v>
      </c>
    </row>
    <row r="17" spans="1:8" hidden="1" x14ac:dyDescent="0.25">
      <c r="A17" s="195" t="s">
        <v>367</v>
      </c>
      <c r="B17" s="186"/>
      <c r="C17" s="185"/>
      <c r="D17" s="1682"/>
      <c r="E17" s="1682"/>
      <c r="F17" s="1682"/>
      <c r="G17" s="1682"/>
      <c r="H17" s="222"/>
    </row>
    <row r="18" spans="1:8" ht="21.6" customHeight="1" x14ac:dyDescent="0.25">
      <c r="A18" s="1133" t="s">
        <v>477</v>
      </c>
      <c r="B18" s="1134" t="s">
        <v>80</v>
      </c>
      <c r="C18" s="1135" t="s">
        <v>1037</v>
      </c>
      <c r="D18" s="765">
        <f>BS!D24/PL!D8*366</f>
        <v>47.146396492273638</v>
      </c>
      <c r="E18" s="765">
        <f>BS!E24/PL!E8*366</f>
        <v>151.88665447897623</v>
      </c>
      <c r="F18" s="1123"/>
      <c r="G18" s="766">
        <f>D18/E18-1</f>
        <v>-0.68959487155733279</v>
      </c>
      <c r="H18" s="1947" t="s">
        <v>1708</v>
      </c>
    </row>
    <row r="19" spans="1:8" x14ac:dyDescent="0.25">
      <c r="A19" s="1133" t="s">
        <v>478</v>
      </c>
      <c r="B19" s="1135" t="s">
        <v>480</v>
      </c>
      <c r="C19" s="1135" t="s">
        <v>1037</v>
      </c>
      <c r="D19" s="765">
        <f>'BS  Notes  3-18'!G71/PL!D8*366</f>
        <v>25.692137414328894</v>
      </c>
      <c r="E19" s="765">
        <f>'BS  Notes  3-18'!H71/PL!E8*366</f>
        <v>107.39122486288848</v>
      </c>
      <c r="F19" s="1123"/>
      <c r="G19" s="766">
        <f>D19/E19-1</f>
        <v>-0.76076129639892576</v>
      </c>
      <c r="H19" s="1948"/>
    </row>
    <row r="20" spans="1:8" x14ac:dyDescent="0.25">
      <c r="A20" s="1133" t="s">
        <v>479</v>
      </c>
      <c r="B20" s="1134" t="s">
        <v>224</v>
      </c>
      <c r="C20" s="1135" t="s">
        <v>1037</v>
      </c>
      <c r="D20" s="765">
        <f>(BS!D54+BS!D53)/PL!D8*366</f>
        <v>154.55791579753947</v>
      </c>
      <c r="E20" s="765">
        <f>(BS!E54+BS!E53)/PL!E8*366</f>
        <v>606.54296160877516</v>
      </c>
      <c r="F20" s="1123"/>
      <c r="G20" s="766">
        <f>D20/E20-1</f>
        <v>-0.74518224498460095</v>
      </c>
      <c r="H20" s="1948"/>
    </row>
    <row r="21" spans="1:8" ht="27" customHeight="1" thickBot="1" x14ac:dyDescent="0.3">
      <c r="A21" s="1148" t="s">
        <v>368</v>
      </c>
      <c r="B21" s="1149" t="s">
        <v>43</v>
      </c>
      <c r="C21" s="1150" t="s">
        <v>474</v>
      </c>
      <c r="D21" s="785">
        <f>PL!D8/'Ratios -33'!B28</f>
        <v>0.49648485655723046</v>
      </c>
      <c r="E21" s="785">
        <f>PL!E8/'Ratios -33'!C28</f>
        <v>2.070794316076871E-2</v>
      </c>
      <c r="F21" s="1151"/>
      <c r="G21" s="1250">
        <f>D21/E21-1</f>
        <v>22.975575589652149</v>
      </c>
      <c r="H21" s="1949"/>
    </row>
    <row r="25" spans="1:8" x14ac:dyDescent="0.25">
      <c r="A25" s="4" t="s">
        <v>368</v>
      </c>
    </row>
    <row r="26" spans="1:8" x14ac:dyDescent="0.25">
      <c r="A26" s="4" t="s">
        <v>476</v>
      </c>
      <c r="B26" s="75">
        <f>BS!D31</f>
        <v>69508.635461176775</v>
      </c>
      <c r="C26" s="75">
        <f>BS!E31</f>
        <v>60336.969230000002</v>
      </c>
      <c r="D26" s="75"/>
    </row>
    <row r="27" spans="1:8" x14ac:dyDescent="0.25">
      <c r="A27" s="4" t="s">
        <v>449</v>
      </c>
      <c r="B27" s="75">
        <f>BS!D59</f>
        <v>22194</v>
      </c>
      <c r="C27" s="75">
        <f>BS!E59</f>
        <v>7507</v>
      </c>
      <c r="D27" s="75"/>
    </row>
    <row r="28" spans="1:8" x14ac:dyDescent="0.25">
      <c r="A28" s="4"/>
      <c r="B28" s="491">
        <f>B26-B27</f>
        <v>47314.635461176775</v>
      </c>
      <c r="C28" s="491">
        <f>C26-C27</f>
        <v>52829.969230000002</v>
      </c>
      <c r="D28" s="491"/>
    </row>
    <row r="29" spans="1:8" x14ac:dyDescent="0.25">
      <c r="A29" t="s">
        <v>474</v>
      </c>
      <c r="B29" s="75">
        <f>AVERAGE(B28:C28)</f>
        <v>50072.302345588389</v>
      </c>
      <c r="C29" s="75">
        <f>AVERAGE(C28:E28)</f>
        <v>52829.969230000002</v>
      </c>
      <c r="D29" s="75"/>
    </row>
    <row r="30" spans="1:8" x14ac:dyDescent="0.25">
      <c r="B30" s="75"/>
      <c r="C30" s="75"/>
      <c r="D30" s="75"/>
    </row>
    <row r="31" spans="1:8" x14ac:dyDescent="0.25">
      <c r="A31" s="4" t="s">
        <v>360</v>
      </c>
      <c r="B31" s="75"/>
      <c r="C31" s="75"/>
      <c r="D31" s="75"/>
    </row>
    <row r="32" spans="1:8" x14ac:dyDescent="0.25">
      <c r="A32" s="199" t="s">
        <v>1038</v>
      </c>
      <c r="B32" s="75">
        <f>BS!D38</f>
        <v>27544.184329500007</v>
      </c>
      <c r="C32" s="75">
        <f>BS!E38</f>
        <v>26778.282920300007</v>
      </c>
      <c r="D32" s="75"/>
    </row>
    <row r="33" spans="1:4" x14ac:dyDescent="0.25">
      <c r="A33" s="199" t="s">
        <v>1039</v>
      </c>
      <c r="B33" s="75">
        <f>BS!D43+BS!D50</f>
        <v>31442</v>
      </c>
      <c r="C33" s="75">
        <f>BS!E43+BS!E50</f>
        <v>29153</v>
      </c>
      <c r="D33" s="75"/>
    </row>
    <row r="34" spans="1:4" x14ac:dyDescent="0.25">
      <c r="A34" s="1152" t="s">
        <v>1040</v>
      </c>
      <c r="B34" s="75">
        <f>BS!D16</f>
        <v>1586.3846610767823</v>
      </c>
      <c r="C34" s="75">
        <f>BS!E16</f>
        <v>0</v>
      </c>
      <c r="D34" s="75"/>
    </row>
    <row r="35" spans="1:4" x14ac:dyDescent="0.25">
      <c r="B35" s="75"/>
      <c r="C35" s="75"/>
      <c r="D35" s="75"/>
    </row>
    <row r="36" spans="1:4" x14ac:dyDescent="0.25">
      <c r="A36" s="4" t="s">
        <v>368</v>
      </c>
      <c r="B36" s="75"/>
      <c r="C36" s="75"/>
      <c r="D36" s="75"/>
    </row>
    <row r="37" spans="1:4" x14ac:dyDescent="0.25">
      <c r="A37" s="1153"/>
      <c r="B37" s="75"/>
      <c r="C37" s="75"/>
      <c r="D37" s="75"/>
    </row>
    <row r="38" spans="1:4" x14ac:dyDescent="0.25">
      <c r="A38" s="199" t="s">
        <v>503</v>
      </c>
      <c r="B38" s="75">
        <f>BS!D30</f>
        <v>15904.5</v>
      </c>
      <c r="C38" s="75">
        <f>BS!E30</f>
        <v>6499</v>
      </c>
      <c r="D38" s="75"/>
    </row>
    <row r="39" spans="1:4" x14ac:dyDescent="0.25">
      <c r="A39" t="s">
        <v>449</v>
      </c>
      <c r="B39" s="75">
        <f>BS!D59</f>
        <v>22194</v>
      </c>
      <c r="C39" s="75">
        <f>BS!E59</f>
        <v>7507</v>
      </c>
      <c r="D39" s="75"/>
    </row>
    <row r="40" spans="1:4" x14ac:dyDescent="0.25">
      <c r="A40" s="4" t="s">
        <v>1041</v>
      </c>
      <c r="B40" s="75">
        <f>B38-B39</f>
        <v>-6289.5</v>
      </c>
      <c r="C40" s="75">
        <f>C38-C39</f>
        <v>-1008</v>
      </c>
      <c r="D40" s="75"/>
    </row>
    <row r="41" spans="1:4" x14ac:dyDescent="0.25">
      <c r="A41" s="4"/>
      <c r="B41" s="75"/>
      <c r="C41" s="75"/>
      <c r="D41" s="75"/>
    </row>
    <row r="42" spans="1:4" x14ac:dyDescent="0.25">
      <c r="A42" s="4" t="s">
        <v>364</v>
      </c>
      <c r="B42" s="75"/>
      <c r="C42" s="75"/>
      <c r="D42" s="75"/>
    </row>
    <row r="43" spans="1:4" x14ac:dyDescent="0.25">
      <c r="A43" t="s">
        <v>1042</v>
      </c>
      <c r="B43" s="75">
        <f>'PL Notes 19-27'!C28</f>
        <v>4</v>
      </c>
      <c r="C43" s="75">
        <f>'PL Notes 19-27'!D28</f>
        <v>18</v>
      </c>
      <c r="D43" s="75"/>
    </row>
    <row r="44" spans="1:4" x14ac:dyDescent="0.25">
      <c r="A44" t="s">
        <v>1043</v>
      </c>
      <c r="B44" s="75">
        <f>'PL Notes 19-27'!C29*0</f>
        <v>0</v>
      </c>
      <c r="C44" s="75">
        <f>'PL Notes 19-27'!D29*0</f>
        <v>0</v>
      </c>
      <c r="D44" s="75"/>
    </row>
    <row r="45" spans="1:4" x14ac:dyDescent="0.25">
      <c r="B45" s="75"/>
      <c r="C45" s="75"/>
      <c r="D45" s="75"/>
    </row>
    <row r="46" spans="1:4" x14ac:dyDescent="0.25">
      <c r="A46" s="4" t="s">
        <v>566</v>
      </c>
      <c r="B46" s="75"/>
      <c r="C46" s="75"/>
      <c r="D46" s="75"/>
    </row>
    <row r="47" spans="1:4" ht="45" x14ac:dyDescent="0.25">
      <c r="A47" s="315" t="s">
        <v>565</v>
      </c>
      <c r="B47" s="75">
        <f>BS!D43+BS!D50+BS!D16</f>
        <v>33028.38466107678</v>
      </c>
      <c r="C47" s="75">
        <f>BS!E43+BS!E50+BS!E16</f>
        <v>29153</v>
      </c>
      <c r="D47" s="75">
        <f>BS!F43+BS!F50+BS!F16</f>
        <v>525</v>
      </c>
    </row>
    <row r="49" spans="1:3" x14ac:dyDescent="0.25">
      <c r="A49" s="4" t="s">
        <v>364</v>
      </c>
    </row>
    <row r="50" spans="1:3" x14ac:dyDescent="0.25">
      <c r="A50" t="s">
        <v>1042</v>
      </c>
      <c r="B50">
        <f>'PL Notes 19-27'!C28</f>
        <v>4</v>
      </c>
      <c r="C50">
        <f>'PL Notes 19-27'!D28</f>
        <v>18</v>
      </c>
    </row>
    <row r="51" spans="1:3" x14ac:dyDescent="0.25">
      <c r="A51" t="s">
        <v>1043</v>
      </c>
      <c r="B51">
        <f>'PL Notes 19-27'!C29</f>
        <v>19</v>
      </c>
      <c r="C51">
        <f>'PL Notes 19-27'!D29</f>
        <v>2</v>
      </c>
    </row>
    <row r="52" spans="1:3" x14ac:dyDescent="0.25">
      <c r="B52">
        <f>SUM(B50:B51)</f>
        <v>23</v>
      </c>
      <c r="C52">
        <f>SUM(C50:C51)</f>
        <v>20</v>
      </c>
    </row>
    <row r="53" spans="1:3" x14ac:dyDescent="0.25">
      <c r="A53" s="4" t="s">
        <v>366</v>
      </c>
    </row>
    <row r="54" spans="1:3" x14ac:dyDescent="0.25">
      <c r="A54" t="s">
        <v>742</v>
      </c>
    </row>
  </sheetData>
  <mergeCells count="3">
    <mergeCell ref="D12:H12"/>
    <mergeCell ref="H18:H21"/>
    <mergeCell ref="D16:G16"/>
  </mergeCells>
  <pageMargins left="0.70866141732283472" right="0.70866141732283472" top="0.74803149606299213" bottom="0.74803149606299213" header="0.31496062992125984" footer="0.31496062992125984"/>
  <pageSetup paperSize="9" scale="77" orientation="landscape" r:id="rId1"/>
  <headerFooter>
    <oddHeader>&amp;C&amp;G</oddHeader>
  </headerFooter>
  <ignoredErrors>
    <ignoredError sqref="E8:F8" evalError="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A571-459C-4B15-A419-1D9B732C9B74}">
  <sheetPr>
    <pageSetUpPr fitToPage="1"/>
  </sheetPr>
  <dimension ref="A1:H18"/>
  <sheetViews>
    <sheetView showGridLines="0" view="pageBreakPreview" zoomScaleNormal="100" zoomScaleSheetLayoutView="100" workbookViewId="0">
      <selection activeCell="A5" sqref="A5"/>
    </sheetView>
  </sheetViews>
  <sheetFormatPr defaultRowHeight="15" x14ac:dyDescent="0.25"/>
  <cols>
    <col min="1" max="1" width="28.140625" customWidth="1"/>
    <col min="2" max="2" width="17" customWidth="1"/>
    <col min="3" max="3" width="11.42578125" customWidth="1"/>
    <col min="4" max="4" width="17.7109375" customWidth="1"/>
    <col min="5" max="5" width="19.42578125" customWidth="1"/>
    <col min="6" max="6" width="19.5703125" customWidth="1"/>
    <col min="7" max="7" width="13.140625" hidden="1" customWidth="1"/>
    <col min="8" max="8" width="10.5703125" hidden="1" customWidth="1"/>
  </cols>
  <sheetData>
    <row r="1" spans="1:8" x14ac:dyDescent="0.25">
      <c r="A1" s="655" t="str">
        <f>'Note 28-31'!A1</f>
        <v>BVC Specialities Private Limited</v>
      </c>
      <c r="B1" s="1154"/>
      <c r="C1" s="1154"/>
      <c r="D1" s="1154"/>
      <c r="E1" s="1154"/>
      <c r="F1" s="327"/>
    </row>
    <row r="2" spans="1:8" x14ac:dyDescent="0.25">
      <c r="A2" s="656" t="str">
        <f>'Note 28-31'!A2</f>
        <v>Notes to Financial Statements for the year ended 31 March 2026</v>
      </c>
      <c r="B2" s="657"/>
      <c r="C2" s="657"/>
      <c r="D2" s="657"/>
      <c r="E2" s="657"/>
      <c r="F2" s="658" t="str">
        <f>'Note 28-31'!G2</f>
        <v>(₹ in Lakh)</v>
      </c>
    </row>
    <row r="3" spans="1:8" x14ac:dyDescent="0.25">
      <c r="A3" s="602"/>
      <c r="B3" s="1093"/>
      <c r="C3" s="1093"/>
      <c r="D3" s="1093"/>
      <c r="E3" s="1093"/>
      <c r="F3" s="328"/>
    </row>
    <row r="4" spans="1:8" x14ac:dyDescent="0.25">
      <c r="A4" s="613" t="s">
        <v>1031</v>
      </c>
      <c r="B4" s="1093"/>
      <c r="C4" s="1093"/>
      <c r="D4" s="1093"/>
      <c r="E4" s="1093"/>
      <c r="F4" s="328"/>
    </row>
    <row r="5" spans="1:8" x14ac:dyDescent="0.25">
      <c r="A5" s="27" t="s">
        <v>943</v>
      </c>
      <c r="B5" s="1093"/>
      <c r="C5" s="1093"/>
      <c r="D5" s="1093"/>
      <c r="E5" s="1093"/>
      <c r="F5" s="328"/>
    </row>
    <row r="6" spans="1:8" x14ac:dyDescent="0.25">
      <c r="A6" s="780" t="s">
        <v>0</v>
      </c>
      <c r="B6" s="663"/>
      <c r="C6" s="663"/>
      <c r="D6" s="663"/>
      <c r="E6" s="663" t="s">
        <v>68</v>
      </c>
      <c r="F6" s="786" t="s">
        <v>68</v>
      </c>
      <c r="G6" s="659" t="s">
        <v>68</v>
      </c>
      <c r="H6" s="660" t="s">
        <v>68</v>
      </c>
    </row>
    <row r="7" spans="1:8" x14ac:dyDescent="0.25">
      <c r="A7" s="781"/>
      <c r="B7" s="664"/>
      <c r="C7" s="664"/>
      <c r="D7" s="664"/>
      <c r="E7" s="664" t="str">
        <f>BS!D5</f>
        <v>31 March 2026</v>
      </c>
      <c r="F7" s="1188" t="str">
        <f>BS!E5</f>
        <v>31 March 2025</v>
      </c>
      <c r="G7" s="661" t="str">
        <f>[20]Input!$C$6</f>
        <v>31 March 2022</v>
      </c>
      <c r="H7" s="662" t="str">
        <f>[20]Input!$C$8</f>
        <v>1 April 2021</v>
      </c>
    </row>
    <row r="8" spans="1:8" x14ac:dyDescent="0.25">
      <c r="A8" s="1958" t="s">
        <v>1761</v>
      </c>
      <c r="B8" s="1959"/>
      <c r="C8" s="1959"/>
      <c r="D8" s="1959"/>
      <c r="E8" s="1709">
        <v>762.28928097749974</v>
      </c>
      <c r="F8" s="1710">
        <v>0</v>
      </c>
      <c r="G8" s="1707"/>
      <c r="H8" s="1708"/>
    </row>
    <row r="9" spans="1:8" ht="30" customHeight="1" x14ac:dyDescent="0.25">
      <c r="A9" s="1953" t="s">
        <v>944</v>
      </c>
      <c r="B9" s="1954"/>
      <c r="C9" s="1954"/>
      <c r="D9" s="461"/>
      <c r="E9" s="1235">
        <f>14076984.39/10^5-'BS  Notes  3-18'!G53</f>
        <v>139.26984390000001</v>
      </c>
      <c r="F9" s="652">
        <f>1180.417/100</f>
        <v>11.804169999999999</v>
      </c>
      <c r="G9" s="1705">
        <f>ROUND(97693236/[20]Input!$C$2,[20]Input!$E$2)</f>
        <v>977</v>
      </c>
      <c r="H9" s="1706">
        <f>ROUND(48452005.12/[20]Input!$C$2,[20]Input!$E$2)</f>
        <v>485</v>
      </c>
    </row>
    <row r="10" spans="1:8" hidden="1" x14ac:dyDescent="0.25">
      <c r="A10" s="613" t="str">
        <f>+CONCATENATE("NOTE ",[20]Input!$D$93)</f>
        <v>NOTE 37</v>
      </c>
      <c r="F10" s="58"/>
    </row>
    <row r="11" spans="1:8" hidden="1" x14ac:dyDescent="0.25">
      <c r="A11" s="27" t="s">
        <v>945</v>
      </c>
      <c r="F11" s="58"/>
    </row>
    <row r="12" spans="1:8" ht="134.25" hidden="1" customHeight="1" thickBot="1" x14ac:dyDescent="0.3">
      <c r="A12" s="1955" t="s">
        <v>946</v>
      </c>
      <c r="B12" s="1956"/>
      <c r="C12" s="1956"/>
      <c r="D12" s="1956"/>
      <c r="E12" s="1956"/>
      <c r="F12" s="1957"/>
    </row>
    <row r="13" spans="1:8" ht="4.5" customHeight="1" x14ac:dyDescent="0.25">
      <c r="A13" s="18"/>
      <c r="F13" s="58"/>
    </row>
    <row r="14" spans="1:8" ht="93" customHeight="1" x14ac:dyDescent="0.25">
      <c r="A14" s="1960" t="s">
        <v>1762</v>
      </c>
      <c r="B14" s="1961"/>
      <c r="C14" s="1961"/>
      <c r="D14" s="1961"/>
      <c r="E14" s="1961"/>
      <c r="F14" s="1962"/>
    </row>
    <row r="15" spans="1:8" x14ac:dyDescent="0.25">
      <c r="A15" s="613" t="s">
        <v>1062</v>
      </c>
      <c r="F15" s="58"/>
    </row>
    <row r="16" spans="1:8" ht="6.6" customHeight="1" x14ac:dyDescent="0.25">
      <c r="A16" s="613"/>
      <c r="F16" s="58"/>
    </row>
    <row r="17" spans="1:6" ht="72.95" customHeight="1" x14ac:dyDescent="0.25">
      <c r="A17" s="1781" t="s">
        <v>1658</v>
      </c>
      <c r="B17" s="1782"/>
      <c r="C17" s="1782"/>
      <c r="D17" s="1782"/>
      <c r="E17" s="1782"/>
      <c r="F17" s="1783"/>
    </row>
    <row r="18" spans="1:6" ht="15.75" thickBot="1" x14ac:dyDescent="0.3">
      <c r="A18" s="363"/>
      <c r="B18" s="1112"/>
      <c r="C18" s="1112"/>
      <c r="D18" s="1112"/>
      <c r="E18" s="1112"/>
      <c r="F18" s="1113"/>
    </row>
  </sheetData>
  <mergeCells count="5">
    <mergeCell ref="A9:C9"/>
    <mergeCell ref="A12:F12"/>
    <mergeCell ref="A17:F17"/>
    <mergeCell ref="A8:D8"/>
    <mergeCell ref="A14:F14"/>
  </mergeCells>
  <pageMargins left="0.70866141732283472" right="0.70866141732283472" top="0.74803149606299213" bottom="0.74803149606299213" header="0.31496062992125984" footer="0.31496062992125984"/>
  <pageSetup paperSize="9" scale="77" orientation="portrait" r:id="rId1"/>
  <headerFooter>
    <oddHeader>&amp;C&amp;G</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3B24-4C41-4598-95C2-78F52C47FF96}">
  <sheetPr>
    <pageSetUpPr fitToPage="1"/>
  </sheetPr>
  <dimension ref="A1:K110"/>
  <sheetViews>
    <sheetView showGridLines="0" view="pageBreakPreview" topLeftCell="A49" zoomScaleNormal="100" zoomScaleSheetLayoutView="100" workbookViewId="0">
      <selection activeCell="C68" sqref="C68"/>
    </sheetView>
  </sheetViews>
  <sheetFormatPr defaultRowHeight="15" x14ac:dyDescent="0.25"/>
  <cols>
    <col min="1" max="1" width="23.85546875" customWidth="1"/>
    <col min="2" max="2" width="23.42578125" customWidth="1"/>
    <col min="3" max="3" width="21.140625" customWidth="1"/>
    <col min="4" max="5" width="22.140625" customWidth="1"/>
    <col min="6" max="6" width="25.5703125" customWidth="1"/>
    <col min="7" max="7" width="22" hidden="1" customWidth="1"/>
    <col min="8" max="8" width="20.7109375" hidden="1" customWidth="1"/>
    <col min="9" max="9" width="10" customWidth="1"/>
    <col min="10" max="10" width="8.7109375" customWidth="1"/>
    <col min="11" max="11" width="11" customWidth="1"/>
  </cols>
  <sheetData>
    <row r="1" spans="1:8" x14ac:dyDescent="0.25">
      <c r="A1" s="40" t="str">
        <f>'Note 28-31'!A1</f>
        <v>BVC Specialities Private Limited</v>
      </c>
      <c r="B1" s="55"/>
      <c r="C1" s="55"/>
      <c r="D1" s="55"/>
      <c r="E1" s="55"/>
      <c r="F1" s="56"/>
      <c r="G1" s="56"/>
      <c r="H1" s="56"/>
    </row>
    <row r="2" spans="1:8" x14ac:dyDescent="0.25">
      <c r="A2" s="57" t="str">
        <f>'BS  Notes  3-18'!A2</f>
        <v>Notes to Financial Statements for the year ended 31 March 2026</v>
      </c>
      <c r="B2" s="5"/>
      <c r="C2" s="705"/>
      <c r="D2" s="5"/>
      <c r="E2" s="5"/>
      <c r="F2" s="181" t="str">
        <f>'Note 28-31'!G2</f>
        <v>(₹ in Lakh)</v>
      </c>
      <c r="G2" s="181" t="str">
        <f>[1]Input!$D$2</f>
        <v>(₹ in Lakh)</v>
      </c>
      <c r="H2" s="58"/>
    </row>
    <row r="3" spans="1:8" hidden="1" x14ac:dyDescent="0.25">
      <c r="A3" s="18"/>
      <c r="F3" s="58"/>
      <c r="G3" s="58"/>
      <c r="H3" s="58"/>
    </row>
    <row r="4" spans="1:8" ht="9" customHeight="1" x14ac:dyDescent="0.25">
      <c r="A4" s="706"/>
      <c r="B4" s="1095"/>
      <c r="C4" s="1095"/>
      <c r="D4" s="1095"/>
      <c r="E4" s="1095"/>
      <c r="F4" s="707"/>
      <c r="G4" s="707"/>
      <c r="H4" s="58"/>
    </row>
    <row r="5" spans="1:8" x14ac:dyDescent="0.25">
      <c r="A5" s="27" t="s">
        <v>1063</v>
      </c>
      <c r="F5" s="58"/>
      <c r="G5" s="58"/>
      <c r="H5" s="58"/>
    </row>
    <row r="6" spans="1:8" x14ac:dyDescent="0.25">
      <c r="A6" s="27" t="s">
        <v>958</v>
      </c>
      <c r="F6" s="58"/>
      <c r="G6" s="58"/>
      <c r="H6" s="58"/>
    </row>
    <row r="7" spans="1:8" x14ac:dyDescent="0.25">
      <c r="A7" s="27" t="s">
        <v>959</v>
      </c>
      <c r="F7" s="58"/>
      <c r="G7" s="58"/>
      <c r="H7" s="58"/>
    </row>
    <row r="8" spans="1:8" ht="33.6" customHeight="1" x14ac:dyDescent="0.25">
      <c r="A8" s="1731" t="s">
        <v>1659</v>
      </c>
      <c r="B8" s="1732"/>
      <c r="C8" s="1732"/>
      <c r="D8" s="1732"/>
      <c r="E8" s="1732"/>
      <c r="F8" s="1733"/>
      <c r="G8" s="708"/>
      <c r="H8" s="58"/>
    </row>
    <row r="9" spans="1:8" x14ac:dyDescent="0.25">
      <c r="A9" s="27" t="s">
        <v>960</v>
      </c>
      <c r="F9" s="58"/>
      <c r="G9" s="58"/>
      <c r="H9" s="58"/>
    </row>
    <row r="10" spans="1:8" ht="30" customHeight="1" x14ac:dyDescent="0.25">
      <c r="A10" s="1970" t="s">
        <v>961</v>
      </c>
      <c r="B10" s="1971"/>
      <c r="C10" s="1971"/>
      <c r="D10" s="1971"/>
      <c r="E10" s="1971"/>
      <c r="F10" s="1972"/>
      <c r="G10" s="1155"/>
      <c r="H10" s="58"/>
    </row>
    <row r="11" spans="1:8" x14ac:dyDescent="0.25">
      <c r="A11" s="1826" t="s">
        <v>0</v>
      </c>
      <c r="B11" s="1887"/>
      <c r="C11" s="1892" t="s">
        <v>1593</v>
      </c>
      <c r="D11" s="1892"/>
      <c r="E11" s="1892" t="s">
        <v>1181</v>
      </c>
      <c r="F11" s="1893"/>
      <c r="G11" s="1966" t="str">
        <f>[1]Input!$H$6</f>
        <v>2021-22</v>
      </c>
      <c r="H11" s="1967"/>
    </row>
    <row r="12" spans="1:8" x14ac:dyDescent="0.25">
      <c r="A12" s="1130"/>
      <c r="B12" s="252"/>
      <c r="C12" s="464" t="s">
        <v>962</v>
      </c>
      <c r="D12" s="709" t="s">
        <v>963</v>
      </c>
      <c r="E12" s="464" t="s">
        <v>962</v>
      </c>
      <c r="F12" s="710" t="s">
        <v>963</v>
      </c>
      <c r="G12" s="711" t="s">
        <v>962</v>
      </c>
      <c r="H12" s="712" t="s">
        <v>963</v>
      </c>
    </row>
    <row r="13" spans="1:8" x14ac:dyDescent="0.25">
      <c r="A13" s="27" t="s">
        <v>964</v>
      </c>
      <c r="F13" s="1156"/>
      <c r="G13" s="1142"/>
      <c r="H13" s="1156"/>
    </row>
    <row r="14" spans="1:8" x14ac:dyDescent="0.25">
      <c r="A14" s="18" t="s">
        <v>965</v>
      </c>
      <c r="C14" s="63">
        <f>1516410/100000</f>
        <v>15.164099999999999</v>
      </c>
      <c r="D14" s="63">
        <f>2025106/100000</f>
        <v>20.251059999999999</v>
      </c>
      <c r="E14" s="63">
        <f>749.901/100</f>
        <v>7.4990099999999993</v>
      </c>
      <c r="F14" s="276">
        <f>1382.435/100</f>
        <v>13.824349999999999</v>
      </c>
      <c r="G14" s="63">
        <f>ROUND(3677746/[1]Input!$C$2,[1]Input!$E$2)</f>
        <v>37</v>
      </c>
      <c r="H14" s="276">
        <f>ROUND(2079857/[1]Input!$C$2,[1]Input!$E$2)</f>
        <v>21</v>
      </c>
    </row>
    <row r="15" spans="1:8" x14ac:dyDescent="0.25">
      <c r="A15" s="18" t="s">
        <v>966</v>
      </c>
      <c r="C15" s="63">
        <v>0</v>
      </c>
      <c r="D15" s="63">
        <v>0</v>
      </c>
      <c r="E15" s="63">
        <v>0</v>
      </c>
      <c r="F15" s="276">
        <v>0</v>
      </c>
      <c r="G15" s="63">
        <f>ROUND(0/[1]Input!$C$2,[1]Input!$E$2)</f>
        <v>0</v>
      </c>
      <c r="H15" s="276">
        <f>ROUND(0/[1]Input!$C$2,[1]Input!$E$2)</f>
        <v>0</v>
      </c>
    </row>
    <row r="16" spans="1:8" x14ac:dyDescent="0.25">
      <c r="A16" s="18" t="s">
        <v>967</v>
      </c>
      <c r="C16" s="63">
        <f>122422/100000</f>
        <v>1.2242200000000001</v>
      </c>
      <c r="D16" s="63">
        <f>160233/100000</f>
        <v>1.60233</v>
      </c>
      <c r="E16" s="63">
        <f>84.747/100</f>
        <v>0.84746999999999995</v>
      </c>
      <c r="F16" s="276">
        <f>80.738/100</f>
        <v>0.80737999999999999</v>
      </c>
      <c r="G16" s="63">
        <f>ROUND(355152/[1]Input!$C$2,[1]Input!$E$2)</f>
        <v>4</v>
      </c>
      <c r="H16" s="276">
        <f>ROUND(728959/[1]Input!$C$2,[1]Input!$E$2)</f>
        <v>7</v>
      </c>
    </row>
    <row r="17" spans="1:11" ht="29.45" customHeight="1" x14ac:dyDescent="0.25">
      <c r="A17" s="1968" t="s">
        <v>968</v>
      </c>
      <c r="B17" s="1969"/>
      <c r="C17" s="63">
        <v>0</v>
      </c>
      <c r="D17" s="63">
        <f>172350/100000</f>
        <v>1.7235</v>
      </c>
      <c r="E17" s="63">
        <v>0</v>
      </c>
      <c r="F17" s="276">
        <f>730.062/100</f>
        <v>7.3006200000000003</v>
      </c>
      <c r="G17" s="63">
        <f>ROUND(0/[1]Input!$C$2,[1]Input!$E$2)</f>
        <v>0</v>
      </c>
      <c r="H17" s="276">
        <f>ROUND(1145540/[1]Input!$C$2,[1]Input!$E$2)</f>
        <v>11</v>
      </c>
    </row>
    <row r="18" spans="1:11" x14ac:dyDescent="0.25">
      <c r="A18" s="241" t="s">
        <v>969</v>
      </c>
      <c r="B18" s="242"/>
      <c r="C18" s="277">
        <f t="shared" ref="C18:H18" si="0">SUM(C14:C17)</f>
        <v>16.38832</v>
      </c>
      <c r="D18" s="277">
        <f>SUM(D14:D17)</f>
        <v>23.576889999999999</v>
      </c>
      <c r="E18" s="277">
        <f t="shared" si="0"/>
        <v>8.3464799999999997</v>
      </c>
      <c r="F18" s="278">
        <f t="shared" si="0"/>
        <v>21.93235</v>
      </c>
      <c r="G18" s="277">
        <f t="shared" si="0"/>
        <v>41</v>
      </c>
      <c r="H18" s="278">
        <f t="shared" si="0"/>
        <v>39</v>
      </c>
    </row>
    <row r="19" spans="1:11" x14ac:dyDescent="0.25">
      <c r="A19" s="18"/>
      <c r="D19" s="1142"/>
      <c r="E19" s="1142"/>
      <c r="F19" s="1157"/>
      <c r="H19" s="1157"/>
    </row>
    <row r="20" spans="1:11" x14ac:dyDescent="0.25">
      <c r="A20" s="27" t="s">
        <v>970</v>
      </c>
      <c r="D20" s="7"/>
      <c r="E20" s="7"/>
      <c r="F20" s="276"/>
      <c r="H20" s="276"/>
    </row>
    <row r="21" spans="1:11" x14ac:dyDescent="0.25">
      <c r="A21" s="18" t="s">
        <v>971</v>
      </c>
      <c r="C21" s="63">
        <f>C33</f>
        <v>45.00423</v>
      </c>
      <c r="D21" s="63">
        <f>D33</f>
        <v>47.493409999999997</v>
      </c>
      <c r="E21" s="63">
        <f>E33</f>
        <v>19.409010000000002</v>
      </c>
      <c r="F21" s="276">
        <f>F33</f>
        <v>26.39</v>
      </c>
      <c r="G21" s="63">
        <f>ROUND(23413721/[1]Input!$C$2,[1]Input!$E$2)</f>
        <v>234</v>
      </c>
      <c r="H21" s="276">
        <f>ROUND(12394173/[1]Input!$C$2,[1]Input!$E$2)</f>
        <v>124</v>
      </c>
    </row>
    <row r="22" spans="1:11" x14ac:dyDescent="0.25">
      <c r="A22" s="18" t="s">
        <v>972</v>
      </c>
      <c r="C22" s="311">
        <f>-C43</f>
        <v>0</v>
      </c>
      <c r="D22" s="63">
        <f>ROUND(0/[1]Input!$C$2,[1]Input!$E$2)</f>
        <v>0</v>
      </c>
      <c r="E22" s="311">
        <v>0</v>
      </c>
      <c r="F22" s="276">
        <v>0</v>
      </c>
      <c r="G22" s="311">
        <f>ROUND(-14566374/[1]Input!$C$2,[1]Input!$E$2)</f>
        <v>-146</v>
      </c>
      <c r="H22" s="650">
        <f>ROUND(0/[1]Input!$C$2,[1]Input!$E$2)</f>
        <v>0</v>
      </c>
    </row>
    <row r="23" spans="1:11" x14ac:dyDescent="0.25">
      <c r="A23" s="241" t="s">
        <v>973</v>
      </c>
      <c r="B23" s="242"/>
      <c r="C23" s="277">
        <f>-SUM(C21:C22)</f>
        <v>-45.00423</v>
      </c>
      <c r="D23" s="277">
        <f>-SUM(D21:D22)</f>
        <v>-47.493409999999997</v>
      </c>
      <c r="E23" s="277">
        <f>-SUM(E21:E22)</f>
        <v>-19.409010000000002</v>
      </c>
      <c r="F23" s="278">
        <f>-SUM(F21:F22)</f>
        <v>-26.39</v>
      </c>
      <c r="G23" s="277">
        <f t="shared" ref="G23:H23" si="1">SUM(G21:G22)</f>
        <v>88</v>
      </c>
      <c r="H23" s="278">
        <f t="shared" si="1"/>
        <v>124</v>
      </c>
    </row>
    <row r="24" spans="1:11" x14ac:dyDescent="0.25">
      <c r="A24" s="713" t="s">
        <v>974</v>
      </c>
      <c r="B24" s="1098"/>
      <c r="C24" s="714">
        <f>-443965/100000</f>
        <v>-4.4396500000000003</v>
      </c>
      <c r="D24" s="714">
        <f>-824137/100000</f>
        <v>-8.2413699999999999</v>
      </c>
      <c r="E24" s="714">
        <v>-1.99</v>
      </c>
      <c r="F24" s="715">
        <v>-5.0599999999999996</v>
      </c>
      <c r="G24" s="714">
        <f>ROUND(4179686/[1]Input!$C$2,[1]Input!$E$2)</f>
        <v>42</v>
      </c>
      <c r="H24" s="715">
        <f>ROUND(1264783/[1]Input!$C$2,[1]Input!$E$2)</f>
        <v>13</v>
      </c>
      <c r="I24" s="1">
        <f>'[1]BS  Notes  4-18'!I367-'Note -36'!G24</f>
        <v>0</v>
      </c>
      <c r="J24" s="279">
        <f>'[1]BS  Notes  4-18'!H366-'Note -36'!F24</f>
        <v>34.06</v>
      </c>
      <c r="K24" s="1">
        <f>'[1]BS  Notes  4-18'!I366-'Note -36'!H24</f>
        <v>0</v>
      </c>
    </row>
    <row r="25" spans="1:11" x14ac:dyDescent="0.25">
      <c r="A25" s="716" t="s">
        <v>84</v>
      </c>
      <c r="B25" s="717"/>
      <c r="C25" s="461">
        <f>C23-C24</f>
        <v>-40.564579999999999</v>
      </c>
      <c r="D25" s="461">
        <f>D23-D24</f>
        <v>-39.252039999999994</v>
      </c>
      <c r="E25" s="461">
        <v>-17.420000000000002</v>
      </c>
      <c r="F25" s="652">
        <f>F23-F24</f>
        <v>-21.330000000000002</v>
      </c>
      <c r="G25" s="461">
        <f>ROUND(4667661/[1]Input!$C$2,[1]Input!$E$2)</f>
        <v>47</v>
      </c>
      <c r="H25" s="652">
        <f>ROUND(11129390/[1]Input!$C$2,[1]Input!$E$2)</f>
        <v>111</v>
      </c>
      <c r="I25" s="1">
        <f>'[1]BS  Notes  4-18'!I362-'Note -36'!G25</f>
        <v>0</v>
      </c>
      <c r="J25" s="279">
        <f>'[1]BS  Notes  4-18'!H361-'Note -36'!F25</f>
        <v>147.33000000000001</v>
      </c>
      <c r="K25" s="1">
        <f>'[1]BS  Notes  4-18'!I361-'Note -36'!H25</f>
        <v>0</v>
      </c>
    </row>
    <row r="26" spans="1:11" x14ac:dyDescent="0.25">
      <c r="A26" s="18"/>
      <c r="D26" s="1142"/>
      <c r="E26" s="1142"/>
      <c r="F26" s="58"/>
      <c r="G26" s="1158"/>
      <c r="H26" s="1157"/>
      <c r="J26" s="279"/>
      <c r="K26" s="279"/>
    </row>
    <row r="27" spans="1:11" x14ac:dyDescent="0.25">
      <c r="A27" s="27" t="s">
        <v>975</v>
      </c>
      <c r="D27" s="7"/>
      <c r="E27" s="7"/>
      <c r="F27" s="58"/>
      <c r="G27" s="279"/>
      <c r="H27" s="1159"/>
    </row>
    <row r="28" spans="1:11" x14ac:dyDescent="0.25">
      <c r="A28" s="18" t="s">
        <v>976</v>
      </c>
      <c r="C28" s="63">
        <f>E33</f>
        <v>19.409010000000002</v>
      </c>
      <c r="D28" s="63">
        <f>F33</f>
        <v>26.39</v>
      </c>
      <c r="E28" s="275">
        <f>1269/100</f>
        <v>12.69</v>
      </c>
      <c r="F28" s="276">
        <v>12</v>
      </c>
      <c r="G28" s="63">
        <f>ROUND(19762657/[1]Input!$C$2,[1]Input!$E$2)</f>
        <v>198</v>
      </c>
      <c r="H28" s="276">
        <f>ROUND(11885536/[1]Input!$C$2,[1]Input!$E$2)</f>
        <v>119</v>
      </c>
    </row>
    <row r="29" spans="1:11" x14ac:dyDescent="0.25">
      <c r="A29" s="18" t="s">
        <v>977</v>
      </c>
      <c r="C29" s="63">
        <f t="shared" ref="C29:H29" si="2">C14</f>
        <v>15.164099999999999</v>
      </c>
      <c r="D29" s="63">
        <f t="shared" si="2"/>
        <v>20.251059999999999</v>
      </c>
      <c r="E29" s="63">
        <f t="shared" si="2"/>
        <v>7.4990099999999993</v>
      </c>
      <c r="F29" s="276">
        <v>13.82</v>
      </c>
      <c r="G29" s="63">
        <f t="shared" si="2"/>
        <v>37</v>
      </c>
      <c r="H29" s="276">
        <f t="shared" si="2"/>
        <v>21</v>
      </c>
    </row>
    <row r="30" spans="1:11" x14ac:dyDescent="0.25">
      <c r="A30" s="18" t="s">
        <v>978</v>
      </c>
      <c r="C30" s="63">
        <f>C16</f>
        <v>1.2242200000000001</v>
      </c>
      <c r="D30" s="63">
        <f>D16</f>
        <v>1.60233</v>
      </c>
      <c r="E30" s="63">
        <f>85/100</f>
        <v>0.85</v>
      </c>
      <c r="F30" s="276">
        <v>0.81</v>
      </c>
      <c r="G30" s="63">
        <f>ROUND(1200302/[1]Input!$C$2,[1]Input!$E$2)</f>
        <v>12</v>
      </c>
      <c r="H30" s="276">
        <f>ROUND(728959/[1]Input!$C$2,[1]Input!$E$2)</f>
        <v>7</v>
      </c>
    </row>
    <row r="31" spans="1:11" x14ac:dyDescent="0.25">
      <c r="A31" s="18" t="s">
        <v>979</v>
      </c>
      <c r="C31" s="63">
        <f>(920690)/100000</f>
        <v>9.2068999999999992</v>
      </c>
      <c r="D31" s="63">
        <f>172350/100000</f>
        <v>1.7235</v>
      </c>
      <c r="E31" s="63">
        <v>-1.63</v>
      </c>
      <c r="F31" s="276">
        <v>7.3</v>
      </c>
      <c r="G31" s="63">
        <f>ROUND(42622/[1]Input!$C$2,[1]Input!$E$2)</f>
        <v>0</v>
      </c>
      <c r="H31" s="276">
        <f>ROUND(1145540/[1]Input!$C$2,[1]Input!$E$2)</f>
        <v>11</v>
      </c>
    </row>
    <row r="32" spans="1:11" x14ac:dyDescent="0.25">
      <c r="A32" s="179" t="s">
        <v>980</v>
      </c>
      <c r="B32" s="5"/>
      <c r="C32" s="311">
        <v>0</v>
      </c>
      <c r="D32" s="311">
        <f>-247348/100000</f>
        <v>-2.4734799999999999</v>
      </c>
      <c r="E32" s="311">
        <v>0</v>
      </c>
      <c r="F32" s="650">
        <v>-7.54</v>
      </c>
      <c r="G32" s="311">
        <f>ROUND(-1269606/[1]Input!$C$2,[1]Input!$E$2)</f>
        <v>-13</v>
      </c>
      <c r="H32" s="650">
        <f>ROUND(-3445719/[1]Input!$C$2,[1]Input!$E$2)</f>
        <v>-34</v>
      </c>
    </row>
    <row r="33" spans="1:8" x14ac:dyDescent="0.25">
      <c r="A33" s="648" t="s">
        <v>981</v>
      </c>
      <c r="B33" s="252"/>
      <c r="C33" s="718">
        <f>SUM(C28:C32)</f>
        <v>45.00423</v>
      </c>
      <c r="D33" s="718">
        <f t="shared" ref="D33:H33" si="3">SUM(D28:D32)</f>
        <v>47.493409999999997</v>
      </c>
      <c r="E33" s="718">
        <f t="shared" si="3"/>
        <v>19.409010000000002</v>
      </c>
      <c r="F33" s="719">
        <f t="shared" si="3"/>
        <v>26.39</v>
      </c>
      <c r="G33" s="718">
        <f t="shared" si="3"/>
        <v>234</v>
      </c>
      <c r="H33" s="719">
        <f t="shared" si="3"/>
        <v>124</v>
      </c>
    </row>
    <row r="34" spans="1:8" x14ac:dyDescent="0.25">
      <c r="A34" s="27"/>
      <c r="C34" s="280"/>
      <c r="D34" s="280"/>
      <c r="E34" s="280"/>
      <c r="F34" s="281"/>
      <c r="H34" s="281"/>
    </row>
    <row r="35" spans="1:8" hidden="1" x14ac:dyDescent="0.25">
      <c r="A35" s="1826" t="s">
        <v>0</v>
      </c>
      <c r="B35" s="1887"/>
      <c r="C35" s="1892" t="str">
        <f>[1]Input!$H$4</f>
        <v>2023-24</v>
      </c>
      <c r="D35" s="1892"/>
      <c r="E35" s="1892" t="str">
        <f>[1]Input!$H$5</f>
        <v>2022-23</v>
      </c>
      <c r="F35" s="1893"/>
      <c r="G35" s="1892" t="str">
        <f>[1]Input!$H$6</f>
        <v>2021-22</v>
      </c>
      <c r="H35" s="1893"/>
    </row>
    <row r="36" spans="1:8" hidden="1" x14ac:dyDescent="0.25">
      <c r="A36" s="1130"/>
      <c r="B36" s="252"/>
      <c r="C36" s="464" t="s">
        <v>962</v>
      </c>
      <c r="D36" s="709" t="s">
        <v>963</v>
      </c>
      <c r="E36" s="464" t="s">
        <v>962</v>
      </c>
      <c r="F36" s="710" t="s">
        <v>963</v>
      </c>
      <c r="G36" s="711" t="s">
        <v>962</v>
      </c>
      <c r="H36" s="712" t="s">
        <v>963</v>
      </c>
    </row>
    <row r="37" spans="1:8" hidden="1" x14ac:dyDescent="0.25">
      <c r="A37" s="27" t="s">
        <v>982</v>
      </c>
      <c r="D37" s="2"/>
      <c r="F37" s="51"/>
      <c r="G37" s="279"/>
      <c r="H37" s="1159"/>
    </row>
    <row r="38" spans="1:8" hidden="1" x14ac:dyDescent="0.25">
      <c r="A38" s="18" t="s">
        <v>983</v>
      </c>
      <c r="C38" s="63">
        <f>E43</f>
        <v>0</v>
      </c>
      <c r="D38" s="63">
        <f>F43</f>
        <v>0</v>
      </c>
      <c r="E38" s="275">
        <v>0</v>
      </c>
      <c r="F38" s="276">
        <v>0</v>
      </c>
      <c r="G38" s="63">
        <f>ROUND(12488996/[1]Input!$C$2,[1]Input!$E$2)</f>
        <v>125</v>
      </c>
      <c r="H38" s="276">
        <f>ROUND(11885536/[1]Input!$C$2,[1]Input!$E$2)</f>
        <v>119</v>
      </c>
    </row>
    <row r="39" spans="1:8" hidden="1" x14ac:dyDescent="0.25">
      <c r="A39" s="18" t="s">
        <v>984</v>
      </c>
      <c r="C39" s="63">
        <v>0</v>
      </c>
      <c r="D39" s="63">
        <f>ROUND(0/[1]Input!$C$2,[1]Input!$E$2)</f>
        <v>0</v>
      </c>
      <c r="E39" s="275">
        <v>0</v>
      </c>
      <c r="F39" s="276">
        <v>0</v>
      </c>
      <c r="G39" s="63">
        <f>ROUND(845150/[1]Input!$C$2,[1]Input!$E$2)</f>
        <v>8</v>
      </c>
      <c r="H39" s="276">
        <f>ROUND(0/[1]Input!$C$2,[1]Input!$E$2)</f>
        <v>0</v>
      </c>
    </row>
    <row r="40" spans="1:8" hidden="1" x14ac:dyDescent="0.25">
      <c r="A40" s="18" t="s">
        <v>985</v>
      </c>
      <c r="C40" s="63">
        <v>0</v>
      </c>
      <c r="D40" s="63">
        <v>0</v>
      </c>
      <c r="E40" s="63">
        <v>0</v>
      </c>
      <c r="F40" s="276">
        <v>0</v>
      </c>
      <c r="G40" s="63">
        <f>ROUND(2585251/[1]Input!$C$2,[1]Input!$E$2)</f>
        <v>26</v>
      </c>
      <c r="H40" s="276">
        <f>ROUND(3954356/[1]Input!$C$2,[1]Input!$E$2)</f>
        <v>40</v>
      </c>
    </row>
    <row r="41" spans="1:8" hidden="1" x14ac:dyDescent="0.25">
      <c r="A41" s="18" t="s">
        <v>986</v>
      </c>
      <c r="C41" s="63">
        <f t="shared" ref="C41:H41" si="4">C32</f>
        <v>0</v>
      </c>
      <c r="D41" s="63">
        <v>0</v>
      </c>
      <c r="E41" s="63">
        <v>0</v>
      </c>
      <c r="F41" s="276">
        <v>0</v>
      </c>
      <c r="G41" s="63">
        <f t="shared" si="4"/>
        <v>-13</v>
      </c>
      <c r="H41" s="276">
        <f t="shared" si="4"/>
        <v>-34</v>
      </c>
    </row>
    <row r="42" spans="1:8" hidden="1" x14ac:dyDescent="0.25">
      <c r="A42" s="18" t="s">
        <v>987</v>
      </c>
      <c r="C42" s="63">
        <f>ROUND(0/[1]Input!$C$2,[1]Input!$E$2)</f>
        <v>0</v>
      </c>
      <c r="D42" s="63">
        <f>ROUND(0/[1]Input!$C$2,[1]Input!$E$2)</f>
        <v>0</v>
      </c>
      <c r="E42" s="63">
        <f>ROUND(22800/[1]Input!$C$2,[1]Input!$E$2)</f>
        <v>0</v>
      </c>
      <c r="F42" s="276">
        <f>ROUND(0/[1]Input!$C$2,[1]Input!$E$2)</f>
        <v>0</v>
      </c>
      <c r="G42" s="63">
        <f>ROUND(-83417/[1]Input!$C$2,[1]Input!$E$2)</f>
        <v>-1</v>
      </c>
      <c r="H42" s="276">
        <f>ROUND(0/[1]Input!$C$2,[1]Input!$E$2)</f>
        <v>0</v>
      </c>
    </row>
    <row r="43" spans="1:8" hidden="1" x14ac:dyDescent="0.25">
      <c r="A43" s="241" t="s">
        <v>988</v>
      </c>
      <c r="B43" s="242"/>
      <c r="C43" s="277">
        <f t="shared" ref="C43:H43" si="5">SUM(C38:C42)</f>
        <v>0</v>
      </c>
      <c r="D43" s="277">
        <f t="shared" si="5"/>
        <v>0</v>
      </c>
      <c r="E43" s="277">
        <f t="shared" si="5"/>
        <v>0</v>
      </c>
      <c r="F43" s="278">
        <f t="shared" si="5"/>
        <v>0</v>
      </c>
      <c r="G43" s="277">
        <f t="shared" si="5"/>
        <v>145</v>
      </c>
      <c r="H43" s="278">
        <f t="shared" si="5"/>
        <v>125</v>
      </c>
    </row>
    <row r="44" spans="1:8" hidden="1" x14ac:dyDescent="0.25">
      <c r="A44" s="18"/>
      <c r="F44" s="58"/>
      <c r="H44" s="58"/>
    </row>
    <row r="45" spans="1:8" x14ac:dyDescent="0.25">
      <c r="A45" s="27" t="s">
        <v>989</v>
      </c>
      <c r="F45" s="58"/>
      <c r="H45" s="58"/>
    </row>
    <row r="46" spans="1:8" x14ac:dyDescent="0.25">
      <c r="A46" s="18" t="s">
        <v>990</v>
      </c>
      <c r="C46" s="126" t="s">
        <v>992</v>
      </c>
      <c r="D46" s="126" t="s">
        <v>992</v>
      </c>
      <c r="E46" s="126" t="s">
        <v>992</v>
      </c>
      <c r="F46" s="1160" t="s">
        <v>992</v>
      </c>
      <c r="G46" s="126" t="s">
        <v>991</v>
      </c>
      <c r="H46" s="1160" t="s">
        <v>992</v>
      </c>
    </row>
    <row r="47" spans="1:8" ht="12.95" customHeight="1" x14ac:dyDescent="0.25">
      <c r="A47" s="18" t="s">
        <v>993</v>
      </c>
      <c r="C47" s="1973">
        <v>7.1999999999999995E-2</v>
      </c>
      <c r="D47" s="1973"/>
      <c r="E47" s="1973">
        <v>6.6500000000000004E-2</v>
      </c>
      <c r="F47" s="1974"/>
      <c r="G47" s="1973">
        <v>6.9000000000000006E-2</v>
      </c>
      <c r="H47" s="1974"/>
    </row>
    <row r="48" spans="1:8" x14ac:dyDescent="0.25">
      <c r="A48" s="18" t="s">
        <v>994</v>
      </c>
      <c r="C48" s="1975" t="s">
        <v>995</v>
      </c>
      <c r="D48" s="1975"/>
      <c r="E48" s="1975" t="s">
        <v>995</v>
      </c>
      <c r="F48" s="1976"/>
      <c r="G48" s="1975" t="s">
        <v>995</v>
      </c>
      <c r="H48" s="1976"/>
    </row>
    <row r="49" spans="1:8" ht="60.75" customHeight="1" x14ac:dyDescent="0.25">
      <c r="A49" s="1161" t="s">
        <v>996</v>
      </c>
      <c r="C49" s="1894"/>
      <c r="D49" s="1894"/>
      <c r="E49" s="1129"/>
      <c r="F49" s="495"/>
      <c r="G49" s="495"/>
      <c r="H49" s="58"/>
    </row>
    <row r="50" spans="1:8" ht="30" customHeight="1" x14ac:dyDescent="0.25">
      <c r="A50" s="1161" t="s">
        <v>997</v>
      </c>
      <c r="B50" s="199"/>
      <c r="C50" s="1977">
        <v>0.1</v>
      </c>
      <c r="D50" s="1978"/>
      <c r="E50" s="1977">
        <v>0.1</v>
      </c>
      <c r="F50" s="1979"/>
      <c r="G50" s="1980" t="s">
        <v>998</v>
      </c>
      <c r="H50" s="1981"/>
    </row>
    <row r="51" spans="1:8" x14ac:dyDescent="0.25">
      <c r="A51" s="18" t="s">
        <v>999</v>
      </c>
      <c r="C51" s="1982">
        <v>58</v>
      </c>
      <c r="D51" s="1982"/>
      <c r="E51" s="1982">
        <v>58</v>
      </c>
      <c r="F51" s="1983"/>
      <c r="G51" s="1982">
        <v>58</v>
      </c>
      <c r="H51" s="1983"/>
    </row>
    <row r="52" spans="1:8" ht="15.75" thickBot="1" x14ac:dyDescent="0.3">
      <c r="A52" s="363"/>
      <c r="B52" s="1112"/>
      <c r="C52" s="1112"/>
      <c r="D52" s="1112"/>
      <c r="E52" s="1112"/>
      <c r="F52" s="1113"/>
      <c r="H52" s="58"/>
    </row>
    <row r="53" spans="1:8" hidden="1" x14ac:dyDescent="0.25">
      <c r="A53" s="27" t="s">
        <v>1000</v>
      </c>
      <c r="F53" s="58"/>
      <c r="H53" s="58"/>
    </row>
    <row r="54" spans="1:8" hidden="1" x14ac:dyDescent="0.25">
      <c r="A54" s="18" t="s">
        <v>1001</v>
      </c>
      <c r="F54" s="58"/>
      <c r="H54" s="58"/>
    </row>
    <row r="55" spans="1:8" hidden="1" x14ac:dyDescent="0.25">
      <c r="A55" s="1162" t="s">
        <v>1002</v>
      </c>
      <c r="C55" s="63">
        <v>0</v>
      </c>
      <c r="D55" s="63">
        <v>0</v>
      </c>
      <c r="E55" s="63">
        <v>0</v>
      </c>
      <c r="F55" s="276">
        <v>0</v>
      </c>
      <c r="G55" s="63">
        <f>ROUND(1836890/[1]Input!$C$2,[1]Input!$E$2)</f>
        <v>18</v>
      </c>
      <c r="H55" s="276">
        <f>ROUND(897586/[1]Input!$C$2,[1]Input!$E$2)</f>
        <v>9</v>
      </c>
    </row>
    <row r="56" spans="1:8" hidden="1" x14ac:dyDescent="0.25">
      <c r="A56" s="1162" t="s">
        <v>1003</v>
      </c>
      <c r="C56" s="63">
        <v>0</v>
      </c>
      <c r="D56" s="63">
        <v>0</v>
      </c>
      <c r="E56" s="63">
        <v>0</v>
      </c>
      <c r="F56" s="276">
        <v>0</v>
      </c>
      <c r="G56" s="63">
        <f>ROUND(-970163/[1]Input!$C$2,[1]Input!$E$2)</f>
        <v>-10</v>
      </c>
      <c r="H56" s="276">
        <f>ROUND(-594619/[1]Input!$C$2,[1]Input!$E$2)</f>
        <v>-6</v>
      </c>
    </row>
    <row r="57" spans="1:8" hidden="1" x14ac:dyDescent="0.25">
      <c r="A57" s="1162" t="s">
        <v>1004</v>
      </c>
      <c r="C57" s="63">
        <v>0</v>
      </c>
      <c r="D57" s="63">
        <v>0</v>
      </c>
      <c r="E57" s="63">
        <v>0</v>
      </c>
      <c r="F57" s="276">
        <v>0</v>
      </c>
      <c r="G57" s="63">
        <f>ROUND(-824105/[1]Input!$C$2,[1]Input!$E$2)</f>
        <v>-8</v>
      </c>
      <c r="H57" s="276">
        <f>ROUND(842573/[1]Input!$C$2,[1]Input!$E$2)</f>
        <v>8</v>
      </c>
    </row>
    <row r="58" spans="1:8" hidden="1" x14ac:dyDescent="0.25">
      <c r="A58" s="1162" t="s">
        <v>1005</v>
      </c>
      <c r="C58" s="63">
        <v>0</v>
      </c>
      <c r="D58" s="63">
        <f>ROUND(0/[1]Input!$C$2,[1]Input!$E$2)</f>
        <v>0</v>
      </c>
      <c r="E58" s="63">
        <v>0</v>
      </c>
      <c r="F58" s="276">
        <v>0</v>
      </c>
      <c r="G58" s="63">
        <f>ROUND(83417/[1]Input!$C$2,[1]Input!$E$2)</f>
        <v>1</v>
      </c>
      <c r="H58" s="276">
        <f>ROUND(0/[1]Input!$C$2,[1]Input!$E$2)</f>
        <v>0</v>
      </c>
    </row>
    <row r="59" spans="1:8" ht="15.75" hidden="1" thickBot="1" x14ac:dyDescent="0.3">
      <c r="A59" s="312" t="s">
        <v>1006</v>
      </c>
      <c r="B59" s="1163"/>
      <c r="C59" s="313">
        <f t="shared" ref="C59:H59" si="6">SUM(C55:C58)</f>
        <v>0</v>
      </c>
      <c r="D59" s="313">
        <f t="shared" si="6"/>
        <v>0</v>
      </c>
      <c r="E59" s="313">
        <f t="shared" si="6"/>
        <v>0</v>
      </c>
      <c r="F59" s="401">
        <f t="shared" si="6"/>
        <v>0</v>
      </c>
      <c r="G59" s="313">
        <f t="shared" si="6"/>
        <v>1</v>
      </c>
      <c r="H59" s="401">
        <f t="shared" si="6"/>
        <v>11</v>
      </c>
    </row>
    <row r="60" spans="1:8" s="1093" customFormat="1" x14ac:dyDescent="0.25">
      <c r="A60" s="720"/>
      <c r="B60" s="1164"/>
      <c r="C60" s="721"/>
      <c r="D60" s="721"/>
      <c r="E60" s="722"/>
      <c r="F60" s="327"/>
      <c r="G60" s="721"/>
      <c r="H60" s="723"/>
    </row>
    <row r="61" spans="1:8" x14ac:dyDescent="0.25">
      <c r="A61" s="1984" t="s">
        <v>0</v>
      </c>
      <c r="B61" s="1985"/>
      <c r="C61" s="1966" t="str">
        <f>C11</f>
        <v>2025-26</v>
      </c>
      <c r="D61" s="1966"/>
      <c r="E61" s="1892" t="str">
        <f>E11</f>
        <v>2024-25</v>
      </c>
      <c r="F61" s="1892"/>
      <c r="G61" s="1892" t="str">
        <f>[1]Input!$H$6</f>
        <v>2021-22</v>
      </c>
      <c r="H61" s="1893"/>
    </row>
    <row r="62" spans="1:8" x14ac:dyDescent="0.25">
      <c r="A62" s="1130"/>
      <c r="B62" s="252"/>
      <c r="C62" s="464" t="s">
        <v>962</v>
      </c>
      <c r="D62" s="709" t="s">
        <v>963</v>
      </c>
      <c r="E62" s="464" t="s">
        <v>962</v>
      </c>
      <c r="F62" s="710" t="s">
        <v>963</v>
      </c>
      <c r="G62" s="711" t="s">
        <v>962</v>
      </c>
      <c r="H62" s="712" t="s">
        <v>963</v>
      </c>
    </row>
    <row r="63" spans="1:8" x14ac:dyDescent="0.25">
      <c r="A63" s="27" t="s">
        <v>1007</v>
      </c>
      <c r="F63" s="58"/>
      <c r="H63" s="58"/>
    </row>
    <row r="64" spans="1:8" x14ac:dyDescent="0.25">
      <c r="A64" s="18" t="s">
        <v>1008</v>
      </c>
      <c r="C64" s="208">
        <v>0</v>
      </c>
      <c r="D64" s="208">
        <f>ROUND(0/[1]Input!$C$2,[1]Input!$E$2)</f>
        <v>0</v>
      </c>
      <c r="E64" s="157">
        <v>0</v>
      </c>
      <c r="F64" s="1165">
        <f>ROUND(0/[1]Input!$C$2,[1]Input!$E$2)</f>
        <v>0</v>
      </c>
      <c r="G64" s="63">
        <f>ROUND(4179686/[1]Input!$C$2,[1]Input!$E$2)</f>
        <v>42</v>
      </c>
      <c r="H64" s="1166">
        <f>ROUND(0/[1]Input!$C$2,[1]Input!$E$2)</f>
        <v>0</v>
      </c>
    </row>
    <row r="65" spans="1:8" x14ac:dyDescent="0.25">
      <c r="A65" s="18" t="s">
        <v>1009</v>
      </c>
      <c r="C65" s="1471">
        <v>7.76</v>
      </c>
      <c r="D65" s="1471">
        <v>6.34</v>
      </c>
      <c r="E65">
        <v>7.4</v>
      </c>
      <c r="F65" s="1472">
        <v>5.79</v>
      </c>
      <c r="G65" s="63">
        <v>7.83</v>
      </c>
      <c r="H65" s="58">
        <v>7.36</v>
      </c>
    </row>
    <row r="66" spans="1:8" x14ac:dyDescent="0.25">
      <c r="A66" s="18"/>
      <c r="F66" s="58"/>
      <c r="G66" s="1167"/>
      <c r="H66" s="58"/>
    </row>
    <row r="67" spans="1:8" x14ac:dyDescent="0.25">
      <c r="A67" s="27" t="s">
        <v>1010</v>
      </c>
      <c r="F67" s="58"/>
      <c r="G67" s="1167"/>
      <c r="H67" s="58"/>
    </row>
    <row r="68" spans="1:8" x14ac:dyDescent="0.25">
      <c r="A68" s="18" t="s">
        <v>1011</v>
      </c>
      <c r="C68" s="724">
        <f>4499741/100000</f>
        <v>44.997410000000002</v>
      </c>
      <c r="D68" s="724">
        <f>-D23</f>
        <v>47.493409999999997</v>
      </c>
      <c r="E68" s="724">
        <f>1940.219/100</f>
        <v>19.402190000000001</v>
      </c>
      <c r="F68" s="725">
        <f>-F23</f>
        <v>26.39</v>
      </c>
      <c r="G68" s="724">
        <f t="shared" ref="G68:H68" si="7">G33</f>
        <v>234</v>
      </c>
      <c r="H68" s="725">
        <f t="shared" si="7"/>
        <v>124</v>
      </c>
    </row>
    <row r="69" spans="1:8" x14ac:dyDescent="0.25">
      <c r="A69" s="18" t="s">
        <v>1012</v>
      </c>
      <c r="C69" s="7">
        <v>0</v>
      </c>
      <c r="D69" s="7">
        <v>0</v>
      </c>
      <c r="E69" s="7">
        <v>0</v>
      </c>
      <c r="F69" s="51">
        <v>0</v>
      </c>
      <c r="G69" s="724">
        <f t="shared" ref="G69:H69" si="8">G43</f>
        <v>145</v>
      </c>
      <c r="H69" s="725">
        <f t="shared" si="8"/>
        <v>125</v>
      </c>
    </row>
    <row r="70" spans="1:8" x14ac:dyDescent="0.25">
      <c r="A70" s="241" t="s">
        <v>1013</v>
      </c>
      <c r="B70" s="242"/>
      <c r="C70" s="726">
        <f t="shared" ref="C70:H70" si="9">C68-C69</f>
        <v>44.997410000000002</v>
      </c>
      <c r="D70" s="726">
        <f>D68-D69</f>
        <v>47.493409999999997</v>
      </c>
      <c r="E70" s="726">
        <f t="shared" si="9"/>
        <v>19.402190000000001</v>
      </c>
      <c r="F70" s="727">
        <f t="shared" si="9"/>
        <v>26.39</v>
      </c>
      <c r="G70" s="726">
        <f t="shared" si="9"/>
        <v>89</v>
      </c>
      <c r="H70" s="727">
        <f t="shared" si="9"/>
        <v>-1</v>
      </c>
    </row>
    <row r="71" spans="1:8" x14ac:dyDescent="0.25">
      <c r="A71" s="152" t="s">
        <v>1014</v>
      </c>
      <c r="B71" s="1142"/>
      <c r="C71" s="284">
        <f t="shared" ref="C71:H71" si="10">C42</f>
        <v>0</v>
      </c>
      <c r="D71" s="284">
        <f t="shared" si="10"/>
        <v>0</v>
      </c>
      <c r="E71" s="284">
        <f t="shared" si="10"/>
        <v>0</v>
      </c>
      <c r="F71" s="285">
        <f t="shared" si="10"/>
        <v>0</v>
      </c>
      <c r="G71" s="284">
        <f t="shared" si="10"/>
        <v>-1</v>
      </c>
      <c r="H71" s="285">
        <f t="shared" si="10"/>
        <v>0</v>
      </c>
    </row>
    <row r="72" spans="1:8" x14ac:dyDescent="0.25">
      <c r="A72" s="179" t="s">
        <v>1015</v>
      </c>
      <c r="B72" s="5"/>
      <c r="C72" s="311">
        <f t="shared" ref="C72:H72" si="11">C31</f>
        <v>9.2068999999999992</v>
      </c>
      <c r="D72" s="311">
        <f t="shared" si="11"/>
        <v>1.7235</v>
      </c>
      <c r="E72" s="311">
        <f t="shared" si="11"/>
        <v>-1.63</v>
      </c>
      <c r="F72" s="650">
        <f>F31</f>
        <v>7.3</v>
      </c>
      <c r="G72" s="311">
        <f t="shared" si="11"/>
        <v>0</v>
      </c>
      <c r="H72" s="650">
        <f t="shared" si="11"/>
        <v>11</v>
      </c>
    </row>
    <row r="73" spans="1:8" x14ac:dyDescent="0.25">
      <c r="A73" s="18"/>
      <c r="F73" s="1168"/>
      <c r="G73" s="58"/>
      <c r="H73" s="58"/>
    </row>
    <row r="74" spans="1:8" x14ac:dyDescent="0.25">
      <c r="A74" s="27" t="s">
        <v>1016</v>
      </c>
      <c r="F74" s="495"/>
      <c r="G74" s="495"/>
      <c r="H74" s="58"/>
    </row>
    <row r="75" spans="1:8" ht="28.5" customHeight="1" x14ac:dyDescent="0.25">
      <c r="A75" s="1939" t="s">
        <v>1017</v>
      </c>
      <c r="B75" s="1940"/>
      <c r="C75" s="1940"/>
      <c r="D75" s="1940"/>
      <c r="E75" s="1940"/>
      <c r="F75" s="1941"/>
      <c r="G75" s="495"/>
      <c r="H75" s="58"/>
    </row>
    <row r="76" spans="1:8" ht="29.45" customHeight="1" x14ac:dyDescent="0.25">
      <c r="A76" s="1939" t="s">
        <v>1018</v>
      </c>
      <c r="B76" s="1940"/>
      <c r="C76" s="1940"/>
      <c r="D76" s="1940"/>
      <c r="E76" s="1940"/>
      <c r="F76" s="1941"/>
      <c r="G76" s="495"/>
      <c r="H76" s="58"/>
    </row>
    <row r="77" spans="1:8" ht="14.45" customHeight="1" x14ac:dyDescent="0.25">
      <c r="A77" s="1939" t="s">
        <v>1019</v>
      </c>
      <c r="B77" s="1940"/>
      <c r="C77" s="1940"/>
      <c r="D77" s="1940"/>
      <c r="E77" s="1940"/>
      <c r="F77" s="1941"/>
      <c r="G77" s="495"/>
      <c r="H77" s="58"/>
    </row>
    <row r="78" spans="1:8" x14ac:dyDescent="0.25">
      <c r="A78" s="18"/>
      <c r="F78" s="1168"/>
      <c r="G78" s="58"/>
      <c r="H78" s="58"/>
    </row>
    <row r="79" spans="1:8" x14ac:dyDescent="0.25">
      <c r="A79" s="27" t="s">
        <v>1020</v>
      </c>
      <c r="F79" s="58"/>
      <c r="G79" s="58"/>
      <c r="H79" s="58"/>
    </row>
    <row r="80" spans="1:8" ht="29.25" customHeight="1" x14ac:dyDescent="0.25">
      <c r="A80" s="1939" t="s">
        <v>1021</v>
      </c>
      <c r="B80" s="1940"/>
      <c r="C80" s="1940"/>
      <c r="D80" s="1940"/>
      <c r="E80" s="1940"/>
      <c r="F80" s="1941"/>
      <c r="G80" s="1155"/>
      <c r="H80" s="58"/>
    </row>
    <row r="81" spans="1:8" ht="29.25" customHeight="1" x14ac:dyDescent="0.25">
      <c r="A81" s="27" t="s">
        <v>1601</v>
      </c>
      <c r="F81" s="58"/>
      <c r="G81" s="1155"/>
      <c r="H81" s="58"/>
    </row>
    <row r="82" spans="1:8" x14ac:dyDescent="0.25">
      <c r="A82" s="1826" t="s">
        <v>0</v>
      </c>
      <c r="B82" s="1887"/>
      <c r="C82" s="1892" t="s">
        <v>962</v>
      </c>
      <c r="D82" s="1892"/>
      <c r="E82" s="1892" t="s">
        <v>963</v>
      </c>
      <c r="F82" s="1893"/>
      <c r="G82" s="1155"/>
      <c r="H82" s="58"/>
    </row>
    <row r="83" spans="1:8" x14ac:dyDescent="0.25">
      <c r="A83" s="1130"/>
      <c r="B83" s="252"/>
      <c r="C83" s="711" t="s">
        <v>1022</v>
      </c>
      <c r="D83" s="711" t="s">
        <v>1023</v>
      </c>
      <c r="E83" s="711" t="s">
        <v>1022</v>
      </c>
      <c r="F83" s="712" t="s">
        <v>1023</v>
      </c>
      <c r="G83" s="1155"/>
      <c r="H83" s="58"/>
    </row>
    <row r="84" spans="1:8" x14ac:dyDescent="0.25">
      <c r="A84" s="18" t="s">
        <v>1024</v>
      </c>
      <c r="C84" s="1236">
        <f>4342044/100000</f>
        <v>43.420439999999999</v>
      </c>
      <c r="D84" s="1237">
        <f>4667962/100000</f>
        <v>46.67962</v>
      </c>
      <c r="E84" s="279">
        <f>4622834/100000</f>
        <v>46.228340000000003</v>
      </c>
      <c r="F84" s="1159">
        <f>4933646/100000</f>
        <v>49.336460000000002</v>
      </c>
      <c r="G84" s="1155"/>
      <c r="H84" s="58"/>
    </row>
    <row r="85" spans="1:8" x14ac:dyDescent="0.25">
      <c r="A85" s="18" t="s">
        <v>1025</v>
      </c>
      <c r="C85" s="1236">
        <f>4570675/100000</f>
        <v>45.70675</v>
      </c>
      <c r="D85" s="1236">
        <f>4428501/100000</f>
        <v>44.28501</v>
      </c>
      <c r="E85" s="279">
        <f>4928657/100000</f>
        <v>49.286569999999998</v>
      </c>
      <c r="F85" s="1159">
        <f>4625896/100000</f>
        <v>46.258960000000002</v>
      </c>
      <c r="G85" s="1155"/>
      <c r="H85" s="58"/>
    </row>
    <row r="86" spans="1:8" x14ac:dyDescent="0.25">
      <c r="A86" s="179" t="s">
        <v>1026</v>
      </c>
      <c r="B86" s="5"/>
      <c r="C86" s="759">
        <f>4433489/100000</f>
        <v>44.334890000000001</v>
      </c>
      <c r="D86" s="759">
        <f>4569573/100000</f>
        <v>45.695729999999998</v>
      </c>
      <c r="E86" s="1172">
        <f>4687473/100000</f>
        <v>46.87473</v>
      </c>
      <c r="F86" s="1173">
        <f>4873713/100000</f>
        <v>48.737130000000001</v>
      </c>
      <c r="G86" s="1155"/>
      <c r="H86" s="58"/>
    </row>
    <row r="87" spans="1:8" ht="29.25" customHeight="1" x14ac:dyDescent="0.25">
      <c r="A87" s="1169"/>
      <c r="B87" s="1170"/>
      <c r="C87" s="1170"/>
      <c r="D87" s="1170"/>
      <c r="E87" s="1170"/>
      <c r="F87" s="1171"/>
      <c r="G87" s="1155"/>
      <c r="H87" s="58"/>
    </row>
    <row r="88" spans="1:8" x14ac:dyDescent="0.25">
      <c r="A88" s="27" t="s">
        <v>1180</v>
      </c>
      <c r="F88" s="58"/>
      <c r="G88" s="1155"/>
      <c r="H88" s="58"/>
    </row>
    <row r="89" spans="1:8" x14ac:dyDescent="0.25">
      <c r="A89" s="1826" t="s">
        <v>0</v>
      </c>
      <c r="B89" s="1887"/>
      <c r="C89" s="1892" t="s">
        <v>962</v>
      </c>
      <c r="D89" s="1892"/>
      <c r="E89" s="1892" t="s">
        <v>963</v>
      </c>
      <c r="F89" s="1893"/>
      <c r="G89" s="1155"/>
      <c r="H89" s="58"/>
    </row>
    <row r="90" spans="1:8" x14ac:dyDescent="0.25">
      <c r="A90" s="1130"/>
      <c r="B90" s="252"/>
      <c r="C90" s="711" t="s">
        <v>1022</v>
      </c>
      <c r="D90" s="711" t="s">
        <v>1023</v>
      </c>
      <c r="E90" s="711" t="s">
        <v>1022</v>
      </c>
      <c r="F90" s="712" t="s">
        <v>1023</v>
      </c>
      <c r="G90" s="1155"/>
      <c r="H90" s="58"/>
    </row>
    <row r="91" spans="1:8" x14ac:dyDescent="0.25">
      <c r="A91" s="18" t="s">
        <v>1024</v>
      </c>
      <c r="C91" s="208">
        <v>18.70757</v>
      </c>
      <c r="D91" s="728">
        <v>20.148060000000001</v>
      </c>
      <c r="E91" s="279">
        <v>25.729020000000002</v>
      </c>
      <c r="F91" s="1159">
        <v>27.415210000000002</v>
      </c>
      <c r="G91" s="1155"/>
      <c r="H91" s="58"/>
    </row>
    <row r="92" spans="1:8" x14ac:dyDescent="0.25">
      <c r="A92" s="18" t="s">
        <v>1025</v>
      </c>
      <c r="C92" s="208">
        <v>19.743759999999998</v>
      </c>
      <c r="D92" s="208">
        <v>18.865660000000002</v>
      </c>
      <c r="E92" s="279">
        <v>27.384119999999999</v>
      </c>
      <c r="F92" s="1159">
        <v>25.749200000000002</v>
      </c>
      <c r="G92" s="1155"/>
      <c r="H92" s="58"/>
    </row>
    <row r="93" spans="1:8" x14ac:dyDescent="0.25">
      <c r="A93" s="179" t="s">
        <v>1026</v>
      </c>
      <c r="B93" s="5"/>
      <c r="C93" s="729">
        <v>18.882960000000001</v>
      </c>
      <c r="D93" s="729">
        <v>19.961410000000001</v>
      </c>
      <c r="E93" s="1172">
        <v>25.910030000000003</v>
      </c>
      <c r="F93" s="1173">
        <v>27.295670000000001</v>
      </c>
      <c r="G93" s="1155"/>
      <c r="H93" s="58"/>
    </row>
    <row r="94" spans="1:8" x14ac:dyDescent="0.25">
      <c r="A94" s="1169"/>
      <c r="B94" s="1170"/>
      <c r="C94" s="1170"/>
      <c r="D94" s="1170"/>
      <c r="E94" s="1170"/>
      <c r="F94" s="1171"/>
      <c r="G94" s="1155"/>
      <c r="H94" s="58"/>
    </row>
    <row r="95" spans="1:8" hidden="1" x14ac:dyDescent="0.25">
      <c r="A95" s="27" t="str">
        <f>CONCATENATE("For the year ended ",[1]Input!C5)</f>
        <v>For the year ended 31 March 2023</v>
      </c>
      <c r="F95" s="58"/>
      <c r="G95" s="58"/>
      <c r="H95" s="58"/>
    </row>
    <row r="96" spans="1:8" hidden="1" x14ac:dyDescent="0.25">
      <c r="A96" s="1826" t="s">
        <v>0</v>
      </c>
      <c r="B96" s="1887"/>
      <c r="C96" s="1892" t="s">
        <v>962</v>
      </c>
      <c r="D96" s="1892"/>
      <c r="E96" s="1892" t="s">
        <v>963</v>
      </c>
      <c r="F96" s="1893"/>
      <c r="G96" s="730"/>
      <c r="H96" s="58"/>
    </row>
    <row r="97" spans="1:8" hidden="1" x14ac:dyDescent="0.25">
      <c r="A97" s="1130"/>
      <c r="B97" s="252"/>
      <c r="C97" s="711" t="s">
        <v>1022</v>
      </c>
      <c r="D97" s="711" t="s">
        <v>1023</v>
      </c>
      <c r="E97" s="711" t="s">
        <v>1022</v>
      </c>
      <c r="F97" s="712" t="s">
        <v>1023</v>
      </c>
      <c r="H97" s="58"/>
    </row>
    <row r="98" spans="1:8" hidden="1" x14ac:dyDescent="0.25">
      <c r="A98" s="18" t="s">
        <v>1024</v>
      </c>
      <c r="C98" s="64">
        <v>0</v>
      </c>
      <c r="D98" s="64">
        <v>0</v>
      </c>
      <c r="E98" s="64">
        <v>0</v>
      </c>
      <c r="F98" s="51">
        <v>0</v>
      </c>
      <c r="H98" s="58"/>
    </row>
    <row r="99" spans="1:8" hidden="1" x14ac:dyDescent="0.25">
      <c r="A99" s="18" t="s">
        <v>1025</v>
      </c>
      <c r="C99" s="64">
        <v>0</v>
      </c>
      <c r="D99" s="64">
        <v>0</v>
      </c>
      <c r="E99" s="64">
        <v>0</v>
      </c>
      <c r="F99" s="51">
        <v>0</v>
      </c>
      <c r="H99" s="58"/>
    </row>
    <row r="100" spans="1:8" hidden="1" x14ac:dyDescent="0.25">
      <c r="A100" s="179" t="s">
        <v>1026</v>
      </c>
      <c r="B100" s="5"/>
      <c r="C100" s="220">
        <v>0</v>
      </c>
      <c r="D100" s="220">
        <v>0</v>
      </c>
      <c r="E100" s="220">
        <v>0</v>
      </c>
      <c r="F100" s="1189">
        <v>0</v>
      </c>
      <c r="H100" s="58"/>
    </row>
    <row r="101" spans="1:8" hidden="1" x14ac:dyDescent="0.25">
      <c r="A101" s="18"/>
      <c r="F101" s="58"/>
      <c r="G101" s="58"/>
      <c r="H101" s="58"/>
    </row>
    <row r="102" spans="1:8" hidden="1" x14ac:dyDescent="0.25">
      <c r="A102" s="27" t="str">
        <f>CONCATENATE("For the year ended ",[1]Input!C6)</f>
        <v>For the year ended 31 March 2022</v>
      </c>
      <c r="F102" s="58"/>
      <c r="G102" s="58"/>
      <c r="H102" s="58"/>
    </row>
    <row r="103" spans="1:8" hidden="1" x14ac:dyDescent="0.25">
      <c r="A103" s="1896" t="s">
        <v>0</v>
      </c>
      <c r="B103" s="1892"/>
      <c r="C103" s="1892" t="s">
        <v>962</v>
      </c>
      <c r="D103" s="1892"/>
      <c r="E103" s="1892" t="s">
        <v>963</v>
      </c>
      <c r="F103" s="1893"/>
      <c r="G103" s="730"/>
      <c r="H103" s="58"/>
    </row>
    <row r="104" spans="1:8" hidden="1" x14ac:dyDescent="0.25">
      <c r="A104" s="1130"/>
      <c r="B104" s="252"/>
      <c r="C104" s="711" t="s">
        <v>1022</v>
      </c>
      <c r="D104" s="711" t="s">
        <v>1023</v>
      </c>
      <c r="E104" s="711" t="s">
        <v>1022</v>
      </c>
      <c r="F104" s="712" t="s">
        <v>1023</v>
      </c>
      <c r="H104" s="58"/>
    </row>
    <row r="105" spans="1:8" hidden="1" x14ac:dyDescent="0.25">
      <c r="A105" s="18" t="s">
        <v>1024</v>
      </c>
      <c r="C105" s="279">
        <f>ROUND(22553329/[1]Input!$C$2,[1]Input!$E$2)</f>
        <v>226</v>
      </c>
      <c r="D105" s="1158">
        <f>ROUND(24336037/[1]Input!$C$2,[1]Input!$E$2)</f>
        <v>243</v>
      </c>
      <c r="E105" s="279">
        <f>ROUND(11872440/[1]Input!$C$2,[1]Input!$E$2)</f>
        <v>119</v>
      </c>
      <c r="F105" s="1159">
        <f>ROUND(12939512/[1]Input!$C$2,[1]Input!$E$2)</f>
        <v>129</v>
      </c>
      <c r="H105" s="58"/>
    </row>
    <row r="106" spans="1:8" hidden="1" x14ac:dyDescent="0.25">
      <c r="A106" s="18" t="s">
        <v>1025</v>
      </c>
      <c r="C106" s="279">
        <f>ROUND(23915564/[1]Input!$C$2,[1]Input!$E$2)</f>
        <v>239</v>
      </c>
      <c r="D106" s="279">
        <f>ROUND(22954158/[1]Input!$C$2,[1]Input!$E$2)</f>
        <v>230</v>
      </c>
      <c r="E106" s="279">
        <f>ROUND(12927964/[1]Input!$C$2,[1]Input!$E$2)</f>
        <v>129</v>
      </c>
      <c r="F106" s="1159">
        <f>ROUND(11895108/[1]Input!$C$2,[1]Input!$E$2)</f>
        <v>119</v>
      </c>
      <c r="H106" s="58"/>
    </row>
    <row r="107" spans="1:8" hidden="1" x14ac:dyDescent="0.25">
      <c r="A107" s="179" t="s">
        <v>1026</v>
      </c>
      <c r="B107" s="5"/>
      <c r="C107" s="1172">
        <f>ROUND(23247183/[1]Input!$C$2,[1]Input!$E$2)</f>
        <v>232</v>
      </c>
      <c r="D107" s="1172">
        <f>ROUND(23585672/[1]Input!$C$2,[1]Input!$E$2)</f>
        <v>236</v>
      </c>
      <c r="E107" s="1172">
        <f>ROUND(12052862/[1]Input!$C$2,[1]Input!$E$2)</f>
        <v>121</v>
      </c>
      <c r="F107" s="1173">
        <f>ROUND(12786670/[1]Input!$C$2,[1]Input!$E$2)</f>
        <v>128</v>
      </c>
      <c r="H107" s="58"/>
    </row>
    <row r="108" spans="1:8" hidden="1" x14ac:dyDescent="0.25">
      <c r="A108" s="18"/>
      <c r="F108" s="58"/>
      <c r="G108" s="58"/>
      <c r="H108" s="58"/>
    </row>
    <row r="109" spans="1:8" x14ac:dyDescent="0.25">
      <c r="A109" s="27" t="s">
        <v>1027</v>
      </c>
      <c r="F109" s="58"/>
      <c r="G109" s="58"/>
      <c r="H109" s="58"/>
    </row>
    <row r="110" spans="1:8" ht="44.25" customHeight="1" thickBot="1" x14ac:dyDescent="0.3">
      <c r="A110" s="1963" t="s">
        <v>1028</v>
      </c>
      <c r="B110" s="1964"/>
      <c r="C110" s="1964"/>
      <c r="D110" s="1964"/>
      <c r="E110" s="1964"/>
      <c r="F110" s="1965"/>
      <c r="G110" s="1174"/>
      <c r="H110" s="1113"/>
    </row>
  </sheetData>
  <mergeCells count="45">
    <mergeCell ref="A76:F76"/>
    <mergeCell ref="C49:D49"/>
    <mergeCell ref="C50:D50"/>
    <mergeCell ref="E50:F50"/>
    <mergeCell ref="G50:H50"/>
    <mergeCell ref="C51:D51"/>
    <mergeCell ref="E51:F51"/>
    <mergeCell ref="G51:H51"/>
    <mergeCell ref="A61:B61"/>
    <mergeCell ref="C61:D61"/>
    <mergeCell ref="E61:F61"/>
    <mergeCell ref="G61:H61"/>
    <mergeCell ref="A75:F75"/>
    <mergeCell ref="C47:D47"/>
    <mergeCell ref="E47:F47"/>
    <mergeCell ref="G47:H47"/>
    <mergeCell ref="C48:D48"/>
    <mergeCell ref="E48:F48"/>
    <mergeCell ref="G48:H48"/>
    <mergeCell ref="A8:F8"/>
    <mergeCell ref="A10:F10"/>
    <mergeCell ref="A11:B11"/>
    <mergeCell ref="C11:D11"/>
    <mergeCell ref="E11:F11"/>
    <mergeCell ref="G11:H11"/>
    <mergeCell ref="A17:B17"/>
    <mergeCell ref="A35:B35"/>
    <mergeCell ref="C35:D35"/>
    <mergeCell ref="E35:F35"/>
    <mergeCell ref="G35:H35"/>
    <mergeCell ref="A77:F77"/>
    <mergeCell ref="A80:F80"/>
    <mergeCell ref="A89:B89"/>
    <mergeCell ref="C89:D89"/>
    <mergeCell ref="E89:F89"/>
    <mergeCell ref="A82:B82"/>
    <mergeCell ref="C82:D82"/>
    <mergeCell ref="E82:F82"/>
    <mergeCell ref="A110:F110"/>
    <mergeCell ref="A96:B96"/>
    <mergeCell ref="C96:D96"/>
    <mergeCell ref="E96:F96"/>
    <mergeCell ref="A103:B103"/>
    <mergeCell ref="C103:D103"/>
    <mergeCell ref="E103:F103"/>
  </mergeCells>
  <pageMargins left="0.70866141732283472" right="0.70866141732283472" top="0.74803149606299213" bottom="0.74803149606299213" header="0.31496062992125984" footer="0.31496062992125984"/>
  <pageSetup paperSize="9" scale="54" orientation="portrait" r:id="rId1"/>
  <headerFooter>
    <oddHeader>&amp;C&amp;G</oddHeader>
  </headerFooter>
  <rowBreaks count="1" manualBreakCount="1">
    <brk id="59" max="5"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C1FB-ABEE-4047-BD0C-A036964C9541}">
  <sheetPr>
    <pageSetUpPr fitToPage="1"/>
  </sheetPr>
  <dimension ref="A1:H35"/>
  <sheetViews>
    <sheetView showGridLines="0" view="pageBreakPreview" topLeftCell="A6" zoomScaleNormal="100" zoomScaleSheetLayoutView="100" workbookViewId="0">
      <selection activeCell="B10" sqref="B10:D10"/>
    </sheetView>
  </sheetViews>
  <sheetFormatPr defaultRowHeight="15" x14ac:dyDescent="0.25"/>
  <cols>
    <col min="1" max="1" width="7.28515625" customWidth="1"/>
    <col min="2" max="2" width="11.42578125" customWidth="1"/>
    <col min="3" max="3" width="16.5703125" customWidth="1"/>
    <col min="4" max="4" width="24.42578125" customWidth="1"/>
    <col min="5" max="6" width="19.28515625" customWidth="1"/>
    <col min="7" max="7" width="23" customWidth="1"/>
    <col min="8" max="8" width="22.42578125" customWidth="1"/>
    <col min="9" max="9" width="11.42578125" bestFit="1" customWidth="1"/>
    <col min="10" max="10" width="14" bestFit="1" customWidth="1"/>
    <col min="11" max="11" width="15.85546875" bestFit="1" customWidth="1"/>
    <col min="12" max="12" width="14.140625" bestFit="1" customWidth="1"/>
    <col min="13" max="13" width="10.7109375" bestFit="1" customWidth="1"/>
  </cols>
  <sheetData>
    <row r="1" spans="1:8" x14ac:dyDescent="0.25">
      <c r="A1" s="193" t="str">
        <f>'Note 28-31'!A1</f>
        <v>BVC Specialities Private Limited</v>
      </c>
      <c r="B1" s="55"/>
      <c r="C1" s="55"/>
      <c r="D1" s="55"/>
      <c r="E1" s="55"/>
      <c r="F1" s="55"/>
      <c r="G1" s="55"/>
      <c r="H1" s="56"/>
    </row>
    <row r="2" spans="1:8" x14ac:dyDescent="0.25">
      <c r="A2" s="59" t="str">
        <f>'Note 28-31'!A2</f>
        <v>Notes to Financial Statements for the year ended 31 March 2026</v>
      </c>
      <c r="B2" s="5"/>
      <c r="C2" s="5"/>
      <c r="D2" s="5"/>
      <c r="E2" s="5"/>
      <c r="F2" s="5"/>
      <c r="G2" s="5"/>
      <c r="H2" s="181" t="str">
        <f>'Note 28-31'!G2</f>
        <v>(₹ in Lakh)</v>
      </c>
    </row>
    <row r="3" spans="1:8" x14ac:dyDescent="0.25">
      <c r="A3" s="18"/>
      <c r="H3" s="58"/>
    </row>
    <row r="4" spans="1:8" x14ac:dyDescent="0.25">
      <c r="A4" s="27" t="s">
        <v>1760</v>
      </c>
      <c r="H4" s="58"/>
    </row>
    <row r="5" spans="1:8" x14ac:dyDescent="0.25">
      <c r="A5" s="27" t="s">
        <v>370</v>
      </c>
      <c r="H5" s="58"/>
    </row>
    <row r="6" spans="1:8" ht="146.44999999999999" customHeight="1" x14ac:dyDescent="0.25">
      <c r="A6" s="1960" t="s">
        <v>371</v>
      </c>
      <c r="B6" s="1961"/>
      <c r="C6" s="1961"/>
      <c r="D6" s="1961"/>
      <c r="E6" s="1961"/>
      <c r="F6" s="1961"/>
      <c r="G6" s="1961"/>
      <c r="H6" s="1962"/>
    </row>
    <row r="7" spans="1:8" x14ac:dyDescent="0.25">
      <c r="A7" s="18"/>
      <c r="H7" s="58"/>
    </row>
    <row r="8" spans="1:8" x14ac:dyDescent="0.25">
      <c r="A8" s="18"/>
      <c r="B8" s="258" t="s">
        <v>0</v>
      </c>
      <c r="C8" s="1175"/>
      <c r="D8" s="1176"/>
      <c r="E8" s="237" t="s">
        <v>1610</v>
      </c>
      <c r="F8" s="237" t="s">
        <v>1173</v>
      </c>
      <c r="H8" s="58"/>
    </row>
    <row r="9" spans="1:8" x14ac:dyDescent="0.25">
      <c r="A9" s="18"/>
      <c r="B9" s="1986" t="s">
        <v>372</v>
      </c>
      <c r="C9" s="1987"/>
      <c r="D9" s="1988"/>
      <c r="E9" s="1177">
        <f>BS!D43+BS!D50</f>
        <v>31442</v>
      </c>
      <c r="F9" s="1177">
        <f>BS!E43+BS!E50</f>
        <v>29153</v>
      </c>
      <c r="H9" s="58"/>
    </row>
    <row r="10" spans="1:8" x14ac:dyDescent="0.25">
      <c r="A10" s="18"/>
      <c r="B10" s="1989" t="s">
        <v>1764</v>
      </c>
      <c r="C10" s="1990"/>
      <c r="D10" s="1991"/>
      <c r="E10" s="1178">
        <f>BS!D25+BS!D28</f>
        <v>85</v>
      </c>
      <c r="F10" s="1178">
        <f>BS!E25+BS!E28</f>
        <v>22</v>
      </c>
      <c r="H10" s="58"/>
    </row>
    <row r="11" spans="1:8" x14ac:dyDescent="0.25">
      <c r="A11" s="18"/>
      <c r="B11" s="1992" t="s">
        <v>374</v>
      </c>
      <c r="C11" s="1993"/>
      <c r="D11" s="1994"/>
      <c r="E11" s="665">
        <f>E9-E10</f>
        <v>31357</v>
      </c>
      <c r="F11" s="665">
        <f>F9-F10</f>
        <v>29131</v>
      </c>
      <c r="H11" s="58"/>
    </row>
    <row r="12" spans="1:8" x14ac:dyDescent="0.25">
      <c r="A12" s="18"/>
      <c r="B12" s="1995" t="s">
        <v>375</v>
      </c>
      <c r="C12" s="1996"/>
      <c r="D12" s="1997"/>
      <c r="E12" s="1179">
        <f>BS!D38</f>
        <v>27544.184329500007</v>
      </c>
      <c r="F12" s="1179">
        <f>BS!E38</f>
        <v>26778.282920300007</v>
      </c>
      <c r="H12" s="58"/>
    </row>
    <row r="13" spans="1:8" x14ac:dyDescent="0.25">
      <c r="A13" s="18"/>
      <c r="B13" s="261" t="s">
        <v>376</v>
      </c>
      <c r="C13" s="1180"/>
      <c r="D13" s="1181"/>
      <c r="E13" s="666">
        <f>E11/E12</f>
        <v>1.1384254340186231</v>
      </c>
      <c r="F13" s="666">
        <f>F11/F12</f>
        <v>1.0878591464098861</v>
      </c>
      <c r="H13" s="58"/>
    </row>
    <row r="14" spans="1:8" x14ac:dyDescent="0.25">
      <c r="A14" s="179"/>
      <c r="B14" s="5"/>
      <c r="C14" s="5"/>
      <c r="D14" s="5"/>
      <c r="E14" s="5"/>
      <c r="F14" s="5"/>
      <c r="G14" s="5"/>
      <c r="H14" s="182"/>
    </row>
    <row r="15" spans="1:8" x14ac:dyDescent="0.25">
      <c r="A15" s="18"/>
      <c r="H15" s="58"/>
    </row>
    <row r="16" spans="1:8" x14ac:dyDescent="0.25">
      <c r="A16" s="14" t="s">
        <v>113</v>
      </c>
      <c r="B16" s="6"/>
      <c r="C16" s="10"/>
      <c r="D16" s="10"/>
      <c r="E16" s="11"/>
      <c r="H16" s="58"/>
    </row>
    <row r="17" spans="1:8" x14ac:dyDescent="0.25">
      <c r="A17" s="33"/>
      <c r="B17" s="6"/>
      <c r="C17" s="10"/>
      <c r="D17" s="10"/>
      <c r="E17" s="11"/>
      <c r="H17" s="58"/>
    </row>
    <row r="18" spans="1:8" x14ac:dyDescent="0.25">
      <c r="A18" s="35" t="str">
        <f>BS!A66</f>
        <v>For B S R and Co</v>
      </c>
      <c r="B18" s="6"/>
      <c r="C18" s="53"/>
      <c r="D18" s="10"/>
      <c r="E18" s="11"/>
      <c r="F18" s="469"/>
      <c r="G18" s="1092" t="str">
        <f>SOCIE!D69</f>
        <v xml:space="preserve">For and on behalf of Board of </v>
      </c>
      <c r="H18" s="1579"/>
    </row>
    <row r="19" spans="1:8" x14ac:dyDescent="0.25">
      <c r="A19" s="35" t="str">
        <f>BS!A67</f>
        <v>Chartered Accountants</v>
      </c>
      <c r="B19" s="6"/>
      <c r="C19" s="53"/>
      <c r="D19" s="10"/>
      <c r="E19" s="11"/>
      <c r="F19" s="53"/>
      <c r="G19" s="470" t="str">
        <f>SOCIE!D70</f>
        <v>BVC Specialities Private Limited</v>
      </c>
      <c r="H19" s="1579"/>
    </row>
    <row r="20" spans="1:8" x14ac:dyDescent="0.25">
      <c r="A20" s="35" t="str">
        <f>BS!A68</f>
        <v>Firm's Registration No: 128510W</v>
      </c>
      <c r="B20" s="6"/>
      <c r="C20" s="469"/>
      <c r="D20" s="10"/>
      <c r="E20" s="11"/>
      <c r="F20" s="469"/>
      <c r="G20" s="1092" t="str">
        <f>SOCIE!D71</f>
        <v>CIN : U24230GJ2021PTC123855</v>
      </c>
      <c r="H20" s="1579"/>
    </row>
    <row r="21" spans="1:8" x14ac:dyDescent="0.25">
      <c r="A21" s="61"/>
      <c r="B21" s="6"/>
      <c r="C21" s="53"/>
      <c r="D21" s="10"/>
      <c r="E21" s="11"/>
      <c r="F21" s="53"/>
      <c r="G21" s="1092"/>
      <c r="H21" s="1579"/>
    </row>
    <row r="22" spans="1:8" x14ac:dyDescent="0.25">
      <c r="A22" s="33"/>
      <c r="B22" s="6"/>
      <c r="C22" s="10"/>
      <c r="D22" s="10"/>
      <c r="E22" s="11"/>
      <c r="F22" s="10"/>
      <c r="G22" s="1092"/>
      <c r="H22" s="1579"/>
    </row>
    <row r="23" spans="1:8" x14ac:dyDescent="0.25">
      <c r="A23" s="35" t="str">
        <f>BS!A71</f>
        <v>Jeyur Shah</v>
      </c>
      <c r="B23" s="6"/>
      <c r="C23" s="53"/>
      <c r="D23" s="53"/>
      <c r="E23" s="187"/>
      <c r="F23" s="53"/>
      <c r="G23" s="53" t="str">
        <f>BS!D71</f>
        <v>Shishir Srivastava</v>
      </c>
      <c r="H23" s="1580" t="str">
        <f>BS!E71</f>
        <v>Shaju Ouseph Chazhoor</v>
      </c>
    </row>
    <row r="24" spans="1:8" x14ac:dyDescent="0.25">
      <c r="A24" s="35" t="str">
        <f>BS!A72</f>
        <v>Partner</v>
      </c>
      <c r="B24" s="6"/>
      <c r="C24" s="53"/>
      <c r="D24" s="53"/>
      <c r="E24" s="187"/>
      <c r="F24" s="53"/>
      <c r="G24" s="53" t="str">
        <f>BS!D72</f>
        <v>Director</v>
      </c>
      <c r="H24" s="1580" t="str">
        <f>BS!E72</f>
        <v>Director</v>
      </c>
    </row>
    <row r="25" spans="1:8" x14ac:dyDescent="0.25">
      <c r="A25" s="35" t="str">
        <f>BS!A73</f>
        <v>Membership No. 045754</v>
      </c>
      <c r="B25" s="6"/>
      <c r="C25" s="469"/>
      <c r="D25" s="469"/>
      <c r="E25" s="469"/>
      <c r="F25" s="469"/>
      <c r="G25" s="469" t="str">
        <f>BS!D73</f>
        <v>DIN: 00330342</v>
      </c>
      <c r="H25" s="1579" t="str">
        <f>BS!E73</f>
        <v>DIN: 01482035</v>
      </c>
    </row>
    <row r="26" spans="1:8" x14ac:dyDescent="0.25">
      <c r="A26" s="35"/>
      <c r="B26" s="6"/>
      <c r="C26" s="469"/>
      <c r="D26" s="469"/>
      <c r="E26" s="469"/>
      <c r="F26" s="469"/>
      <c r="G26" s="469"/>
      <c r="H26" s="36"/>
    </row>
    <row r="27" spans="1:8" x14ac:dyDescent="0.25">
      <c r="A27" s="35"/>
      <c r="B27" s="6"/>
      <c r="C27" s="469"/>
      <c r="D27" s="469"/>
      <c r="E27" s="469"/>
      <c r="F27" s="469"/>
      <c r="G27" s="469"/>
      <c r="H27" s="36"/>
    </row>
    <row r="28" spans="1:8" x14ac:dyDescent="0.25">
      <c r="A28" s="35"/>
      <c r="B28" s="6"/>
      <c r="C28" s="469"/>
      <c r="D28" s="469"/>
      <c r="E28" s="469"/>
      <c r="F28" s="469"/>
      <c r="G28" s="469"/>
      <c r="H28" s="36"/>
    </row>
    <row r="29" spans="1:8" x14ac:dyDescent="0.25">
      <c r="A29" s="35"/>
      <c r="B29" s="6"/>
      <c r="C29" s="469"/>
      <c r="D29" s="469"/>
      <c r="E29" s="469"/>
      <c r="F29" s="469"/>
      <c r="G29" s="53" t="str">
        <f>'Cash Flow_FY26'!C118</f>
        <v>Ambrish Dixit</v>
      </c>
      <c r="H29" s="36" t="str">
        <f>'Cash Flow_FY26'!D118</f>
        <v>Mukesh Lodha</v>
      </c>
    </row>
    <row r="30" spans="1:8" x14ac:dyDescent="0.25">
      <c r="A30" s="35"/>
      <c r="B30" s="6"/>
      <c r="C30" s="469"/>
      <c r="D30" s="469"/>
      <c r="E30" s="469"/>
      <c r="F30" s="469"/>
      <c r="G30" s="469" t="str">
        <f>'Cash Flow_FY26'!C119</f>
        <v>CEO</v>
      </c>
      <c r="H30" s="36" t="str">
        <f>'Cash Flow_FY26'!D119</f>
        <v>CFO</v>
      </c>
    </row>
    <row r="31" spans="1:8" x14ac:dyDescent="0.25">
      <c r="A31" s="35"/>
      <c r="B31" s="6"/>
      <c r="C31" s="469"/>
      <c r="D31" s="469"/>
      <c r="E31" s="469"/>
      <c r="F31" s="469"/>
      <c r="G31" s="469"/>
      <c r="H31" s="36"/>
    </row>
    <row r="32" spans="1:8" x14ac:dyDescent="0.25">
      <c r="A32" s="35"/>
      <c r="B32" s="6"/>
      <c r="C32" s="469"/>
      <c r="D32" s="469"/>
      <c r="E32" s="469"/>
      <c r="F32" s="469"/>
      <c r="G32" s="469"/>
      <c r="H32" s="36"/>
    </row>
    <row r="33" spans="1:8" x14ac:dyDescent="0.25">
      <c r="A33" s="35"/>
      <c r="B33" s="6"/>
      <c r="C33" s="469"/>
      <c r="D33" s="469"/>
      <c r="E33" s="469"/>
      <c r="F33" s="469"/>
      <c r="G33" s="469"/>
      <c r="H33" s="36"/>
    </row>
    <row r="34" spans="1:8" x14ac:dyDescent="0.25">
      <c r="A34" s="35" t="str">
        <f>BS!A82</f>
        <v>Place: Ahmedabad</v>
      </c>
      <c r="B34" s="6"/>
      <c r="C34" s="470"/>
      <c r="D34" s="10"/>
      <c r="E34" s="11"/>
      <c r="F34" s="470"/>
      <c r="G34" s="470" t="str">
        <f>BS!D82</f>
        <v>Place: Vadodara</v>
      </c>
      <c r="H34" s="593" t="str">
        <f>BS!E82</f>
        <v>Place: Vadodara</v>
      </c>
    </row>
    <row r="35" spans="1:8" ht="15.75" thickBot="1" x14ac:dyDescent="0.3">
      <c r="A35" s="39" t="str">
        <f>BS!A83</f>
        <v>Date: 17 July 2026</v>
      </c>
      <c r="B35" s="54"/>
      <c r="C35" s="41"/>
      <c r="D35" s="130"/>
      <c r="E35" s="188"/>
      <c r="F35" s="41"/>
      <c r="G35" s="41" t="str">
        <f>BS!D83</f>
        <v>Date: 17 July 2026</v>
      </c>
      <c r="H35" s="596" t="str">
        <f>BS!E83</f>
        <v>Date: 17 July 2026</v>
      </c>
    </row>
  </sheetData>
  <mergeCells count="5">
    <mergeCell ref="A6:H6"/>
    <mergeCell ref="B9:D9"/>
    <mergeCell ref="B10:D10"/>
    <mergeCell ref="B11:D11"/>
    <mergeCell ref="B12:D12"/>
  </mergeCells>
  <pageMargins left="0.70866141732283472" right="0.70866141732283472" top="0.74803149606299213" bottom="0.74803149606299213" header="0.31496062992125984" footer="0.31496062992125984"/>
  <pageSetup paperSize="9" scale="60" orientation="portrait" r:id="rId1"/>
  <headerFooter>
    <oddHeader>&amp;C&amp;G</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E61D-19E4-458C-98BC-6197C4B0E4BC}">
  <dimension ref="A1:K73"/>
  <sheetViews>
    <sheetView showGridLines="0" topLeftCell="A59" workbookViewId="0">
      <selection activeCell="G4" sqref="G4"/>
    </sheetView>
  </sheetViews>
  <sheetFormatPr defaultColWidth="8.7109375" defaultRowHeight="15" x14ac:dyDescent="0.25"/>
  <cols>
    <col min="1" max="1" width="19.5703125" style="501" customWidth="1"/>
    <col min="2" max="2" width="14.140625" style="1045" bestFit="1" customWidth="1"/>
    <col min="3" max="3" width="16.5703125" style="501" customWidth="1"/>
    <col min="4" max="4" width="14.140625" style="501" bestFit="1" customWidth="1"/>
    <col min="5" max="5" width="16.85546875" style="501" bestFit="1" customWidth="1"/>
    <col min="6" max="6" width="15.42578125" style="501" bestFit="1" customWidth="1"/>
    <col min="7" max="7" width="15.42578125" style="501" customWidth="1"/>
    <col min="8" max="8" width="14.7109375" style="501" bestFit="1" customWidth="1"/>
    <col min="9" max="9" width="13.7109375" style="501" bestFit="1" customWidth="1"/>
    <col min="10" max="10" width="12.140625" style="501" bestFit="1" customWidth="1"/>
    <col min="11" max="11" width="12.42578125" style="501" bestFit="1" customWidth="1"/>
    <col min="12" max="16384" width="8.7109375" style="501"/>
  </cols>
  <sheetData>
    <row r="1" spans="1:10" x14ac:dyDescent="0.25">
      <c r="A1" s="682" t="s">
        <v>1092</v>
      </c>
    </row>
    <row r="2" spans="1:10" ht="15.75" thickBot="1" x14ac:dyDescent="0.3">
      <c r="A2" s="682"/>
    </row>
    <row r="3" spans="1:10" x14ac:dyDescent="0.25">
      <c r="A3" s="1046"/>
      <c r="B3" s="1047"/>
      <c r="C3" s="670"/>
      <c r="D3" s="671"/>
    </row>
    <row r="4" spans="1:10" x14ac:dyDescent="0.25">
      <c r="A4" s="17" t="s">
        <v>1093</v>
      </c>
      <c r="B4" s="1048"/>
      <c r="D4" s="674"/>
    </row>
    <row r="5" spans="1:10" x14ac:dyDescent="0.25">
      <c r="A5" s="17" t="s">
        <v>1094</v>
      </c>
      <c r="B5" s="1048"/>
      <c r="D5" s="674"/>
    </row>
    <row r="6" spans="1:10" x14ac:dyDescent="0.25">
      <c r="A6" s="350" t="s">
        <v>1095</v>
      </c>
      <c r="B6" s="1048">
        <v>4519228</v>
      </c>
      <c r="D6" s="674"/>
    </row>
    <row r="7" spans="1:10" x14ac:dyDescent="0.25">
      <c r="A7" s="350" t="s">
        <v>1096</v>
      </c>
      <c r="B7" s="1049">
        <v>1752790</v>
      </c>
      <c r="C7" s="1050">
        <f>SUM(B6:B7)</f>
        <v>6272018</v>
      </c>
      <c r="D7" s="674"/>
    </row>
    <row r="8" spans="1:10" x14ac:dyDescent="0.25">
      <c r="A8" s="350"/>
      <c r="B8" s="1048"/>
      <c r="D8" s="674"/>
    </row>
    <row r="9" spans="1:10" x14ac:dyDescent="0.25">
      <c r="A9" s="350"/>
      <c r="B9" s="1048"/>
      <c r="D9" s="674"/>
    </row>
    <row r="10" spans="1:10" x14ac:dyDescent="0.25">
      <c r="A10" s="17" t="s">
        <v>1097</v>
      </c>
      <c r="B10" s="1048"/>
      <c r="D10" s="674"/>
    </row>
    <row r="11" spans="1:10" x14ac:dyDescent="0.25">
      <c r="A11" s="350" t="s">
        <v>1095</v>
      </c>
      <c r="B11" s="1048">
        <v>3321551</v>
      </c>
      <c r="D11" s="674"/>
    </row>
    <row r="12" spans="1:10" x14ac:dyDescent="0.25">
      <c r="A12" s="350" t="s">
        <v>1096</v>
      </c>
      <c r="B12" s="1049">
        <v>3954723</v>
      </c>
      <c r="C12" s="1050">
        <f>SUM(B11:B12)</f>
        <v>7276274</v>
      </c>
      <c r="D12" s="674"/>
      <c r="E12" s="1055">
        <f>+C12+C7-C17-C18</f>
        <v>6420311.0909090908</v>
      </c>
      <c r="F12" s="501" t="s">
        <v>1163</v>
      </c>
    </row>
    <row r="13" spans="1:10" x14ac:dyDescent="0.25">
      <c r="A13" s="350"/>
      <c r="B13" s="1048"/>
      <c r="D13" s="674"/>
      <c r="E13" s="1045">
        <v>19112647.583301038</v>
      </c>
      <c r="F13" s="501" t="s">
        <v>1162</v>
      </c>
    </row>
    <row r="14" spans="1:10" ht="15.75" thickBot="1" x14ac:dyDescent="0.3">
      <c r="A14" s="1051"/>
      <c r="B14" s="1052"/>
      <c r="C14" s="1053"/>
      <c r="D14" s="1054"/>
      <c r="E14" s="1055">
        <f>+E12+E13</f>
        <v>25532958.674210127</v>
      </c>
    </row>
    <row r="15" spans="1:10" x14ac:dyDescent="0.25">
      <c r="E15" s="1045">
        <f>+E14*17.168%</f>
        <v>4383498.3451883951</v>
      </c>
    </row>
    <row r="16" spans="1:10" s="1075" customFormat="1" ht="46.7" customHeight="1" x14ac:dyDescent="0.25">
      <c r="A16" s="702" t="s">
        <v>0</v>
      </c>
      <c r="B16" s="1079" t="s">
        <v>1098</v>
      </c>
      <c r="C16" s="1080" t="s">
        <v>1099</v>
      </c>
      <c r="D16" s="702" t="s">
        <v>67</v>
      </c>
      <c r="E16" s="702" t="s">
        <v>1100</v>
      </c>
      <c r="F16" s="702" t="s">
        <v>1132</v>
      </c>
      <c r="G16" s="1080" t="s">
        <v>148</v>
      </c>
      <c r="H16" s="702" t="s">
        <v>1133</v>
      </c>
      <c r="I16" s="702" t="s">
        <v>1155</v>
      </c>
      <c r="J16" s="1084" t="s">
        <v>1157</v>
      </c>
    </row>
    <row r="17" spans="1:11" x14ac:dyDescent="0.25">
      <c r="A17" s="680" t="s">
        <v>728</v>
      </c>
      <c r="B17" s="703">
        <f>'PPE- note 3'!C94*1000</f>
        <v>-60000</v>
      </c>
      <c r="C17" s="703">
        <f>$C$21/$B$21*B17</f>
        <v>7127980.9090909092</v>
      </c>
      <c r="D17" s="1081">
        <f>B17+C17</f>
        <v>7067980.9090909092</v>
      </c>
      <c r="E17" s="703">
        <f>D17*15%/2</f>
        <v>530098.56818181812</v>
      </c>
      <c r="F17" s="703">
        <f>D17-E17</f>
        <v>6537882.3409090908</v>
      </c>
      <c r="G17" s="703">
        <f>'PPE- note 3'!I94*1000</f>
        <v>69000</v>
      </c>
      <c r="H17" s="703">
        <f>B17-G17</f>
        <v>-129000</v>
      </c>
      <c r="I17" s="703">
        <f>F17-H17</f>
        <v>6666882.3409090908</v>
      </c>
      <c r="J17" s="1085">
        <f>I17*17.168%</f>
        <v>1144570.3602872726</v>
      </c>
    </row>
    <row r="18" spans="1:11" x14ac:dyDescent="0.25">
      <c r="A18" s="680" t="s">
        <v>1151</v>
      </c>
      <c r="B18" s="703">
        <f>'PPE- note 3'!C93*1000</f>
        <v>0</v>
      </c>
      <c r="C18" s="703">
        <f>$C$21/$B$21*B18</f>
        <v>0</v>
      </c>
      <c r="D18" s="1081">
        <f>B18+C18</f>
        <v>0</v>
      </c>
      <c r="E18" s="703">
        <f>D18*10%/2</f>
        <v>0</v>
      </c>
      <c r="F18" s="703">
        <f>D18-E18</f>
        <v>0</v>
      </c>
      <c r="G18" s="703">
        <f>'PPE- note 3'!I93*1000</f>
        <v>0</v>
      </c>
      <c r="H18" s="703">
        <f>B18-G18</f>
        <v>0</v>
      </c>
      <c r="I18" s="703">
        <f t="shared" ref="I18:I19" si="0">F18-H18</f>
        <v>0</v>
      </c>
      <c r="J18" s="1085">
        <f>I18*17.168%</f>
        <v>0</v>
      </c>
    </row>
    <row r="19" spans="1:11" x14ac:dyDescent="0.25">
      <c r="A19" s="680" t="s">
        <v>729</v>
      </c>
      <c r="B19" s="703">
        <f>'PPE- note 3'!C95*1000</f>
        <v>-6000</v>
      </c>
      <c r="C19" s="703">
        <f>$C$21/$B$21*B19</f>
        <v>712798.09090909094</v>
      </c>
      <c r="D19" s="1081">
        <f>B19+C19</f>
        <v>706798.09090909094</v>
      </c>
      <c r="E19" s="703">
        <f>D19*40%/2</f>
        <v>141359.61818181819</v>
      </c>
      <c r="F19" s="703">
        <f>D19-E19</f>
        <v>565438.47272727278</v>
      </c>
      <c r="G19" s="703">
        <f>'PPE- note 3'!I95*1000</f>
        <v>14000</v>
      </c>
      <c r="H19" s="703">
        <f>B19-G19</f>
        <v>-20000</v>
      </c>
      <c r="I19" s="703">
        <f t="shared" si="0"/>
        <v>585438.47272727278</v>
      </c>
      <c r="J19" s="1085">
        <f>I19*17.168%</f>
        <v>100508.07699781819</v>
      </c>
    </row>
    <row r="20" spans="1:11" x14ac:dyDescent="0.25">
      <c r="A20" s="680" t="s">
        <v>527</v>
      </c>
      <c r="B20" s="703">
        <f>BS!E10*1000</f>
        <v>0</v>
      </c>
      <c r="C20" s="703">
        <f>$C$21/$B$21*B20</f>
        <v>0</v>
      </c>
      <c r="D20" s="1081">
        <f>B20+C20</f>
        <v>0</v>
      </c>
      <c r="E20" s="703"/>
      <c r="F20" s="1082">
        <f>SUM(F17:F19)</f>
        <v>7103320.8136363635</v>
      </c>
      <c r="G20" s="1082">
        <f>SUM(G17:G19)</f>
        <v>83000</v>
      </c>
      <c r="H20" s="1082">
        <f t="shared" ref="H20:I20" si="1">SUM(H17:H19)</f>
        <v>-149000</v>
      </c>
      <c r="I20" s="1082">
        <f t="shared" si="1"/>
        <v>7252320.8136363635</v>
      </c>
      <c r="J20" s="1086">
        <f>SUM(J17:J19)</f>
        <v>1245078.4372850908</v>
      </c>
      <c r="K20" s="501">
        <v>-30025075.976544648</v>
      </c>
    </row>
    <row r="21" spans="1:11" x14ac:dyDescent="0.25">
      <c r="A21" s="680"/>
      <c r="B21" s="1082">
        <f>SUM(B17:B20)</f>
        <v>-66000</v>
      </c>
      <c r="C21" s="1082">
        <f>B11+B6</f>
        <v>7840779</v>
      </c>
      <c r="D21" s="1083">
        <f>B21+C21</f>
        <v>7774779</v>
      </c>
      <c r="E21" s="1082">
        <f>SUM(E17:E20)</f>
        <v>671458.18636363628</v>
      </c>
      <c r="F21" s="703"/>
      <c r="G21" s="703"/>
      <c r="H21" s="703"/>
      <c r="I21" s="703"/>
      <c r="J21" s="1085"/>
      <c r="K21" s="1055">
        <f>+I20-K20</f>
        <v>37277396.790181011</v>
      </c>
    </row>
    <row r="22" spans="1:11" x14ac:dyDescent="0.25">
      <c r="A22" s="680"/>
      <c r="B22" s="703"/>
      <c r="C22" s="680"/>
      <c r="D22" s="680"/>
      <c r="E22" s="680"/>
      <c r="F22" s="703"/>
      <c r="G22" s="703"/>
      <c r="H22" s="703"/>
      <c r="I22" s="703"/>
      <c r="J22" s="1085"/>
      <c r="K22" s="501">
        <f>+K21*17.16%</f>
        <v>6396801.2891950617</v>
      </c>
    </row>
    <row r="23" spans="1:11" x14ac:dyDescent="0.25">
      <c r="A23" s="680" t="s">
        <v>1125</v>
      </c>
      <c r="B23" s="703"/>
      <c r="C23" s="680"/>
      <c r="D23" s="680"/>
      <c r="E23" s="680"/>
      <c r="F23" s="703">
        <v>0</v>
      </c>
      <c r="G23" s="703"/>
      <c r="H23" s="703">
        <v>-1223695</v>
      </c>
      <c r="I23" s="703">
        <f t="shared" ref="I23:I24" si="2">F23-H23</f>
        <v>1223695</v>
      </c>
      <c r="J23" s="1085">
        <f>I23*17.168%*0</f>
        <v>0</v>
      </c>
    </row>
    <row r="24" spans="1:11" x14ac:dyDescent="0.25">
      <c r="A24" s="680" t="s">
        <v>1127</v>
      </c>
      <c r="B24" s="703"/>
      <c r="C24" s="680"/>
      <c r="D24" s="680"/>
      <c r="E24" s="680"/>
      <c r="F24" s="703">
        <v>0</v>
      </c>
      <c r="G24" s="703"/>
      <c r="H24" s="703">
        <v>-1269016</v>
      </c>
      <c r="I24" s="703">
        <f t="shared" si="2"/>
        <v>1269016</v>
      </c>
      <c r="J24" s="1085">
        <f>I24*17.168%*0</f>
        <v>0</v>
      </c>
    </row>
    <row r="25" spans="1:11" x14ac:dyDescent="0.25">
      <c r="A25" s="680"/>
      <c r="B25" s="703"/>
      <c r="C25" s="680"/>
      <c r="D25" s="680"/>
      <c r="E25" s="680"/>
      <c r="F25" s="703"/>
      <c r="G25" s="703"/>
      <c r="H25" s="703"/>
      <c r="I25" s="703">
        <f>SUM(I23:I24)</f>
        <v>2492711</v>
      </c>
      <c r="J25" s="1086">
        <f>I25*17.168%*0</f>
        <v>0</v>
      </c>
    </row>
    <row r="26" spans="1:11" ht="16.5" thickBot="1" x14ac:dyDescent="0.3">
      <c r="A26" s="1051"/>
      <c r="B26" s="1052"/>
      <c r="C26" s="1053"/>
      <c r="D26" s="1053"/>
      <c r="E26" s="1053"/>
      <c r="F26" s="1052"/>
      <c r="G26" s="1052"/>
      <c r="H26" s="1052"/>
      <c r="I26" s="1052"/>
      <c r="J26" s="1078">
        <f>J20+J25</f>
        <v>1245078.4372850908</v>
      </c>
    </row>
    <row r="27" spans="1:11" x14ac:dyDescent="0.25">
      <c r="F27" s="1045"/>
      <c r="G27" s="1045"/>
      <c r="H27" s="1045"/>
      <c r="I27" s="1045"/>
      <c r="J27" s="1045"/>
    </row>
    <row r="28" spans="1:11" x14ac:dyDescent="0.25">
      <c r="F28" s="1045"/>
      <c r="G28" s="1045"/>
      <c r="H28" s="1045"/>
      <c r="I28" s="1045"/>
      <c r="J28" s="1045"/>
    </row>
    <row r="29" spans="1:11" x14ac:dyDescent="0.25">
      <c r="F29" s="1045"/>
      <c r="G29" s="1045"/>
      <c r="H29" s="1045"/>
      <c r="I29" s="1045"/>
      <c r="J29" s="1045"/>
    </row>
    <row r="30" spans="1:11" x14ac:dyDescent="0.25">
      <c r="F30" s="1045"/>
      <c r="G30" s="1045"/>
      <c r="H30" s="1045"/>
      <c r="I30" s="1045"/>
      <c r="J30" s="1045"/>
    </row>
    <row r="32" spans="1:11" ht="15.75" thickBot="1" x14ac:dyDescent="0.3"/>
    <row r="33" spans="1:5" x14ac:dyDescent="0.25">
      <c r="A33" s="669" t="s">
        <v>1101</v>
      </c>
      <c r="B33" s="1047"/>
      <c r="C33" s="670"/>
      <c r="D33" s="670"/>
      <c r="E33" s="671"/>
    </row>
    <row r="34" spans="1:5" x14ac:dyDescent="0.25">
      <c r="A34" s="350" t="s">
        <v>1102</v>
      </c>
      <c r="B34" s="1048">
        <v>875943.49</v>
      </c>
      <c r="D34" s="1048">
        <f t="shared" ref="D34:D35" si="3">B34+C34</f>
        <v>875943.49</v>
      </c>
      <c r="E34" s="674"/>
    </row>
    <row r="35" spans="1:5" x14ac:dyDescent="0.25">
      <c r="A35" s="350" t="s">
        <v>1103</v>
      </c>
      <c r="B35" s="1048">
        <v>2658651.37</v>
      </c>
      <c r="D35" s="1048">
        <f t="shared" si="3"/>
        <v>2658651.37</v>
      </c>
      <c r="E35" s="674"/>
    </row>
    <row r="36" spans="1:5" x14ac:dyDescent="0.25">
      <c r="A36" s="350"/>
      <c r="B36" s="1050">
        <f>SUM(B34:B35)</f>
        <v>3534594.8600000003</v>
      </c>
      <c r="D36" s="1050">
        <f>SUM(D34:D35)</f>
        <v>3534594.8600000003</v>
      </c>
      <c r="E36" s="674"/>
    </row>
    <row r="37" spans="1:5" x14ac:dyDescent="0.25">
      <c r="A37" s="350"/>
      <c r="B37" s="1048"/>
      <c r="E37" s="674"/>
    </row>
    <row r="38" spans="1:5" x14ac:dyDescent="0.25">
      <c r="A38" s="350" t="s">
        <v>1104</v>
      </c>
      <c r="B38" s="1048">
        <v>13736480.57</v>
      </c>
      <c r="C38" s="501">
        <f>250+500+1000+500+1000+500+1387</f>
        <v>5137</v>
      </c>
      <c r="D38" s="1050">
        <f>B38+C38</f>
        <v>13741617.57</v>
      </c>
      <c r="E38" s="674"/>
    </row>
    <row r="39" spans="1:5" x14ac:dyDescent="0.25">
      <c r="A39" s="350"/>
      <c r="B39" s="1048"/>
      <c r="E39" s="674"/>
    </row>
    <row r="40" spans="1:5" x14ac:dyDescent="0.25">
      <c r="A40" s="350"/>
      <c r="B40" s="1050">
        <f>B38+B36</f>
        <v>17271075.43</v>
      </c>
      <c r="D40" s="1060">
        <f>D38+D36</f>
        <v>17276212.43</v>
      </c>
      <c r="E40" s="674"/>
    </row>
    <row r="41" spans="1:5" x14ac:dyDescent="0.25">
      <c r="A41" s="350"/>
      <c r="B41" s="1048"/>
      <c r="D41" s="1048">
        <f>-'[12]TB BVS 31.3.24'!I73</f>
        <v>17331137.02</v>
      </c>
      <c r="E41" s="674"/>
    </row>
    <row r="42" spans="1:5" x14ac:dyDescent="0.25">
      <c r="A42" s="350"/>
      <c r="B42" s="1048"/>
      <c r="D42" s="1061">
        <f>D40-D41</f>
        <v>-54924.589999999851</v>
      </c>
      <c r="E42" s="1062" t="s">
        <v>1105</v>
      </c>
    </row>
    <row r="43" spans="1:5" ht="15.75" thickBot="1" x14ac:dyDescent="0.3">
      <c r="A43" s="1051"/>
      <c r="B43" s="1052"/>
      <c r="C43" s="1053"/>
      <c r="D43" s="1053"/>
      <c r="E43" s="1054"/>
    </row>
    <row r="45" spans="1:5" ht="15.75" thickBot="1" x14ac:dyDescent="0.3"/>
    <row r="46" spans="1:5" x14ac:dyDescent="0.25">
      <c r="A46" s="669" t="s">
        <v>1106</v>
      </c>
      <c r="B46" s="1047"/>
      <c r="C46" s="670"/>
      <c r="D46" s="670"/>
      <c r="E46" s="671"/>
    </row>
    <row r="47" spans="1:5" x14ac:dyDescent="0.25">
      <c r="A47" s="17" t="s">
        <v>1107</v>
      </c>
      <c r="B47" s="1048"/>
      <c r="E47" s="674"/>
    </row>
    <row r="48" spans="1:5" x14ac:dyDescent="0.25">
      <c r="A48" s="350" t="s">
        <v>1108</v>
      </c>
      <c r="B48" s="1055">
        <v>1752790</v>
      </c>
      <c r="C48" s="1055"/>
      <c r="E48" s="674"/>
    </row>
    <row r="49" spans="1:5" x14ac:dyDescent="0.25">
      <c r="A49" s="350"/>
      <c r="B49" s="1048"/>
      <c r="E49" s="674"/>
    </row>
    <row r="50" spans="1:5" x14ac:dyDescent="0.25">
      <c r="A50" s="350"/>
      <c r="B50" s="1048"/>
      <c r="E50" s="674"/>
    </row>
    <row r="51" spans="1:5" x14ac:dyDescent="0.25">
      <c r="A51" s="17" t="s">
        <v>1109</v>
      </c>
      <c r="B51" s="1048"/>
      <c r="E51" s="674"/>
    </row>
    <row r="52" spans="1:5" x14ac:dyDescent="0.25">
      <c r="A52" s="350" t="s">
        <v>1110</v>
      </c>
      <c r="B52" s="1048">
        <v>3344847.9331575348</v>
      </c>
      <c r="C52" s="1055">
        <f>B52</f>
        <v>3344847.9331575348</v>
      </c>
      <c r="E52" s="674"/>
    </row>
    <row r="53" spans="1:5" x14ac:dyDescent="0.25">
      <c r="A53" s="350" t="s">
        <v>1108</v>
      </c>
      <c r="B53" s="1048">
        <v>609875</v>
      </c>
      <c r="E53" s="674"/>
    </row>
    <row r="54" spans="1:5" x14ac:dyDescent="0.25">
      <c r="A54" s="350"/>
      <c r="B54" s="1048"/>
      <c r="E54" s="674"/>
    </row>
    <row r="55" spans="1:5" x14ac:dyDescent="0.25">
      <c r="A55" s="350"/>
      <c r="B55" s="1048"/>
      <c r="E55" s="674"/>
    </row>
    <row r="56" spans="1:5" x14ac:dyDescent="0.25">
      <c r="A56" s="350"/>
      <c r="B56" s="1048"/>
      <c r="E56" s="674"/>
    </row>
    <row r="57" spans="1:5" x14ac:dyDescent="0.25">
      <c r="A57" s="17" t="s">
        <v>456</v>
      </c>
      <c r="B57" s="1048"/>
      <c r="E57" s="674"/>
    </row>
    <row r="58" spans="1:5" x14ac:dyDescent="0.25">
      <c r="A58" s="350" t="s">
        <v>1111</v>
      </c>
      <c r="B58" s="1048">
        <f>'PPE- note 3'!E100*1000</f>
        <v>3244000</v>
      </c>
      <c r="C58" s="1055">
        <f>B58</f>
        <v>3244000</v>
      </c>
      <c r="E58" s="674"/>
    </row>
    <row r="59" spans="1:5" x14ac:dyDescent="0.25">
      <c r="A59" s="350"/>
      <c r="B59" s="1048"/>
      <c r="E59" s="674"/>
    </row>
    <row r="60" spans="1:5" x14ac:dyDescent="0.25">
      <c r="A60" s="350"/>
      <c r="B60" s="1048"/>
      <c r="E60" s="674"/>
    </row>
    <row r="61" spans="1:5" x14ac:dyDescent="0.25">
      <c r="A61" s="350"/>
      <c r="B61" s="1048"/>
      <c r="C61" s="1050">
        <f>SUM(C48:C60)</f>
        <v>6588847.9331575353</v>
      </c>
      <c r="E61" s="674"/>
    </row>
    <row r="62" spans="1:5" x14ac:dyDescent="0.25">
      <c r="A62" s="350"/>
      <c r="B62" s="1048"/>
      <c r="E62" s="674"/>
    </row>
    <row r="63" spans="1:5" x14ac:dyDescent="0.25">
      <c r="A63" s="17" t="s">
        <v>1112</v>
      </c>
      <c r="B63" s="1048"/>
      <c r="E63" s="674"/>
    </row>
    <row r="64" spans="1:5" x14ac:dyDescent="0.25">
      <c r="A64" s="1063">
        <v>42789</v>
      </c>
      <c r="B64" s="1048"/>
      <c r="E64" s="674"/>
    </row>
    <row r="65" spans="1:5" x14ac:dyDescent="0.25">
      <c r="A65" s="1063">
        <f>(99*365)+A64</f>
        <v>78924</v>
      </c>
      <c r="B65" s="1048">
        <f>(A65-A64)/365</f>
        <v>99</v>
      </c>
      <c r="E65" s="674"/>
    </row>
    <row r="66" spans="1:5" x14ac:dyDescent="0.25">
      <c r="A66" s="350" t="s">
        <v>1113</v>
      </c>
      <c r="B66" s="1048"/>
      <c r="E66" s="674"/>
    </row>
    <row r="67" spans="1:5" x14ac:dyDescent="0.25">
      <c r="A67" s="1063">
        <v>45292</v>
      </c>
      <c r="B67" s="1048"/>
      <c r="E67" s="674"/>
    </row>
    <row r="68" spans="1:5" x14ac:dyDescent="0.25">
      <c r="A68" s="1063">
        <f>A65</f>
        <v>78924</v>
      </c>
      <c r="B68" s="1048">
        <f>(A68-A67)/365</f>
        <v>92.142465753424659</v>
      </c>
      <c r="C68" s="1048">
        <f>C61/B68/12</f>
        <v>5958.9317108767946</v>
      </c>
      <c r="D68" s="501" t="s">
        <v>1114</v>
      </c>
      <c r="E68" s="674"/>
    </row>
    <row r="69" spans="1:5" x14ac:dyDescent="0.25">
      <c r="A69" s="350"/>
      <c r="B69" s="1048"/>
      <c r="E69" s="674"/>
    </row>
    <row r="70" spans="1:5" x14ac:dyDescent="0.25">
      <c r="A70" s="17" t="s">
        <v>1115</v>
      </c>
      <c r="B70" s="1060"/>
      <c r="C70" s="1050">
        <f>C68*3</f>
        <v>17876.795132630385</v>
      </c>
      <c r="E70" s="674"/>
    </row>
    <row r="71" spans="1:5" x14ac:dyDescent="0.25">
      <c r="A71" s="350"/>
      <c r="B71" s="1048"/>
      <c r="E71" s="674"/>
    </row>
    <row r="72" spans="1:5" x14ac:dyDescent="0.25">
      <c r="A72" s="350"/>
      <c r="B72" s="1048"/>
      <c r="E72" s="674"/>
    </row>
    <row r="73" spans="1:5" ht="15.75" thickBot="1" x14ac:dyDescent="0.3">
      <c r="A73" s="1051"/>
      <c r="B73" s="1052"/>
      <c r="C73" s="1053"/>
      <c r="D73" s="1053"/>
      <c r="E73" s="1054"/>
    </row>
  </sheetData>
  <pageMargins left="0.7" right="0.7" top="0.75" bottom="0.75" header="0.3" footer="0.3"/>
  <pageSetup paperSize="9" orientation="portrait" r:id="rId1"/>
  <headerFooter>
    <oddHeader>&amp;C&amp;G</oddHeader>
  </headerFooter>
  <ignoredErrors>
    <ignoredError sqref="H20:H25"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2BC6-E348-49D7-81B0-FA1B719A26CF}">
  <sheetPr>
    <tabColor rgb="FF92D050"/>
  </sheetPr>
  <dimension ref="A1:L13"/>
  <sheetViews>
    <sheetView workbookViewId="0">
      <selection activeCell="G12" sqref="G12"/>
    </sheetView>
  </sheetViews>
  <sheetFormatPr defaultRowHeight="15" x14ac:dyDescent="0.25"/>
  <cols>
    <col min="1" max="1" width="5.5703125" bestFit="1" customWidth="1"/>
    <col min="2" max="2" width="36.140625" bestFit="1" customWidth="1"/>
    <col min="3" max="3" width="14.28515625" bestFit="1" customWidth="1"/>
    <col min="4" max="4" width="12" bestFit="1" customWidth="1"/>
    <col min="5" max="5" width="9.42578125" bestFit="1" customWidth="1"/>
    <col min="6" max="6" width="8.5703125" bestFit="1" customWidth="1"/>
    <col min="7" max="8" width="9" bestFit="1" customWidth="1"/>
    <col min="10" max="10" width="9.7109375" bestFit="1" customWidth="1"/>
  </cols>
  <sheetData>
    <row r="1" spans="1:12" x14ac:dyDescent="0.25">
      <c r="A1" s="1214" t="s">
        <v>1221</v>
      </c>
      <c r="B1" s="1214" t="s">
        <v>1222</v>
      </c>
      <c r="C1" s="1214" t="s">
        <v>1223</v>
      </c>
      <c r="D1" s="1214" t="s">
        <v>1224</v>
      </c>
      <c r="E1" s="1215">
        <v>45747</v>
      </c>
      <c r="F1" s="1214" t="s">
        <v>1225</v>
      </c>
      <c r="G1" s="1214" t="s">
        <v>1226</v>
      </c>
      <c r="H1" s="1214" t="s">
        <v>1227</v>
      </c>
      <c r="J1" s="1223">
        <v>45382</v>
      </c>
      <c r="L1" s="1214" t="s">
        <v>1225</v>
      </c>
    </row>
    <row r="2" spans="1:12" x14ac:dyDescent="0.25">
      <c r="A2" s="1216">
        <v>1</v>
      </c>
      <c r="B2" s="1217" t="s">
        <v>1228</v>
      </c>
      <c r="C2" s="1216" t="s">
        <v>1229</v>
      </c>
      <c r="D2" s="1218">
        <v>10000</v>
      </c>
      <c r="E2" s="1218">
        <f>D2</f>
        <v>10000</v>
      </c>
      <c r="F2" s="1217"/>
      <c r="G2" s="1219">
        <f>E2</f>
        <v>10000</v>
      </c>
      <c r="H2" s="1219">
        <f>E2</f>
        <v>10000</v>
      </c>
      <c r="J2" s="157">
        <f>D2</f>
        <v>10000</v>
      </c>
    </row>
    <row r="3" spans="1:12" x14ac:dyDescent="0.25">
      <c r="A3" s="1217"/>
      <c r="B3" s="1217"/>
      <c r="C3" s="1217"/>
      <c r="D3" s="1217"/>
      <c r="E3" s="1217"/>
      <c r="F3" s="1217"/>
      <c r="G3" s="1217"/>
      <c r="H3" s="1217"/>
    </row>
    <row r="4" spans="1:12" x14ac:dyDescent="0.25">
      <c r="A4" s="1216">
        <v>2</v>
      </c>
      <c r="B4" s="1217" t="s">
        <v>1232</v>
      </c>
      <c r="C4" s="1220">
        <v>45044</v>
      </c>
      <c r="D4" s="1218">
        <v>44097</v>
      </c>
      <c r="E4" s="1219">
        <f>D4</f>
        <v>44097</v>
      </c>
      <c r="F4" s="1217"/>
      <c r="G4" s="1219">
        <f>E4</f>
        <v>44097</v>
      </c>
      <c r="H4" s="1219">
        <f>E4</f>
        <v>44097</v>
      </c>
      <c r="J4" s="75">
        <f>D4/366*L4</f>
        <v>40843.942622950817</v>
      </c>
      <c r="L4">
        <f>J1-C4+1</f>
        <v>339</v>
      </c>
    </row>
    <row r="5" spans="1:12" x14ac:dyDescent="0.25">
      <c r="A5" s="1217"/>
      <c r="B5" s="1217"/>
      <c r="C5" s="1217"/>
      <c r="D5" s="1217"/>
      <c r="E5" s="1217"/>
      <c r="F5" s="1217"/>
      <c r="G5" s="1217"/>
      <c r="H5" s="1217"/>
    </row>
    <row r="6" spans="1:12" x14ac:dyDescent="0.25">
      <c r="A6" s="1216">
        <v>2</v>
      </c>
      <c r="B6" s="1217" t="s">
        <v>1230</v>
      </c>
      <c r="C6" s="1222">
        <v>45126</v>
      </c>
      <c r="D6" s="1218">
        <v>97276</v>
      </c>
      <c r="E6" s="1219">
        <f>D6</f>
        <v>97276</v>
      </c>
      <c r="F6" s="1217"/>
      <c r="G6" s="1219">
        <f>E6</f>
        <v>97276</v>
      </c>
      <c r="H6" s="1219">
        <f>E6</f>
        <v>97276</v>
      </c>
      <c r="J6" s="75">
        <f>D6/366*L6</f>
        <v>68305.825136612024</v>
      </c>
      <c r="L6" s="75">
        <f>J1-C6+1</f>
        <v>257</v>
      </c>
    </row>
    <row r="7" spans="1:12" x14ac:dyDescent="0.25">
      <c r="A7" s="1217"/>
      <c r="B7" s="1217"/>
      <c r="C7" s="1216"/>
      <c r="D7" s="1217"/>
      <c r="E7" s="1217"/>
      <c r="F7" s="1217"/>
      <c r="G7" s="1217"/>
      <c r="H7" s="1217"/>
    </row>
    <row r="8" spans="1:12" x14ac:dyDescent="0.25">
      <c r="A8" s="1216">
        <v>3</v>
      </c>
      <c r="B8" s="1217" t="s">
        <v>1231</v>
      </c>
      <c r="C8" s="1220">
        <v>45471</v>
      </c>
      <c r="D8" s="1218">
        <v>29321</v>
      </c>
      <c r="E8" s="1219">
        <f>D8/365*F8</f>
        <v>22251.827397260273</v>
      </c>
      <c r="F8">
        <f>E1-C8+1</f>
        <v>277</v>
      </c>
      <c r="G8" s="1219">
        <f>E8</f>
        <v>22251.827397260273</v>
      </c>
      <c r="H8" s="1219">
        <f>E8</f>
        <v>22251.827397260273</v>
      </c>
      <c r="J8" s="75">
        <v>0</v>
      </c>
    </row>
    <row r="9" spans="1:12" x14ac:dyDescent="0.25">
      <c r="A9" s="1217"/>
      <c r="B9" s="1217"/>
      <c r="C9" s="1217"/>
      <c r="D9" s="1217"/>
      <c r="E9" s="1217"/>
      <c r="F9" s="1217"/>
      <c r="G9" s="1217"/>
      <c r="H9" s="1217"/>
      <c r="J9" s="75"/>
    </row>
    <row r="10" spans="1:12" x14ac:dyDescent="0.25">
      <c r="A10" s="1216">
        <v>4</v>
      </c>
      <c r="B10" s="1217" t="s">
        <v>1233</v>
      </c>
      <c r="C10" s="1220">
        <v>45428</v>
      </c>
      <c r="D10" s="1218">
        <v>42771</v>
      </c>
      <c r="E10" s="1219">
        <f>D10/365*F10</f>
        <v>37497.863013698632</v>
      </c>
      <c r="F10">
        <f>E1-C10+1</f>
        <v>320</v>
      </c>
      <c r="G10" s="1219">
        <f>E10</f>
        <v>37497.863013698632</v>
      </c>
      <c r="H10" s="1219">
        <f>E10</f>
        <v>37497.863013698632</v>
      </c>
      <c r="J10" s="75">
        <v>0</v>
      </c>
    </row>
    <row r="11" spans="1:12" x14ac:dyDescent="0.25">
      <c r="A11" s="1217"/>
      <c r="B11" s="1217"/>
      <c r="C11" s="1217"/>
      <c r="D11" s="1217"/>
      <c r="E11" s="1217"/>
      <c r="F11" s="1217"/>
      <c r="G11" s="1217"/>
      <c r="H11" s="1217"/>
    </row>
    <row r="12" spans="1:12" x14ac:dyDescent="0.25">
      <c r="A12" s="1217"/>
      <c r="B12" s="1217"/>
      <c r="C12" s="1217"/>
      <c r="D12" s="1217"/>
      <c r="E12" s="1217"/>
      <c r="F12" s="1217"/>
      <c r="G12" s="1221">
        <f>SUM(G2:G11)</f>
        <v>211122.69041095889</v>
      </c>
      <c r="H12" s="1221">
        <f>SUM(H2:H11)</f>
        <v>211122.69041095889</v>
      </c>
      <c r="J12" s="1221">
        <f>SUM(J2:J11)</f>
        <v>119149.76775956285</v>
      </c>
    </row>
    <row r="13" spans="1:12" x14ac:dyDescent="0.25">
      <c r="A13" s="1217"/>
      <c r="B13" s="1217"/>
      <c r="C13" s="1217"/>
      <c r="D13" s="1217"/>
      <c r="E13" s="1217"/>
      <c r="F13" s="1217"/>
      <c r="G13" s="1217"/>
      <c r="H13" s="1217"/>
    </row>
  </sheetData>
  <pageMargins left="0.7" right="0.7" top="0.75" bottom="0.75" header="0.3" footer="0.3"/>
  <headerFooter>
    <oddHeader>&amp;C&amp;G</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4EE8-DEBA-4DBE-98EA-2717EF76BE88}">
  <dimension ref="A1:I93"/>
  <sheetViews>
    <sheetView workbookViewId="0">
      <selection activeCell="F16" sqref="F16"/>
    </sheetView>
  </sheetViews>
  <sheetFormatPr defaultColWidth="9.42578125" defaultRowHeight="15" x14ac:dyDescent="0.3"/>
  <cols>
    <col min="1" max="1" width="5" style="421" bestFit="1" customWidth="1"/>
    <col min="2" max="2" width="11.5703125" style="422" customWidth="1"/>
    <col min="3" max="3" width="71.5703125" style="422" bestFit="1" customWidth="1"/>
    <col min="4" max="4" width="16.42578125" style="422" customWidth="1"/>
    <col min="5" max="5" width="17.5703125" style="422" bestFit="1" customWidth="1"/>
    <col min="6" max="6" width="17.42578125" style="422" bestFit="1" customWidth="1"/>
    <col min="7" max="7" width="20.42578125" style="421" bestFit="1" customWidth="1"/>
    <col min="8" max="8" width="15.85546875" style="421" bestFit="1" customWidth="1"/>
    <col min="9" max="9" width="14.42578125" style="421" bestFit="1" customWidth="1"/>
    <col min="10" max="10" width="9.42578125" style="421"/>
    <col min="11" max="11" width="11.42578125" style="421" bestFit="1" customWidth="1"/>
    <col min="12" max="12" width="10.5703125" style="421" bestFit="1" customWidth="1"/>
    <col min="13" max="13" width="9.42578125" style="421"/>
    <col min="14" max="14" width="10.5703125" style="421" bestFit="1" customWidth="1"/>
    <col min="15" max="16384" width="9.42578125" style="421"/>
  </cols>
  <sheetData>
    <row r="1" spans="1:9" x14ac:dyDescent="0.3">
      <c r="A1" s="421">
        <v>1000</v>
      </c>
    </row>
    <row r="2" spans="1:9" s="434" customFormat="1" x14ac:dyDescent="0.3">
      <c r="B2" s="458" t="s">
        <v>669</v>
      </c>
      <c r="C2" s="457" t="s">
        <v>286</v>
      </c>
      <c r="D2" s="457"/>
      <c r="E2" s="456" t="s">
        <v>668</v>
      </c>
      <c r="F2" s="455" t="s">
        <v>667</v>
      </c>
    </row>
    <row r="3" spans="1:9" s="434" customFormat="1" ht="30" x14ac:dyDescent="0.3">
      <c r="B3" s="536" t="s">
        <v>666</v>
      </c>
      <c r="C3" s="454" t="s">
        <v>911</v>
      </c>
      <c r="D3" s="452"/>
      <c r="E3" s="451" t="s">
        <v>665</v>
      </c>
      <c r="F3" s="450" t="s">
        <v>1402</v>
      </c>
    </row>
    <row r="4" spans="1:9" s="434" customFormat="1" x14ac:dyDescent="0.3">
      <c r="B4" s="453"/>
      <c r="C4" s="452"/>
      <c r="D4" s="452"/>
      <c r="E4" s="451" t="s">
        <v>663</v>
      </c>
      <c r="F4" s="450" t="s">
        <v>1403</v>
      </c>
    </row>
    <row r="5" spans="1:9" x14ac:dyDescent="0.3">
      <c r="B5" s="449"/>
      <c r="C5" s="448"/>
      <c r="D5" s="448"/>
      <c r="E5" s="447"/>
      <c r="F5" s="446"/>
    </row>
    <row r="6" spans="1:9" x14ac:dyDescent="0.3">
      <c r="B6" s="445"/>
      <c r="C6" s="444"/>
      <c r="D6" s="444"/>
      <c r="E6" s="444"/>
      <c r="F6" s="443"/>
    </row>
    <row r="7" spans="1:9" x14ac:dyDescent="0.3">
      <c r="B7" s="1807" t="s">
        <v>661</v>
      </c>
      <c r="C7" s="1807"/>
      <c r="D7" s="1807"/>
      <c r="E7" s="1807"/>
      <c r="F7" s="1807"/>
    </row>
    <row r="8" spans="1:9" x14ac:dyDescent="0.3">
      <c r="B8" s="1864" t="s">
        <v>645</v>
      </c>
      <c r="C8" s="1864"/>
      <c r="D8" s="1864"/>
      <c r="E8" s="1361" t="s">
        <v>660</v>
      </c>
      <c r="F8" s="1361" t="s">
        <v>660</v>
      </c>
    </row>
    <row r="9" spans="1:9" x14ac:dyDescent="0.3">
      <c r="B9" s="975"/>
      <c r="C9" s="975"/>
      <c r="D9" s="975"/>
      <c r="E9" s="1271"/>
      <c r="F9" s="975"/>
    </row>
    <row r="10" spans="1:9" x14ac:dyDescent="0.3">
      <c r="B10" s="437" t="s">
        <v>42</v>
      </c>
      <c r="C10" s="435" t="s">
        <v>659</v>
      </c>
      <c r="D10" s="425"/>
      <c r="E10" s="446"/>
      <c r="F10" s="425"/>
    </row>
    <row r="11" spans="1:9" x14ac:dyDescent="0.3">
      <c r="B11" s="427"/>
      <c r="C11" s="425" t="s">
        <v>658</v>
      </c>
      <c r="D11" s="425"/>
      <c r="E11" s="446"/>
      <c r="F11" s="425">
        <f>-202719.652*1000</f>
        <v>-202719652</v>
      </c>
    </row>
    <row r="12" spans="1:9" x14ac:dyDescent="0.3">
      <c r="B12" s="427"/>
      <c r="C12" s="425"/>
      <c r="D12" s="425"/>
      <c r="E12" s="446"/>
      <c r="F12" s="425"/>
    </row>
    <row r="13" spans="1:9" x14ac:dyDescent="0.3">
      <c r="B13" s="437" t="s">
        <v>126</v>
      </c>
      <c r="C13" s="439" t="s">
        <v>657</v>
      </c>
      <c r="D13" s="425"/>
      <c r="E13" s="446"/>
      <c r="F13" s="425"/>
    </row>
    <row r="14" spans="1:9" x14ac:dyDescent="0.3">
      <c r="B14" s="437"/>
      <c r="C14" s="436" t="s">
        <v>656</v>
      </c>
      <c r="D14" s="425"/>
      <c r="E14" s="446"/>
      <c r="F14" s="425"/>
    </row>
    <row r="15" spans="1:9" s="422" customFormat="1" x14ac:dyDescent="0.3">
      <c r="B15" s="437"/>
      <c r="C15" s="436" t="s">
        <v>1404</v>
      </c>
      <c r="D15" s="425"/>
      <c r="E15" s="446">
        <f>'[21]TB BVS 31.3.25'!I138</f>
        <v>5000</v>
      </c>
      <c r="F15" s="425"/>
      <c r="G15" s="421" t="s">
        <v>1405</v>
      </c>
      <c r="H15" s="421"/>
      <c r="I15" s="421"/>
    </row>
    <row r="16" spans="1:9" s="422" customFormat="1" x14ac:dyDescent="0.3">
      <c r="B16" s="437"/>
      <c r="C16" s="436" t="s">
        <v>894</v>
      </c>
      <c r="D16" s="425"/>
      <c r="E16" s="446">
        <f>'[21]PL Notes 20-27'!C82*A1</f>
        <v>5013000</v>
      </c>
      <c r="F16" s="425"/>
      <c r="G16" s="421" t="s">
        <v>1405</v>
      </c>
      <c r="H16" s="534"/>
      <c r="I16" s="421"/>
    </row>
    <row r="17" spans="2:9" s="422" customFormat="1" x14ac:dyDescent="0.3">
      <c r="B17" s="437"/>
      <c r="C17" s="436" t="s">
        <v>653</v>
      </c>
      <c r="D17" s="425"/>
      <c r="E17" s="446">
        <f>+[22]PL!$D$17*1000</f>
        <v>129491000</v>
      </c>
      <c r="F17" s="425"/>
      <c r="G17" s="421" t="s">
        <v>1405</v>
      </c>
      <c r="H17" s="980"/>
      <c r="I17" s="421"/>
    </row>
    <row r="18" spans="2:9" s="422" customFormat="1" x14ac:dyDescent="0.3">
      <c r="B18" s="437"/>
      <c r="C18" s="436" t="s">
        <v>1406</v>
      </c>
      <c r="D18" s="425"/>
      <c r="E18" s="446">
        <f>-[21]Working!Q30</f>
        <v>11996625.380000001</v>
      </c>
      <c r="F18" s="425"/>
      <c r="G18" s="421" t="s">
        <v>1405</v>
      </c>
      <c r="H18" s="980"/>
      <c r="I18" s="421"/>
    </row>
    <row r="19" spans="2:9" s="422" customFormat="1" x14ac:dyDescent="0.3">
      <c r="B19" s="437"/>
      <c r="C19" s="1272" t="s">
        <v>1407</v>
      </c>
      <c r="D19" s="425"/>
      <c r="E19" s="446">
        <f>[21]Gratuity!H9</f>
        <v>761373</v>
      </c>
      <c r="F19" s="425"/>
      <c r="G19" s="421" t="s">
        <v>1405</v>
      </c>
      <c r="H19" s="421"/>
      <c r="I19" s="421"/>
    </row>
    <row r="20" spans="2:9" s="422" customFormat="1" x14ac:dyDescent="0.3">
      <c r="B20" s="437"/>
      <c r="C20" s="1272" t="s">
        <v>1408</v>
      </c>
      <c r="D20" s="425"/>
      <c r="E20" s="446">
        <f>[21]Leave!H11</f>
        <v>1613446</v>
      </c>
      <c r="F20" s="425"/>
      <c r="G20" s="421" t="s">
        <v>1405</v>
      </c>
      <c r="H20" s="421"/>
      <c r="I20" s="421"/>
    </row>
    <row r="21" spans="2:9" s="422" customFormat="1" x14ac:dyDescent="0.3">
      <c r="B21" s="437"/>
      <c r="C21" s="1272" t="s">
        <v>1409</v>
      </c>
      <c r="D21" s="425"/>
      <c r="E21" s="446">
        <f>-'[21]TB BVS 31.3.25'!I160</f>
        <v>1443331.5</v>
      </c>
      <c r="F21" s="425"/>
      <c r="G21" s="421" t="s">
        <v>1405</v>
      </c>
      <c r="H21" s="421"/>
      <c r="I21" s="421"/>
    </row>
    <row r="22" spans="2:9" s="422" customFormat="1" ht="13.5" customHeight="1" x14ac:dyDescent="0.3">
      <c r="B22" s="427"/>
      <c r="C22" s="436"/>
      <c r="D22" s="425"/>
      <c r="E22" s="446"/>
      <c r="F22" s="425"/>
      <c r="G22" s="980"/>
      <c r="H22" s="421"/>
      <c r="I22" s="421"/>
    </row>
    <row r="23" spans="2:9" s="422" customFormat="1" x14ac:dyDescent="0.3">
      <c r="B23" s="427"/>
      <c r="C23" s="436"/>
      <c r="D23" s="425"/>
      <c r="E23" s="443"/>
      <c r="F23" s="425">
        <f>SUM(E14:E23)</f>
        <v>150323775.88</v>
      </c>
      <c r="G23" s="980"/>
      <c r="H23" s="421"/>
      <c r="I23" s="421"/>
    </row>
    <row r="24" spans="2:9" s="422" customFormat="1" x14ac:dyDescent="0.3">
      <c r="B24" s="427"/>
      <c r="C24" s="436"/>
      <c r="D24" s="425"/>
      <c r="E24" s="975"/>
      <c r="F24" s="446"/>
      <c r="G24" s="421"/>
      <c r="H24" s="421"/>
      <c r="I24" s="421"/>
    </row>
    <row r="25" spans="2:9" s="422" customFormat="1" x14ac:dyDescent="0.3">
      <c r="B25" s="437" t="s">
        <v>632</v>
      </c>
      <c r="C25" s="439" t="s">
        <v>649</v>
      </c>
      <c r="D25" s="425"/>
      <c r="E25" s="425"/>
      <c r="F25" s="446"/>
      <c r="G25" s="421"/>
      <c r="H25" s="421"/>
      <c r="I25" s="421"/>
    </row>
    <row r="26" spans="2:9" s="422" customFormat="1" x14ac:dyDescent="0.3">
      <c r="B26" s="427"/>
      <c r="C26" s="436" t="s">
        <v>648</v>
      </c>
      <c r="D26" s="425"/>
      <c r="E26" s="425">
        <f>-[21]Depre_IT!P23</f>
        <v>-379719185</v>
      </c>
      <c r="F26" s="446"/>
      <c r="G26" s="421" t="s">
        <v>1410</v>
      </c>
      <c r="H26" s="421"/>
      <c r="I26" s="421"/>
    </row>
    <row r="27" spans="2:9" s="422" customFormat="1" x14ac:dyDescent="0.3">
      <c r="B27" s="427"/>
      <c r="C27" s="436" t="s">
        <v>903</v>
      </c>
      <c r="D27" s="425"/>
      <c r="E27" s="425">
        <f>+'[21]TB BVS 31.3.25'!I103</f>
        <v>-4891456.1299999896</v>
      </c>
      <c r="F27" s="446"/>
      <c r="G27" s="421" t="s">
        <v>1405</v>
      </c>
      <c r="H27" s="421"/>
      <c r="I27" s="421"/>
    </row>
    <row r="28" spans="2:9" s="422" customFormat="1" x14ac:dyDescent="0.3">
      <c r="B28" s="427"/>
      <c r="C28" s="436" t="s">
        <v>1411</v>
      </c>
      <c r="D28" s="425"/>
      <c r="E28" s="425">
        <v>-8400</v>
      </c>
      <c r="F28" s="446"/>
      <c r="G28" s="421" t="s">
        <v>1405</v>
      </c>
      <c r="H28" s="421"/>
      <c r="I28" s="421"/>
    </row>
    <row r="29" spans="2:9" s="422" customFormat="1" x14ac:dyDescent="0.3">
      <c r="B29" s="427"/>
      <c r="C29" s="425" t="s">
        <v>1412</v>
      </c>
      <c r="D29" s="425"/>
      <c r="E29" s="425">
        <v>-1789083.27</v>
      </c>
      <c r="F29" s="446"/>
      <c r="G29" s="421" t="s">
        <v>1405</v>
      </c>
      <c r="H29" s="421"/>
      <c r="I29" s="421"/>
    </row>
    <row r="30" spans="2:9" s="422" customFormat="1" x14ac:dyDescent="0.3">
      <c r="B30" s="427"/>
      <c r="C30" s="425" t="s">
        <v>1413</v>
      </c>
      <c r="D30" s="425"/>
      <c r="E30" s="425">
        <f>'[21]TB BVS 31.3.25'!I104</f>
        <v>-90892.479999999894</v>
      </c>
      <c r="F30" s="446"/>
      <c r="G30" s="421" t="s">
        <v>1405</v>
      </c>
      <c r="H30" s="421"/>
      <c r="I30" s="421"/>
    </row>
    <row r="31" spans="2:9" s="422" customFormat="1" x14ac:dyDescent="0.3">
      <c r="B31" s="427"/>
      <c r="C31" s="425" t="s">
        <v>1414</v>
      </c>
      <c r="D31" s="425"/>
      <c r="E31" s="425">
        <f>'[21]TB BVS 31.3.25'!I165</f>
        <v>-59812</v>
      </c>
      <c r="F31" s="446"/>
      <c r="G31" s="421" t="s">
        <v>1405</v>
      </c>
      <c r="H31" s="421"/>
      <c r="I31" s="421"/>
    </row>
    <row r="32" spans="2:9" s="422" customFormat="1" x14ac:dyDescent="0.3">
      <c r="B32" s="427"/>
      <c r="C32" s="442" t="s">
        <v>1117</v>
      </c>
      <c r="D32" s="425"/>
      <c r="E32" s="425">
        <f>-[21]Lease!C25</f>
        <v>-3556823.5151225771</v>
      </c>
      <c r="F32" s="446"/>
      <c r="G32" s="421" t="s">
        <v>1405</v>
      </c>
      <c r="H32" s="421"/>
      <c r="I32" s="421"/>
    </row>
    <row r="33" spans="2:9" s="422" customFormat="1" x14ac:dyDescent="0.3">
      <c r="B33" s="427"/>
      <c r="C33" s="442"/>
      <c r="D33" s="425"/>
      <c r="E33" s="425"/>
      <c r="F33" s="446"/>
      <c r="G33" s="421"/>
      <c r="H33" s="421"/>
      <c r="I33" s="421"/>
    </row>
    <row r="34" spans="2:9" s="422" customFormat="1" x14ac:dyDescent="0.3">
      <c r="B34" s="427"/>
      <c r="C34" s="442"/>
      <c r="D34" s="425"/>
      <c r="E34" s="426"/>
      <c r="F34" s="446">
        <f>SUM(E26:E34)</f>
        <v>-390115652.39512259</v>
      </c>
      <c r="G34" s="980"/>
      <c r="H34" s="421"/>
      <c r="I34" s="421"/>
    </row>
    <row r="35" spans="2:9" x14ac:dyDescent="0.3">
      <c r="B35" s="425"/>
      <c r="C35" s="449"/>
      <c r="D35" s="448"/>
      <c r="E35" s="448"/>
      <c r="F35" s="446"/>
    </row>
    <row r="36" spans="2:9" s="422" customFormat="1" x14ac:dyDescent="0.3">
      <c r="B36" s="427"/>
      <c r="C36" s="435" t="s">
        <v>647</v>
      </c>
      <c r="D36" s="425"/>
      <c r="E36" s="425"/>
      <c r="F36" s="450">
        <f>+F11+F23+F34</f>
        <v>-442511528.51512259</v>
      </c>
      <c r="G36" s="421"/>
      <c r="H36" s="421"/>
    </row>
    <row r="37" spans="2:9" x14ac:dyDescent="0.3">
      <c r="B37" s="437"/>
      <c r="C37" s="425"/>
      <c r="D37" s="440"/>
      <c r="E37" s="425"/>
      <c r="F37" s="972"/>
    </row>
    <row r="38" spans="2:9" x14ac:dyDescent="0.3">
      <c r="B38" s="437" t="s">
        <v>46</v>
      </c>
      <c r="C38" s="435" t="s">
        <v>904</v>
      </c>
      <c r="D38" s="425"/>
      <c r="E38" s="425"/>
      <c r="F38" s="450"/>
    </row>
    <row r="39" spans="2:9" x14ac:dyDescent="0.3">
      <c r="B39" s="437"/>
      <c r="C39" s="435" t="s">
        <v>1120</v>
      </c>
      <c r="D39" s="425"/>
      <c r="E39" s="425"/>
      <c r="F39" s="450"/>
    </row>
    <row r="40" spans="2:9" x14ac:dyDescent="0.3">
      <c r="B40" s="427"/>
      <c r="C40" s="425" t="s">
        <v>906</v>
      </c>
      <c r="D40" s="425"/>
      <c r="E40" s="425">
        <f>'[21]MF CG'!H20</f>
        <v>554891456.13</v>
      </c>
      <c r="F40" s="450"/>
      <c r="G40" s="421" t="s">
        <v>1405</v>
      </c>
    </row>
    <row r="41" spans="2:9" x14ac:dyDescent="0.3">
      <c r="B41" s="427"/>
      <c r="C41" s="425" t="s">
        <v>907</v>
      </c>
      <c r="D41" s="425"/>
      <c r="E41" s="426">
        <f>'[21]MF CG'!D20</f>
        <v>550000000</v>
      </c>
      <c r="F41" s="450">
        <f>E40-E41</f>
        <v>4891456.1299999952</v>
      </c>
      <c r="G41" s="421" t="s">
        <v>1405</v>
      </c>
    </row>
    <row r="42" spans="2:9" x14ac:dyDescent="0.3">
      <c r="B42" s="427"/>
      <c r="C42" s="425"/>
      <c r="D42" s="425"/>
      <c r="E42" s="446"/>
      <c r="F42" s="435"/>
    </row>
    <row r="43" spans="2:9" x14ac:dyDescent="0.3">
      <c r="B43" s="437" t="s">
        <v>46</v>
      </c>
      <c r="C43" s="435" t="s">
        <v>908</v>
      </c>
      <c r="D43" s="425"/>
      <c r="E43" s="446"/>
      <c r="F43" s="450"/>
    </row>
    <row r="44" spans="2:9" x14ac:dyDescent="0.3">
      <c r="B44" s="427"/>
      <c r="C44" s="425" t="s">
        <v>1412</v>
      </c>
      <c r="D44" s="425">
        <f>-E29</f>
        <v>1789083.27</v>
      </c>
      <c r="E44" s="446"/>
      <c r="F44" s="450"/>
      <c r="G44" s="421" t="s">
        <v>1405</v>
      </c>
    </row>
    <row r="45" spans="2:9" x14ac:dyDescent="0.3">
      <c r="B45" s="427"/>
      <c r="C45" s="425" t="s">
        <v>1414</v>
      </c>
      <c r="D45" s="425">
        <f>-E31</f>
        <v>59812</v>
      </c>
      <c r="E45" s="446"/>
      <c r="F45" s="450"/>
      <c r="G45" s="421" t="s">
        <v>1405</v>
      </c>
    </row>
    <row r="46" spans="2:9" x14ac:dyDescent="0.3">
      <c r="B46" s="427"/>
      <c r="C46" s="435" t="s">
        <v>1415</v>
      </c>
      <c r="D46" s="425">
        <f>'[21]TDS TCS'!F10</f>
        <v>5883010</v>
      </c>
      <c r="E46" s="446"/>
      <c r="F46" s="450"/>
      <c r="G46" s="421" t="s">
        <v>1405</v>
      </c>
      <c r="H46" s="534"/>
    </row>
    <row r="47" spans="2:9" x14ac:dyDescent="0.3">
      <c r="B47" s="427"/>
      <c r="C47" s="425"/>
      <c r="D47" s="425"/>
      <c r="E47" s="446"/>
      <c r="F47" s="450"/>
      <c r="H47" s="534"/>
    </row>
    <row r="48" spans="2:9" x14ac:dyDescent="0.3">
      <c r="B48" s="427"/>
      <c r="C48" s="425"/>
      <c r="D48" s="426"/>
      <c r="E48" s="446"/>
      <c r="F48" s="450"/>
      <c r="H48" s="534"/>
    </row>
    <row r="49" spans="2:8" x14ac:dyDescent="0.3">
      <c r="B49" s="437"/>
      <c r="C49" s="425"/>
      <c r="D49" s="975">
        <f>SUM(D44:D48)</f>
        <v>7731905.2699999996</v>
      </c>
      <c r="E49" s="459"/>
      <c r="F49" s="459"/>
      <c r="H49" s="535"/>
    </row>
    <row r="50" spans="2:8" x14ac:dyDescent="0.3">
      <c r="B50" s="437"/>
      <c r="C50" s="425" t="s">
        <v>1416</v>
      </c>
      <c r="D50" s="426">
        <v>0</v>
      </c>
      <c r="E50" s="972">
        <f>D49-D50</f>
        <v>7731905.2699999996</v>
      </c>
      <c r="F50" s="450">
        <f>SUM(E44:E50)</f>
        <v>7731905.2699999996</v>
      </c>
      <c r="G50" s="533"/>
      <c r="H50" s="980"/>
    </row>
    <row r="51" spans="2:8" x14ac:dyDescent="0.3">
      <c r="B51" s="437"/>
      <c r="C51" s="425"/>
      <c r="D51" s="440"/>
      <c r="E51" s="446"/>
      <c r="F51" s="972"/>
      <c r="H51" s="533"/>
    </row>
    <row r="52" spans="2:8" x14ac:dyDescent="0.3">
      <c r="B52" s="437"/>
      <c r="C52" s="439" t="s">
        <v>67</v>
      </c>
      <c r="D52" s="435"/>
      <c r="E52" s="450"/>
      <c r="F52" s="450">
        <f>F36+F41+F50</f>
        <v>-429888167.11512262</v>
      </c>
      <c r="G52" s="434"/>
      <c r="H52" s="434"/>
    </row>
    <row r="53" spans="2:8" x14ac:dyDescent="0.3">
      <c r="B53" s="437"/>
      <c r="C53" s="438"/>
      <c r="D53" s="435"/>
      <c r="E53" s="450"/>
      <c r="F53" s="973"/>
      <c r="G53" s="535"/>
      <c r="H53" s="434"/>
    </row>
    <row r="54" spans="2:8" x14ac:dyDescent="0.3">
      <c r="B54" s="969"/>
      <c r="C54" s="970"/>
      <c r="D54" s="971"/>
      <c r="E54" s="1273"/>
      <c r="F54" s="974"/>
      <c r="G54" s="1091"/>
      <c r="H54" s="434"/>
    </row>
    <row r="55" spans="2:8" x14ac:dyDescent="0.3">
      <c r="B55" s="1807" t="s">
        <v>646</v>
      </c>
      <c r="C55" s="1807"/>
      <c r="D55" s="1807"/>
      <c r="E55" s="1807"/>
      <c r="F55" s="1807"/>
    </row>
    <row r="56" spans="2:8" ht="15.75" thickBot="1" x14ac:dyDescent="0.35">
      <c r="B56" s="1808" t="s">
        <v>645</v>
      </c>
      <c r="C56" s="1808"/>
      <c r="D56" s="1808"/>
      <c r="E56" s="433" t="str">
        <f>E8</f>
        <v>Amt In INR</v>
      </c>
      <c r="F56" s="433" t="str">
        <f>F8</f>
        <v>Amt In INR</v>
      </c>
    </row>
    <row r="57" spans="2:8" s="429" customFormat="1" ht="15.75" thickTop="1" x14ac:dyDescent="0.3">
      <c r="B57" s="425"/>
      <c r="C57" s="425" t="s">
        <v>644</v>
      </c>
      <c r="D57" s="425"/>
      <c r="E57" s="425"/>
      <c r="F57" s="425">
        <v>0</v>
      </c>
      <c r="G57" s="421"/>
      <c r="H57" s="421"/>
    </row>
    <row r="58" spans="2:8" x14ac:dyDescent="0.3">
      <c r="B58" s="425"/>
      <c r="C58" s="425"/>
      <c r="D58" s="425"/>
      <c r="E58" s="425"/>
      <c r="F58" s="425"/>
      <c r="G58" s="534"/>
      <c r="H58" s="534"/>
    </row>
    <row r="59" spans="2:8" s="429" customFormat="1" x14ac:dyDescent="0.3">
      <c r="B59" s="425"/>
      <c r="C59" s="425" t="s">
        <v>643</v>
      </c>
      <c r="D59" s="432">
        <v>0.15</v>
      </c>
      <c r="E59" s="531">
        <f>F41*0</f>
        <v>0</v>
      </c>
      <c r="F59" s="425">
        <f>D59*E59</f>
        <v>0</v>
      </c>
      <c r="G59" s="980"/>
      <c r="H59" s="421"/>
    </row>
    <row r="60" spans="2:8" s="429" customFormat="1" x14ac:dyDescent="0.3">
      <c r="B60" s="425"/>
      <c r="C60" s="425" t="s">
        <v>642</v>
      </c>
      <c r="D60" s="432">
        <v>0.22</v>
      </c>
      <c r="E60" s="531">
        <f>(F36+F50)*0</f>
        <v>0</v>
      </c>
      <c r="F60" s="425">
        <f>D60*E60</f>
        <v>0</v>
      </c>
      <c r="G60" s="534"/>
      <c r="H60" s="421"/>
    </row>
    <row r="61" spans="2:8" s="429" customFormat="1" x14ac:dyDescent="0.3">
      <c r="B61" s="425"/>
      <c r="C61" s="425" t="s">
        <v>642</v>
      </c>
      <c r="D61" s="432">
        <v>0.1</v>
      </c>
      <c r="E61" s="1274">
        <v>0</v>
      </c>
      <c r="F61" s="426">
        <v>0</v>
      </c>
      <c r="G61" s="534"/>
      <c r="H61" s="421"/>
    </row>
    <row r="62" spans="2:8" s="429" customFormat="1" x14ac:dyDescent="0.3">
      <c r="B62" s="425"/>
      <c r="C62" s="425" t="s">
        <v>639</v>
      </c>
      <c r="D62" s="425"/>
      <c r="E62" s="425"/>
      <c r="F62" s="425">
        <f>SUM(F59:F61)</f>
        <v>0</v>
      </c>
      <c r="G62" s="534"/>
      <c r="H62" s="421"/>
    </row>
    <row r="63" spans="2:8" s="429" customFormat="1" x14ac:dyDescent="0.3">
      <c r="B63" s="427" t="s">
        <v>638</v>
      </c>
      <c r="C63" s="425" t="s">
        <v>641</v>
      </c>
      <c r="D63" s="425"/>
      <c r="E63" s="425"/>
      <c r="F63" s="431">
        <f>F62*10%</f>
        <v>0</v>
      </c>
      <c r="G63" s="421"/>
      <c r="H63" s="977"/>
    </row>
    <row r="64" spans="2:8" s="429" customFormat="1" x14ac:dyDescent="0.3">
      <c r="B64" s="427" t="s">
        <v>638</v>
      </c>
      <c r="C64" s="425" t="s">
        <v>640</v>
      </c>
      <c r="D64" s="425"/>
      <c r="E64" s="425"/>
      <c r="F64" s="426">
        <f>(F62+F63)*4%</f>
        <v>0</v>
      </c>
    </row>
    <row r="65" spans="2:6" s="429" customFormat="1" x14ac:dyDescent="0.3">
      <c r="B65" s="427"/>
      <c r="C65" s="425" t="s">
        <v>639</v>
      </c>
      <c r="D65" s="425"/>
      <c r="E65" s="425"/>
      <c r="F65" s="425">
        <f>SUM(F62:F64)</f>
        <v>0</v>
      </c>
    </row>
    <row r="66" spans="2:6" s="429" customFormat="1" x14ac:dyDescent="0.3">
      <c r="B66" s="427"/>
      <c r="C66" s="425"/>
      <c r="D66" s="425"/>
      <c r="E66" s="425"/>
      <c r="F66" s="425"/>
    </row>
    <row r="67" spans="2:6" s="429" customFormat="1" x14ac:dyDescent="0.3">
      <c r="B67" s="427" t="s">
        <v>638</v>
      </c>
      <c r="C67" s="425" t="s">
        <v>637</v>
      </c>
      <c r="D67" s="425"/>
      <c r="E67" s="425"/>
      <c r="F67" s="425"/>
    </row>
    <row r="68" spans="2:6" s="429" customFormat="1" x14ac:dyDescent="0.3">
      <c r="B68" s="427"/>
      <c r="C68" s="425" t="s">
        <v>636</v>
      </c>
      <c r="D68" s="425"/>
      <c r="E68" s="425">
        <v>0</v>
      </c>
      <c r="F68" s="425"/>
    </row>
    <row r="69" spans="2:6" s="429" customFormat="1" ht="13.5" customHeight="1" x14ac:dyDescent="0.3">
      <c r="B69" s="425"/>
      <c r="C69" s="425" t="s">
        <v>635</v>
      </c>
      <c r="D69" s="425"/>
      <c r="E69" s="430">
        <v>0</v>
      </c>
      <c r="F69" s="425"/>
    </row>
    <row r="70" spans="2:6" ht="13.5" customHeight="1" x14ac:dyDescent="0.3">
      <c r="B70" s="425"/>
      <c r="C70" s="425" t="s">
        <v>634</v>
      </c>
      <c r="D70" s="425"/>
      <c r="E70" s="426">
        <f>K68*0</f>
        <v>0</v>
      </c>
      <c r="F70" s="426">
        <f>SUM(E69:E70)*0</f>
        <v>0</v>
      </c>
    </row>
    <row r="71" spans="2:6" ht="13.5" customHeight="1" x14ac:dyDescent="0.3">
      <c r="B71" s="425"/>
      <c r="C71" s="425" t="s">
        <v>633</v>
      </c>
      <c r="D71" s="425"/>
      <c r="E71" s="425"/>
      <c r="F71" s="428">
        <f>F65+F70</f>
        <v>0</v>
      </c>
    </row>
    <row r="72" spans="2:6" ht="13.5" customHeight="1" x14ac:dyDescent="0.3">
      <c r="B72" s="425"/>
      <c r="C72" s="425"/>
      <c r="D72" s="425"/>
      <c r="E72" s="425"/>
      <c r="F72" s="428"/>
    </row>
    <row r="73" spans="2:6" ht="13.5" customHeight="1" x14ac:dyDescent="0.3">
      <c r="B73" s="427" t="s">
        <v>632</v>
      </c>
      <c r="C73" s="425" t="s">
        <v>631</v>
      </c>
      <c r="D73" s="425"/>
      <c r="E73" s="425"/>
      <c r="F73" s="425"/>
    </row>
    <row r="74" spans="2:6" ht="13.5" customHeight="1" x14ac:dyDescent="0.3">
      <c r="B74" s="427"/>
      <c r="C74" s="425" t="s">
        <v>630</v>
      </c>
      <c r="D74" s="425"/>
      <c r="E74" s="425"/>
      <c r="F74" s="425"/>
    </row>
    <row r="75" spans="2:6" ht="13.5" customHeight="1" x14ac:dyDescent="0.3">
      <c r="B75" s="425"/>
      <c r="C75" s="425" t="s">
        <v>629</v>
      </c>
      <c r="D75" s="425"/>
      <c r="E75" s="425">
        <f>'[21]TDS TCS'!D15</f>
        <v>2198448</v>
      </c>
      <c r="F75" s="425"/>
    </row>
    <row r="76" spans="2:6" ht="13.5" customHeight="1" x14ac:dyDescent="0.3">
      <c r="B76" s="425"/>
      <c r="C76" s="425" t="s">
        <v>1417</v>
      </c>
      <c r="D76" s="425"/>
      <c r="E76" s="425">
        <f>'[21]TDS TCS'!D25</f>
        <v>31725</v>
      </c>
      <c r="F76" s="425"/>
    </row>
    <row r="77" spans="2:6" ht="13.5" customHeight="1" x14ac:dyDescent="0.3">
      <c r="B77" s="425"/>
      <c r="C77" s="425" t="s">
        <v>628</v>
      </c>
      <c r="D77" s="425"/>
      <c r="E77" s="426"/>
      <c r="F77" s="425">
        <f>SUM(E74:E77)</f>
        <v>2230173</v>
      </c>
    </row>
    <row r="78" spans="2:6" ht="13.5" customHeight="1" x14ac:dyDescent="0.3">
      <c r="B78" s="425"/>
      <c r="C78" s="425"/>
      <c r="D78" s="425"/>
      <c r="E78" s="426"/>
      <c r="F78" s="425"/>
    </row>
    <row r="79" spans="2:6" ht="13.5" customHeight="1" x14ac:dyDescent="0.3">
      <c r="B79" s="424"/>
      <c r="C79" s="424"/>
      <c r="D79" s="424"/>
      <c r="E79" s="424"/>
      <c r="F79" s="424">
        <f>F71-F77</f>
        <v>-2230173</v>
      </c>
    </row>
    <row r="84" spans="3:5" hidden="1" x14ac:dyDescent="0.3">
      <c r="C84" s="1275"/>
      <c r="D84" s="1275"/>
      <c r="E84" s="1276" t="s">
        <v>674</v>
      </c>
    </row>
    <row r="85" spans="3:5" hidden="1" x14ac:dyDescent="0.3">
      <c r="C85" s="1277" t="s">
        <v>0</v>
      </c>
      <c r="D85" s="1278" t="s">
        <v>675</v>
      </c>
      <c r="E85" s="1279" t="s">
        <v>676</v>
      </c>
    </row>
    <row r="86" spans="3:5" hidden="1" x14ac:dyDescent="0.3">
      <c r="C86" s="1280" t="s">
        <v>677</v>
      </c>
      <c r="D86" s="480">
        <v>-16656914.976153366</v>
      </c>
      <c r="E86" s="481">
        <v>-7940372.1518632798</v>
      </c>
    </row>
    <row r="87" spans="3:5" hidden="1" x14ac:dyDescent="0.3">
      <c r="C87" s="1280"/>
      <c r="D87" s="1281"/>
      <c r="E87" s="481"/>
    </row>
    <row r="88" spans="3:5" hidden="1" x14ac:dyDescent="0.3">
      <c r="C88" s="1280" t="s">
        <v>678</v>
      </c>
      <c r="D88" s="480">
        <v>2204672.9728561738</v>
      </c>
      <c r="E88" s="481">
        <v>356064</v>
      </c>
    </row>
    <row r="89" spans="3:5" hidden="1" x14ac:dyDescent="0.3">
      <c r="C89" s="1280" t="s">
        <v>679</v>
      </c>
      <c r="D89" s="480">
        <v>14144259.054815067</v>
      </c>
      <c r="E89" s="481">
        <v>7276273.6180890398</v>
      </c>
    </row>
    <row r="90" spans="3:5" hidden="1" x14ac:dyDescent="0.3">
      <c r="C90" s="1280"/>
      <c r="D90" s="480"/>
      <c r="E90" s="481"/>
    </row>
    <row r="91" spans="3:5" hidden="1" x14ac:dyDescent="0.3">
      <c r="C91" s="1280" t="s">
        <v>680</v>
      </c>
      <c r="D91" s="480"/>
      <c r="E91" s="481">
        <v>33600</v>
      </c>
    </row>
    <row r="92" spans="3:5" hidden="1" x14ac:dyDescent="0.3">
      <c r="C92" s="1280" t="s">
        <v>681</v>
      </c>
      <c r="D92" s="480">
        <v>-1000</v>
      </c>
      <c r="E92" s="481">
        <v>0</v>
      </c>
    </row>
    <row r="93" spans="3:5" hidden="1" x14ac:dyDescent="0.3">
      <c r="C93" s="1277" t="s">
        <v>682</v>
      </c>
      <c r="D93" s="483">
        <v>-308982.948482126</v>
      </c>
      <c r="E93" s="484">
        <v>-274434.5337742446</v>
      </c>
    </row>
  </sheetData>
  <mergeCells count="4">
    <mergeCell ref="B7:F7"/>
    <mergeCell ref="B8:D8"/>
    <mergeCell ref="B55:F55"/>
    <mergeCell ref="B56:D56"/>
  </mergeCells>
  <pageMargins left="0.7" right="0.7" top="0.75" bottom="0.75" header="0.3" footer="0.3"/>
  <headerFooter>
    <oddHeader>&amp;C&amp;G</oddHeader>
  </headerFooter>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81D1-D943-47D6-B585-3C2D158B3183}">
  <dimension ref="A2:L102"/>
  <sheetViews>
    <sheetView showGridLines="0" topLeftCell="C19" workbookViewId="0">
      <selection activeCell="F16" sqref="F16"/>
    </sheetView>
  </sheetViews>
  <sheetFormatPr defaultColWidth="8.7109375" defaultRowHeight="15" x14ac:dyDescent="0.25"/>
  <cols>
    <col min="1" max="1" width="70.42578125" style="501" bestFit="1" customWidth="1"/>
    <col min="2" max="3" width="24.7109375" style="501" customWidth="1"/>
    <col min="4" max="4" width="14.140625" style="1045" bestFit="1" customWidth="1"/>
    <col min="5" max="5" width="16.5703125" style="501" customWidth="1"/>
    <col min="6" max="6" width="14.140625" style="501" bestFit="1" customWidth="1"/>
    <col min="7" max="7" width="16.85546875" style="501" bestFit="1" customWidth="1"/>
    <col min="8" max="8" width="15.42578125" style="501" bestFit="1" customWidth="1"/>
    <col min="9" max="9" width="14.7109375" style="501" bestFit="1" customWidth="1"/>
    <col min="10" max="10" width="13.7109375" style="501" bestFit="1" customWidth="1"/>
    <col min="11" max="11" width="13.28515625" style="501" bestFit="1" customWidth="1"/>
    <col min="12" max="12" width="12.42578125" style="501" bestFit="1" customWidth="1"/>
    <col min="13" max="16384" width="8.7109375" style="501"/>
  </cols>
  <sheetData>
    <row r="2" spans="1:11" ht="15.75" thickBot="1" x14ac:dyDescent="0.3"/>
    <row r="3" spans="1:11" x14ac:dyDescent="0.25">
      <c r="A3" s="1364" t="s">
        <v>0</v>
      </c>
      <c r="B3" s="1365" t="s">
        <v>246</v>
      </c>
    </row>
    <row r="4" spans="1:11" x14ac:dyDescent="0.25">
      <c r="A4" s="1366" t="s">
        <v>1418</v>
      </c>
      <c r="B4" s="704">
        <f>+'IT Com'!F52-'IT Com'!E26</f>
        <v>-50168982.115122616</v>
      </c>
      <c r="C4" s="501" t="s">
        <v>1484</v>
      </c>
    </row>
    <row r="5" spans="1:11" x14ac:dyDescent="0.25">
      <c r="A5" s="1366" t="s">
        <v>1419</v>
      </c>
      <c r="B5" s="704">
        <f>-7922635</f>
        <v>-7922635</v>
      </c>
      <c r="C5" s="501" t="s">
        <v>1485</v>
      </c>
    </row>
    <row r="6" spans="1:11" x14ac:dyDescent="0.25">
      <c r="A6" s="1366" t="s">
        <v>1420</v>
      </c>
      <c r="B6" s="704">
        <f>SUM(B4:B5)</f>
        <v>-58091617.115122616</v>
      </c>
    </row>
    <row r="7" spans="1:11" x14ac:dyDescent="0.25">
      <c r="A7" s="1366" t="s">
        <v>1421</v>
      </c>
      <c r="B7" s="704">
        <f>+B6*17.168%</f>
        <v>-9973168.8263242505</v>
      </c>
    </row>
    <row r="8" spans="1:11" x14ac:dyDescent="0.25">
      <c r="A8" s="1366"/>
      <c r="B8" s="704"/>
    </row>
    <row r="9" spans="1:11" x14ac:dyDescent="0.25">
      <c r="A9" s="1366" t="s">
        <v>1422</v>
      </c>
      <c r="B9" s="704">
        <v>-7297436</v>
      </c>
      <c r="C9" s="501" t="s">
        <v>1485</v>
      </c>
    </row>
    <row r="10" spans="1:11" x14ac:dyDescent="0.25">
      <c r="A10" s="1366" t="s">
        <v>1423</v>
      </c>
      <c r="B10" s="704">
        <f>'IT Com'!E26</f>
        <v>-379719185</v>
      </c>
      <c r="C10" s="501" t="s">
        <v>1486</v>
      </c>
    </row>
    <row r="11" spans="1:11" x14ac:dyDescent="0.25">
      <c r="A11" s="1366" t="s">
        <v>1424</v>
      </c>
      <c r="B11" s="704">
        <f>+B9+B10</f>
        <v>-387016621</v>
      </c>
    </row>
    <row r="12" spans="1:11" x14ac:dyDescent="0.25">
      <c r="A12" s="1366" t="s">
        <v>1421</v>
      </c>
      <c r="B12" s="704">
        <f>+B11*17.168%</f>
        <v>-66443013.493280001</v>
      </c>
    </row>
    <row r="13" spans="1:11" ht="15.75" thickBot="1" x14ac:dyDescent="0.3">
      <c r="A13" s="1367" t="s">
        <v>67</v>
      </c>
      <c r="B13" s="1368">
        <f>+B12+B7</f>
        <v>-76416182.319604248</v>
      </c>
    </row>
    <row r="14" spans="1:11" x14ac:dyDescent="0.25">
      <c r="B14" s="1045"/>
    </row>
    <row r="15" spans="1:11" x14ac:dyDescent="0.25">
      <c r="G15" s="1045"/>
    </row>
    <row r="16" spans="1:11" s="1075" customFormat="1" ht="60" x14ac:dyDescent="0.25">
      <c r="A16" s="702" t="s">
        <v>0</v>
      </c>
      <c r="B16" s="1080" t="s">
        <v>1425</v>
      </c>
      <c r="C16" s="1998" t="s">
        <v>1426</v>
      </c>
      <c r="D16" s="1999"/>
      <c r="E16" s="1080" t="s">
        <v>1099</v>
      </c>
      <c r="F16" s="702" t="s">
        <v>67</v>
      </c>
      <c r="G16" s="702" t="s">
        <v>1427</v>
      </c>
      <c r="H16" s="702" t="s">
        <v>1132</v>
      </c>
      <c r="I16" s="702" t="s">
        <v>1133</v>
      </c>
      <c r="J16" s="702" t="s">
        <v>1155</v>
      </c>
      <c r="K16" s="1084" t="s">
        <v>1157</v>
      </c>
    </row>
    <row r="17" spans="1:12" s="1075" customFormat="1" ht="30" x14ac:dyDescent="0.25">
      <c r="A17" s="702"/>
      <c r="B17" s="1080"/>
      <c r="C17" s="1080" t="s">
        <v>1428</v>
      </c>
      <c r="D17" s="1079" t="s">
        <v>406</v>
      </c>
      <c r="E17" s="1080"/>
      <c r="F17" s="702"/>
      <c r="G17" s="702"/>
      <c r="H17" s="702"/>
      <c r="I17" s="702"/>
      <c r="J17" s="702"/>
      <c r="K17" s="1084"/>
    </row>
    <row r="18" spans="1:12" x14ac:dyDescent="0.25">
      <c r="A18" s="680" t="s">
        <v>728</v>
      </c>
      <c r="B18" s="703">
        <v>356461113.91518825</v>
      </c>
      <c r="C18" s="703">
        <f>'CA Dep'!C12</f>
        <v>2975994587.3916459</v>
      </c>
      <c r="D18" s="703">
        <f>'CA Dep'!C8+'CA Dep'!C10+'CA Dep'!C11</f>
        <v>177851506.24465376</v>
      </c>
      <c r="E18" s="703">
        <f>$E$23/$C$23*C18</f>
        <v>4497192.6846446991</v>
      </c>
      <c r="F18" s="1081">
        <f>SUM(B18:E18)</f>
        <v>3514804400.2361326</v>
      </c>
      <c r="G18" s="703">
        <f>+'IT Dep'!P16+(E18*15%/2)</f>
        <v>290344907.45134836</v>
      </c>
      <c r="H18" s="703">
        <f>F18-G18</f>
        <v>3224459492.7847843</v>
      </c>
      <c r="I18" s="703">
        <f>SUM('CA Dep'!I8+SUM('CA Dep'!I10:I12))</f>
        <v>3434855061.8508024</v>
      </c>
      <c r="J18" s="703">
        <f>H18-I18</f>
        <v>-210395569.0660181</v>
      </c>
      <c r="K18" s="1085">
        <f>J18*17.168%</f>
        <v>-36120711.297253989</v>
      </c>
    </row>
    <row r="19" spans="1:12" x14ac:dyDescent="0.25">
      <c r="A19" s="680" t="s">
        <v>1151</v>
      </c>
      <c r="B19" s="703">
        <v>157539007.04961911</v>
      </c>
      <c r="C19" s="703">
        <f>'CA Dep'!C5</f>
        <v>1313697503.8900001</v>
      </c>
      <c r="D19" s="703">
        <v>0</v>
      </c>
      <c r="E19" s="703">
        <f>$E$23/$C$23*C19</f>
        <v>1985202.1335523394</v>
      </c>
      <c r="F19" s="1081">
        <f>SUM(B19:E19)</f>
        <v>1473221713.0731716</v>
      </c>
      <c r="G19" s="703">
        <f>+'IT Dep'!P14+(E19*10%/2)</f>
        <v>81538013.106677622</v>
      </c>
      <c r="H19" s="703">
        <f>F19-G19</f>
        <v>1391683699.9664941</v>
      </c>
      <c r="I19" s="703">
        <f>'CA Dep'!I5</f>
        <v>1455597278.6800003</v>
      </c>
      <c r="J19" s="703">
        <f>H19-I19</f>
        <v>-63913578.713506222</v>
      </c>
      <c r="K19" s="1085">
        <f>J19*17.168%</f>
        <v>-10972683.193534749</v>
      </c>
    </row>
    <row r="20" spans="1:12" x14ac:dyDescent="0.25">
      <c r="A20" s="680" t="s">
        <v>729</v>
      </c>
      <c r="B20" s="703">
        <v>157187.24045093142</v>
      </c>
      <c r="C20" s="703"/>
      <c r="D20" s="703">
        <f>'CA Dep'!C6+'CA Dep'!C7</f>
        <v>21386921.890000001</v>
      </c>
      <c r="E20" s="703">
        <f t="shared" ref="E20:E22" si="0">$E$23/$C$23*C20</f>
        <v>0</v>
      </c>
      <c r="F20" s="1081">
        <f>SUM(B20:E20)</f>
        <v>21544109.13045093</v>
      </c>
      <c r="G20" s="703">
        <f>+'IT Dep'!P20</f>
        <v>5314715</v>
      </c>
      <c r="H20" s="703">
        <f>F20-G20</f>
        <v>16229394.13045093</v>
      </c>
      <c r="I20" s="703">
        <f>'CA Dep'!I7+'CA Dep'!I6</f>
        <v>19758881.159401596</v>
      </c>
      <c r="J20" s="703">
        <f>H20-I20</f>
        <v>-3529487.0289506651</v>
      </c>
      <c r="K20" s="1085">
        <f>J20*17.168%</f>
        <v>-605942.33313025022</v>
      </c>
    </row>
    <row r="21" spans="1:12" x14ac:dyDescent="0.25">
      <c r="A21" s="680" t="s">
        <v>1347</v>
      </c>
      <c r="B21" s="703"/>
      <c r="C21" s="703"/>
      <c r="D21" s="703">
        <f>'CA Dep'!C9</f>
        <v>20587570.107657302</v>
      </c>
      <c r="E21" s="703">
        <f t="shared" si="0"/>
        <v>0</v>
      </c>
      <c r="F21" s="1081">
        <f>SUM(B21:E21)</f>
        <v>20587570.107657302</v>
      </c>
      <c r="G21" s="703">
        <f>+'IT Dep'!P18</f>
        <v>1029379</v>
      </c>
      <c r="H21" s="703">
        <f>F21-G21</f>
        <v>19558191.107657302</v>
      </c>
      <c r="I21" s="703">
        <f>'CA Dep'!I9</f>
        <v>19992910.067765594</v>
      </c>
      <c r="J21" s="703">
        <f>H21-I21</f>
        <v>-434718.96010829136</v>
      </c>
      <c r="K21" s="1085">
        <f>J21*17.168%</f>
        <v>-74632.551071391455</v>
      </c>
    </row>
    <row r="22" spans="1:12" x14ac:dyDescent="0.25">
      <c r="A22" s="680" t="s">
        <v>527</v>
      </c>
      <c r="B22" s="703"/>
      <c r="C22" s="703"/>
      <c r="D22" s="703">
        <f>+'[23]PPE- note 3'!F31</f>
        <v>2.3999996483325958E-4</v>
      </c>
      <c r="E22" s="703">
        <f t="shared" si="0"/>
        <v>0</v>
      </c>
      <c r="F22" s="1081">
        <f>SUM(B22:E22)</f>
        <v>2.3999996483325958E-4</v>
      </c>
      <c r="G22" s="703"/>
      <c r="H22" s="1082"/>
      <c r="I22" s="1082"/>
      <c r="J22" s="1082"/>
      <c r="K22" s="1082"/>
    </row>
    <row r="23" spans="1:12" x14ac:dyDescent="0.25">
      <c r="A23" s="680"/>
      <c r="B23" s="1082">
        <f>SUM(B18:B22)</f>
        <v>514157308.20525831</v>
      </c>
      <c r="C23" s="1082">
        <f>SUM(C18:C22)</f>
        <v>4289692091.2816458</v>
      </c>
      <c r="D23" s="1082">
        <f>SUM(D18:D22)</f>
        <v>219825998.24255106</v>
      </c>
      <c r="E23" s="1282">
        <v>6482394.818197038</v>
      </c>
      <c r="F23" s="1083">
        <f>SUM(F18:F22)</f>
        <v>5030157792.5476532</v>
      </c>
      <c r="G23" s="1082">
        <f>SUM(G18:G22)</f>
        <v>378227014.55802596</v>
      </c>
      <c r="H23" s="1082">
        <f t="shared" ref="H23:K23" si="1">SUM(H18:H22)</f>
        <v>4651930777.9893866</v>
      </c>
      <c r="I23" s="1082">
        <f t="shared" si="1"/>
        <v>4930204131.7579699</v>
      </c>
      <c r="J23" s="1082">
        <f t="shared" si="1"/>
        <v>-278273353.7685833</v>
      </c>
      <c r="K23" s="1082">
        <f t="shared" si="1"/>
        <v>-47773969.374990374</v>
      </c>
      <c r="L23" s="1055">
        <f>I23-I24</f>
        <v>0</v>
      </c>
    </row>
    <row r="24" spans="1:12" x14ac:dyDescent="0.25">
      <c r="A24" s="680"/>
      <c r="B24" s="680"/>
      <c r="C24" s="1081">
        <f>C23+D23-'CA Dep'!C13</f>
        <v>2.3937225341796875E-4</v>
      </c>
      <c r="D24" s="703"/>
      <c r="E24" s="680"/>
      <c r="F24" s="680"/>
      <c r="G24" s="680"/>
      <c r="H24" s="703"/>
      <c r="I24" s="703">
        <f>'CA Dep'!I13-'CA Dep'!I3-'CA Dep'!I4</f>
        <v>4930204131.7579708</v>
      </c>
      <c r="J24" s="703"/>
      <c r="K24" s="1085"/>
    </row>
    <row r="25" spans="1:12" x14ac:dyDescent="0.25">
      <c r="A25" s="680" t="s">
        <v>1125</v>
      </c>
      <c r="B25" s="680"/>
      <c r="C25" s="680"/>
      <c r="D25" s="703"/>
      <c r="E25" s="680"/>
      <c r="F25" s="680"/>
      <c r="G25" s="680"/>
      <c r="H25" s="703">
        <v>0</v>
      </c>
      <c r="I25" s="703">
        <f>+'[23]TB BVS 31.3.25'!I172</f>
        <v>-888759</v>
      </c>
      <c r="J25" s="703">
        <f>H25-I25</f>
        <v>888759</v>
      </c>
      <c r="K25" s="1282">
        <f>J25*17.168%</f>
        <v>152582.14512</v>
      </c>
    </row>
    <row r="26" spans="1:12" x14ac:dyDescent="0.25">
      <c r="A26" s="680" t="s">
        <v>1127</v>
      </c>
      <c r="B26" s="680"/>
      <c r="C26" s="680"/>
      <c r="D26" s="703"/>
      <c r="E26" s="680"/>
      <c r="F26" s="680"/>
      <c r="G26" s="680"/>
      <c r="H26" s="703">
        <v>0</v>
      </c>
      <c r="I26" s="703">
        <v>-3056778</v>
      </c>
      <c r="J26" s="703">
        <f>H26-I26</f>
        <v>3056778</v>
      </c>
      <c r="K26" s="1282">
        <f>J26*17.168%</f>
        <v>524787.64703999995</v>
      </c>
    </row>
    <row r="27" spans="1:12" x14ac:dyDescent="0.25">
      <c r="A27" s="680"/>
      <c r="B27" s="680"/>
      <c r="C27" s="680"/>
      <c r="D27" s="703"/>
      <c r="E27" s="680"/>
      <c r="F27" s="680"/>
      <c r="G27" s="680"/>
      <c r="H27" s="703"/>
      <c r="I27" s="703"/>
      <c r="J27" s="703">
        <f>SUM(J25:J26)</f>
        <v>3945537</v>
      </c>
      <c r="K27" s="1086">
        <f>J27*17.168%</f>
        <v>677369.79215999995</v>
      </c>
    </row>
    <row r="28" spans="1:12" ht="16.5" thickBot="1" x14ac:dyDescent="0.3">
      <c r="A28" s="1051"/>
      <c r="B28" s="1053"/>
      <c r="C28" s="1053"/>
      <c r="D28" s="1052"/>
      <c r="E28" s="1053"/>
      <c r="F28" s="1053"/>
      <c r="G28" s="1053"/>
      <c r="H28" s="1052"/>
      <c r="I28" s="1052"/>
      <c r="J28" s="1052"/>
      <c r="K28" s="1078">
        <f>+K23+K27</f>
        <v>-47096599.582830377</v>
      </c>
    </row>
    <row r="29" spans="1:12" x14ac:dyDescent="0.25">
      <c r="H29" s="1045"/>
      <c r="I29" s="1045"/>
      <c r="J29" s="1045"/>
      <c r="K29" s="1045"/>
    </row>
    <row r="30" spans="1:12" x14ac:dyDescent="0.25">
      <c r="H30" s="1045"/>
      <c r="I30" s="1045"/>
      <c r="J30" s="1045"/>
      <c r="K30" s="1045"/>
    </row>
    <row r="31" spans="1:12" x14ac:dyDescent="0.25">
      <c r="H31" s="1045"/>
      <c r="I31" s="1045"/>
      <c r="J31" s="1045"/>
      <c r="K31" s="1045"/>
    </row>
    <row r="32" spans="1:12" x14ac:dyDescent="0.25">
      <c r="H32" s="1045"/>
      <c r="I32" s="1045"/>
      <c r="J32" s="1045"/>
      <c r="K32" s="1045"/>
    </row>
    <row r="35" spans="1:7" hidden="1" x14ac:dyDescent="0.25">
      <c r="A35" s="669" t="s">
        <v>1101</v>
      </c>
      <c r="B35" s="1283"/>
      <c r="C35" s="1283"/>
      <c r="D35" s="1047"/>
      <c r="E35" s="670"/>
      <c r="F35" s="670"/>
      <c r="G35" s="671"/>
    </row>
    <row r="36" spans="1:7" hidden="1" x14ac:dyDescent="0.25">
      <c r="A36" s="350" t="s">
        <v>1102</v>
      </c>
      <c r="D36" s="1048">
        <v>875943.49</v>
      </c>
      <c r="F36" s="1048">
        <f t="shared" ref="F36:F37" si="2">D36+E36</f>
        <v>875943.49</v>
      </c>
      <c r="G36" s="674"/>
    </row>
    <row r="37" spans="1:7" hidden="1" x14ac:dyDescent="0.25">
      <c r="A37" s="350" t="s">
        <v>1103</v>
      </c>
      <c r="D37" s="1048">
        <v>2658651.37</v>
      </c>
      <c r="F37" s="1048">
        <f t="shared" si="2"/>
        <v>2658651.37</v>
      </c>
      <c r="G37" s="674"/>
    </row>
    <row r="38" spans="1:7" hidden="1" x14ac:dyDescent="0.25">
      <c r="A38" s="350"/>
      <c r="D38" s="1050">
        <f>SUM(D36:D37)</f>
        <v>3534594.8600000003</v>
      </c>
      <c r="F38" s="1050">
        <f>SUM(F36:F37)</f>
        <v>3534594.8600000003</v>
      </c>
      <c r="G38" s="674"/>
    </row>
    <row r="39" spans="1:7" hidden="1" x14ac:dyDescent="0.25">
      <c r="A39" s="350"/>
      <c r="D39" s="1048"/>
      <c r="G39" s="674"/>
    </row>
    <row r="40" spans="1:7" hidden="1" x14ac:dyDescent="0.25">
      <c r="A40" s="350" t="s">
        <v>1104</v>
      </c>
      <c r="D40" s="1048">
        <v>13736480.57</v>
      </c>
      <c r="E40" s="501">
        <f>250+500+1000+500+1000+500+1387</f>
        <v>5137</v>
      </c>
      <c r="F40" s="1050">
        <f>D40+E40</f>
        <v>13741617.57</v>
      </c>
      <c r="G40" s="674"/>
    </row>
    <row r="41" spans="1:7" hidden="1" x14ac:dyDescent="0.25">
      <c r="A41" s="350"/>
      <c r="D41" s="1048"/>
      <c r="G41" s="674"/>
    </row>
    <row r="42" spans="1:7" hidden="1" x14ac:dyDescent="0.25">
      <c r="A42" s="350"/>
      <c r="D42" s="1050">
        <f>D40+D38</f>
        <v>17271075.43</v>
      </c>
      <c r="F42" s="1060">
        <f>F40+F38</f>
        <v>17276212.43</v>
      </c>
      <c r="G42" s="674"/>
    </row>
    <row r="43" spans="1:7" hidden="1" x14ac:dyDescent="0.25">
      <c r="A43" s="350"/>
      <c r="D43" s="1048"/>
      <c r="F43" s="1048">
        <v>17331137.02</v>
      </c>
      <c r="G43" s="674"/>
    </row>
    <row r="44" spans="1:7" hidden="1" x14ac:dyDescent="0.25">
      <c r="A44" s="350"/>
      <c r="D44" s="1048"/>
      <c r="F44" s="1061">
        <f>F42-F43</f>
        <v>-54924.589999999851</v>
      </c>
      <c r="G44" s="1062" t="s">
        <v>1105</v>
      </c>
    </row>
    <row r="45" spans="1:7" ht="15.75" hidden="1" thickBot="1" x14ac:dyDescent="0.3">
      <c r="A45" s="1051"/>
      <c r="B45" s="1053"/>
      <c r="C45" s="1053"/>
      <c r="D45" s="1052"/>
      <c r="E45" s="1053"/>
      <c r="F45" s="1053"/>
      <c r="G45" s="1054"/>
    </row>
    <row r="46" spans="1:7" hidden="1" x14ac:dyDescent="0.25"/>
    <row r="47" spans="1:7" hidden="1" x14ac:dyDescent="0.25"/>
    <row r="48" spans="1:7" hidden="1" x14ac:dyDescent="0.25">
      <c r="A48" s="669" t="s">
        <v>1106</v>
      </c>
      <c r="B48" s="1283"/>
      <c r="C48" s="1283"/>
      <c r="D48" s="1047"/>
      <c r="E48" s="670"/>
      <c r="F48" s="670"/>
      <c r="G48" s="671"/>
    </row>
    <row r="49" spans="1:7" hidden="1" x14ac:dyDescent="0.25">
      <c r="A49" s="17" t="s">
        <v>1107</v>
      </c>
      <c r="B49" s="682"/>
      <c r="C49" s="682"/>
      <c r="D49" s="1048"/>
      <c r="G49" s="674"/>
    </row>
    <row r="50" spans="1:7" hidden="1" x14ac:dyDescent="0.25">
      <c r="A50" s="350" t="s">
        <v>1108</v>
      </c>
      <c r="D50" s="1055">
        <v>1752790</v>
      </c>
      <c r="E50" s="1055"/>
      <c r="G50" s="674"/>
    </row>
    <row r="51" spans="1:7" hidden="1" x14ac:dyDescent="0.25">
      <c r="A51" s="350"/>
      <c r="D51" s="1048"/>
      <c r="G51" s="674"/>
    </row>
    <row r="52" spans="1:7" hidden="1" x14ac:dyDescent="0.25">
      <c r="A52" s="350"/>
      <c r="D52" s="1048"/>
      <c r="G52" s="674"/>
    </row>
    <row r="53" spans="1:7" hidden="1" x14ac:dyDescent="0.25">
      <c r="A53" s="17" t="s">
        <v>1109</v>
      </c>
      <c r="B53" s="682"/>
      <c r="C53" s="682"/>
      <c r="D53" s="1048"/>
      <c r="G53" s="674"/>
    </row>
    <row r="54" spans="1:7" hidden="1" x14ac:dyDescent="0.25">
      <c r="A54" s="350" t="s">
        <v>1110</v>
      </c>
      <c r="D54" s="1048">
        <v>3344847.9331575348</v>
      </c>
      <c r="E54" s="1055">
        <f>D54</f>
        <v>3344847.9331575348</v>
      </c>
      <c r="G54" s="674"/>
    </row>
    <row r="55" spans="1:7" hidden="1" x14ac:dyDescent="0.25">
      <c r="A55" s="350" t="s">
        <v>1108</v>
      </c>
      <c r="D55" s="1048">
        <v>609875</v>
      </c>
      <c r="G55" s="674"/>
    </row>
    <row r="56" spans="1:7" hidden="1" x14ac:dyDescent="0.25">
      <c r="A56" s="350"/>
      <c r="D56" s="1048"/>
      <c r="G56" s="674"/>
    </row>
    <row r="57" spans="1:7" hidden="1" x14ac:dyDescent="0.25">
      <c r="A57" s="350"/>
      <c r="D57" s="1048"/>
      <c r="G57" s="674"/>
    </row>
    <row r="58" spans="1:7" hidden="1" x14ac:dyDescent="0.25">
      <c r="A58" s="350"/>
      <c r="D58" s="1048"/>
      <c r="G58" s="674"/>
    </row>
    <row r="59" spans="1:7" hidden="1" x14ac:dyDescent="0.25">
      <c r="A59" s="17" t="s">
        <v>456</v>
      </c>
      <c r="B59" s="682"/>
      <c r="C59" s="682"/>
      <c r="D59" s="1048"/>
      <c r="G59" s="674"/>
    </row>
    <row r="60" spans="1:7" hidden="1" x14ac:dyDescent="0.25">
      <c r="A60" s="350" t="s">
        <v>1111</v>
      </c>
      <c r="D60" s="1048">
        <f>'[23]PPE- note 3'!E55*1000</f>
        <v>324390000</v>
      </c>
      <c r="E60" s="1055">
        <f>D60</f>
        <v>324390000</v>
      </c>
      <c r="G60" s="674"/>
    </row>
    <row r="61" spans="1:7" hidden="1" x14ac:dyDescent="0.25">
      <c r="A61" s="350"/>
      <c r="D61" s="1048"/>
      <c r="G61" s="674"/>
    </row>
    <row r="62" spans="1:7" hidden="1" x14ac:dyDescent="0.25">
      <c r="A62" s="350"/>
      <c r="D62" s="1048"/>
      <c r="G62" s="674"/>
    </row>
    <row r="63" spans="1:7" hidden="1" x14ac:dyDescent="0.25">
      <c r="A63" s="350"/>
      <c r="D63" s="1048"/>
      <c r="E63" s="1050">
        <f>SUM(E50:E62)</f>
        <v>327734847.93315756</v>
      </c>
      <c r="G63" s="674"/>
    </row>
    <row r="64" spans="1:7" hidden="1" x14ac:dyDescent="0.25">
      <c r="A64" s="350"/>
      <c r="D64" s="1048"/>
      <c r="G64" s="674"/>
    </row>
    <row r="65" spans="1:7" hidden="1" x14ac:dyDescent="0.25">
      <c r="A65" s="17" t="s">
        <v>1112</v>
      </c>
      <c r="B65" s="682"/>
      <c r="C65" s="682"/>
      <c r="D65" s="1048"/>
      <c r="G65" s="674"/>
    </row>
    <row r="66" spans="1:7" hidden="1" x14ac:dyDescent="0.25">
      <c r="A66" s="1063">
        <v>42789</v>
      </c>
      <c r="B66" s="1284"/>
      <c r="C66" s="1284"/>
      <c r="D66" s="1048"/>
      <c r="G66" s="674"/>
    </row>
    <row r="67" spans="1:7" hidden="1" x14ac:dyDescent="0.25">
      <c r="A67" s="1063">
        <f>(99*365)+A66</f>
        <v>78924</v>
      </c>
      <c r="B67" s="1284"/>
      <c r="C67" s="1284"/>
      <c r="D67" s="1048">
        <f>(A67-A66)/365</f>
        <v>99</v>
      </c>
      <c r="G67" s="674"/>
    </row>
    <row r="68" spans="1:7" hidden="1" x14ac:dyDescent="0.25">
      <c r="A68" s="350" t="s">
        <v>1113</v>
      </c>
      <c r="D68" s="1048"/>
      <c r="G68" s="674"/>
    </row>
    <row r="69" spans="1:7" hidden="1" x14ac:dyDescent="0.25">
      <c r="A69" s="1063">
        <v>45292</v>
      </c>
      <c r="B69" s="1284"/>
      <c r="C69" s="1284"/>
      <c r="D69" s="1048"/>
      <c r="G69" s="674"/>
    </row>
    <row r="70" spans="1:7" hidden="1" x14ac:dyDescent="0.25">
      <c r="A70" s="1063">
        <f>A67</f>
        <v>78924</v>
      </c>
      <c r="B70" s="1284"/>
      <c r="C70" s="1284"/>
      <c r="D70" s="1048">
        <f>(A70-A69)/365</f>
        <v>92.142465753424659</v>
      </c>
      <c r="E70" s="1048">
        <f>E63/D70/12</f>
        <v>296402.28427192976</v>
      </c>
      <c r="F70" s="501" t="s">
        <v>1114</v>
      </c>
      <c r="G70" s="674"/>
    </row>
    <row r="71" spans="1:7" hidden="1" x14ac:dyDescent="0.25">
      <c r="A71" s="350"/>
      <c r="D71" s="1048"/>
      <c r="G71" s="674"/>
    </row>
    <row r="72" spans="1:7" hidden="1" x14ac:dyDescent="0.25">
      <c r="A72" s="17" t="s">
        <v>1115</v>
      </c>
      <c r="B72" s="682"/>
      <c r="C72" s="682"/>
      <c r="D72" s="1060"/>
      <c r="E72" s="1050">
        <f>E70*3</f>
        <v>889206.85281578929</v>
      </c>
      <c r="G72" s="674"/>
    </row>
    <row r="73" spans="1:7" hidden="1" x14ac:dyDescent="0.25">
      <c r="A73" s="350"/>
      <c r="D73" s="1048"/>
      <c r="G73" s="674"/>
    </row>
    <row r="74" spans="1:7" hidden="1" x14ac:dyDescent="0.25">
      <c r="A74" s="350"/>
      <c r="D74" s="1048"/>
      <c r="G74" s="674"/>
    </row>
    <row r="75" spans="1:7" ht="15.75" hidden="1" thickBot="1" x14ac:dyDescent="0.3">
      <c r="A75" s="1051"/>
      <c r="B75" s="1053"/>
      <c r="C75" s="1053"/>
      <c r="D75" s="1052"/>
      <c r="E75" s="1053"/>
      <c r="F75" s="1053"/>
      <c r="G75" s="1054"/>
    </row>
    <row r="76" spans="1:7" hidden="1" x14ac:dyDescent="0.25"/>
    <row r="77" spans="1:7" hidden="1" x14ac:dyDescent="0.25"/>
    <row r="78" spans="1:7" hidden="1" x14ac:dyDescent="0.25"/>
    <row r="79" spans="1:7" hidden="1" x14ac:dyDescent="0.25"/>
    <row r="80" spans="1:7"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sheetData>
  <mergeCells count="1">
    <mergeCell ref="C16:D16"/>
  </mergeCells>
  <pageMargins left="0.7" right="0.7" top="0.75" bottom="0.75" header="0.3" footer="0.3"/>
  <pageSetup paperSize="9" orientation="portrait" r:id="rId1"/>
  <headerFooter>
    <oddHeader>&amp;C&amp;G</oddHead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DE71-4A23-4F7F-975C-F72EE685BAA1}">
  <dimension ref="A1:R46"/>
  <sheetViews>
    <sheetView workbookViewId="0">
      <selection activeCell="F16" sqref="F16"/>
    </sheetView>
  </sheetViews>
  <sheetFormatPr defaultColWidth="10.28515625" defaultRowHeight="12.75" x14ac:dyDescent="0.2"/>
  <cols>
    <col min="1" max="1" width="5.5703125" style="1288" customWidth="1"/>
    <col min="2" max="2" width="15.7109375" style="1288" customWidth="1"/>
    <col min="3" max="3" width="9.5703125" style="1288" customWidth="1"/>
    <col min="4" max="4" width="10.85546875" style="1288" hidden="1" customWidth="1"/>
    <col min="5" max="5" width="21.140625" style="1288" customWidth="1"/>
    <col min="6" max="6" width="19.28515625" style="1288" hidden="1" customWidth="1"/>
    <col min="7" max="7" width="24.7109375" style="1288" bestFit="1" customWidth="1"/>
    <col min="8" max="8" width="17.7109375" style="1288" customWidth="1"/>
    <col min="9" max="9" width="16.42578125" style="1288" customWidth="1"/>
    <col min="10" max="10" width="22.85546875" style="1288" customWidth="1"/>
    <col min="11" max="11" width="18.42578125" style="1288" customWidth="1"/>
    <col min="12" max="12" width="20" style="1288" customWidth="1"/>
    <col min="13" max="13" width="17.5703125" style="1288" customWidth="1"/>
    <col min="14" max="14" width="17.7109375" style="1288" customWidth="1"/>
    <col min="15" max="15" width="15.28515625" style="1288" customWidth="1"/>
    <col min="16" max="16" width="16.7109375" style="1288" customWidth="1"/>
    <col min="17" max="17" width="20.140625" style="1288" customWidth="1"/>
    <col min="18" max="18" width="11" style="1288" bestFit="1" customWidth="1"/>
    <col min="19" max="19" width="16.140625" style="1288" bestFit="1" customWidth="1"/>
    <col min="20" max="20" width="10.42578125" style="1288" bestFit="1" customWidth="1"/>
    <col min="21" max="21" width="10.28515625" style="1288"/>
    <col min="22" max="22" width="10.7109375" style="1288" bestFit="1" customWidth="1"/>
    <col min="23" max="16384" width="10.28515625" style="1288"/>
  </cols>
  <sheetData>
    <row r="1" spans="1:18" x14ac:dyDescent="0.2">
      <c r="A1" s="1285"/>
      <c r="B1" s="1286"/>
      <c r="C1" s="1286"/>
      <c r="D1" s="1286"/>
      <c r="E1" s="1286"/>
      <c r="F1" s="1286"/>
      <c r="G1" s="1286"/>
      <c r="H1" s="1286"/>
      <c r="I1" s="1286"/>
      <c r="J1" s="1286"/>
      <c r="K1" s="1286"/>
      <c r="L1" s="1286"/>
      <c r="M1" s="1286"/>
      <c r="N1" s="1286"/>
      <c r="O1" s="1286"/>
      <c r="P1" s="1286"/>
      <c r="Q1" s="1287" t="s">
        <v>157</v>
      </c>
    </row>
    <row r="2" spans="1:18" x14ac:dyDescent="0.2">
      <c r="A2" s="1289"/>
      <c r="B2" s="1290"/>
      <c r="C2" s="1291"/>
      <c r="D2" s="1292"/>
      <c r="E2" s="1292"/>
      <c r="F2" s="1292"/>
      <c r="G2" s="1292"/>
      <c r="H2" s="1293"/>
      <c r="Q2" s="1294" t="s">
        <v>1429</v>
      </c>
    </row>
    <row r="3" spans="1:18" x14ac:dyDescent="0.2">
      <c r="A3" s="1295"/>
      <c r="B3" s="1296"/>
      <c r="C3" s="1296"/>
      <c r="D3" s="1296"/>
      <c r="E3" s="1296"/>
      <c r="F3" s="1296"/>
      <c r="G3" s="1296"/>
      <c r="H3" s="1296"/>
      <c r="I3" s="1296"/>
      <c r="J3" s="1296"/>
      <c r="K3" s="1296"/>
      <c r="L3" s="1296"/>
      <c r="M3" s="1296"/>
      <c r="N3" s="1296"/>
      <c r="O3" s="1296"/>
      <c r="P3" s="1296"/>
      <c r="Q3" s="1294" t="s">
        <v>1430</v>
      </c>
    </row>
    <row r="4" spans="1:18" x14ac:dyDescent="0.2">
      <c r="A4" s="1295"/>
      <c r="B4" s="1296"/>
      <c r="C4" s="1296"/>
      <c r="D4" s="1296"/>
      <c r="E4" s="1296"/>
      <c r="F4" s="1296"/>
      <c r="G4" s="1296"/>
      <c r="H4" s="1296"/>
      <c r="I4" s="1296"/>
      <c r="J4" s="1296"/>
      <c r="K4" s="1296"/>
      <c r="L4" s="1296"/>
      <c r="M4" s="1296"/>
      <c r="N4" s="1296"/>
      <c r="O4" s="1296"/>
      <c r="P4" s="1296"/>
      <c r="Q4" s="1294" t="s">
        <v>1431</v>
      </c>
    </row>
    <row r="5" spans="1:18" x14ac:dyDescent="0.2">
      <c r="A5" s="1295"/>
      <c r="B5" s="1296"/>
      <c r="C5" s="1296"/>
      <c r="D5" s="1296"/>
      <c r="E5" s="1296"/>
      <c r="F5" s="1296"/>
      <c r="G5" s="1296"/>
      <c r="H5" s="1296"/>
      <c r="I5" s="1296"/>
      <c r="J5" s="1296"/>
      <c r="K5" s="1296"/>
      <c r="L5" s="1296"/>
      <c r="M5" s="1296"/>
      <c r="N5" s="1296"/>
      <c r="O5" s="1296"/>
      <c r="P5" s="1296"/>
      <c r="Q5" s="1294"/>
    </row>
    <row r="6" spans="1:18" ht="15.75" x14ac:dyDescent="0.25">
      <c r="A6" s="1295"/>
      <c r="B6" s="1296"/>
      <c r="C6" s="1296"/>
      <c r="D6" s="1296"/>
      <c r="E6" s="1296"/>
      <c r="F6" s="1296"/>
      <c r="G6" s="1296"/>
      <c r="H6" s="1296"/>
      <c r="I6" s="1296"/>
      <c r="J6" s="1296"/>
      <c r="K6" s="1296"/>
      <c r="L6" s="1296"/>
      <c r="M6" s="1296"/>
      <c r="N6" s="1296"/>
      <c r="O6" s="1296"/>
      <c r="P6" s="1296"/>
      <c r="Q6" s="1297" t="s">
        <v>1432</v>
      </c>
    </row>
    <row r="7" spans="1:18" x14ac:dyDescent="0.2">
      <c r="A7" s="1298"/>
      <c r="Q7" s="1299"/>
    </row>
    <row r="8" spans="1:18" s="1304" customFormat="1" x14ac:dyDescent="0.25">
      <c r="A8" s="1300" t="s">
        <v>1433</v>
      </c>
      <c r="B8" s="1301"/>
      <c r="C8" s="1301"/>
      <c r="D8" s="1301"/>
      <c r="E8" s="1301"/>
      <c r="F8" s="1301"/>
      <c r="G8" s="1301"/>
      <c r="H8" s="1301"/>
      <c r="I8" s="1301"/>
      <c r="J8" s="1301"/>
      <c r="K8" s="1301"/>
      <c r="L8" s="1301"/>
      <c r="M8" s="1301"/>
      <c r="N8" s="1301"/>
      <c r="O8" s="1301"/>
      <c r="P8" s="1302"/>
      <c r="Q8" s="1303"/>
    </row>
    <row r="9" spans="1:18" s="1301" customFormat="1" ht="13.5" x14ac:dyDescent="0.25">
      <c r="A9" s="1305"/>
      <c r="B9" s="1306"/>
      <c r="C9" s="1306"/>
      <c r="D9" s="1306"/>
      <c r="E9" s="1306"/>
      <c r="F9" s="1306"/>
      <c r="G9" s="1306"/>
      <c r="H9" s="1306"/>
      <c r="I9" s="1306"/>
      <c r="J9" s="1306"/>
      <c r="K9" s="1307"/>
      <c r="L9" s="1307"/>
      <c r="M9" s="1307"/>
      <c r="N9" s="1306"/>
      <c r="O9" s="1306"/>
      <c r="P9" s="1306"/>
      <c r="Q9" s="1308"/>
    </row>
    <row r="10" spans="1:18" s="1309" customFormat="1" ht="16.5" customHeight="1" x14ac:dyDescent="0.25">
      <c r="A10" s="2007" t="s">
        <v>1434</v>
      </c>
      <c r="B10" s="2007" t="s">
        <v>1435</v>
      </c>
      <c r="C10" s="2009" t="s">
        <v>1436</v>
      </c>
      <c r="D10" s="2010"/>
      <c r="E10" s="2007" t="s">
        <v>1437</v>
      </c>
      <c r="F10" s="2013" t="s">
        <v>1438</v>
      </c>
      <c r="G10" s="2013" t="s">
        <v>1439</v>
      </c>
      <c r="H10" s="2007" t="s">
        <v>1440</v>
      </c>
      <c r="I10" s="2014" t="s">
        <v>1441</v>
      </c>
      <c r="J10" s="2015"/>
      <c r="K10" s="2016"/>
      <c r="L10" s="2007" t="s">
        <v>1442</v>
      </c>
      <c r="M10" s="2014" t="s">
        <v>1443</v>
      </c>
      <c r="N10" s="2017"/>
      <c r="O10" s="2017"/>
      <c r="P10" s="2018"/>
      <c r="Q10" s="2007" t="s">
        <v>1444</v>
      </c>
    </row>
    <row r="11" spans="1:18" s="1309" customFormat="1" ht="50.25" customHeight="1" x14ac:dyDescent="0.25">
      <c r="A11" s="2008"/>
      <c r="B11" s="2008"/>
      <c r="C11" s="2011"/>
      <c r="D11" s="2012"/>
      <c r="E11" s="2008"/>
      <c r="F11" s="2013"/>
      <c r="G11" s="2013"/>
      <c r="H11" s="2008"/>
      <c r="I11" s="1362" t="s">
        <v>1445</v>
      </c>
      <c r="J11" s="1362" t="s">
        <v>1446</v>
      </c>
      <c r="K11" s="1362" t="s">
        <v>67</v>
      </c>
      <c r="L11" s="2008"/>
      <c r="M11" s="1362" t="s">
        <v>1447</v>
      </c>
      <c r="N11" s="1362" t="s">
        <v>1448</v>
      </c>
      <c r="O11" s="1362" t="s">
        <v>1449</v>
      </c>
      <c r="P11" s="1362" t="s">
        <v>1424</v>
      </c>
      <c r="Q11" s="2008"/>
    </row>
    <row r="12" spans="1:18" s="1304" customFormat="1" x14ac:dyDescent="0.2">
      <c r="A12" s="1310"/>
      <c r="B12" s="1310"/>
      <c r="C12" s="1311" t="s">
        <v>1450</v>
      </c>
      <c r="D12" s="1311" t="s">
        <v>1451</v>
      </c>
      <c r="E12" s="1311" t="s">
        <v>1452</v>
      </c>
      <c r="F12" s="1311"/>
      <c r="G12" s="1311"/>
      <c r="H12" s="1311" t="s">
        <v>1452</v>
      </c>
      <c r="I12" s="1311" t="s">
        <v>1452</v>
      </c>
      <c r="J12" s="1311" t="s">
        <v>1452</v>
      </c>
      <c r="K12" s="1311" t="s">
        <v>1452</v>
      </c>
      <c r="L12" s="1311" t="s">
        <v>1452</v>
      </c>
      <c r="M12" s="1311" t="s">
        <v>1452</v>
      </c>
      <c r="N12" s="1311" t="s">
        <v>1452</v>
      </c>
      <c r="O12" s="1311" t="s">
        <v>1452</v>
      </c>
      <c r="P12" s="1311" t="s">
        <v>1452</v>
      </c>
      <c r="Q12" s="1311" t="s">
        <v>1452</v>
      </c>
    </row>
    <row r="13" spans="1:18" s="1304" customFormat="1" x14ac:dyDescent="0.2">
      <c r="A13" s="1312"/>
      <c r="B13" s="1312"/>
      <c r="C13" s="1312"/>
      <c r="D13" s="1312"/>
      <c r="E13" s="1312"/>
      <c r="F13" s="1312"/>
      <c r="G13" s="1312"/>
      <c r="H13" s="1312"/>
      <c r="I13" s="1312"/>
      <c r="J13" s="1312"/>
      <c r="K13" s="1312"/>
      <c r="L13" s="1312"/>
      <c r="M13" s="1312"/>
      <c r="N13" s="1312"/>
      <c r="O13" s="1312"/>
      <c r="P13" s="1312"/>
      <c r="Q13" s="1313"/>
    </row>
    <row r="14" spans="1:18" s="1304" customFormat="1" x14ac:dyDescent="0.2">
      <c r="A14" s="1314">
        <v>1</v>
      </c>
      <c r="B14" s="1315" t="s">
        <v>1151</v>
      </c>
      <c r="C14" s="1314">
        <v>10</v>
      </c>
      <c r="D14" s="1314" t="s">
        <v>928</v>
      </c>
      <c r="E14" s="1316">
        <v>157538778</v>
      </c>
      <c r="F14" s="1316">
        <v>0</v>
      </c>
      <c r="G14" s="1316">
        <f>+E14</f>
        <v>157538778</v>
      </c>
      <c r="H14" s="1316">
        <v>0</v>
      </c>
      <c r="I14" s="1316">
        <v>0</v>
      </c>
      <c r="J14" s="1316">
        <f>+'CA Dep'!C29</f>
        <v>1313697503.8900001</v>
      </c>
      <c r="K14" s="1316">
        <f>J14+I14</f>
        <v>1313697503.8900001</v>
      </c>
      <c r="L14" s="1316">
        <f>E14+K14-H14</f>
        <v>1471236281.8900001</v>
      </c>
      <c r="M14" s="1316">
        <f>ROUND((G14-H14)*C14/100,0)</f>
        <v>15753878</v>
      </c>
      <c r="N14" s="1316">
        <f>ROUND(I14*C14/100,0)</f>
        <v>0</v>
      </c>
      <c r="O14" s="1316">
        <f>ROUNDDOWN(J14*C14/200,0)</f>
        <v>65684875</v>
      </c>
      <c r="P14" s="1317">
        <f>M14+N14+O14</f>
        <v>81438753</v>
      </c>
      <c r="Q14" s="1316">
        <f>L14-P14</f>
        <v>1389797528.8900001</v>
      </c>
      <c r="R14" s="1318"/>
    </row>
    <row r="15" spans="1:18" s="1304" customFormat="1" x14ac:dyDescent="0.2">
      <c r="A15" s="1314"/>
      <c r="B15" s="1315"/>
      <c r="C15" s="1314"/>
      <c r="D15" s="1314"/>
      <c r="E15" s="1316"/>
      <c r="F15" s="1316"/>
      <c r="G15" s="1316"/>
      <c r="H15" s="1316"/>
      <c r="I15" s="1316"/>
      <c r="J15" s="1316"/>
      <c r="K15" s="1316"/>
      <c r="L15" s="1316"/>
      <c r="M15" s="1316"/>
      <c r="N15" s="1316"/>
      <c r="O15" s="1316"/>
      <c r="P15" s="1316"/>
      <c r="Q15" s="1316"/>
    </row>
    <row r="16" spans="1:18" s="1304" customFormat="1" x14ac:dyDescent="0.2">
      <c r="A16" s="1314">
        <v>2</v>
      </c>
      <c r="B16" s="1315" t="s">
        <v>1453</v>
      </c>
      <c r="C16" s="1314">
        <v>15</v>
      </c>
      <c r="D16" s="1319">
        <v>0</v>
      </c>
      <c r="E16" s="1316">
        <v>356461070</v>
      </c>
      <c r="F16" s="1316">
        <v>0</v>
      </c>
      <c r="G16" s="1316">
        <f>+E16</f>
        <v>356461070</v>
      </c>
      <c r="H16" s="1316">
        <v>0</v>
      </c>
      <c r="I16" s="1316">
        <v>0</v>
      </c>
      <c r="J16" s="1316">
        <f>+'CA Dep'!C30</f>
        <v>3153846093.6362996</v>
      </c>
      <c r="K16" s="1316">
        <f>J16+I16</f>
        <v>3153846093.6362996</v>
      </c>
      <c r="L16" s="1316">
        <f>E16+K16-H16</f>
        <v>3510307163.6362996</v>
      </c>
      <c r="M16" s="1316">
        <f>ROUND((G16)*C16/100,0)</f>
        <v>53469161</v>
      </c>
      <c r="N16" s="1316">
        <f>ROUND(I16*C16/100,0)</f>
        <v>0</v>
      </c>
      <c r="O16" s="1316">
        <f>ROUNDDOWN((J16-H16)*C16/200,0)</f>
        <v>236538457</v>
      </c>
      <c r="P16" s="1317">
        <f>M16+N16+O16</f>
        <v>290007618</v>
      </c>
      <c r="Q16" s="1316">
        <f>L16-P16</f>
        <v>3220299545.6362996</v>
      </c>
    </row>
    <row r="17" spans="1:17" s="1304" customFormat="1" x14ac:dyDescent="0.2">
      <c r="A17" s="1314"/>
      <c r="B17" s="1315"/>
      <c r="C17" s="1314"/>
      <c r="D17" s="1314"/>
      <c r="E17" s="1316"/>
      <c r="F17" s="1316"/>
      <c r="G17" s="1316"/>
      <c r="H17" s="1316"/>
      <c r="I17" s="1316"/>
      <c r="J17" s="1316"/>
      <c r="K17" s="1316"/>
      <c r="L17" s="1316"/>
      <c r="M17" s="1316"/>
      <c r="N17" s="1316"/>
      <c r="O17" s="1316"/>
      <c r="P17" s="1316"/>
      <c r="Q17" s="1316"/>
    </row>
    <row r="18" spans="1:17" s="1304" customFormat="1" x14ac:dyDescent="0.2">
      <c r="A18" s="1314">
        <v>3</v>
      </c>
      <c r="B18" s="1315" t="s">
        <v>1454</v>
      </c>
      <c r="C18" s="1314">
        <v>10</v>
      </c>
      <c r="D18" s="1314" t="s">
        <v>928</v>
      </c>
      <c r="E18" s="1316">
        <v>0</v>
      </c>
      <c r="F18" s="1316">
        <v>0</v>
      </c>
      <c r="G18" s="1316">
        <f>+E18</f>
        <v>0</v>
      </c>
      <c r="H18" s="1316">
        <v>0</v>
      </c>
      <c r="I18" s="1316">
        <v>0</v>
      </c>
      <c r="J18" s="1316">
        <f>+'CA Dep'!C31</f>
        <v>20587570.107657302</v>
      </c>
      <c r="K18" s="1316">
        <f>J18+I18</f>
        <v>20587570.107657302</v>
      </c>
      <c r="L18" s="1316">
        <f>E18+K18-H18</f>
        <v>20587570.107657302</v>
      </c>
      <c r="M18" s="1316">
        <f>ROUND((G18-H18)*C18/100,0)</f>
        <v>0</v>
      </c>
      <c r="N18" s="1316">
        <f>ROUND(I18*C18/100,0)</f>
        <v>0</v>
      </c>
      <c r="O18" s="1316">
        <f>ROUND(J18*C18/200,0)</f>
        <v>1029379</v>
      </c>
      <c r="P18" s="1317">
        <f>M18+N18+O18</f>
        <v>1029379</v>
      </c>
      <c r="Q18" s="1316">
        <f>L18-P18</f>
        <v>19558191.107657302</v>
      </c>
    </row>
    <row r="19" spans="1:17" s="1304" customFormat="1" x14ac:dyDescent="0.2">
      <c r="A19" s="1314"/>
      <c r="B19" s="1315"/>
      <c r="C19" s="1314"/>
      <c r="D19" s="1314"/>
      <c r="E19" s="1316"/>
      <c r="F19" s="1316"/>
      <c r="G19" s="1316"/>
      <c r="H19" s="1316"/>
      <c r="I19" s="1316"/>
      <c r="J19" s="1316"/>
      <c r="K19" s="1316"/>
      <c r="L19" s="1316"/>
      <c r="M19" s="1316"/>
      <c r="N19" s="1316"/>
      <c r="O19" s="1316"/>
      <c r="P19" s="1316"/>
      <c r="Q19" s="1316"/>
    </row>
    <row r="20" spans="1:17" s="1304" customFormat="1" x14ac:dyDescent="0.2">
      <c r="A20" s="1314">
        <v>4</v>
      </c>
      <c r="B20" s="1315" t="s">
        <v>729</v>
      </c>
      <c r="C20" s="1314">
        <v>40</v>
      </c>
      <c r="D20" s="1314" t="s">
        <v>928</v>
      </c>
      <c r="E20" s="1316">
        <v>157294</v>
      </c>
      <c r="F20" s="1316">
        <v>0</v>
      </c>
      <c r="G20" s="1316">
        <f>+E20</f>
        <v>157294</v>
      </c>
      <c r="H20" s="1316">
        <v>0</v>
      </c>
      <c r="I20" s="1316">
        <v>4872062.8118384834</v>
      </c>
      <c r="J20" s="1316">
        <v>16514859.078161517</v>
      </c>
      <c r="K20" s="1316">
        <f>J20+I20</f>
        <v>21386921.890000001</v>
      </c>
      <c r="L20" s="1316">
        <f>E20+K20-H20</f>
        <v>21544215.890000001</v>
      </c>
      <c r="M20" s="1316">
        <f>ROUND((G20-H20)*C20/100,0)</f>
        <v>62918</v>
      </c>
      <c r="N20" s="1316">
        <f>ROUND(I20*C20/100,0)</f>
        <v>1948825</v>
      </c>
      <c r="O20" s="1316">
        <f>ROUND(J20*C20/200,0)</f>
        <v>3302972</v>
      </c>
      <c r="P20" s="1317">
        <f>M20+N20+O20</f>
        <v>5314715</v>
      </c>
      <c r="Q20" s="1316">
        <f>L20-P20</f>
        <v>16229500.890000001</v>
      </c>
    </row>
    <row r="21" spans="1:17" s="1304" customFormat="1" x14ac:dyDescent="0.2">
      <c r="A21" s="1314"/>
      <c r="B21" s="1315"/>
      <c r="C21" s="1314"/>
      <c r="D21" s="1314"/>
      <c r="E21" s="1316"/>
      <c r="F21" s="1316"/>
      <c r="G21" s="1316"/>
      <c r="H21" s="1316"/>
      <c r="I21" s="1316"/>
      <c r="J21" s="1316"/>
      <c r="K21" s="1316"/>
      <c r="L21" s="1316"/>
      <c r="M21" s="1316"/>
      <c r="N21" s="1316"/>
      <c r="O21" s="1316"/>
      <c r="P21" s="1316"/>
      <c r="Q21" s="1316"/>
    </row>
    <row r="22" spans="1:17" s="1304" customFormat="1" x14ac:dyDescent="0.2">
      <c r="A22" s="1320"/>
      <c r="B22" s="1315"/>
      <c r="C22" s="1314"/>
      <c r="D22" s="1314"/>
      <c r="E22" s="1316"/>
      <c r="F22" s="1316"/>
      <c r="G22" s="1316"/>
      <c r="H22" s="1316"/>
      <c r="I22" s="1316"/>
      <c r="J22" s="1316"/>
      <c r="K22" s="1316"/>
      <c r="L22" s="1316"/>
      <c r="M22" s="1316"/>
      <c r="N22" s="1316"/>
      <c r="O22" s="1316"/>
      <c r="P22" s="1316"/>
      <c r="Q22" s="1316"/>
    </row>
    <row r="23" spans="1:17" s="1304" customFormat="1" x14ac:dyDescent="0.2">
      <c r="A23" s="1321"/>
      <c r="B23" s="1322" t="s">
        <v>67</v>
      </c>
      <c r="C23" s="1322"/>
      <c r="D23" s="1322"/>
      <c r="E23" s="1323">
        <f t="shared" ref="E23:Q23" si="0">SUM(E13:E21)</f>
        <v>514157142</v>
      </c>
      <c r="F23" s="1323">
        <f t="shared" si="0"/>
        <v>0</v>
      </c>
      <c r="G23" s="1323">
        <f t="shared" si="0"/>
        <v>514157142</v>
      </c>
      <c r="H23" s="1323">
        <f t="shared" si="0"/>
        <v>0</v>
      </c>
      <c r="I23" s="1323">
        <f t="shared" si="0"/>
        <v>4872062.8118384834</v>
      </c>
      <c r="J23" s="1323">
        <f t="shared" si="0"/>
        <v>4504646026.7121181</v>
      </c>
      <c r="K23" s="1323">
        <f t="shared" si="0"/>
        <v>4509518089.5239573</v>
      </c>
      <c r="L23" s="1323">
        <f t="shared" si="0"/>
        <v>5023675231.5239573</v>
      </c>
      <c r="M23" s="1323">
        <f t="shared" si="0"/>
        <v>69285957</v>
      </c>
      <c r="N23" s="1323">
        <f t="shared" si="0"/>
        <v>1948825</v>
      </c>
      <c r="O23" s="1323">
        <f t="shared" si="0"/>
        <v>306555683</v>
      </c>
      <c r="P23" s="1324">
        <f t="shared" si="0"/>
        <v>377790465</v>
      </c>
      <c r="Q23" s="1323">
        <f t="shared" si="0"/>
        <v>4645884766.5239573</v>
      </c>
    </row>
    <row r="24" spans="1:17" s="1304" customFormat="1" x14ac:dyDescent="0.2">
      <c r="A24" s="1325"/>
      <c r="B24" s="1326"/>
      <c r="C24" s="1326"/>
      <c r="D24" s="1326"/>
      <c r="E24" s="1327"/>
      <c r="F24" s="1327"/>
      <c r="G24" s="1327"/>
      <c r="H24" s="1328"/>
      <c r="I24" s="1327"/>
      <c r="J24" s="1327"/>
      <c r="K24" s="1327"/>
      <c r="L24" s="1327"/>
      <c r="M24" s="1329"/>
      <c r="N24" s="1329"/>
      <c r="O24" s="1329"/>
      <c r="P24" s="1329"/>
      <c r="Q24" s="1330"/>
    </row>
    <row r="25" spans="1:17" s="1304" customFormat="1" x14ac:dyDescent="0.2">
      <c r="A25" s="1325"/>
      <c r="B25" s="1326"/>
      <c r="C25" s="1326"/>
      <c r="D25" s="1326"/>
      <c r="E25" s="1329"/>
      <c r="F25" s="1327"/>
      <c r="G25" s="1327"/>
      <c r="H25" s="1328"/>
      <c r="I25" s="1329"/>
      <c r="J25" s="1329"/>
      <c r="K25" s="1329">
        <f>+'CA Dep'!C13</f>
        <v>4509518089.5239573</v>
      </c>
      <c r="L25" s="1329"/>
      <c r="M25" s="1329"/>
      <c r="N25" s="1329"/>
      <c r="O25" s="1329"/>
      <c r="P25" s="1329"/>
      <c r="Q25" s="1330"/>
    </row>
    <row r="26" spans="1:17" s="1304" customFormat="1" x14ac:dyDescent="0.2">
      <c r="A26" s="1331"/>
      <c r="B26" s="1332" t="s">
        <v>1455</v>
      </c>
      <c r="C26" s="1332"/>
      <c r="D26" s="1332"/>
      <c r="E26" s="1333"/>
      <c r="F26" s="1333"/>
      <c r="G26" s="1333"/>
      <c r="H26" s="1302"/>
      <c r="I26" s="1329"/>
      <c r="J26" s="1329" t="s">
        <v>1456</v>
      </c>
      <c r="K26" s="1334">
        <f>+K23-K25</f>
        <v>0</v>
      </c>
      <c r="L26" s="1333"/>
      <c r="M26" s="1302"/>
      <c r="N26" s="1302"/>
      <c r="O26" s="1302"/>
      <c r="P26" s="1302"/>
      <c r="Q26" s="1335"/>
    </row>
    <row r="27" spans="1:17" s="1304" customFormat="1" x14ac:dyDescent="0.25">
      <c r="A27" s="1331"/>
      <c r="B27" s="1332"/>
      <c r="C27" s="1332"/>
      <c r="D27" s="1332"/>
      <c r="E27" s="1302"/>
      <c r="F27" s="1302"/>
      <c r="G27" s="1302"/>
      <c r="H27" s="1302"/>
      <c r="I27" s="1302"/>
      <c r="J27" s="1302"/>
      <c r="K27" s="1302"/>
      <c r="L27" s="1333"/>
      <c r="M27" s="1302"/>
      <c r="N27" s="1302"/>
      <c r="O27" s="1302"/>
      <c r="P27" s="1302"/>
      <c r="Q27" s="1335"/>
    </row>
    <row r="28" spans="1:17" s="1304" customFormat="1" ht="15.75" customHeight="1" x14ac:dyDescent="0.25">
      <c r="A28" s="1336" t="s">
        <v>1457</v>
      </c>
      <c r="B28" s="1332"/>
      <c r="C28" s="1337"/>
      <c r="D28" s="1332"/>
      <c r="E28" s="1333"/>
      <c r="F28" s="1333"/>
      <c r="G28" s="1333"/>
      <c r="H28" s="1333"/>
      <c r="I28" s="1333"/>
      <c r="J28" s="1333"/>
      <c r="K28" s="1338"/>
      <c r="L28" s="1333"/>
      <c r="M28" s="1301"/>
      <c r="N28" s="1301"/>
      <c r="O28" s="1302"/>
      <c r="P28" s="1302"/>
      <c r="Q28" s="1335"/>
    </row>
    <row r="29" spans="1:17" s="1304" customFormat="1" x14ac:dyDescent="0.25">
      <c r="A29" s="1339" t="s">
        <v>1458</v>
      </c>
      <c r="B29" s="2003" t="s">
        <v>1459</v>
      </c>
      <c r="C29" s="2003"/>
      <c r="D29" s="2003"/>
      <c r="E29" s="2003"/>
      <c r="F29" s="2003"/>
      <c r="G29" s="2003"/>
      <c r="H29" s="2003"/>
      <c r="I29" s="2003"/>
      <c r="J29" s="2003"/>
      <c r="K29" s="2003"/>
      <c r="L29" s="2003"/>
      <c r="M29" s="2003"/>
      <c r="N29" s="2003"/>
      <c r="O29" s="2003"/>
      <c r="P29" s="2003"/>
      <c r="Q29" s="2004"/>
    </row>
    <row r="30" spans="1:17" s="1304" customFormat="1" ht="28.5" customHeight="1" x14ac:dyDescent="0.25">
      <c r="A30" s="1339" t="s">
        <v>1460</v>
      </c>
      <c r="B30" s="2000" t="s">
        <v>1461</v>
      </c>
      <c r="C30" s="1961"/>
      <c r="D30" s="1961"/>
      <c r="E30" s="1961"/>
      <c r="F30" s="1961"/>
      <c r="G30" s="1961"/>
      <c r="H30" s="1961"/>
      <c r="I30" s="1961"/>
      <c r="J30" s="1961"/>
      <c r="K30" s="1961"/>
      <c r="L30" s="1961"/>
      <c r="M30" s="1961"/>
      <c r="N30" s="1961"/>
      <c r="O30" s="1961"/>
      <c r="P30" s="1961"/>
      <c r="Q30" s="2001"/>
    </row>
    <row r="31" spans="1:17" s="1304" customFormat="1" ht="25.5" customHeight="1" x14ac:dyDescent="0.25">
      <c r="A31" s="1339" t="s">
        <v>1462</v>
      </c>
      <c r="B31" s="2002" t="s">
        <v>1463</v>
      </c>
      <c r="C31" s="1961"/>
      <c r="D31" s="1961"/>
      <c r="E31" s="1961"/>
      <c r="F31" s="1961"/>
      <c r="G31" s="1961"/>
      <c r="H31" s="1961"/>
      <c r="I31" s="1961"/>
      <c r="J31" s="1961"/>
      <c r="K31" s="1961"/>
      <c r="L31" s="1961"/>
      <c r="M31" s="1961"/>
      <c r="N31" s="1961"/>
      <c r="O31" s="1961"/>
      <c r="P31" s="1961"/>
      <c r="Q31" s="2001"/>
    </row>
    <row r="32" spans="1:17" s="1304" customFormat="1" ht="29.45" customHeight="1" x14ac:dyDescent="0.25">
      <c r="A32" s="1339" t="s">
        <v>1464</v>
      </c>
      <c r="B32" s="2002" t="s">
        <v>1465</v>
      </c>
      <c r="C32" s="1961"/>
      <c r="D32" s="1961"/>
      <c r="E32" s="1961"/>
      <c r="F32" s="1961"/>
      <c r="G32" s="1961"/>
      <c r="H32" s="1961"/>
      <c r="I32" s="1961"/>
      <c r="J32" s="1961"/>
      <c r="K32" s="1961"/>
      <c r="L32" s="1961"/>
      <c r="M32" s="1961"/>
      <c r="N32" s="1961"/>
      <c r="O32" s="1961"/>
      <c r="P32" s="1961"/>
      <c r="Q32" s="2001"/>
    </row>
    <row r="33" spans="1:17" s="1304" customFormat="1" ht="25.5" customHeight="1" x14ac:dyDescent="0.25">
      <c r="A33" s="1339" t="s">
        <v>1466</v>
      </c>
      <c r="B33" s="2003" t="s">
        <v>1467</v>
      </c>
      <c r="C33" s="2003"/>
      <c r="D33" s="2003"/>
      <c r="E33" s="2003"/>
      <c r="F33" s="2003"/>
      <c r="G33" s="2003"/>
      <c r="H33" s="2003"/>
      <c r="I33" s="2003"/>
      <c r="J33" s="2003"/>
      <c r="K33" s="2003"/>
      <c r="L33" s="2003"/>
      <c r="M33" s="2003"/>
      <c r="N33" s="2003"/>
      <c r="O33" s="2003"/>
      <c r="P33" s="2003"/>
      <c r="Q33" s="2004"/>
    </row>
    <row r="34" spans="1:17" s="1304" customFormat="1" ht="26.45" customHeight="1" x14ac:dyDescent="0.25">
      <c r="A34" s="1340" t="s">
        <v>1468</v>
      </c>
      <c r="B34" s="2005" t="s">
        <v>1469</v>
      </c>
      <c r="C34" s="2005"/>
      <c r="D34" s="2005"/>
      <c r="E34" s="2005"/>
      <c r="F34" s="2005"/>
      <c r="G34" s="2005"/>
      <c r="H34" s="2005"/>
      <c r="I34" s="2005"/>
      <c r="J34" s="2005"/>
      <c r="K34" s="2005"/>
      <c r="L34" s="2005"/>
      <c r="M34" s="2005"/>
      <c r="N34" s="2005"/>
      <c r="O34" s="2005"/>
      <c r="P34" s="2005"/>
      <c r="Q34" s="2006"/>
    </row>
    <row r="35" spans="1:17" s="1304" customFormat="1" x14ac:dyDescent="0.25">
      <c r="A35" s="1341"/>
      <c r="B35" s="1341"/>
      <c r="C35" s="1342"/>
      <c r="H35" s="1343"/>
      <c r="K35" s="1344"/>
    </row>
    <row r="36" spans="1:17" x14ac:dyDescent="0.2">
      <c r="H36" s="1345"/>
      <c r="I36" s="1346"/>
      <c r="J36" s="1346"/>
      <c r="K36" s="1347"/>
    </row>
    <row r="37" spans="1:17" x14ac:dyDescent="0.2">
      <c r="H37" s="1348"/>
      <c r="I37" s="1346"/>
      <c r="J37" s="1349"/>
      <c r="K37" s="1345"/>
    </row>
    <row r="38" spans="1:17" x14ac:dyDescent="0.2">
      <c r="H38" s="1350"/>
      <c r="I38" s="1346"/>
      <c r="K38" s="1345"/>
    </row>
    <row r="40" spans="1:17" x14ac:dyDescent="0.2">
      <c r="K40" s="1349"/>
    </row>
    <row r="42" spans="1:17" ht="60" x14ac:dyDescent="0.2">
      <c r="H42" s="702" t="s">
        <v>0</v>
      </c>
      <c r="I42" s="1080" t="s">
        <v>1099</v>
      </c>
    </row>
    <row r="43" spans="1:17" ht="15" x14ac:dyDescent="0.2">
      <c r="H43" s="680" t="s">
        <v>728</v>
      </c>
      <c r="I43" s="703">
        <f>+[23]DT!C3</f>
        <v>4533288.3131919391</v>
      </c>
    </row>
    <row r="44" spans="1:17" ht="15" x14ac:dyDescent="0.2">
      <c r="H44" s="680" t="s">
        <v>1151</v>
      </c>
      <c r="I44" s="703">
        <f>+[23]DT!C4</f>
        <v>1895076.6713603183</v>
      </c>
    </row>
    <row r="45" spans="1:17" ht="15" x14ac:dyDescent="0.2">
      <c r="H45" s="680" t="s">
        <v>729</v>
      </c>
      <c r="I45" s="703">
        <f>+[23]DT!C5</f>
        <v>27652.634194860548</v>
      </c>
    </row>
    <row r="46" spans="1:17" ht="15" x14ac:dyDescent="0.2">
      <c r="H46" s="680" t="s">
        <v>1347</v>
      </c>
      <c r="I46" s="703">
        <f>+[23]DT!C6</f>
        <v>26377.199449612352</v>
      </c>
    </row>
  </sheetData>
  <mergeCells count="17">
    <mergeCell ref="B29:Q29"/>
    <mergeCell ref="A10:A11"/>
    <mergeCell ref="B10:B11"/>
    <mergeCell ref="C10:D11"/>
    <mergeCell ref="E10:E11"/>
    <mergeCell ref="F10:F11"/>
    <mergeCell ref="G10:G11"/>
    <mergeCell ref="H10:H11"/>
    <mergeCell ref="I10:K10"/>
    <mergeCell ref="L10:L11"/>
    <mergeCell ref="M10:P10"/>
    <mergeCell ref="Q10:Q11"/>
    <mergeCell ref="B30:Q30"/>
    <mergeCell ref="B31:Q31"/>
    <mergeCell ref="B32:Q32"/>
    <mergeCell ref="B33:Q33"/>
    <mergeCell ref="B34:Q34"/>
  </mergeCells>
  <pageMargins left="0.7" right="0.7" top="0.75" bottom="0.75" header="0.3" footer="0.3"/>
  <headerFooter>
    <oddHeader>&amp;C&amp;G</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B4EE-E50E-4003-B6E1-02BE1A9822D8}">
  <dimension ref="A1:I35"/>
  <sheetViews>
    <sheetView workbookViewId="0">
      <selection activeCell="F16" sqref="F16"/>
    </sheetView>
  </sheetViews>
  <sheetFormatPr defaultRowHeight="15" x14ac:dyDescent="0.25"/>
  <cols>
    <col min="1" max="1" width="36.42578125" bestFit="1" customWidth="1"/>
    <col min="2" max="2" width="14" bestFit="1" customWidth="1"/>
    <col min="3" max="3" width="15.7109375" bestFit="1" customWidth="1"/>
    <col min="4" max="4" width="19.28515625" bestFit="1" customWidth="1"/>
    <col min="5" max="5" width="15.7109375" bestFit="1" customWidth="1"/>
    <col min="6" max="6" width="31.28515625" bestFit="1" customWidth="1"/>
    <col min="7" max="7" width="26.85546875" bestFit="1" customWidth="1"/>
    <col min="8" max="8" width="20" bestFit="1" customWidth="1"/>
    <col min="9" max="9" width="15.7109375" bestFit="1" customWidth="1"/>
  </cols>
  <sheetData>
    <row r="1" spans="1:9" x14ac:dyDescent="0.25">
      <c r="A1" s="1351"/>
      <c r="B1" s="2019" t="s">
        <v>1470</v>
      </c>
      <c r="C1" s="2019"/>
      <c r="D1" s="2019"/>
      <c r="E1" s="2019"/>
      <c r="F1" s="2019" t="s">
        <v>1471</v>
      </c>
      <c r="G1" s="2019"/>
      <c r="H1" s="2019"/>
      <c r="I1" s="1363" t="s">
        <v>1472</v>
      </c>
    </row>
    <row r="2" spans="1:9" x14ac:dyDescent="0.25">
      <c r="A2" s="1363" t="s">
        <v>1473</v>
      </c>
      <c r="B2" s="1363" t="s">
        <v>1474</v>
      </c>
      <c r="C2" s="1363" t="s">
        <v>1475</v>
      </c>
      <c r="D2" s="1363" t="s">
        <v>1476</v>
      </c>
      <c r="E2" s="1363" t="s">
        <v>67</v>
      </c>
      <c r="F2" s="1363" t="s">
        <v>1471</v>
      </c>
      <c r="G2" s="1352" t="s">
        <v>1477</v>
      </c>
      <c r="H2" s="1363" t="s">
        <v>1424</v>
      </c>
      <c r="I2" s="1363" t="s">
        <v>67</v>
      </c>
    </row>
    <row r="3" spans="1:9" x14ac:dyDescent="0.25">
      <c r="A3" s="1353" t="s">
        <v>187</v>
      </c>
      <c r="B3" s="1354">
        <v>93599471</v>
      </c>
      <c r="C3" s="1369">
        <v>0</v>
      </c>
      <c r="D3" s="1354">
        <v>0</v>
      </c>
      <c r="E3" s="1354">
        <f>+B3+C3-D3</f>
        <v>93599471</v>
      </c>
      <c r="F3" s="1354">
        <v>0</v>
      </c>
      <c r="G3" s="1354">
        <v>0</v>
      </c>
      <c r="H3" s="1354">
        <f>+F3+G3</f>
        <v>0</v>
      </c>
      <c r="I3" s="1355">
        <f>+E3+H3</f>
        <v>93599471</v>
      </c>
    </row>
    <row r="4" spans="1:9" x14ac:dyDescent="0.25">
      <c r="A4" s="1353" t="s">
        <v>1478</v>
      </c>
      <c r="B4" s="1354">
        <v>324389641</v>
      </c>
      <c r="C4" s="1369">
        <v>0</v>
      </c>
      <c r="D4" s="1354">
        <v>0</v>
      </c>
      <c r="E4" s="1354">
        <f t="shared" ref="E4:E12" si="0">+B4+C4-D4</f>
        <v>324389641</v>
      </c>
      <c r="F4" s="1354">
        <v>-5829998.6799999997</v>
      </c>
      <c r="G4" s="1354">
        <v>-3467334.25</v>
      </c>
      <c r="H4" s="1354">
        <f t="shared" ref="H4:H12" si="1">+F4+G4</f>
        <v>-9297332.9299999997</v>
      </c>
      <c r="I4" s="1355">
        <f t="shared" ref="I4:I12" si="2">+E4+H4</f>
        <v>315092308.06999999</v>
      </c>
    </row>
    <row r="5" spans="1:9" x14ac:dyDescent="0.25">
      <c r="A5" s="1356" t="s">
        <v>1479</v>
      </c>
      <c r="B5" s="1354">
        <v>165421759.91000003</v>
      </c>
      <c r="C5" s="1369">
        <v>1313697503.8900001</v>
      </c>
      <c r="D5" s="1354">
        <v>0</v>
      </c>
      <c r="E5" s="1354">
        <f t="shared" si="0"/>
        <v>1479119263.8000002</v>
      </c>
      <c r="F5" s="1354">
        <v>-1059936.1299999999</v>
      </c>
      <c r="G5" s="1354">
        <v>-22462048.989999998</v>
      </c>
      <c r="H5" s="1354">
        <f t="shared" si="1"/>
        <v>-23521985.119999997</v>
      </c>
      <c r="I5" s="1355">
        <f t="shared" si="2"/>
        <v>1455597278.6800003</v>
      </c>
    </row>
    <row r="6" spans="1:9" x14ac:dyDescent="0.25">
      <c r="A6" s="1356" t="s">
        <v>1325</v>
      </c>
      <c r="B6" s="1354">
        <v>0</v>
      </c>
      <c r="C6" s="1369">
        <v>4679369.24</v>
      </c>
      <c r="D6" s="1354">
        <v>0</v>
      </c>
      <c r="E6" s="1354">
        <f t="shared" si="0"/>
        <v>4679369.24</v>
      </c>
      <c r="F6" s="1354">
        <v>0</v>
      </c>
      <c r="G6" s="1354">
        <v>-376404.68866301398</v>
      </c>
      <c r="H6" s="1354">
        <f t="shared" si="1"/>
        <v>-376404.68866301398</v>
      </c>
      <c r="I6" s="1355">
        <f t="shared" si="2"/>
        <v>4302964.551336986</v>
      </c>
    </row>
    <row r="7" spans="1:9" x14ac:dyDescent="0.25">
      <c r="A7" s="1356" t="s">
        <v>729</v>
      </c>
      <c r="B7" s="1354">
        <v>196133.05999999997</v>
      </c>
      <c r="C7" s="1369">
        <v>16707552.65</v>
      </c>
      <c r="D7" s="1354">
        <v>0</v>
      </c>
      <c r="E7" s="1354">
        <f t="shared" si="0"/>
        <v>16903685.710000001</v>
      </c>
      <c r="F7" s="1354">
        <v>-42189.57</v>
      </c>
      <c r="G7" s="1354">
        <v>-1405579.5319353901</v>
      </c>
      <c r="H7" s="1354">
        <f t="shared" si="1"/>
        <v>-1447769.1019353902</v>
      </c>
      <c r="I7" s="1355">
        <f t="shared" si="2"/>
        <v>15455916.608064611</v>
      </c>
    </row>
    <row r="8" spans="1:9" x14ac:dyDescent="0.25">
      <c r="A8" s="1356" t="s">
        <v>1480</v>
      </c>
      <c r="B8" s="1354">
        <v>0</v>
      </c>
      <c r="C8" s="1369">
        <v>133494755.59465376</v>
      </c>
      <c r="D8" s="1354">
        <v>0</v>
      </c>
      <c r="E8" s="1354">
        <f t="shared" si="0"/>
        <v>133494755.59465376</v>
      </c>
      <c r="F8" s="1354">
        <v>0</v>
      </c>
      <c r="G8" s="1354">
        <v>-3890620.1394118899</v>
      </c>
      <c r="H8" s="1354">
        <f t="shared" si="1"/>
        <v>-3890620.1394118899</v>
      </c>
      <c r="I8" s="1357">
        <f t="shared" si="2"/>
        <v>129604135.45524186</v>
      </c>
    </row>
    <row r="9" spans="1:9" x14ac:dyDescent="0.25">
      <c r="A9" s="1356" t="s">
        <v>1347</v>
      </c>
      <c r="B9" s="1354">
        <v>0</v>
      </c>
      <c r="C9" s="1369">
        <v>20587570.107657302</v>
      </c>
      <c r="D9" s="1354">
        <v>0</v>
      </c>
      <c r="E9" s="1354">
        <f t="shared" si="0"/>
        <v>20587570.107657302</v>
      </c>
      <c r="F9" s="1354">
        <v>0</v>
      </c>
      <c r="G9" s="1354">
        <v>-594660.03989170899</v>
      </c>
      <c r="H9" s="1354">
        <f t="shared" si="1"/>
        <v>-594660.03989170899</v>
      </c>
      <c r="I9" s="1355">
        <f t="shared" si="2"/>
        <v>19992910.067765594</v>
      </c>
    </row>
    <row r="10" spans="1:9" x14ac:dyDescent="0.25">
      <c r="A10" s="1356" t="s">
        <v>1481</v>
      </c>
      <c r="B10" s="1354">
        <v>0</v>
      </c>
      <c r="C10" s="1369">
        <v>24761023.649999999</v>
      </c>
      <c r="D10" s="1354">
        <v>0</v>
      </c>
      <c r="E10" s="1354">
        <f t="shared" si="0"/>
        <v>24761023.649999999</v>
      </c>
      <c r="F10" s="1354">
        <v>0</v>
      </c>
      <c r="G10" s="1354">
        <v>-721800.79900273902</v>
      </c>
      <c r="H10" s="1354">
        <f t="shared" si="1"/>
        <v>-721800.79900273902</v>
      </c>
      <c r="I10" s="1357">
        <f t="shared" si="2"/>
        <v>24039222.850997258</v>
      </c>
    </row>
    <row r="11" spans="1:9" x14ac:dyDescent="0.25">
      <c r="A11" s="1356" t="s">
        <v>1322</v>
      </c>
      <c r="B11" s="1354">
        <v>0</v>
      </c>
      <c r="C11" s="1369">
        <v>19595727.000000004</v>
      </c>
      <c r="D11" s="1354">
        <v>0</v>
      </c>
      <c r="E11" s="1354">
        <f t="shared" si="0"/>
        <v>19595727.000000004</v>
      </c>
      <c r="F11" s="1354">
        <v>0</v>
      </c>
      <c r="G11" s="1354">
        <v>-1127057.0979726</v>
      </c>
      <c r="H11" s="1354">
        <f t="shared" si="1"/>
        <v>-1127057.0979726</v>
      </c>
      <c r="I11" s="1357">
        <f t="shared" si="2"/>
        <v>18468669.902027402</v>
      </c>
    </row>
    <row r="12" spans="1:9" x14ac:dyDescent="0.25">
      <c r="A12" s="1356" t="s">
        <v>1482</v>
      </c>
      <c r="B12" s="1354">
        <v>384413953.43000001</v>
      </c>
      <c r="C12" s="1369">
        <v>2975994587.3916459</v>
      </c>
      <c r="D12" s="1354">
        <v>0</v>
      </c>
      <c r="E12" s="1354">
        <f t="shared" si="0"/>
        <v>3360408540.8216457</v>
      </c>
      <c r="F12" s="1354">
        <v>-2638679.65</v>
      </c>
      <c r="G12" s="1354">
        <f>-95027170.5291097+343</f>
        <v>-95026827.529109702</v>
      </c>
      <c r="H12" s="1354">
        <f t="shared" si="1"/>
        <v>-97665507.179109707</v>
      </c>
      <c r="I12" s="1357">
        <f t="shared" si="2"/>
        <v>3262743033.6425362</v>
      </c>
    </row>
    <row r="13" spans="1:9" x14ac:dyDescent="0.25">
      <c r="A13" s="1363" t="s">
        <v>67</v>
      </c>
      <c r="B13" s="1352">
        <f t="shared" ref="B13:I13" si="3">SUM(B3:B12)</f>
        <v>968020958.4000001</v>
      </c>
      <c r="C13" s="1370">
        <f t="shared" si="3"/>
        <v>4509518089.5239573</v>
      </c>
      <c r="D13" s="1352">
        <f t="shared" si="3"/>
        <v>0</v>
      </c>
      <c r="E13" s="1352">
        <f t="shared" si="3"/>
        <v>5477539047.9239569</v>
      </c>
      <c r="F13" s="1352">
        <f t="shared" si="3"/>
        <v>-9570804.0299999993</v>
      </c>
      <c r="G13" s="1352">
        <f t="shared" si="3"/>
        <v>-129072333.06598705</v>
      </c>
      <c r="H13" s="1352">
        <f t="shared" si="3"/>
        <v>-138643137.09598705</v>
      </c>
      <c r="I13" s="1352">
        <f t="shared" si="3"/>
        <v>5338895910.8279705</v>
      </c>
    </row>
    <row r="19" spans="2:9" x14ac:dyDescent="0.25">
      <c r="C19" s="680" t="s">
        <v>728</v>
      </c>
      <c r="E19" s="1244">
        <f>+E12+E11+E10+E8</f>
        <v>3538260047.0662994</v>
      </c>
      <c r="G19" s="680" t="s">
        <v>728</v>
      </c>
      <c r="H19" s="1244">
        <f>+H12+H11+H10+H8</f>
        <v>-103404985.21549694</v>
      </c>
      <c r="I19" s="1244">
        <f>+I12+I11+I10+I8</f>
        <v>3434855061.8508029</v>
      </c>
    </row>
    <row r="20" spans="2:9" x14ac:dyDescent="0.25">
      <c r="C20" s="680" t="s">
        <v>1151</v>
      </c>
      <c r="E20" s="1244">
        <f>+E5</f>
        <v>1479119263.8000002</v>
      </c>
      <c r="G20" s="680" t="s">
        <v>1151</v>
      </c>
      <c r="H20" s="1244">
        <f>+H5</f>
        <v>-23521985.119999997</v>
      </c>
      <c r="I20" s="1244">
        <f>+I5</f>
        <v>1455597278.6800003</v>
      </c>
    </row>
    <row r="21" spans="2:9" x14ac:dyDescent="0.25">
      <c r="C21" s="680" t="s">
        <v>729</v>
      </c>
      <c r="E21" s="1244">
        <f>+E7+E6</f>
        <v>21583054.950000003</v>
      </c>
      <c r="G21" s="680" t="s">
        <v>729</v>
      </c>
      <c r="H21" s="1244">
        <f>+H7+H6</f>
        <v>-1824173.7905984041</v>
      </c>
      <c r="I21" s="1244">
        <f>+I7+I6</f>
        <v>19758881.159401596</v>
      </c>
    </row>
    <row r="22" spans="2:9" x14ac:dyDescent="0.25">
      <c r="C22" s="680" t="s">
        <v>1347</v>
      </c>
      <c r="E22" s="1244">
        <f>+E9</f>
        <v>20587570.107657302</v>
      </c>
      <c r="G22" s="680" t="s">
        <v>1347</v>
      </c>
      <c r="H22" s="1244">
        <f>+H9</f>
        <v>-594660.03989170899</v>
      </c>
      <c r="I22" s="1244">
        <f>+I9</f>
        <v>19992910.067765594</v>
      </c>
    </row>
    <row r="23" spans="2:9" x14ac:dyDescent="0.25">
      <c r="C23" s="682" t="s">
        <v>67</v>
      </c>
      <c r="E23" s="1358">
        <f>SUM(E19:E22)</f>
        <v>5059549935.9239569</v>
      </c>
      <c r="G23" s="682" t="s">
        <v>67</v>
      </c>
      <c r="H23" s="1358">
        <f>SUM(H19:H22)</f>
        <v>-129345804.16598704</v>
      </c>
      <c r="I23" s="1359">
        <f>SUM(I19:I22)</f>
        <v>4930204131.7579708</v>
      </c>
    </row>
    <row r="24" spans="2:9" x14ac:dyDescent="0.25">
      <c r="C24" s="501" t="s">
        <v>1483</v>
      </c>
      <c r="E24" s="1244">
        <f>+E4+E3</f>
        <v>417989112</v>
      </c>
      <c r="G24" s="501" t="s">
        <v>1483</v>
      </c>
      <c r="H24" s="1244">
        <f>+H4</f>
        <v>-9297332.9299999997</v>
      </c>
    </row>
    <row r="25" spans="2:9" x14ac:dyDescent="0.25">
      <c r="E25" s="1244">
        <f>+E23+E24</f>
        <v>5477539047.9239569</v>
      </c>
      <c r="H25" s="1244">
        <f>+H23+H24</f>
        <v>-138643137.09598705</v>
      </c>
    </row>
    <row r="26" spans="2:9" x14ac:dyDescent="0.25">
      <c r="E26" s="1244">
        <f>+E13-E25</f>
        <v>0</v>
      </c>
      <c r="H26" s="1244">
        <f>+H13-H25</f>
        <v>0</v>
      </c>
    </row>
    <row r="29" spans="2:9" x14ac:dyDescent="0.25">
      <c r="B29" s="1315" t="s">
        <v>1151</v>
      </c>
      <c r="C29" s="1244">
        <f>+C5</f>
        <v>1313697503.8900001</v>
      </c>
      <c r="D29">
        <f>+'IT Dep'!K14</f>
        <v>1313697503.8900001</v>
      </c>
      <c r="E29" s="1244">
        <f>+C29-D29</f>
        <v>0</v>
      </c>
    </row>
    <row r="30" spans="2:9" x14ac:dyDescent="0.25">
      <c r="B30" s="1315" t="s">
        <v>1453</v>
      </c>
      <c r="C30" s="1244">
        <f>+C8+C10+C11+C12</f>
        <v>3153846093.6362996</v>
      </c>
      <c r="D30">
        <f>+'IT Dep'!K16</f>
        <v>3153846093.6362996</v>
      </c>
      <c r="E30" s="1244">
        <f>+C30-D30</f>
        <v>0</v>
      </c>
    </row>
    <row r="31" spans="2:9" x14ac:dyDescent="0.25">
      <c r="B31" s="1315" t="s">
        <v>1454</v>
      </c>
      <c r="C31" s="1244">
        <f>+C9</f>
        <v>20587570.107657302</v>
      </c>
      <c r="D31">
        <f>+'IT Dep'!K18</f>
        <v>20587570.107657302</v>
      </c>
      <c r="E31" s="1244">
        <f>+C31-D31</f>
        <v>0</v>
      </c>
    </row>
    <row r="32" spans="2:9" x14ac:dyDescent="0.25">
      <c r="B32" s="1315" t="s">
        <v>729</v>
      </c>
      <c r="C32" s="1244">
        <f>+C6+C7</f>
        <v>21386921.890000001</v>
      </c>
      <c r="D32">
        <f>+'IT Dep'!K20</f>
        <v>21386921.890000001</v>
      </c>
      <c r="E32" s="1244">
        <f>+C32-D32</f>
        <v>0</v>
      </c>
    </row>
    <row r="33" spans="2:5" x14ac:dyDescent="0.25">
      <c r="B33" s="1360" t="s">
        <v>67</v>
      </c>
      <c r="C33" s="1359">
        <f>SUM(C29:C32)</f>
        <v>4509518089.5239573</v>
      </c>
      <c r="D33" s="1359">
        <f>SUM(D29:D32)</f>
        <v>4509518089.5239573</v>
      </c>
      <c r="E33" s="1359">
        <f>SUM(E29:E32)</f>
        <v>0</v>
      </c>
    </row>
    <row r="35" spans="2:5" x14ac:dyDescent="0.25">
      <c r="C35" s="1244">
        <f>+C32-'IT Dep'!I20</f>
        <v>16514859.078161517</v>
      </c>
    </row>
  </sheetData>
  <mergeCells count="2">
    <mergeCell ref="B1:E1"/>
    <mergeCell ref="F1:H1"/>
  </mergeCells>
  <pageMargins left="0.7" right="0.7" top="0.75" bottom="0.75" header="0.3" footer="0.3"/>
  <headerFooter>
    <oddHeader>&amp;C&amp;G</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BF10-CD6D-47DD-B4E7-77D6C6D62201}">
  <dimension ref="A1:G117"/>
  <sheetViews>
    <sheetView workbookViewId="0">
      <pane ySplit="1" topLeftCell="A100" activePane="bottomLeft" state="frozen"/>
      <selection activeCell="H79" sqref="H79"/>
      <selection pane="bottomLeft" activeCell="H79" sqref="H79"/>
    </sheetView>
  </sheetViews>
  <sheetFormatPr defaultRowHeight="15" x14ac:dyDescent="0.25"/>
  <cols>
    <col min="1" max="1" width="13.5703125" bestFit="1" customWidth="1"/>
    <col min="2" max="2" width="21.5703125" bestFit="1" customWidth="1"/>
    <col min="3" max="3" width="18.5703125" bestFit="1" customWidth="1"/>
    <col min="6" max="6" width="16.85546875" bestFit="1" customWidth="1"/>
    <col min="7" max="7" width="12.7109375" bestFit="1" customWidth="1"/>
  </cols>
  <sheetData>
    <row r="1" spans="1:7" x14ac:dyDescent="0.25">
      <c r="A1" s="518" t="s">
        <v>848</v>
      </c>
      <c r="B1" s="518" t="s">
        <v>849</v>
      </c>
      <c r="C1" s="519" t="s">
        <v>850</v>
      </c>
    </row>
    <row r="2" spans="1:7" x14ac:dyDescent="0.25">
      <c r="A2" s="520">
        <v>10000000</v>
      </c>
      <c r="B2" s="520" t="s">
        <v>143</v>
      </c>
      <c r="C2" s="521">
        <f>VLOOKUP(A2,'[24]Sheet1 (2)'!$B$3:$G$151,6,0)</f>
        <v>-1072760</v>
      </c>
      <c r="F2" s="75">
        <v>-1072760</v>
      </c>
      <c r="G2" s="157">
        <f>C2-F2</f>
        <v>0</v>
      </c>
    </row>
    <row r="3" spans="1:7" x14ac:dyDescent="0.25">
      <c r="A3" s="520">
        <v>10000004</v>
      </c>
      <c r="B3" s="520" t="s">
        <v>851</v>
      </c>
      <c r="C3" s="521">
        <f>VLOOKUP(A3,'[24]Sheet1 (2)'!$B$3:$G$151,6,0)</f>
        <v>-440970</v>
      </c>
      <c r="F3" s="75">
        <v>-440970</v>
      </c>
      <c r="G3" s="157">
        <f t="shared" ref="G3:G66" si="0">C3-F3</f>
        <v>0</v>
      </c>
    </row>
    <row r="4" spans="1:7" x14ac:dyDescent="0.25">
      <c r="A4" s="520">
        <v>10100000</v>
      </c>
      <c r="B4" s="520" t="s">
        <v>852</v>
      </c>
      <c r="C4" s="521">
        <f>VLOOKUP(A4,'[24]Sheet1 (2)'!$B$3:$G$151,6,0)</f>
        <v>-1203770405.96</v>
      </c>
      <c r="F4" s="75">
        <v>-1203770405.96</v>
      </c>
      <c r="G4" s="157">
        <f t="shared" si="0"/>
        <v>0</v>
      </c>
    </row>
    <row r="5" spans="1:7" x14ac:dyDescent="0.25">
      <c r="A5" s="520">
        <v>10100001</v>
      </c>
      <c r="B5" s="520" t="s">
        <v>116</v>
      </c>
      <c r="C5" s="521">
        <f>VLOOKUP(A5,'[24]Sheet1 (2)'!$B$3:$G$151,6,0)</f>
        <v>9525999.5600000005</v>
      </c>
      <c r="F5" s="75">
        <v>9525999.5600000005</v>
      </c>
      <c r="G5" s="157">
        <f t="shared" si="0"/>
        <v>0</v>
      </c>
    </row>
    <row r="6" spans="1:7" x14ac:dyDescent="0.25">
      <c r="A6" s="520">
        <v>10100002</v>
      </c>
      <c r="B6" s="520" t="s">
        <v>506</v>
      </c>
      <c r="C6" s="521">
        <f>VLOOKUP(A6,'[24]Sheet1 (2)'!$B$3:$G$151,6,0)</f>
        <v>7941080.54</v>
      </c>
      <c r="F6" s="75">
        <v>7941080.54</v>
      </c>
      <c r="G6" s="157">
        <f t="shared" si="0"/>
        <v>0</v>
      </c>
    </row>
    <row r="7" spans="1:7" x14ac:dyDescent="0.25">
      <c r="A7" s="520">
        <v>10100008</v>
      </c>
      <c r="B7" s="520" t="s">
        <v>702</v>
      </c>
      <c r="C7" s="521">
        <f>VLOOKUP(A7,'[24]Sheet1 (2)'!$B$3:$G$151,6,0)</f>
        <v>0</v>
      </c>
      <c r="F7" s="75">
        <v>0</v>
      </c>
      <c r="G7" s="157">
        <f t="shared" si="0"/>
        <v>0</v>
      </c>
    </row>
    <row r="8" spans="1:7" x14ac:dyDescent="0.25">
      <c r="A8" s="520">
        <v>10100009</v>
      </c>
      <c r="B8" s="520" t="s">
        <v>703</v>
      </c>
      <c r="C8" s="521">
        <f>VLOOKUP(A8,'[24]Sheet1 (2)'!$B$3:$G$151,6,0)</f>
        <v>-38668.9</v>
      </c>
      <c r="F8" s="75">
        <v>-38668.9</v>
      </c>
      <c r="G8" s="157">
        <f t="shared" si="0"/>
        <v>0</v>
      </c>
    </row>
    <row r="9" spans="1:7" x14ac:dyDescent="0.25">
      <c r="A9" s="520">
        <v>10200015</v>
      </c>
      <c r="B9" s="520" t="s">
        <v>853</v>
      </c>
      <c r="C9" s="521">
        <f>VLOOKUP(A9,'[24]Sheet1 (2)'!$B$3:$G$151,6,0)</f>
        <v>928571.43</v>
      </c>
      <c r="F9" s="75">
        <v>928571.43</v>
      </c>
      <c r="G9" s="157">
        <f t="shared" si="0"/>
        <v>0</v>
      </c>
    </row>
    <row r="10" spans="1:7" x14ac:dyDescent="0.25">
      <c r="A10" s="520">
        <v>10200016</v>
      </c>
      <c r="B10" s="520" t="s">
        <v>777</v>
      </c>
      <c r="C10" s="521">
        <f>VLOOKUP(A10,'[24]Sheet1 (2)'!$B$3:$G$151,6,0)</f>
        <v>-1897513798.3099899</v>
      </c>
      <c r="F10" s="75">
        <v>-1897513798.3099899</v>
      </c>
      <c r="G10" s="157">
        <f t="shared" si="0"/>
        <v>0</v>
      </c>
    </row>
    <row r="11" spans="1:7" x14ac:dyDescent="0.25">
      <c r="A11" s="520">
        <v>10600010</v>
      </c>
      <c r="B11" s="520" t="s">
        <v>497</v>
      </c>
      <c r="C11" s="521">
        <f>VLOOKUP(A11,'[24]Sheet1 (2)'!$B$3:$G$151,6,0)</f>
        <v>-543833360.84000003</v>
      </c>
      <c r="F11" s="75">
        <v>-543833360.84000003</v>
      </c>
      <c r="G11" s="157">
        <f t="shared" si="0"/>
        <v>0</v>
      </c>
    </row>
    <row r="12" spans="1:7" x14ac:dyDescent="0.25">
      <c r="A12" s="520">
        <v>10800004</v>
      </c>
      <c r="B12" s="520" t="s">
        <v>227</v>
      </c>
      <c r="C12" s="521">
        <f>VLOOKUP(A12,'[24]Sheet1 (2)'!$B$3:$G$151,6,0)</f>
        <v>-834743282.90999901</v>
      </c>
      <c r="F12" s="75">
        <v>-834743282.90999901</v>
      </c>
      <c r="G12" s="157">
        <f t="shared" si="0"/>
        <v>0</v>
      </c>
    </row>
    <row r="13" spans="1:7" x14ac:dyDescent="0.25">
      <c r="A13" s="520">
        <v>10900000</v>
      </c>
      <c r="B13" s="520" t="s">
        <v>504</v>
      </c>
      <c r="C13" s="521">
        <f>VLOOKUP(A13,'[24]Sheet1 (2)'!$B$3:$G$151,6,0)</f>
        <v>-2064042</v>
      </c>
      <c r="F13" s="75">
        <v>-2064042</v>
      </c>
      <c r="G13" s="157">
        <f t="shared" si="0"/>
        <v>0</v>
      </c>
    </row>
    <row r="14" spans="1:7" x14ac:dyDescent="0.25">
      <c r="A14" s="520">
        <v>10900018</v>
      </c>
      <c r="B14" s="520" t="s">
        <v>721</v>
      </c>
      <c r="C14" s="521">
        <f>VLOOKUP(A14,'[24]Sheet1 (2)'!$B$3:$G$151,6,0)</f>
        <v>-3369699.27999999</v>
      </c>
      <c r="F14" s="75">
        <v>-3369699.27999999</v>
      </c>
      <c r="G14" s="157">
        <f t="shared" si="0"/>
        <v>0</v>
      </c>
    </row>
    <row r="15" spans="1:7" x14ac:dyDescent="0.25">
      <c r="A15" s="520">
        <v>11000001</v>
      </c>
      <c r="B15" s="520" t="s">
        <v>496</v>
      </c>
      <c r="C15" s="521">
        <f>VLOOKUP(A15,'[24]Sheet1 (2)'!$B$3:$G$151,6,0)</f>
        <v>-1901220.3899999899</v>
      </c>
      <c r="F15" s="75">
        <v>-1901220.3899999899</v>
      </c>
      <c r="G15" s="157">
        <f t="shared" si="0"/>
        <v>0</v>
      </c>
    </row>
    <row r="16" spans="1:7" x14ac:dyDescent="0.25">
      <c r="A16" s="520">
        <v>11000002</v>
      </c>
      <c r="B16" s="520" t="s">
        <v>722</v>
      </c>
      <c r="C16" s="521">
        <f>VLOOKUP(A16,'[24]Sheet1 (2)'!$B$3:$G$151,6,0)</f>
        <v>-112195.429999999</v>
      </c>
      <c r="F16" s="75">
        <v>-112195.429999999</v>
      </c>
      <c r="G16" s="157">
        <f t="shared" si="0"/>
        <v>0</v>
      </c>
    </row>
    <row r="17" spans="1:7" x14ac:dyDescent="0.25">
      <c r="A17" s="520">
        <v>11000003</v>
      </c>
      <c r="B17" s="520" t="s">
        <v>507</v>
      </c>
      <c r="C17" s="521">
        <f>VLOOKUP(A17,'[24]Sheet1 (2)'!$B$3:$G$151,6,0)</f>
        <v>-1168697.83</v>
      </c>
      <c r="F17" s="75">
        <v>-1168697.83</v>
      </c>
      <c r="G17" s="157">
        <f t="shared" si="0"/>
        <v>0</v>
      </c>
    </row>
    <row r="18" spans="1:7" x14ac:dyDescent="0.25">
      <c r="A18" s="520">
        <v>11000005</v>
      </c>
      <c r="B18" s="520" t="s">
        <v>723</v>
      </c>
      <c r="C18" s="521">
        <f>VLOOKUP(A18,'[24]Sheet1 (2)'!$B$3:$G$151,6,0)</f>
        <v>-179520</v>
      </c>
      <c r="F18" s="75">
        <v>-179520</v>
      </c>
      <c r="G18" s="157">
        <f t="shared" si="0"/>
        <v>0</v>
      </c>
    </row>
    <row r="19" spans="1:7" x14ac:dyDescent="0.25">
      <c r="A19" s="520">
        <v>11000006</v>
      </c>
      <c r="B19" s="520" t="s">
        <v>854</v>
      </c>
      <c r="C19" s="521">
        <f>VLOOKUP(A19,'[24]Sheet1 (2)'!$B$3:$G$151,6,0)</f>
        <v>-65628</v>
      </c>
      <c r="F19" s="75">
        <v>-65628</v>
      </c>
      <c r="G19" s="157">
        <f t="shared" si="0"/>
        <v>0</v>
      </c>
    </row>
    <row r="20" spans="1:7" x14ac:dyDescent="0.25">
      <c r="A20" s="520">
        <v>11000007</v>
      </c>
      <c r="B20" s="520" t="s">
        <v>724</v>
      </c>
      <c r="C20" s="521">
        <f>VLOOKUP(A20,'[24]Sheet1 (2)'!$B$3:$G$151,6,0)</f>
        <v>-284681</v>
      </c>
      <c r="F20" s="75">
        <v>-284681</v>
      </c>
      <c r="G20" s="157">
        <f t="shared" si="0"/>
        <v>0</v>
      </c>
    </row>
    <row r="21" spans="1:7" x14ac:dyDescent="0.25">
      <c r="A21" s="520">
        <v>11000011</v>
      </c>
      <c r="B21" s="520" t="s">
        <v>855</v>
      </c>
      <c r="C21" s="521">
        <f>VLOOKUP(A21,'[24]Sheet1 (2)'!$B$3:$G$151,6,0)</f>
        <v>-190172</v>
      </c>
      <c r="F21" s="75">
        <v>-190172</v>
      </c>
      <c r="G21" s="157">
        <f t="shared" si="0"/>
        <v>0</v>
      </c>
    </row>
    <row r="22" spans="1:7" x14ac:dyDescent="0.25">
      <c r="A22" s="520">
        <v>11000012</v>
      </c>
      <c r="B22" s="520" t="s">
        <v>725</v>
      </c>
      <c r="C22" s="521">
        <f>VLOOKUP(A22,'[24]Sheet1 (2)'!$B$3:$G$151,6,0)</f>
        <v>-15800</v>
      </c>
      <c r="F22" s="75">
        <v>-15800</v>
      </c>
      <c r="G22" s="157">
        <f t="shared" si="0"/>
        <v>0</v>
      </c>
    </row>
    <row r="23" spans="1:7" x14ac:dyDescent="0.25">
      <c r="A23" s="520">
        <v>11100002</v>
      </c>
      <c r="B23" s="520" t="s">
        <v>727</v>
      </c>
      <c r="C23" s="521">
        <f>VLOOKUP(A23,'[24]Sheet1 (2)'!$B$3:$G$151,6,0)</f>
        <v>-67726179.489999905</v>
      </c>
      <c r="F23" s="75">
        <v>-67726179.489999905</v>
      </c>
      <c r="G23" s="157">
        <f t="shared" si="0"/>
        <v>0</v>
      </c>
    </row>
    <row r="24" spans="1:7" x14ac:dyDescent="0.25">
      <c r="A24" s="522">
        <v>20000000</v>
      </c>
      <c r="B24" s="522" t="s">
        <v>498</v>
      </c>
      <c r="C24" s="521">
        <f>VLOOKUP(A24,'[24]Sheet1 (2)'!$B$3:$G$151,6,0)</f>
        <v>93599471</v>
      </c>
      <c r="D24" t="s">
        <v>794</v>
      </c>
      <c r="F24" s="75">
        <v>93599471</v>
      </c>
      <c r="G24" s="157">
        <f t="shared" si="0"/>
        <v>0</v>
      </c>
    </row>
    <row r="25" spans="1:7" x14ac:dyDescent="0.25">
      <c r="A25" s="522">
        <v>20000003</v>
      </c>
      <c r="B25" s="522" t="s">
        <v>728</v>
      </c>
      <c r="C25" s="521">
        <f>VLOOKUP(A25,'[24]Sheet1 (2)'!$B$3:$G$151,6,0)</f>
        <v>384413953.43000001</v>
      </c>
      <c r="D25" t="s">
        <v>794</v>
      </c>
      <c r="F25" s="75">
        <v>384413953.43000001</v>
      </c>
      <c r="G25" s="157">
        <f t="shared" si="0"/>
        <v>0</v>
      </c>
    </row>
    <row r="26" spans="1:7" x14ac:dyDescent="0.25">
      <c r="A26" s="522">
        <v>20000004</v>
      </c>
      <c r="B26" s="522" t="s">
        <v>892</v>
      </c>
      <c r="C26" s="521">
        <f>VLOOKUP(A26,'[24]Sheet1 (2)'!$B$3:$G$151,6,0)</f>
        <v>-2638679.6499999901</v>
      </c>
      <c r="F26" s="75">
        <v>-2638679.6499999901</v>
      </c>
      <c r="G26" s="157">
        <f t="shared" si="0"/>
        <v>0</v>
      </c>
    </row>
    <row r="27" spans="1:7" x14ac:dyDescent="0.25">
      <c r="A27" s="522">
        <v>20000007</v>
      </c>
      <c r="B27" s="522" t="s">
        <v>729</v>
      </c>
      <c r="C27" s="521">
        <f>VLOOKUP(A27,'[24]Sheet1 (2)'!$B$3:$G$151,6,0)</f>
        <v>196133.06</v>
      </c>
      <c r="D27" t="s">
        <v>794</v>
      </c>
      <c r="F27" s="75">
        <v>196133.06</v>
      </c>
      <c r="G27" s="157">
        <f t="shared" si="0"/>
        <v>0</v>
      </c>
    </row>
    <row r="28" spans="1:7" x14ac:dyDescent="0.25">
      <c r="A28" s="522">
        <v>20000008</v>
      </c>
      <c r="B28" s="522" t="s">
        <v>893</v>
      </c>
      <c r="C28" s="521">
        <f>VLOOKUP(A28,'[24]Sheet1 (2)'!$B$3:$G$151,6,0)</f>
        <v>-42189.57</v>
      </c>
      <c r="F28" s="75">
        <v>-42189.57</v>
      </c>
      <c r="G28" s="157">
        <f t="shared" si="0"/>
        <v>0</v>
      </c>
    </row>
    <row r="29" spans="1:7" x14ac:dyDescent="0.25">
      <c r="A29" s="522">
        <v>20000017</v>
      </c>
      <c r="B29" s="522" t="s">
        <v>500</v>
      </c>
      <c r="C29" s="521">
        <f>VLOOKUP(A29,'[24]Sheet1 (2)'!$B$3:$G$151,6,0)</f>
        <v>324389641</v>
      </c>
      <c r="F29" s="75">
        <v>324389641</v>
      </c>
      <c r="G29" s="157">
        <f t="shared" si="0"/>
        <v>0</v>
      </c>
    </row>
    <row r="30" spans="1:7" x14ac:dyDescent="0.25">
      <c r="A30" s="522">
        <v>20000018</v>
      </c>
      <c r="B30" s="522" t="s">
        <v>505</v>
      </c>
      <c r="C30" s="521">
        <f>VLOOKUP(A30,'[24]Sheet1 (2)'!$B$3:$G$151,6,0)</f>
        <v>-5829998.6799999904</v>
      </c>
      <c r="F30" s="75">
        <v>-5829998.6799999904</v>
      </c>
      <c r="G30" s="157">
        <f t="shared" si="0"/>
        <v>0</v>
      </c>
    </row>
    <row r="31" spans="1:7" x14ac:dyDescent="0.25">
      <c r="A31" s="522">
        <v>20100000</v>
      </c>
      <c r="B31" s="522" t="s">
        <v>856</v>
      </c>
      <c r="C31" s="521">
        <f>VLOOKUP(A31,'[24]Sheet1 (2)'!$B$3:$G$151,6,0)</f>
        <v>2486922598.2199898</v>
      </c>
      <c r="D31" t="s">
        <v>794</v>
      </c>
      <c r="F31" s="75">
        <v>2486922598.2199898</v>
      </c>
      <c r="G31" s="157">
        <f t="shared" si="0"/>
        <v>0</v>
      </c>
    </row>
    <row r="32" spans="1:7" x14ac:dyDescent="0.25">
      <c r="A32" s="520">
        <v>20100001</v>
      </c>
      <c r="B32" s="520" t="s">
        <v>730</v>
      </c>
      <c r="C32" s="521">
        <f>VLOOKUP(A32,'[24]Sheet1 (2)'!$B$3:$G$151,6,0)</f>
        <v>359072474.52999902</v>
      </c>
      <c r="F32" s="75">
        <v>359072474.52999902</v>
      </c>
      <c r="G32" s="157">
        <f t="shared" si="0"/>
        <v>0</v>
      </c>
    </row>
    <row r="33" spans="1:7" x14ac:dyDescent="0.25">
      <c r="A33" s="522">
        <v>20100002</v>
      </c>
      <c r="B33" s="522" t="s">
        <v>501</v>
      </c>
      <c r="C33" s="521">
        <f>VLOOKUP(A33,'[24]Sheet1 (2)'!$B$3:$G$151,6,0)</f>
        <v>30339920.109999899</v>
      </c>
      <c r="D33" t="s">
        <v>794</v>
      </c>
      <c r="F33" s="75">
        <v>30339920.109999899</v>
      </c>
      <c r="G33" s="157">
        <f t="shared" si="0"/>
        <v>0</v>
      </c>
    </row>
    <row r="34" spans="1:7" x14ac:dyDescent="0.25">
      <c r="A34" s="522">
        <v>20100004</v>
      </c>
      <c r="B34" s="522" t="s">
        <v>857</v>
      </c>
      <c r="C34" s="521">
        <f>VLOOKUP(A34,'[24]Sheet1 (2)'!$B$3:$G$151,6,0)</f>
        <v>41000</v>
      </c>
      <c r="D34" t="s">
        <v>794</v>
      </c>
      <c r="F34" s="75">
        <v>41000</v>
      </c>
      <c r="G34" s="157">
        <f t="shared" si="0"/>
        <v>0</v>
      </c>
    </row>
    <row r="35" spans="1:7" x14ac:dyDescent="0.25">
      <c r="A35" s="520">
        <v>20300000</v>
      </c>
      <c r="B35" s="520" t="s">
        <v>731</v>
      </c>
      <c r="C35" s="521">
        <f>VLOOKUP(A35,'[24]Sheet1 (2)'!$B$3:$G$151,6,0)</f>
        <v>29499385</v>
      </c>
      <c r="F35" s="75">
        <v>29499385</v>
      </c>
      <c r="G35" s="157">
        <f t="shared" si="0"/>
        <v>0</v>
      </c>
    </row>
    <row r="36" spans="1:7" x14ac:dyDescent="0.25">
      <c r="A36" s="520">
        <v>20400001</v>
      </c>
      <c r="B36" s="520" t="s">
        <v>706</v>
      </c>
      <c r="C36" s="521">
        <f>VLOOKUP(A36,'[24]Sheet1 (2)'!$B$3:$G$151,6,0)</f>
        <v>95917.279999999897</v>
      </c>
      <c r="F36" s="75">
        <v>95917.279999999897</v>
      </c>
      <c r="G36" s="157">
        <f t="shared" si="0"/>
        <v>0</v>
      </c>
    </row>
    <row r="37" spans="1:7" x14ac:dyDescent="0.25">
      <c r="A37" s="520">
        <v>20500000</v>
      </c>
      <c r="B37" s="520" t="s">
        <v>732</v>
      </c>
      <c r="C37" s="521">
        <f>VLOOKUP(A37,'[24]Sheet1 (2)'!$B$3:$G$151,6,0)</f>
        <v>76440</v>
      </c>
      <c r="F37" s="75">
        <v>76440</v>
      </c>
      <c r="G37" s="157">
        <f t="shared" si="0"/>
        <v>0</v>
      </c>
    </row>
    <row r="38" spans="1:7" x14ac:dyDescent="0.25">
      <c r="A38" s="520">
        <v>20500003</v>
      </c>
      <c r="B38" s="520" t="s">
        <v>734</v>
      </c>
      <c r="C38" s="521">
        <f>VLOOKUP(A38,'[24]Sheet1 (2)'!$B$3:$G$151,6,0)</f>
        <v>52207</v>
      </c>
      <c r="F38" s="75">
        <v>52207</v>
      </c>
      <c r="G38" s="157">
        <f t="shared" si="0"/>
        <v>0</v>
      </c>
    </row>
    <row r="39" spans="1:7" x14ac:dyDescent="0.25">
      <c r="A39" s="520">
        <v>20500005</v>
      </c>
      <c r="B39" s="520" t="s">
        <v>736</v>
      </c>
      <c r="C39" s="521">
        <f>VLOOKUP(A39,'[24]Sheet1 (2)'!$B$3:$G$151,6,0)</f>
        <v>104000</v>
      </c>
      <c r="F39" s="75">
        <v>104000</v>
      </c>
      <c r="G39" s="157">
        <f t="shared" si="0"/>
        <v>0</v>
      </c>
    </row>
    <row r="40" spans="1:7" x14ac:dyDescent="0.25">
      <c r="A40" s="520">
        <v>20600001</v>
      </c>
      <c r="B40" s="520" t="s">
        <v>739</v>
      </c>
      <c r="C40" s="521">
        <f>VLOOKUP(A40,'[24]Sheet1 (2)'!$B$3:$G$151,6,0)</f>
        <v>6988969.6799999904</v>
      </c>
      <c r="F40" s="75">
        <v>6988969.6799999904</v>
      </c>
      <c r="G40" s="157">
        <f t="shared" si="0"/>
        <v>0</v>
      </c>
    </row>
    <row r="41" spans="1:7" x14ac:dyDescent="0.25">
      <c r="A41" s="520">
        <v>20600004</v>
      </c>
      <c r="B41" s="520" t="s">
        <v>740</v>
      </c>
      <c r="C41" s="521">
        <f>VLOOKUP(A41,'[24]Sheet1 (2)'!$B$3:$G$151,6,0)</f>
        <v>0</v>
      </c>
      <c r="F41" s="75">
        <v>0</v>
      </c>
      <c r="G41" s="157">
        <f t="shared" si="0"/>
        <v>0</v>
      </c>
    </row>
    <row r="42" spans="1:7" x14ac:dyDescent="0.25">
      <c r="A42" s="520">
        <v>20600009</v>
      </c>
      <c r="B42" s="520" t="s">
        <v>741</v>
      </c>
      <c r="C42" s="521">
        <f>VLOOKUP(A42,'[24]Sheet1 (2)'!$B$3:$G$151,6,0)</f>
        <v>-3368</v>
      </c>
      <c r="F42" s="75">
        <v>-3368</v>
      </c>
      <c r="G42" s="157">
        <f t="shared" si="0"/>
        <v>0</v>
      </c>
    </row>
    <row r="43" spans="1:7" x14ac:dyDescent="0.25">
      <c r="A43" s="520">
        <v>20800110</v>
      </c>
      <c r="B43" s="520" t="s">
        <v>502</v>
      </c>
      <c r="C43" s="521">
        <f>VLOOKUP(A43,'[24]Sheet1 (2)'!$B$3:$G$151,6,0)</f>
        <v>475424.47999999899</v>
      </c>
      <c r="F43" s="75">
        <v>475424.47999999899</v>
      </c>
      <c r="G43" s="157">
        <f t="shared" si="0"/>
        <v>0</v>
      </c>
    </row>
    <row r="44" spans="1:7" x14ac:dyDescent="0.25">
      <c r="A44" s="520">
        <v>20800111</v>
      </c>
      <c r="B44" s="520" t="s">
        <v>502</v>
      </c>
      <c r="C44" s="521">
        <f>VLOOKUP(A44,'[24]Sheet1 (2)'!$B$3:$G$151,6,0)</f>
        <v>1079358925.8699901</v>
      </c>
      <c r="F44" s="75">
        <v>1079358925.8699901</v>
      </c>
      <c r="G44" s="157">
        <f t="shared" si="0"/>
        <v>0</v>
      </c>
    </row>
    <row r="45" spans="1:7" x14ac:dyDescent="0.25">
      <c r="A45" s="520">
        <v>20800112</v>
      </c>
      <c r="B45" s="520" t="s">
        <v>502</v>
      </c>
      <c r="C45" s="521">
        <f>VLOOKUP(A45,'[24]Sheet1 (2)'!$B$3:$G$151,6,0)</f>
        <v>-1079068821.48</v>
      </c>
      <c r="F45" s="75">
        <v>-1079068821.48</v>
      </c>
      <c r="G45" s="157">
        <f t="shared" si="0"/>
        <v>0</v>
      </c>
    </row>
    <row r="46" spans="1:7" x14ac:dyDescent="0.25">
      <c r="A46" s="520">
        <v>20800121</v>
      </c>
      <c r="B46" s="520" t="s">
        <v>778</v>
      </c>
      <c r="C46" s="521">
        <f>VLOOKUP(A46,'[24]Sheet1 (2)'!$B$3:$G$151,6,0)</f>
        <v>2570648582.2800002</v>
      </c>
      <c r="F46" s="75">
        <v>2570648582.2800002</v>
      </c>
      <c r="G46" s="157">
        <f t="shared" si="0"/>
        <v>0</v>
      </c>
    </row>
    <row r="47" spans="1:7" x14ac:dyDescent="0.25">
      <c r="A47" s="520">
        <v>20800122</v>
      </c>
      <c r="B47" s="520" t="s">
        <v>778</v>
      </c>
      <c r="C47" s="521">
        <f>VLOOKUP(A47,'[24]Sheet1 (2)'!$B$3:$G$151,6,0)</f>
        <v>-2553870918.9899902</v>
      </c>
      <c r="F47" s="75">
        <v>-2553870918.9899902</v>
      </c>
      <c r="G47" s="157">
        <f t="shared" si="0"/>
        <v>0</v>
      </c>
    </row>
    <row r="48" spans="1:7" x14ac:dyDescent="0.25">
      <c r="A48" s="520">
        <v>20900003</v>
      </c>
      <c r="B48" s="520" t="s">
        <v>743</v>
      </c>
      <c r="C48" s="521">
        <f>VLOOKUP(A48,'[24]Sheet1 (2)'!$B$3:$G$151,6,0)</f>
        <v>4585782</v>
      </c>
      <c r="F48" s="75">
        <v>4585782</v>
      </c>
      <c r="G48" s="157">
        <f t="shared" si="0"/>
        <v>0</v>
      </c>
    </row>
    <row r="49" spans="1:7" x14ac:dyDescent="0.25">
      <c r="A49" s="520">
        <v>21000003</v>
      </c>
      <c r="B49" s="520" t="s">
        <v>744</v>
      </c>
      <c r="C49" s="521">
        <f>VLOOKUP(A49,'[24]Sheet1 (2)'!$B$3:$G$151,6,0)</f>
        <v>517</v>
      </c>
      <c r="F49" s="75">
        <v>517</v>
      </c>
      <c r="G49" s="157">
        <f t="shared" si="0"/>
        <v>0</v>
      </c>
    </row>
    <row r="50" spans="1:7" x14ac:dyDescent="0.25">
      <c r="A50" s="520">
        <v>21000004</v>
      </c>
      <c r="B50" s="520" t="s">
        <v>745</v>
      </c>
      <c r="C50" s="521">
        <f>VLOOKUP(A50,'[24]Sheet1 (2)'!$B$3:$G$151,6,0)</f>
        <v>1428102.08</v>
      </c>
      <c r="F50" s="75">
        <v>1428102.08</v>
      </c>
      <c r="G50" s="157">
        <f t="shared" si="0"/>
        <v>0</v>
      </c>
    </row>
    <row r="51" spans="1:7" x14ac:dyDescent="0.25">
      <c r="A51" s="520">
        <v>21000008</v>
      </c>
      <c r="B51" s="520" t="s">
        <v>746</v>
      </c>
      <c r="C51" s="521">
        <f>VLOOKUP(A51,'[24]Sheet1 (2)'!$B$3:$G$151,6,0)</f>
        <v>-21525.200000000001</v>
      </c>
      <c r="F51" s="75">
        <v>-21525.200000000001</v>
      </c>
      <c r="G51" s="157">
        <f t="shared" si="0"/>
        <v>0</v>
      </c>
    </row>
    <row r="52" spans="1:7" x14ac:dyDescent="0.25">
      <c r="A52" s="520">
        <v>21000009</v>
      </c>
      <c r="B52" s="520" t="s">
        <v>747</v>
      </c>
      <c r="C52" s="521">
        <f>VLOOKUP(A52,'[24]Sheet1 (2)'!$B$3:$G$151,6,0)</f>
        <v>-21525.200000000001</v>
      </c>
      <c r="F52" s="75">
        <v>-21525.200000000001</v>
      </c>
      <c r="G52" s="157">
        <f t="shared" si="0"/>
        <v>0</v>
      </c>
    </row>
    <row r="53" spans="1:7" x14ac:dyDescent="0.25">
      <c r="A53" s="520">
        <v>21000010</v>
      </c>
      <c r="B53" s="520" t="s">
        <v>748</v>
      </c>
      <c r="C53" s="521">
        <f>VLOOKUP(A53,'[24]Sheet1 (2)'!$B$3:$G$151,6,0)</f>
        <v>0</v>
      </c>
      <c r="F53" s="75">
        <v>0</v>
      </c>
      <c r="G53" s="157">
        <f t="shared" si="0"/>
        <v>0</v>
      </c>
    </row>
    <row r="54" spans="1:7" x14ac:dyDescent="0.25">
      <c r="A54" s="520">
        <v>21000011</v>
      </c>
      <c r="B54" s="520" t="s">
        <v>191</v>
      </c>
      <c r="C54" s="521">
        <f>VLOOKUP(A54,'[24]Sheet1 (2)'!$B$3:$G$151,6,0)</f>
        <v>146005073.83000001</v>
      </c>
      <c r="F54" s="75">
        <v>146005073.83000001</v>
      </c>
      <c r="G54" s="157">
        <f t="shared" si="0"/>
        <v>0</v>
      </c>
    </row>
    <row r="55" spans="1:7" x14ac:dyDescent="0.25">
      <c r="A55" s="520">
        <v>21000012</v>
      </c>
      <c r="B55" s="520" t="s">
        <v>192</v>
      </c>
      <c r="C55" s="521">
        <f>VLOOKUP(A55,'[24]Sheet1 (2)'!$B$3:$G$151,6,0)</f>
        <v>76641967.519999906</v>
      </c>
      <c r="F55" s="75">
        <v>76641967.519999906</v>
      </c>
      <c r="G55" s="157">
        <f t="shared" si="0"/>
        <v>0</v>
      </c>
    </row>
    <row r="56" spans="1:7" x14ac:dyDescent="0.25">
      <c r="A56" s="520">
        <v>21000013</v>
      </c>
      <c r="B56" s="520" t="s">
        <v>193</v>
      </c>
      <c r="C56" s="521">
        <f>VLOOKUP(A56,'[24]Sheet1 (2)'!$B$3:$G$151,6,0)</f>
        <v>146005073.83000001</v>
      </c>
      <c r="F56" s="75">
        <v>146005073.83000001</v>
      </c>
      <c r="G56" s="157">
        <f t="shared" si="0"/>
        <v>0</v>
      </c>
    </row>
    <row r="57" spans="1:7" x14ac:dyDescent="0.25">
      <c r="A57" s="520">
        <v>21000014</v>
      </c>
      <c r="B57" s="520" t="s">
        <v>858</v>
      </c>
      <c r="C57" s="521">
        <f>VLOOKUP(A57,'[24]Sheet1 (2)'!$B$3:$G$151,6,0)</f>
        <v>17910754</v>
      </c>
      <c r="F57" s="75">
        <v>17910754</v>
      </c>
      <c r="G57" s="157">
        <f t="shared" si="0"/>
        <v>0</v>
      </c>
    </row>
    <row r="58" spans="1:7" x14ac:dyDescent="0.25">
      <c r="A58" s="520">
        <v>21000016</v>
      </c>
      <c r="B58" s="520" t="s">
        <v>749</v>
      </c>
      <c r="C58" s="521">
        <f>VLOOKUP(A58,'[24]Sheet1 (2)'!$B$3:$G$151,6,0)</f>
        <v>45190.05</v>
      </c>
      <c r="F58" s="75">
        <v>45190.05</v>
      </c>
      <c r="G58" s="157">
        <f t="shared" si="0"/>
        <v>0</v>
      </c>
    </row>
    <row r="59" spans="1:7" x14ac:dyDescent="0.25">
      <c r="A59" s="520">
        <v>21000018</v>
      </c>
      <c r="B59" s="520" t="s">
        <v>750</v>
      </c>
      <c r="C59" s="521">
        <f>VLOOKUP(A59,'[24]Sheet1 (2)'!$B$3:$G$151,6,0)</f>
        <v>2561626</v>
      </c>
      <c r="F59" s="75">
        <v>2561626</v>
      </c>
      <c r="G59" s="157">
        <f t="shared" si="0"/>
        <v>0</v>
      </c>
    </row>
    <row r="60" spans="1:7" x14ac:dyDescent="0.25">
      <c r="A60" s="520">
        <v>21100004</v>
      </c>
      <c r="B60" s="520" t="s">
        <v>859</v>
      </c>
      <c r="C60" s="521">
        <f>VLOOKUP(A60,'[24]Sheet1 (2)'!$B$3:$G$151,6,0)</f>
        <v>80758</v>
      </c>
      <c r="F60" s="75">
        <v>80758</v>
      </c>
      <c r="G60" s="157">
        <f t="shared" si="0"/>
        <v>0</v>
      </c>
    </row>
    <row r="61" spans="1:7" x14ac:dyDescent="0.25">
      <c r="A61" s="520">
        <v>21100011</v>
      </c>
      <c r="B61" s="520" t="s">
        <v>752</v>
      </c>
      <c r="C61" s="521">
        <f>VLOOKUP(A61,'[24]Sheet1 (2)'!$B$3:$G$151,6,0)</f>
        <v>942682</v>
      </c>
      <c r="F61" s="75">
        <v>942682</v>
      </c>
      <c r="G61" s="157">
        <f t="shared" si="0"/>
        <v>0</v>
      </c>
    </row>
    <row r="62" spans="1:7" x14ac:dyDescent="0.25">
      <c r="A62" s="520">
        <v>21100012</v>
      </c>
      <c r="B62" s="520" t="s">
        <v>779</v>
      </c>
      <c r="C62" s="521">
        <f>VLOOKUP(A62,'[24]Sheet1 (2)'!$B$3:$G$151,6,0)</f>
        <v>292929077.89999902</v>
      </c>
      <c r="F62" s="75">
        <v>292929077.89999902</v>
      </c>
      <c r="G62" s="157">
        <f t="shared" si="0"/>
        <v>0</v>
      </c>
    </row>
    <row r="63" spans="1:7" x14ac:dyDescent="0.25">
      <c r="A63" s="520">
        <v>21100014</v>
      </c>
      <c r="B63" s="520" t="s">
        <v>860</v>
      </c>
      <c r="C63" s="521">
        <f>VLOOKUP(A63,'[24]Sheet1 (2)'!$B$3:$G$151,6,0)</f>
        <v>1564752.12</v>
      </c>
      <c r="F63" s="75">
        <v>1564752.12</v>
      </c>
      <c r="G63" s="157">
        <f t="shared" si="0"/>
        <v>0</v>
      </c>
    </row>
    <row r="64" spans="1:7" x14ac:dyDescent="0.25">
      <c r="A64" s="520">
        <v>30000000</v>
      </c>
      <c r="B64" s="520" t="s">
        <v>756</v>
      </c>
      <c r="C64" s="521">
        <f>VLOOKUP(A64,'[24]Sheet1 (2)'!$B$3:$G$151,6,0)</f>
        <v>-1989680</v>
      </c>
      <c r="F64" s="75">
        <v>-1989680</v>
      </c>
      <c r="G64" s="157">
        <f t="shared" si="0"/>
        <v>0</v>
      </c>
    </row>
    <row r="65" spans="1:7" x14ac:dyDescent="0.25">
      <c r="A65" s="520">
        <v>30000001</v>
      </c>
      <c r="B65" s="520" t="s">
        <v>757</v>
      </c>
      <c r="C65" s="521">
        <f>VLOOKUP(A65,'[24]Sheet1 (2)'!$B$3:$G$151,6,0)</f>
        <v>-4752000</v>
      </c>
      <c r="F65" s="75">
        <v>-4752000</v>
      </c>
      <c r="G65" s="157">
        <f t="shared" si="0"/>
        <v>0</v>
      </c>
    </row>
    <row r="66" spans="1:7" x14ac:dyDescent="0.25">
      <c r="A66" s="520">
        <v>30100001</v>
      </c>
      <c r="B66" s="520" t="s">
        <v>861</v>
      </c>
      <c r="C66" s="521">
        <f>VLOOKUP(A66,'[24]Sheet1 (2)'!$B$3:$G$151,6,0)</f>
        <v>-124280.649999999</v>
      </c>
      <c r="F66" s="75">
        <v>-124280.649999999</v>
      </c>
      <c r="G66" s="157">
        <f t="shared" si="0"/>
        <v>0</v>
      </c>
    </row>
    <row r="67" spans="1:7" x14ac:dyDescent="0.25">
      <c r="A67" s="520">
        <v>30100004</v>
      </c>
      <c r="B67" s="520" t="s">
        <v>862</v>
      </c>
      <c r="C67" s="521">
        <f>VLOOKUP(A67,'[24]Sheet1 (2)'!$B$3:$G$151,6,0)</f>
        <v>-1688592.3999999899</v>
      </c>
      <c r="F67" s="75">
        <v>-1688592.3999999899</v>
      </c>
      <c r="G67" s="157">
        <f t="shared" ref="G67:G116" si="1">C67-F67</f>
        <v>0</v>
      </c>
    </row>
    <row r="68" spans="1:7" x14ac:dyDescent="0.25">
      <c r="A68" s="520">
        <v>30100005</v>
      </c>
      <c r="B68" s="520" t="s">
        <v>45</v>
      </c>
      <c r="C68" s="521">
        <f>VLOOKUP(A68,'[24]Sheet1 (2)'!$B$3:$G$151,6,0)</f>
        <v>-45880</v>
      </c>
      <c r="F68" s="75">
        <v>-45880</v>
      </c>
      <c r="G68" s="157">
        <f t="shared" si="1"/>
        <v>0</v>
      </c>
    </row>
    <row r="69" spans="1:7" x14ac:dyDescent="0.25">
      <c r="A69" s="520">
        <v>30100013</v>
      </c>
      <c r="B69" s="520" t="s">
        <v>782</v>
      </c>
      <c r="C69" s="521">
        <f>VLOOKUP(A69,'[24]Sheet1 (2)'!$B$3:$G$151,6,0)</f>
        <v>-17331137.02</v>
      </c>
      <c r="F69" s="75">
        <v>-17331137.02</v>
      </c>
      <c r="G69" s="157">
        <f t="shared" si="1"/>
        <v>0</v>
      </c>
    </row>
    <row r="70" spans="1:7" x14ac:dyDescent="0.25">
      <c r="A70" s="520">
        <v>30100015</v>
      </c>
      <c r="B70" s="520" t="s">
        <v>863</v>
      </c>
      <c r="C70" s="521">
        <f>VLOOKUP(A70,'[24]Sheet1 (2)'!$B$3:$G$151,6,0)</f>
        <v>-67838.91</v>
      </c>
      <c r="F70" s="75">
        <v>-67838.91</v>
      </c>
      <c r="G70" s="157">
        <f t="shared" si="1"/>
        <v>0</v>
      </c>
    </row>
    <row r="71" spans="1:7" x14ac:dyDescent="0.25">
      <c r="A71" s="520">
        <v>40100002</v>
      </c>
      <c r="B71" s="520" t="s">
        <v>762</v>
      </c>
      <c r="C71" s="521">
        <f>VLOOKUP(A71,'[24]Sheet1 (2)'!$B$3:$G$151,6,0)</f>
        <v>11850</v>
      </c>
      <c r="F71" s="75">
        <v>11850</v>
      </c>
      <c r="G71" s="157">
        <f t="shared" si="1"/>
        <v>0</v>
      </c>
    </row>
    <row r="72" spans="1:7" x14ac:dyDescent="0.25">
      <c r="A72" s="520">
        <v>40100007</v>
      </c>
      <c r="B72" s="520" t="s">
        <v>764</v>
      </c>
      <c r="C72" s="521">
        <f>VLOOKUP(A72,'[24]Sheet1 (2)'!$B$3:$G$151,6,0)</f>
        <v>5504576</v>
      </c>
      <c r="F72" s="75">
        <v>5504576</v>
      </c>
      <c r="G72" s="157">
        <f t="shared" si="1"/>
        <v>0</v>
      </c>
    </row>
    <row r="73" spans="1:7" x14ac:dyDescent="0.25">
      <c r="A73" s="520">
        <v>40100008</v>
      </c>
      <c r="B73" s="520" t="s">
        <v>864</v>
      </c>
      <c r="C73" s="521">
        <f>VLOOKUP(A73,'[24]Sheet1 (2)'!$B$3:$G$151,6,0)</f>
        <v>5411722</v>
      </c>
      <c r="F73" s="75">
        <v>5411722</v>
      </c>
      <c r="G73" s="157">
        <f t="shared" si="1"/>
        <v>0</v>
      </c>
    </row>
    <row r="74" spans="1:7" x14ac:dyDescent="0.25">
      <c r="A74" s="520">
        <v>40100009</v>
      </c>
      <c r="B74" s="520" t="s">
        <v>865</v>
      </c>
      <c r="C74" s="521">
        <f>VLOOKUP(A74,'[24]Sheet1 (2)'!$B$3:$G$151,6,0)</f>
        <v>11123203.42</v>
      </c>
      <c r="F74" s="75">
        <v>11123203.42</v>
      </c>
      <c r="G74" s="157">
        <f t="shared" si="1"/>
        <v>0</v>
      </c>
    </row>
    <row r="75" spans="1:7" x14ac:dyDescent="0.25">
      <c r="A75" s="520">
        <v>40200000</v>
      </c>
      <c r="B75" s="520" t="s">
        <v>765</v>
      </c>
      <c r="C75" s="521">
        <f>VLOOKUP(A75,'[24]Sheet1 (2)'!$B$3:$G$151,6,0)</f>
        <v>-16656866.42</v>
      </c>
      <c r="F75" s="75">
        <v>-16656866.42</v>
      </c>
      <c r="G75" s="157">
        <f t="shared" si="1"/>
        <v>0</v>
      </c>
    </row>
    <row r="76" spans="1:7" x14ac:dyDescent="0.25">
      <c r="A76" s="520">
        <v>40200001</v>
      </c>
      <c r="B76" s="520" t="s">
        <v>766</v>
      </c>
      <c r="C76" s="521">
        <f>VLOOKUP(A76,'[24]Sheet1 (2)'!$B$3:$G$151,6,0)</f>
        <v>-23120</v>
      </c>
      <c r="F76" s="75">
        <v>-23120</v>
      </c>
      <c r="G76" s="157">
        <f t="shared" si="1"/>
        <v>0</v>
      </c>
    </row>
    <row r="77" spans="1:7" x14ac:dyDescent="0.25">
      <c r="A77" s="520">
        <v>40300004</v>
      </c>
      <c r="B77" s="520" t="s">
        <v>768</v>
      </c>
      <c r="C77" s="521">
        <f>VLOOKUP(A77,'[24]Sheet1 (2)'!$B$3:$G$151,6,0)</f>
        <v>348050</v>
      </c>
      <c r="F77" s="75">
        <v>348050</v>
      </c>
      <c r="G77" s="157">
        <f t="shared" si="1"/>
        <v>0</v>
      </c>
    </row>
    <row r="78" spans="1:7" x14ac:dyDescent="0.25">
      <c r="A78" s="520">
        <v>40400009</v>
      </c>
      <c r="B78" s="520" t="s">
        <v>866</v>
      </c>
      <c r="C78" s="521">
        <f>VLOOKUP(A78,'[24]Sheet1 (2)'!$B$3:$G$151,6,0)</f>
        <v>0</v>
      </c>
      <c r="F78" s="75">
        <v>0</v>
      </c>
      <c r="G78" s="157">
        <f t="shared" si="1"/>
        <v>0</v>
      </c>
    </row>
    <row r="79" spans="1:7" x14ac:dyDescent="0.25">
      <c r="A79" s="520">
        <v>40400014</v>
      </c>
      <c r="B79" s="520" t="s">
        <v>867</v>
      </c>
      <c r="C79" s="521">
        <f>VLOOKUP(A79,'[24]Sheet1 (2)'!$B$3:$G$151,6,0)</f>
        <v>62496.889999999898</v>
      </c>
      <c r="F79" s="75">
        <v>62496.889999999898</v>
      </c>
      <c r="G79" s="157">
        <f t="shared" si="1"/>
        <v>0</v>
      </c>
    </row>
    <row r="80" spans="1:7" x14ac:dyDescent="0.25">
      <c r="A80" s="520">
        <v>40400016</v>
      </c>
      <c r="B80" s="520" t="s">
        <v>707</v>
      </c>
      <c r="C80" s="521">
        <f>VLOOKUP(A80,'[24]Sheet1 (2)'!$B$3:$G$151,6,0)</f>
        <v>2253001.29</v>
      </c>
      <c r="F80" s="75">
        <v>2253001.29</v>
      </c>
      <c r="G80" s="157">
        <f t="shared" si="1"/>
        <v>0</v>
      </c>
    </row>
    <row r="81" spans="1:7" x14ac:dyDescent="0.25">
      <c r="A81" s="520">
        <v>40400019</v>
      </c>
      <c r="B81" s="520" t="s">
        <v>868</v>
      </c>
      <c r="C81" s="521">
        <f>VLOOKUP(A81,'[24]Sheet1 (2)'!$B$3:$G$151,6,0)</f>
        <v>71428.570000000007</v>
      </c>
      <c r="F81" s="75">
        <v>71428.570000000007</v>
      </c>
      <c r="G81" s="157">
        <f t="shared" si="1"/>
        <v>0</v>
      </c>
    </row>
    <row r="82" spans="1:7" x14ac:dyDescent="0.25">
      <c r="A82" s="520">
        <v>40500001</v>
      </c>
      <c r="B82" s="520" t="s">
        <v>892</v>
      </c>
      <c r="C82" s="521">
        <f>VLOOKUP(A82,'[24]Sheet1 (2)'!$B$3:$G$151,6,0)</f>
        <v>2638679.6499999901</v>
      </c>
      <c r="F82" s="75">
        <v>2638679.6499999901</v>
      </c>
      <c r="G82" s="157">
        <f t="shared" si="1"/>
        <v>0</v>
      </c>
    </row>
    <row r="83" spans="1:7" x14ac:dyDescent="0.25">
      <c r="A83" s="520">
        <v>40500003</v>
      </c>
      <c r="B83" s="520" t="s">
        <v>893</v>
      </c>
      <c r="C83" s="521">
        <f>VLOOKUP(A83,'[24]Sheet1 (2)'!$B$3:$G$151,6,0)</f>
        <v>42189.57</v>
      </c>
      <c r="F83" s="75">
        <v>42189.57</v>
      </c>
      <c r="G83" s="157">
        <f t="shared" si="1"/>
        <v>0</v>
      </c>
    </row>
    <row r="84" spans="1:7" x14ac:dyDescent="0.25">
      <c r="A84" s="520">
        <v>40500008</v>
      </c>
      <c r="B84" s="520" t="s">
        <v>505</v>
      </c>
      <c r="C84" s="521">
        <f>VLOOKUP(A84,'[24]Sheet1 (2)'!$B$3:$G$151,6,0)</f>
        <v>3467334.25</v>
      </c>
      <c r="F84" s="75">
        <v>3467334.25</v>
      </c>
      <c r="G84" s="157">
        <f t="shared" si="1"/>
        <v>0</v>
      </c>
    </row>
    <row r="85" spans="1:7" x14ac:dyDescent="0.25">
      <c r="A85" s="520">
        <v>40600002</v>
      </c>
      <c r="B85" s="520" t="s">
        <v>869</v>
      </c>
      <c r="C85" s="521">
        <f>VLOOKUP(A85,'[24]Sheet1 (2)'!$B$3:$G$151,6,0)</f>
        <v>7580</v>
      </c>
      <c r="F85" s="75">
        <v>7580</v>
      </c>
      <c r="G85" s="157">
        <f t="shared" si="1"/>
        <v>0</v>
      </c>
    </row>
    <row r="86" spans="1:7" x14ac:dyDescent="0.25">
      <c r="A86" s="520">
        <v>40600003</v>
      </c>
      <c r="B86" s="520" t="s">
        <v>870</v>
      </c>
      <c r="C86" s="521">
        <f>VLOOKUP(A86,'[24]Sheet1 (2)'!$B$3:$G$151,6,0)</f>
        <v>-7580</v>
      </c>
      <c r="F86" s="75">
        <v>-7580</v>
      </c>
      <c r="G86" s="157">
        <f t="shared" si="1"/>
        <v>0</v>
      </c>
    </row>
    <row r="87" spans="1:7" x14ac:dyDescent="0.25">
      <c r="A87" s="520">
        <v>40600004</v>
      </c>
      <c r="B87" s="520" t="s">
        <v>871</v>
      </c>
      <c r="C87" s="521">
        <f>VLOOKUP(A87,'[24]Sheet1 (2)'!$B$3:$G$151,6,0)</f>
        <v>9999.69</v>
      </c>
      <c r="F87" s="75">
        <v>9999.69</v>
      </c>
      <c r="G87" s="157">
        <f t="shared" si="1"/>
        <v>0</v>
      </c>
    </row>
    <row r="88" spans="1:7" x14ac:dyDescent="0.25">
      <c r="A88" s="520">
        <v>40700007</v>
      </c>
      <c r="B88" s="520" t="s">
        <v>510</v>
      </c>
      <c r="C88" s="521">
        <f>VLOOKUP(A88,'[24]Sheet1 (2)'!$B$3:$G$151,6,0)</f>
        <v>600000</v>
      </c>
      <c r="F88" s="75">
        <v>600000</v>
      </c>
      <c r="G88" s="157">
        <f t="shared" si="1"/>
        <v>0</v>
      </c>
    </row>
    <row r="89" spans="1:7" x14ac:dyDescent="0.25">
      <c r="A89" s="520">
        <v>40700008</v>
      </c>
      <c r="B89" s="520" t="s">
        <v>511</v>
      </c>
      <c r="C89" s="521">
        <f>VLOOKUP(A89,'[24]Sheet1 (2)'!$B$3:$G$151,6,0)</f>
        <v>420541</v>
      </c>
      <c r="F89" s="75">
        <v>420541</v>
      </c>
      <c r="G89" s="157">
        <f t="shared" si="1"/>
        <v>0</v>
      </c>
    </row>
    <row r="90" spans="1:7" x14ac:dyDescent="0.25">
      <c r="A90" s="520">
        <v>40700014</v>
      </c>
      <c r="B90" s="520" t="s">
        <v>772</v>
      </c>
      <c r="C90" s="521">
        <f>VLOOKUP(A90,'[24]Sheet1 (2)'!$B$3:$G$151,6,0)</f>
        <v>37382.919999999896</v>
      </c>
      <c r="F90" s="75">
        <v>37382.919999999896</v>
      </c>
      <c r="G90" s="157">
        <f t="shared" si="1"/>
        <v>0</v>
      </c>
    </row>
    <row r="91" spans="1:7" x14ac:dyDescent="0.25">
      <c r="A91" s="520">
        <v>40700015</v>
      </c>
      <c r="B91" s="520" t="s">
        <v>700</v>
      </c>
      <c r="C91" s="521">
        <f>VLOOKUP(A91,'[24]Sheet1 (2)'!$B$3:$G$151,6,0)</f>
        <v>-72.180000000000007</v>
      </c>
      <c r="F91" s="75">
        <v>-72.180000000000007</v>
      </c>
      <c r="G91" s="157">
        <f t="shared" si="1"/>
        <v>0</v>
      </c>
    </row>
    <row r="92" spans="1:7" x14ac:dyDescent="0.25">
      <c r="A92" s="520">
        <v>40700022</v>
      </c>
      <c r="B92" s="520" t="s">
        <v>773</v>
      </c>
      <c r="C92" s="521">
        <f>VLOOKUP(A92,'[24]Sheet1 (2)'!$B$3:$G$151,6,0)</f>
        <v>96300</v>
      </c>
      <c r="F92" s="75">
        <v>96300</v>
      </c>
      <c r="G92" s="157">
        <f t="shared" si="1"/>
        <v>0</v>
      </c>
    </row>
    <row r="93" spans="1:7" x14ac:dyDescent="0.25">
      <c r="A93" s="520">
        <v>40700025</v>
      </c>
      <c r="B93" s="520" t="s">
        <v>774</v>
      </c>
      <c r="C93" s="521">
        <f>VLOOKUP(A93,'[24]Sheet1 (2)'!$B$3:$G$151,6,0)</f>
        <v>617200</v>
      </c>
      <c r="F93" s="75">
        <v>617200</v>
      </c>
      <c r="G93" s="157">
        <f t="shared" si="1"/>
        <v>0</v>
      </c>
    </row>
    <row r="94" spans="1:7" x14ac:dyDescent="0.25">
      <c r="A94" s="520">
        <v>40700034</v>
      </c>
      <c r="B94" s="520" t="s">
        <v>517</v>
      </c>
      <c r="C94" s="521">
        <f>VLOOKUP(A94,'[24]Sheet1 (2)'!$B$3:$G$151,6,0)</f>
        <v>3189260.1299999901</v>
      </c>
      <c r="F94" s="75">
        <v>3189260.1299999901</v>
      </c>
      <c r="G94" s="157">
        <f t="shared" si="1"/>
        <v>0</v>
      </c>
    </row>
    <row r="95" spans="1:7" x14ac:dyDescent="0.25">
      <c r="A95" s="520">
        <v>40700040</v>
      </c>
      <c r="B95" s="520" t="s">
        <v>708</v>
      </c>
      <c r="C95" s="521">
        <f>VLOOKUP(A95,'[24]Sheet1 (2)'!$B$3:$G$151,6,0)</f>
        <v>5088763.58</v>
      </c>
      <c r="F95" s="75">
        <v>120820</v>
      </c>
      <c r="G95" s="157">
        <f t="shared" si="1"/>
        <v>4967943.58</v>
      </c>
    </row>
    <row r="96" spans="1:7" x14ac:dyDescent="0.25">
      <c r="A96" s="520">
        <v>80000002</v>
      </c>
      <c r="B96" s="520" t="s">
        <v>775</v>
      </c>
      <c r="C96" s="521">
        <f>VLOOKUP(A96,'[24]Sheet1 (2)'!$B$3:$G$151,6,0)</f>
        <v>-4533846.6900000004</v>
      </c>
      <c r="F96" s="75">
        <v>-4533846.6900000004</v>
      </c>
      <c r="G96" s="157">
        <f t="shared" si="1"/>
        <v>0</v>
      </c>
    </row>
    <row r="97" spans="1:7" x14ac:dyDescent="0.25">
      <c r="A97" s="520">
        <v>80000003</v>
      </c>
      <c r="B97" s="520" t="s">
        <v>780</v>
      </c>
      <c r="C97" s="521">
        <f>VLOOKUP(A97,'[24]Sheet1 (2)'!$B$3:$G$151,6,0)</f>
        <v>-10000</v>
      </c>
      <c r="F97" s="75">
        <v>-10000</v>
      </c>
      <c r="G97" s="157">
        <f t="shared" si="1"/>
        <v>0</v>
      </c>
    </row>
    <row r="98" spans="1:7" x14ac:dyDescent="0.25">
      <c r="A98" s="520">
        <v>80000008</v>
      </c>
      <c r="B98" s="520" t="s">
        <v>776</v>
      </c>
      <c r="C98" s="521">
        <f>VLOOKUP(A98,'[24]Sheet1 (2)'!$B$3:$G$151,6,0)</f>
        <v>-25038131.710000001</v>
      </c>
      <c r="F98" s="75">
        <v>-25038131.710000001</v>
      </c>
      <c r="G98" s="157">
        <f t="shared" si="1"/>
        <v>0</v>
      </c>
    </row>
    <row r="99" spans="1:7" x14ac:dyDescent="0.25">
      <c r="A99" s="520">
        <v>10800007</v>
      </c>
      <c r="B99" s="520" t="s">
        <v>896</v>
      </c>
      <c r="C99" s="521">
        <f>VLOOKUP(A99,'[24]Sheet1 (2)'!$B$3:$G$151,6,0)</f>
        <v>61081</v>
      </c>
      <c r="F99" s="75">
        <v>61081</v>
      </c>
      <c r="G99" s="157">
        <f t="shared" si="1"/>
        <v>0</v>
      </c>
    </row>
    <row r="100" spans="1:7" x14ac:dyDescent="0.25">
      <c r="A100" s="520">
        <v>10900013</v>
      </c>
      <c r="B100" s="520" t="s">
        <v>897</v>
      </c>
      <c r="C100" s="521">
        <f>VLOOKUP(A100,'[24]Sheet1 (2)'!$B$3:$G$151,6,0)</f>
        <v>-1356109.54</v>
      </c>
      <c r="F100" s="75">
        <v>-1356109.54</v>
      </c>
      <c r="G100" s="157">
        <f t="shared" si="1"/>
        <v>0</v>
      </c>
    </row>
    <row r="101" spans="1:7" x14ac:dyDescent="0.25">
      <c r="A101" s="520">
        <v>10900016</v>
      </c>
      <c r="B101" s="520" t="s">
        <v>898</v>
      </c>
      <c r="C101" s="521">
        <f>VLOOKUP(A101,'[24]Sheet1 (2)'!$B$3:$G$151,6,0)</f>
        <v>-1915760</v>
      </c>
      <c r="F101" s="75">
        <v>-1915760</v>
      </c>
      <c r="G101" s="157">
        <f t="shared" si="1"/>
        <v>0</v>
      </c>
    </row>
    <row r="102" spans="1:7" x14ac:dyDescent="0.25">
      <c r="A102" s="520">
        <v>20500006</v>
      </c>
      <c r="B102" s="520" t="s">
        <v>899</v>
      </c>
      <c r="C102" s="521">
        <f>VLOOKUP(A102,'[24]Sheet1 (2)'!$B$3:$G$151,6,0)</f>
        <v>1159004</v>
      </c>
      <c r="F102" s="75">
        <v>1159004</v>
      </c>
      <c r="G102" s="157">
        <f t="shared" si="1"/>
        <v>0</v>
      </c>
    </row>
    <row r="103" spans="1:7" x14ac:dyDescent="0.25">
      <c r="A103" s="520">
        <v>20600006</v>
      </c>
      <c r="B103" s="520" t="s">
        <v>873</v>
      </c>
      <c r="C103" s="521">
        <f>VLOOKUP(A103,'[24]Sheet1 (2)'!$B$3:$G$151,6,0)</f>
        <v>-1375000</v>
      </c>
      <c r="F103" s="75">
        <v>-1375000</v>
      </c>
      <c r="G103" s="157">
        <f t="shared" si="1"/>
        <v>0</v>
      </c>
    </row>
    <row r="104" spans="1:7" x14ac:dyDescent="0.25">
      <c r="A104" s="520">
        <v>30000007</v>
      </c>
      <c r="B104" s="520" t="s">
        <v>872</v>
      </c>
      <c r="C104" s="521">
        <f>VLOOKUP(A104,'[24]Sheet1 (2)'!$B$3:$G$151,6,0)</f>
        <v>1375000</v>
      </c>
      <c r="F104" s="75">
        <v>1375000</v>
      </c>
      <c r="G104" s="157">
        <f t="shared" si="1"/>
        <v>0</v>
      </c>
    </row>
    <row r="105" spans="1:7" x14ac:dyDescent="0.25">
      <c r="A105" s="520">
        <v>30100000</v>
      </c>
      <c r="B105" s="520" t="s">
        <v>900</v>
      </c>
      <c r="C105" s="521">
        <f>VLOOKUP(A105,'[24]Sheet1 (2)'!$B$3:$G$151,6,0)</f>
        <v>-61081</v>
      </c>
      <c r="F105" s="75">
        <v>-61081</v>
      </c>
      <c r="G105" s="157">
        <f t="shared" si="1"/>
        <v>0</v>
      </c>
    </row>
    <row r="106" spans="1:7" x14ac:dyDescent="0.25">
      <c r="A106" s="520">
        <v>40200006</v>
      </c>
      <c r="B106" s="520" t="s">
        <v>901</v>
      </c>
      <c r="C106" s="521">
        <f>VLOOKUP(A106,'[24]Sheet1 (2)'!$B$3:$G$151,6,0)</f>
        <v>-1159004</v>
      </c>
      <c r="F106" s="75">
        <v>-1159004</v>
      </c>
      <c r="G106" s="157">
        <f t="shared" si="1"/>
        <v>0</v>
      </c>
    </row>
    <row r="107" spans="1:7" x14ac:dyDescent="0.25">
      <c r="A107" s="520">
        <v>10400001</v>
      </c>
      <c r="B107" s="520" t="s">
        <v>705</v>
      </c>
      <c r="C107" s="521">
        <f>VLOOKUP(A107,'[24]Sheet1 (2)'!$B$3:$G$151,6,0)</f>
        <v>-5088763.58</v>
      </c>
      <c r="F107" s="75">
        <v>-120820</v>
      </c>
      <c r="G107" s="157">
        <f t="shared" si="1"/>
        <v>-4967943.58</v>
      </c>
    </row>
    <row r="108" spans="1:7" x14ac:dyDescent="0.25">
      <c r="A108" s="520">
        <v>10500000</v>
      </c>
      <c r="B108" s="520" t="s">
        <v>1127</v>
      </c>
      <c r="C108" s="521">
        <f>VLOOKUP(A108,'[24]Sheet1 (2)'!$B$3:$G$151,6,0)</f>
        <v>-1269016</v>
      </c>
      <c r="F108" s="75">
        <v>-1269016</v>
      </c>
      <c r="G108" s="157">
        <f t="shared" si="1"/>
        <v>0</v>
      </c>
    </row>
    <row r="109" spans="1:7" x14ac:dyDescent="0.25">
      <c r="A109" s="520">
        <v>10500001</v>
      </c>
      <c r="B109" s="520" t="s">
        <v>1125</v>
      </c>
      <c r="C109" s="521">
        <f>VLOOKUP(A109,'[24]Sheet1 (2)'!$B$3:$G$151,6,0)</f>
        <v>-1223695</v>
      </c>
      <c r="F109" s="75">
        <v>-1223695</v>
      </c>
      <c r="G109" s="157">
        <f t="shared" si="1"/>
        <v>0</v>
      </c>
    </row>
    <row r="110" spans="1:7" x14ac:dyDescent="0.25">
      <c r="A110" s="520">
        <v>10900015</v>
      </c>
      <c r="B110" s="520" t="s">
        <v>1149</v>
      </c>
      <c r="C110" s="521">
        <f>VLOOKUP(A110,'[24]Sheet1 (2)'!$B$3:$G$151,6,0)</f>
        <v>0</v>
      </c>
      <c r="F110" s="75">
        <v>-3199127.33</v>
      </c>
      <c r="G110" s="157">
        <f t="shared" si="1"/>
        <v>3199127.33</v>
      </c>
    </row>
    <row r="111" spans="1:7" x14ac:dyDescent="0.25">
      <c r="A111" s="520">
        <v>40700041</v>
      </c>
      <c r="B111" s="520" t="s">
        <v>1150</v>
      </c>
      <c r="C111" s="521">
        <f>VLOOKUP(A111,'[24]Sheet1 (2)'!$B$3:$G$151,6,0)</f>
        <v>0</v>
      </c>
      <c r="F111" s="75">
        <v>3199127.33</v>
      </c>
      <c r="G111" s="157">
        <f t="shared" si="1"/>
        <v>-3199127.33</v>
      </c>
    </row>
    <row r="112" spans="1:7" x14ac:dyDescent="0.25">
      <c r="A112" s="520">
        <v>40400000</v>
      </c>
      <c r="B112" s="520" t="s">
        <v>894</v>
      </c>
      <c r="C112" s="521">
        <f>VLOOKUP(A112,'[24]Sheet1 (2)'!$B$3:$G$151,6,0)</f>
        <v>1356109.54</v>
      </c>
      <c r="F112" s="75">
        <v>1356109.54</v>
      </c>
      <c r="G112" s="157">
        <f t="shared" si="1"/>
        <v>0</v>
      </c>
    </row>
    <row r="113" spans="1:7" x14ac:dyDescent="0.25">
      <c r="A113" s="520">
        <v>20000001</v>
      </c>
      <c r="B113" s="520" t="s">
        <v>1151</v>
      </c>
      <c r="C113" s="521">
        <f>VLOOKUP(A113,'[24]Sheet1 (2)'!$B$3:$G$151,6,0)</f>
        <v>165421759.91</v>
      </c>
      <c r="F113" s="75">
        <v>165421759.91</v>
      </c>
      <c r="G113" s="157">
        <f t="shared" si="1"/>
        <v>0</v>
      </c>
    </row>
    <row r="114" spans="1:7" x14ac:dyDescent="0.25">
      <c r="A114" s="520">
        <v>20000002</v>
      </c>
      <c r="B114" s="520" t="s">
        <v>1152</v>
      </c>
      <c r="C114" s="521">
        <f>VLOOKUP(A114,'[24]Sheet1 (2)'!$B$3:$G$151,6,0)</f>
        <v>-1059936.1299999901</v>
      </c>
      <c r="F114" s="75">
        <v>-1059936.1299999901</v>
      </c>
      <c r="G114" s="157">
        <f t="shared" si="1"/>
        <v>0</v>
      </c>
    </row>
    <row r="115" spans="1:7" x14ac:dyDescent="0.25">
      <c r="A115" s="520">
        <v>40500000</v>
      </c>
      <c r="B115" s="520" t="s">
        <v>1152</v>
      </c>
      <c r="C115" s="521">
        <f>VLOOKUP(A115,'[24]Sheet1 (2)'!$B$3:$G$151,6,0)</f>
        <v>1059936.1299999901</v>
      </c>
      <c r="F115" s="75">
        <v>1059936.1299999901</v>
      </c>
      <c r="G115" s="157">
        <f t="shared" si="1"/>
        <v>0</v>
      </c>
    </row>
    <row r="116" spans="1:7" x14ac:dyDescent="0.25">
      <c r="A116" s="520">
        <v>80000022</v>
      </c>
      <c r="B116" s="520" t="s">
        <v>781</v>
      </c>
      <c r="C116" s="521">
        <f>VLOOKUP(A116,'[24]Sheet1 (2)'!$B$3:$G$151,6,0)</f>
        <v>-41000</v>
      </c>
      <c r="F116" s="75">
        <v>-41000</v>
      </c>
      <c r="G116" s="157">
        <f t="shared" si="1"/>
        <v>0</v>
      </c>
    </row>
    <row r="117" spans="1:7" x14ac:dyDescent="0.25">
      <c r="C117" s="491">
        <f>SUM(C2:C116)</f>
        <v>-1.8775463104248047E-6</v>
      </c>
      <c r="F117" s="491">
        <f t="shared" ref="F117:G117" si="2">SUM(F2:F116)</f>
        <v>-1.8775463104248047E-6</v>
      </c>
      <c r="G117" s="491">
        <f t="shared" si="2"/>
        <v>0</v>
      </c>
    </row>
  </sheetData>
  <autoFilter ref="A1:C117" xr:uid="{E971BF10-CD6D-47DD-B4E7-77D6C6D62201}"/>
  <pageMargins left="0.7" right="0.7" top="0.75" bottom="0.75" header="0.3" footer="0.3"/>
  <headerFooter>
    <oddHeader>&amp;C&amp;G</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BBAB-C6AC-40E4-A771-6DA57F98FDAD}">
  <sheetPr codeName="Sheet18"/>
  <dimension ref="A1:N34"/>
  <sheetViews>
    <sheetView topLeftCell="A2" workbookViewId="0">
      <selection activeCell="H79" sqref="H79"/>
    </sheetView>
  </sheetViews>
  <sheetFormatPr defaultRowHeight="15" x14ac:dyDescent="0.25"/>
  <cols>
    <col min="1" max="1" width="9" bestFit="1" customWidth="1"/>
    <col min="2" max="2" width="21.140625" bestFit="1" customWidth="1"/>
    <col min="3" max="3" width="3" bestFit="1" customWidth="1"/>
    <col min="4" max="4" width="28.85546875" bestFit="1" customWidth="1"/>
    <col min="5" max="5" width="19.85546875" bestFit="1" customWidth="1"/>
    <col min="6" max="6" width="14.5703125" bestFit="1" customWidth="1"/>
    <col min="7" max="7" width="15.42578125" bestFit="1" customWidth="1"/>
    <col min="8" max="8" width="14.5703125" bestFit="1" customWidth="1"/>
    <col min="9" max="9" width="16" bestFit="1" customWidth="1"/>
    <col min="11" max="11" width="14.5703125" bestFit="1" customWidth="1"/>
    <col min="12" max="12" width="15.42578125" bestFit="1" customWidth="1"/>
  </cols>
  <sheetData>
    <row r="1" spans="1:14" x14ac:dyDescent="0.25">
      <c r="I1">
        <v>-1</v>
      </c>
      <c r="M1">
        <v>-1</v>
      </c>
    </row>
    <row r="2" spans="1:14" x14ac:dyDescent="0.25">
      <c r="A2" s="176" t="s">
        <v>509</v>
      </c>
      <c r="B2" s="176" t="s">
        <v>489</v>
      </c>
      <c r="C2" s="176" t="s">
        <v>490</v>
      </c>
      <c r="D2" s="176" t="s">
        <v>491</v>
      </c>
      <c r="E2" s="176" t="s">
        <v>492</v>
      </c>
      <c r="F2" s="176" t="s">
        <v>73</v>
      </c>
      <c r="G2" s="176" t="s">
        <v>74</v>
      </c>
    </row>
    <row r="3" spans="1:14" x14ac:dyDescent="0.25">
      <c r="A3" s="80">
        <v>10000000</v>
      </c>
      <c r="B3" s="80" t="s">
        <v>143</v>
      </c>
      <c r="C3" s="80">
        <v>3</v>
      </c>
      <c r="D3" s="80" t="s">
        <v>493</v>
      </c>
      <c r="E3" s="180" t="s">
        <v>494</v>
      </c>
      <c r="F3" s="180">
        <v>0</v>
      </c>
      <c r="G3" s="180">
        <v>-100000</v>
      </c>
      <c r="H3" s="64"/>
      <c r="I3" s="64">
        <v>10000000</v>
      </c>
      <c r="J3" t="b">
        <f>A3=I3</f>
        <v>1</v>
      </c>
      <c r="K3" s="64">
        <v>0</v>
      </c>
      <c r="L3" s="64">
        <v>-100000</v>
      </c>
      <c r="M3" t="b">
        <f>F3=K3</f>
        <v>1</v>
      </c>
      <c r="N3" t="b">
        <f>G3=L3</f>
        <v>1</v>
      </c>
    </row>
    <row r="4" spans="1:14" x14ac:dyDescent="0.25">
      <c r="A4" s="80">
        <v>10000001</v>
      </c>
      <c r="B4" s="80" t="s">
        <v>495</v>
      </c>
      <c r="C4" s="80">
        <v>3</v>
      </c>
      <c r="D4" s="80" t="s">
        <v>493</v>
      </c>
      <c r="E4" s="180" t="s">
        <v>494</v>
      </c>
      <c r="F4" s="180">
        <v>0</v>
      </c>
      <c r="G4" s="180">
        <v>-199999456</v>
      </c>
      <c r="H4" s="64"/>
      <c r="I4" s="64">
        <v>10000001</v>
      </c>
      <c r="J4" t="b">
        <f t="shared" ref="J4:J32" si="0">A4=I4</f>
        <v>1</v>
      </c>
      <c r="K4" s="64">
        <v>0</v>
      </c>
      <c r="L4" s="64">
        <v>-199999456</v>
      </c>
      <c r="M4" t="b">
        <f t="shared" ref="M4:M32" si="1">F4=K4</f>
        <v>1</v>
      </c>
      <c r="N4" t="b">
        <f t="shared" ref="N4:N32" si="2">G4=L4</f>
        <v>1</v>
      </c>
    </row>
    <row r="5" spans="1:14" x14ac:dyDescent="0.25">
      <c r="A5" s="80">
        <v>11000001</v>
      </c>
      <c r="B5" s="80" t="s">
        <v>496</v>
      </c>
      <c r="C5" s="80">
        <v>7</v>
      </c>
      <c r="D5" s="80" t="s">
        <v>180</v>
      </c>
      <c r="E5" s="180" t="s">
        <v>449</v>
      </c>
      <c r="F5" s="180">
        <v>0</v>
      </c>
      <c r="G5" s="180">
        <v>-17000</v>
      </c>
      <c r="H5" s="64"/>
      <c r="I5" s="64">
        <v>11000001</v>
      </c>
      <c r="J5" t="b">
        <f t="shared" si="0"/>
        <v>1</v>
      </c>
      <c r="K5" s="64">
        <v>0</v>
      </c>
      <c r="L5" s="64">
        <v>-17000</v>
      </c>
      <c r="M5" t="b">
        <f t="shared" si="1"/>
        <v>1</v>
      </c>
      <c r="N5" t="b">
        <f t="shared" si="2"/>
        <v>1</v>
      </c>
    </row>
    <row r="6" spans="1:14" x14ac:dyDescent="0.25">
      <c r="A6" s="80">
        <v>10800004</v>
      </c>
      <c r="B6" s="80" t="s">
        <v>227</v>
      </c>
      <c r="C6" s="80">
        <v>6</v>
      </c>
      <c r="D6" s="80" t="s">
        <v>153</v>
      </c>
      <c r="E6" s="180" t="s">
        <v>449</v>
      </c>
      <c r="F6" s="180">
        <v>0</v>
      </c>
      <c r="G6" s="180">
        <v>-24467</v>
      </c>
      <c r="H6" s="64"/>
      <c r="I6" s="64">
        <v>10800004</v>
      </c>
      <c r="J6" t="b">
        <f t="shared" si="0"/>
        <v>1</v>
      </c>
      <c r="K6" s="64">
        <v>0</v>
      </c>
      <c r="L6" s="64">
        <v>-24467</v>
      </c>
      <c r="M6" t="b">
        <f t="shared" si="1"/>
        <v>1</v>
      </c>
      <c r="N6" t="b">
        <f t="shared" si="2"/>
        <v>1</v>
      </c>
    </row>
    <row r="7" spans="1:14" x14ac:dyDescent="0.25">
      <c r="A7" s="80">
        <v>10600010</v>
      </c>
      <c r="B7" s="80" t="s">
        <v>497</v>
      </c>
      <c r="C7" s="80">
        <v>5</v>
      </c>
      <c r="D7" s="80" t="s">
        <v>448</v>
      </c>
      <c r="E7" s="180" t="s">
        <v>449</v>
      </c>
      <c r="F7" s="180">
        <v>0</v>
      </c>
      <c r="G7" s="180">
        <v>-118230550.26000001</v>
      </c>
      <c r="H7" s="64"/>
      <c r="I7" s="64">
        <v>10600010</v>
      </c>
      <c r="J7" t="b">
        <f t="shared" si="0"/>
        <v>1</v>
      </c>
      <c r="K7" s="64">
        <v>0</v>
      </c>
      <c r="L7" s="64">
        <v>-118230550.26000001</v>
      </c>
      <c r="M7" t="b">
        <f t="shared" si="1"/>
        <v>1</v>
      </c>
      <c r="N7" t="b">
        <f t="shared" si="2"/>
        <v>1</v>
      </c>
    </row>
    <row r="8" spans="1:14" x14ac:dyDescent="0.25">
      <c r="A8" s="80">
        <v>20000000</v>
      </c>
      <c r="B8" s="80" t="s">
        <v>498</v>
      </c>
      <c r="C8" s="80">
        <v>11</v>
      </c>
      <c r="D8" s="80" t="s">
        <v>173</v>
      </c>
      <c r="E8" s="180" t="s">
        <v>499</v>
      </c>
      <c r="F8" s="180">
        <v>92904351</v>
      </c>
      <c r="G8" s="180">
        <v>0</v>
      </c>
      <c r="H8" s="64"/>
      <c r="I8" s="64">
        <v>20000000</v>
      </c>
      <c r="J8" t="b">
        <f t="shared" si="0"/>
        <v>1</v>
      </c>
      <c r="K8" s="64">
        <v>92904351</v>
      </c>
      <c r="L8" s="64">
        <v>0</v>
      </c>
      <c r="M8" t="b">
        <f t="shared" si="1"/>
        <v>1</v>
      </c>
      <c r="N8" t="b">
        <f t="shared" si="2"/>
        <v>1</v>
      </c>
    </row>
    <row r="9" spans="1:14" x14ac:dyDescent="0.25">
      <c r="A9" s="80">
        <v>20000017</v>
      </c>
      <c r="B9" s="80" t="s">
        <v>500</v>
      </c>
      <c r="C9" s="80">
        <v>11</v>
      </c>
      <c r="D9" s="80" t="s">
        <v>173</v>
      </c>
      <c r="E9" s="180" t="s">
        <v>499</v>
      </c>
      <c r="F9" s="180">
        <v>165189641</v>
      </c>
      <c r="G9" s="180">
        <v>0</v>
      </c>
      <c r="H9" s="64"/>
      <c r="I9" s="64">
        <v>20000017</v>
      </c>
      <c r="J9" t="b">
        <f t="shared" si="0"/>
        <v>1</v>
      </c>
      <c r="K9" s="64">
        <v>165189641</v>
      </c>
      <c r="L9" s="64">
        <v>0</v>
      </c>
      <c r="M9" t="b">
        <f t="shared" si="1"/>
        <v>1</v>
      </c>
      <c r="N9" t="b">
        <f t="shared" si="2"/>
        <v>1</v>
      </c>
    </row>
    <row r="10" spans="1:14" x14ac:dyDescent="0.25">
      <c r="A10" s="80">
        <v>20100002</v>
      </c>
      <c r="B10" s="80" t="s">
        <v>501</v>
      </c>
      <c r="C10" s="80">
        <v>11</v>
      </c>
      <c r="D10" s="80" t="s">
        <v>173</v>
      </c>
      <c r="E10" s="180" t="s">
        <v>499</v>
      </c>
      <c r="F10" s="180">
        <v>16690918.219999989</v>
      </c>
      <c r="G10" s="180">
        <v>0</v>
      </c>
      <c r="H10" s="64"/>
      <c r="I10" s="64">
        <v>20100002</v>
      </c>
      <c r="J10" t="b">
        <f t="shared" si="0"/>
        <v>1</v>
      </c>
      <c r="K10" s="64">
        <v>16690918.219999989</v>
      </c>
      <c r="L10" s="64">
        <v>0</v>
      </c>
      <c r="M10" s="265" t="b">
        <f t="shared" si="1"/>
        <v>1</v>
      </c>
      <c r="N10" t="b">
        <f t="shared" si="2"/>
        <v>1</v>
      </c>
    </row>
    <row r="11" spans="1:14" x14ac:dyDescent="0.25">
      <c r="A11" s="80">
        <v>20800110</v>
      </c>
      <c r="B11" s="80" t="s">
        <v>502</v>
      </c>
      <c r="C11" s="80">
        <v>9</v>
      </c>
      <c r="D11" s="80" t="s">
        <v>179</v>
      </c>
      <c r="E11" s="180" t="s">
        <v>503</v>
      </c>
      <c r="F11" s="180">
        <v>475423.64</v>
      </c>
      <c r="G11" s="180">
        <v>0</v>
      </c>
      <c r="H11" s="64"/>
      <c r="I11" s="64">
        <v>20800110</v>
      </c>
      <c r="J11" t="b">
        <f t="shared" si="0"/>
        <v>1</v>
      </c>
      <c r="K11" s="64">
        <v>475423.64</v>
      </c>
      <c r="L11" s="64">
        <v>0</v>
      </c>
      <c r="M11" t="b">
        <f t="shared" si="1"/>
        <v>1</v>
      </c>
      <c r="N11" t="b">
        <f t="shared" si="2"/>
        <v>1</v>
      </c>
    </row>
    <row r="12" spans="1:14" x14ac:dyDescent="0.25">
      <c r="A12" s="80">
        <v>20800111</v>
      </c>
      <c r="B12" s="80" t="s">
        <v>502</v>
      </c>
      <c r="C12" s="80">
        <v>9</v>
      </c>
      <c r="D12" s="80" t="s">
        <v>179</v>
      </c>
      <c r="E12" s="180" t="s">
        <v>503</v>
      </c>
      <c r="F12" s="180">
        <v>88800000</v>
      </c>
      <c r="G12" s="180">
        <v>0</v>
      </c>
      <c r="H12" s="64"/>
      <c r="I12" s="64">
        <v>20800111</v>
      </c>
      <c r="J12" t="b">
        <f t="shared" si="0"/>
        <v>1</v>
      </c>
      <c r="K12" s="64">
        <v>88800000</v>
      </c>
      <c r="L12" s="64">
        <v>0</v>
      </c>
      <c r="M12" t="b">
        <f t="shared" si="1"/>
        <v>1</v>
      </c>
      <c r="N12" t="b">
        <f t="shared" si="2"/>
        <v>1</v>
      </c>
    </row>
    <row r="13" spans="1:14" x14ac:dyDescent="0.25">
      <c r="A13" s="80">
        <v>20800112</v>
      </c>
      <c r="B13" s="80" t="s">
        <v>502</v>
      </c>
      <c r="C13" s="80">
        <v>9</v>
      </c>
      <c r="D13" s="80" t="s">
        <v>179</v>
      </c>
      <c r="E13" s="180" t="s">
        <v>503</v>
      </c>
      <c r="F13" s="180">
        <v>0</v>
      </c>
      <c r="G13" s="180">
        <v>-87971706.5</v>
      </c>
      <c r="H13" s="64"/>
      <c r="I13" s="64">
        <v>20800112</v>
      </c>
      <c r="J13" t="b">
        <f t="shared" si="0"/>
        <v>1</v>
      </c>
      <c r="K13" s="64">
        <v>0</v>
      </c>
      <c r="L13" s="64">
        <v>-87971706.5</v>
      </c>
      <c r="M13" t="b">
        <f t="shared" si="1"/>
        <v>1</v>
      </c>
      <c r="N13" t="b">
        <f t="shared" si="2"/>
        <v>1</v>
      </c>
    </row>
    <row r="14" spans="1:14" x14ac:dyDescent="0.25">
      <c r="A14" s="80">
        <v>21000011</v>
      </c>
      <c r="B14" s="80" t="s">
        <v>191</v>
      </c>
      <c r="C14" s="80">
        <v>10</v>
      </c>
      <c r="D14" s="80" t="s">
        <v>190</v>
      </c>
      <c r="E14" s="180" t="s">
        <v>503</v>
      </c>
      <c r="F14" s="180">
        <v>14599464.810000001</v>
      </c>
      <c r="G14" s="180">
        <v>0</v>
      </c>
      <c r="H14" s="64"/>
      <c r="I14" s="64">
        <v>21000011</v>
      </c>
      <c r="J14" t="b">
        <f t="shared" si="0"/>
        <v>1</v>
      </c>
      <c r="K14" s="64">
        <v>14599464.810000001</v>
      </c>
      <c r="L14" s="64">
        <v>0</v>
      </c>
      <c r="M14" t="b">
        <f t="shared" si="1"/>
        <v>1</v>
      </c>
      <c r="N14" t="b">
        <f t="shared" si="2"/>
        <v>1</v>
      </c>
    </row>
    <row r="15" spans="1:14" x14ac:dyDescent="0.25">
      <c r="A15" s="80">
        <v>21000012</v>
      </c>
      <c r="B15" s="80" t="s">
        <v>192</v>
      </c>
      <c r="C15" s="80">
        <v>10</v>
      </c>
      <c r="D15" s="80" t="s">
        <v>190</v>
      </c>
      <c r="E15" s="180" t="s">
        <v>503</v>
      </c>
      <c r="F15" s="180">
        <v>1217194.04</v>
      </c>
      <c r="G15" s="180">
        <v>0</v>
      </c>
      <c r="H15" s="64"/>
      <c r="I15" s="64">
        <v>21000012</v>
      </c>
      <c r="J15" t="b">
        <f t="shared" si="0"/>
        <v>1</v>
      </c>
      <c r="K15" s="64">
        <v>1217194.04</v>
      </c>
      <c r="L15" s="64">
        <v>0</v>
      </c>
      <c r="M15" t="b">
        <f t="shared" si="1"/>
        <v>1</v>
      </c>
      <c r="N15" t="b">
        <f t="shared" si="2"/>
        <v>1</v>
      </c>
    </row>
    <row r="16" spans="1:14" x14ac:dyDescent="0.25">
      <c r="A16" s="80">
        <v>21000013</v>
      </c>
      <c r="B16" s="80" t="s">
        <v>193</v>
      </c>
      <c r="C16" s="80">
        <v>10</v>
      </c>
      <c r="D16" s="80" t="s">
        <v>190</v>
      </c>
      <c r="E16" s="180" t="s">
        <v>503</v>
      </c>
      <c r="F16" s="180">
        <v>14599464.810000001</v>
      </c>
      <c r="G16" s="180">
        <v>0</v>
      </c>
      <c r="H16" s="64"/>
      <c r="I16" s="64">
        <v>21000013</v>
      </c>
      <c r="J16" t="b">
        <f t="shared" si="0"/>
        <v>1</v>
      </c>
      <c r="K16" s="64">
        <v>14599464.810000001</v>
      </c>
      <c r="L16" s="64">
        <v>0</v>
      </c>
      <c r="M16" t="b">
        <f t="shared" si="1"/>
        <v>1</v>
      </c>
      <c r="N16" t="b">
        <f t="shared" si="2"/>
        <v>1</v>
      </c>
    </row>
    <row r="17" spans="1:14" x14ac:dyDescent="0.25">
      <c r="A17" s="80">
        <v>10900000</v>
      </c>
      <c r="B17" s="80" t="s">
        <v>504</v>
      </c>
      <c r="C17" s="80">
        <v>6</v>
      </c>
      <c r="D17" s="80" t="s">
        <v>153</v>
      </c>
      <c r="E17" s="180" t="s">
        <v>449</v>
      </c>
      <c r="F17" s="180">
        <v>0</v>
      </c>
      <c r="G17" s="180">
        <v>-179995</v>
      </c>
      <c r="H17" s="64"/>
      <c r="I17" s="64">
        <v>10900000</v>
      </c>
      <c r="J17" t="b">
        <f t="shared" si="0"/>
        <v>1</v>
      </c>
      <c r="K17" s="64">
        <v>0</v>
      </c>
      <c r="L17" s="64">
        <v>-179995</v>
      </c>
      <c r="M17" t="b">
        <f t="shared" si="1"/>
        <v>1</v>
      </c>
      <c r="N17" t="b">
        <f t="shared" si="2"/>
        <v>1</v>
      </c>
    </row>
    <row r="18" spans="1:14" x14ac:dyDescent="0.25">
      <c r="A18" s="267">
        <v>20000018</v>
      </c>
      <c r="B18" s="267" t="s">
        <v>505</v>
      </c>
      <c r="C18" s="267">
        <v>11</v>
      </c>
      <c r="D18" s="267" t="s">
        <v>173</v>
      </c>
      <c r="E18" s="268" t="s">
        <v>499</v>
      </c>
      <c r="F18" s="268">
        <v>0</v>
      </c>
      <c r="G18" s="268">
        <f>-609875-F30</f>
        <v>-2362664.8765952503</v>
      </c>
      <c r="H18" s="64"/>
      <c r="I18" s="64">
        <v>20000018</v>
      </c>
      <c r="J18" t="b">
        <f t="shared" si="0"/>
        <v>1</v>
      </c>
      <c r="K18" s="64">
        <v>0</v>
      </c>
      <c r="L18" s="64">
        <v>-609875</v>
      </c>
      <c r="M18" t="b">
        <f t="shared" si="1"/>
        <v>1</v>
      </c>
      <c r="N18" t="b">
        <f t="shared" si="2"/>
        <v>0</v>
      </c>
    </row>
    <row r="19" spans="1:14" x14ac:dyDescent="0.25">
      <c r="A19" s="80">
        <v>10100002</v>
      </c>
      <c r="B19" s="80" t="s">
        <v>506</v>
      </c>
      <c r="C19" s="80"/>
      <c r="D19" s="80"/>
      <c r="E19" s="180"/>
      <c r="F19" s="180">
        <v>7940372.4199999897</v>
      </c>
      <c r="G19" s="180">
        <v>0</v>
      </c>
      <c r="H19" s="64"/>
      <c r="I19" s="64">
        <v>10100002</v>
      </c>
      <c r="J19" t="b">
        <f t="shared" si="0"/>
        <v>1</v>
      </c>
      <c r="K19" s="64">
        <v>7940372.4199999897</v>
      </c>
      <c r="L19" s="64">
        <v>0</v>
      </c>
      <c r="M19" t="b">
        <f t="shared" si="1"/>
        <v>1</v>
      </c>
      <c r="N19" t="b">
        <f t="shared" si="2"/>
        <v>1</v>
      </c>
    </row>
    <row r="20" spans="1:14" x14ac:dyDescent="0.25">
      <c r="A20" s="80">
        <v>11000003</v>
      </c>
      <c r="B20" s="80" t="s">
        <v>507</v>
      </c>
      <c r="C20" s="80">
        <v>7</v>
      </c>
      <c r="D20" s="80" t="s">
        <v>180</v>
      </c>
      <c r="E20" s="180" t="s">
        <v>449</v>
      </c>
      <c r="F20" s="180">
        <v>0</v>
      </c>
      <c r="G20" s="180">
        <v>-170932.14</v>
      </c>
      <c r="H20" s="64"/>
      <c r="I20" s="64">
        <v>11000003</v>
      </c>
      <c r="J20" t="b">
        <f t="shared" si="0"/>
        <v>1</v>
      </c>
      <c r="K20" s="64">
        <v>0</v>
      </c>
      <c r="L20" s="64">
        <v>-170932.14</v>
      </c>
      <c r="M20" t="b">
        <f t="shared" si="1"/>
        <v>1</v>
      </c>
      <c r="N20" t="b">
        <f t="shared" si="2"/>
        <v>1</v>
      </c>
    </row>
    <row r="21" spans="1:14" x14ac:dyDescent="0.25">
      <c r="A21" s="80">
        <v>11000009</v>
      </c>
      <c r="B21" s="80" t="s">
        <v>508</v>
      </c>
      <c r="C21" s="80">
        <v>7</v>
      </c>
      <c r="D21" s="80" t="s">
        <v>180</v>
      </c>
      <c r="E21" s="180" t="s">
        <v>449</v>
      </c>
      <c r="F21" s="180">
        <v>0</v>
      </c>
      <c r="G21" s="180">
        <v>0</v>
      </c>
      <c r="H21" s="64"/>
      <c r="I21" s="64">
        <v>11000009</v>
      </c>
      <c r="J21" t="b">
        <f t="shared" si="0"/>
        <v>1</v>
      </c>
      <c r="K21" s="64">
        <v>0</v>
      </c>
      <c r="L21" s="64">
        <v>0</v>
      </c>
      <c r="M21" t="b">
        <f t="shared" si="1"/>
        <v>1</v>
      </c>
      <c r="N21" t="b">
        <f t="shared" si="2"/>
        <v>1</v>
      </c>
    </row>
    <row r="22" spans="1:14" x14ac:dyDescent="0.25">
      <c r="A22" s="80">
        <v>20000019</v>
      </c>
      <c r="B22" s="80" t="s">
        <v>188</v>
      </c>
      <c r="C22" s="80">
        <v>11</v>
      </c>
      <c r="D22" s="80" t="s">
        <v>173</v>
      </c>
      <c r="E22" s="180" t="s">
        <v>499</v>
      </c>
      <c r="F22" s="180">
        <v>0</v>
      </c>
      <c r="G22" s="180">
        <v>0</v>
      </c>
      <c r="H22" s="64"/>
      <c r="I22" s="64">
        <v>20000019</v>
      </c>
      <c r="J22" t="b">
        <f t="shared" si="0"/>
        <v>1</v>
      </c>
      <c r="K22" s="64">
        <v>0</v>
      </c>
      <c r="L22" s="64">
        <v>0</v>
      </c>
      <c r="M22" s="265" t="b">
        <f t="shared" si="1"/>
        <v>1</v>
      </c>
      <c r="N22" t="b">
        <f t="shared" si="2"/>
        <v>1</v>
      </c>
    </row>
    <row r="23" spans="1:14" x14ac:dyDescent="0.25">
      <c r="A23" s="80">
        <v>40700007</v>
      </c>
      <c r="B23" s="80" t="s">
        <v>510</v>
      </c>
      <c r="C23" s="80">
        <v>14</v>
      </c>
      <c r="D23" s="80" t="s">
        <v>194</v>
      </c>
      <c r="E23" s="80"/>
      <c r="F23" s="180">
        <v>4799228</v>
      </c>
      <c r="G23" s="180">
        <v>0</v>
      </c>
      <c r="H23" s="64"/>
      <c r="I23" s="64">
        <v>40700007</v>
      </c>
      <c r="J23" t="b">
        <f t="shared" si="0"/>
        <v>1</v>
      </c>
      <c r="K23" s="64">
        <v>4799228</v>
      </c>
      <c r="L23" s="64">
        <v>0</v>
      </c>
      <c r="M23" t="b">
        <f t="shared" si="1"/>
        <v>1</v>
      </c>
      <c r="N23" t="b">
        <f t="shared" si="2"/>
        <v>1</v>
      </c>
    </row>
    <row r="24" spans="1:14" x14ac:dyDescent="0.25">
      <c r="A24" s="80">
        <v>40700008</v>
      </c>
      <c r="B24" s="80" t="s">
        <v>511</v>
      </c>
      <c r="C24" s="80">
        <v>14</v>
      </c>
      <c r="D24" s="80" t="s">
        <v>194</v>
      </c>
      <c r="E24" s="80"/>
      <c r="F24" s="180">
        <v>3000</v>
      </c>
      <c r="G24" s="180">
        <v>0</v>
      </c>
      <c r="H24" s="64"/>
      <c r="I24" s="64">
        <v>40700008</v>
      </c>
      <c r="J24" t="b">
        <f t="shared" si="0"/>
        <v>1</v>
      </c>
      <c r="K24" s="64">
        <v>3000</v>
      </c>
      <c r="L24" s="64">
        <v>0</v>
      </c>
      <c r="M24" t="b">
        <f t="shared" si="1"/>
        <v>1</v>
      </c>
      <c r="N24" t="b">
        <f t="shared" si="2"/>
        <v>1</v>
      </c>
    </row>
    <row r="25" spans="1:14" x14ac:dyDescent="0.25">
      <c r="A25" s="80">
        <v>40400001</v>
      </c>
      <c r="B25" s="80" t="s">
        <v>512</v>
      </c>
      <c r="C25" s="80">
        <v>14</v>
      </c>
      <c r="D25" s="80" t="s">
        <v>194</v>
      </c>
      <c r="E25" s="80"/>
      <c r="F25" s="180">
        <v>312.16000000000003</v>
      </c>
      <c r="G25" s="180">
        <v>0</v>
      </c>
      <c r="H25" s="64"/>
      <c r="I25" s="64">
        <v>40400001</v>
      </c>
      <c r="J25" t="b">
        <f t="shared" si="0"/>
        <v>1</v>
      </c>
      <c r="K25" s="64">
        <v>312.16000000000003</v>
      </c>
      <c r="L25" s="64">
        <v>0</v>
      </c>
      <c r="M25" t="b">
        <f t="shared" si="1"/>
        <v>1</v>
      </c>
      <c r="N25" t="b">
        <f t="shared" si="2"/>
        <v>1</v>
      </c>
    </row>
    <row r="26" spans="1:14" x14ac:dyDescent="0.25">
      <c r="A26" s="80">
        <v>40700016</v>
      </c>
      <c r="B26" s="80" t="s">
        <v>205</v>
      </c>
      <c r="C26" s="80">
        <v>12</v>
      </c>
      <c r="D26" s="80" t="s">
        <v>194</v>
      </c>
      <c r="E26" s="80"/>
      <c r="F26" s="180">
        <v>25248</v>
      </c>
      <c r="G26" s="180">
        <v>0</v>
      </c>
      <c r="H26" s="64"/>
      <c r="I26" s="64">
        <v>40700016</v>
      </c>
      <c r="J26" t="b">
        <f t="shared" si="0"/>
        <v>1</v>
      </c>
      <c r="K26" s="64">
        <v>25248</v>
      </c>
      <c r="L26" s="64">
        <v>0</v>
      </c>
      <c r="M26" t="b">
        <f t="shared" si="1"/>
        <v>1</v>
      </c>
      <c r="N26" t="b">
        <f t="shared" si="2"/>
        <v>1</v>
      </c>
    </row>
    <row r="27" spans="1:14" x14ac:dyDescent="0.25">
      <c r="A27" s="80">
        <v>40400014</v>
      </c>
      <c r="B27" s="80" t="s">
        <v>513</v>
      </c>
      <c r="C27" s="80">
        <v>12</v>
      </c>
      <c r="D27" s="80" t="s">
        <v>202</v>
      </c>
      <c r="E27" s="80"/>
      <c r="F27" s="180">
        <v>0</v>
      </c>
      <c r="G27" s="180">
        <v>0</v>
      </c>
      <c r="H27" s="64"/>
      <c r="I27" s="64">
        <v>40400014</v>
      </c>
      <c r="J27" t="b">
        <f t="shared" si="0"/>
        <v>1</v>
      </c>
      <c r="K27" s="64">
        <v>0</v>
      </c>
      <c r="L27" s="64">
        <v>0</v>
      </c>
      <c r="M27" t="b">
        <f t="shared" si="1"/>
        <v>1</v>
      </c>
      <c r="N27" t="b">
        <f t="shared" si="2"/>
        <v>1</v>
      </c>
    </row>
    <row r="28" spans="1:14" x14ac:dyDescent="0.25">
      <c r="A28" s="80">
        <v>40400007</v>
      </c>
      <c r="B28" s="80" t="s">
        <v>514</v>
      </c>
      <c r="C28" s="80">
        <v>12</v>
      </c>
      <c r="D28" s="80" t="s">
        <v>202</v>
      </c>
      <c r="E28" s="80"/>
      <c r="F28" s="180">
        <v>0</v>
      </c>
      <c r="G28" s="180">
        <v>0</v>
      </c>
      <c r="H28" s="64"/>
      <c r="I28" s="64">
        <v>40400007</v>
      </c>
      <c r="J28" t="b">
        <f t="shared" si="0"/>
        <v>1</v>
      </c>
      <c r="K28" s="64">
        <v>0</v>
      </c>
      <c r="L28" s="64">
        <v>0</v>
      </c>
      <c r="M28" t="b">
        <f t="shared" si="1"/>
        <v>1</v>
      </c>
      <c r="N28" t="b">
        <f t="shared" si="2"/>
        <v>1</v>
      </c>
    </row>
    <row r="29" spans="1:14" x14ac:dyDescent="0.25">
      <c r="A29" s="80">
        <v>40700033</v>
      </c>
      <c r="B29" s="80" t="s">
        <v>194</v>
      </c>
      <c r="C29" s="80">
        <v>12</v>
      </c>
      <c r="D29" s="80" t="s">
        <v>202</v>
      </c>
      <c r="E29" s="80"/>
      <c r="F29" s="180">
        <v>0</v>
      </c>
      <c r="G29" s="180">
        <v>0</v>
      </c>
      <c r="H29" s="64"/>
      <c r="I29" s="64">
        <v>40700033</v>
      </c>
      <c r="J29" t="b">
        <f t="shared" si="0"/>
        <v>1</v>
      </c>
      <c r="K29" s="64">
        <v>0</v>
      </c>
      <c r="L29" s="64">
        <v>0</v>
      </c>
      <c r="M29" t="b">
        <f t="shared" si="1"/>
        <v>1</v>
      </c>
      <c r="N29" t="b">
        <f t="shared" si="2"/>
        <v>1</v>
      </c>
    </row>
    <row r="30" spans="1:14" x14ac:dyDescent="0.25">
      <c r="A30" s="267">
        <v>40500008</v>
      </c>
      <c r="B30" s="267" t="s">
        <v>52</v>
      </c>
      <c r="C30" s="267">
        <v>13</v>
      </c>
      <c r="D30" s="267" t="s">
        <v>515</v>
      </c>
      <c r="E30" s="267"/>
      <c r="F30" s="268">
        <v>1752789.8765952501</v>
      </c>
      <c r="G30" s="268">
        <v>0</v>
      </c>
      <c r="H30" s="64"/>
      <c r="I30" s="64" t="s">
        <v>226</v>
      </c>
      <c r="J30" t="b">
        <f t="shared" si="0"/>
        <v>0</v>
      </c>
      <c r="K30" s="64">
        <v>0</v>
      </c>
      <c r="L30" s="64">
        <v>0</v>
      </c>
      <c r="M30" t="b">
        <f t="shared" si="1"/>
        <v>0</v>
      </c>
      <c r="N30" t="b">
        <f t="shared" si="2"/>
        <v>1</v>
      </c>
    </row>
    <row r="31" spans="1:14" x14ac:dyDescent="0.25">
      <c r="A31" s="80">
        <v>40700000</v>
      </c>
      <c r="B31" s="80" t="s">
        <v>516</v>
      </c>
      <c r="C31" s="80">
        <v>14</v>
      </c>
      <c r="D31" s="80" t="s">
        <v>194</v>
      </c>
      <c r="E31" s="80"/>
      <c r="F31" s="180">
        <v>59364</v>
      </c>
      <c r="G31" s="180">
        <v>0</v>
      </c>
      <c r="H31" s="64"/>
      <c r="I31" s="64">
        <v>40700000</v>
      </c>
      <c r="J31" t="b">
        <f t="shared" si="0"/>
        <v>1</v>
      </c>
      <c r="K31" s="64">
        <v>59364</v>
      </c>
      <c r="L31" s="64">
        <v>0</v>
      </c>
      <c r="M31" t="b">
        <f t="shared" si="1"/>
        <v>1</v>
      </c>
      <c r="N31" t="b">
        <f t="shared" si="2"/>
        <v>1</v>
      </c>
    </row>
    <row r="32" spans="1:14" x14ac:dyDescent="0.25">
      <c r="A32" s="80">
        <v>40700034</v>
      </c>
      <c r="B32" s="80" t="s">
        <v>517</v>
      </c>
      <c r="C32" s="80">
        <v>14</v>
      </c>
      <c r="D32" s="80" t="s">
        <v>194</v>
      </c>
      <c r="E32" s="80"/>
      <c r="F32" s="180">
        <v>0</v>
      </c>
      <c r="G32" s="180">
        <v>0</v>
      </c>
      <c r="H32" s="64"/>
      <c r="I32" s="64">
        <v>40700034</v>
      </c>
      <c r="J32" t="b">
        <f t="shared" si="0"/>
        <v>1</v>
      </c>
      <c r="K32" s="64">
        <v>0</v>
      </c>
      <c r="L32" s="64">
        <v>0</v>
      </c>
      <c r="M32" t="b">
        <f t="shared" si="1"/>
        <v>1</v>
      </c>
      <c r="N32" t="b">
        <f t="shared" si="2"/>
        <v>1</v>
      </c>
    </row>
    <row r="33" spans="6:7" x14ac:dyDescent="0.25">
      <c r="F33" s="1">
        <f>SUM(F3:F32)</f>
        <v>409056771.97659528</v>
      </c>
      <c r="G33" s="1">
        <f>SUM(G3:G32)</f>
        <v>-409056771.77659523</v>
      </c>
    </row>
    <row r="34" spans="6:7" x14ac:dyDescent="0.25">
      <c r="G34" s="190">
        <f>F33+G33</f>
        <v>0.20000004768371582</v>
      </c>
    </row>
  </sheetData>
  <autoFilter ref="H2:I34" xr:uid="{98B59E11-F8E9-4992-9333-F3BC9525AAD8}"/>
  <pageMargins left="0.7" right="0.7" top="0.75" bottom="0.75" header="0.3" footer="0.3"/>
  <headerFooter>
    <oddHeader>&amp;C&amp;G</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A76F-9592-4F7D-B5B6-663C84908022}">
  <sheetPr codeName="Sheet13">
    <tabColor rgb="FFFFFF00"/>
  </sheetPr>
  <dimension ref="A1:I131"/>
  <sheetViews>
    <sheetView showGridLines="0" view="pageBreakPreview" topLeftCell="A93" zoomScaleNormal="100" zoomScaleSheetLayoutView="100" workbookViewId="0">
      <selection activeCell="A101" sqref="A101"/>
    </sheetView>
  </sheetViews>
  <sheetFormatPr defaultColWidth="9.140625" defaultRowHeight="15" x14ac:dyDescent="0.25"/>
  <cols>
    <col min="1" max="1" width="7.42578125" customWidth="1"/>
    <col min="2" max="2" width="5.140625" customWidth="1"/>
    <col min="3" max="3" width="16.5703125" customWidth="1"/>
    <col min="4" max="4" width="21.42578125" customWidth="1"/>
    <col min="5" max="5" width="14.5703125" customWidth="1"/>
    <col min="6" max="6" width="17.85546875" customWidth="1"/>
    <col min="7" max="7" width="20" customWidth="1"/>
    <col min="8" max="8" width="20.42578125" customWidth="1"/>
    <col min="9" max="9" width="10.5703125" bestFit="1" customWidth="1"/>
    <col min="10" max="10" width="13.42578125" bestFit="1" customWidth="1"/>
    <col min="11" max="11" width="13.85546875" bestFit="1" customWidth="1"/>
    <col min="12" max="12" width="12.140625" bestFit="1" customWidth="1"/>
    <col min="13" max="13" width="10.5703125" bestFit="1" customWidth="1"/>
  </cols>
  <sheetData>
    <row r="1" spans="1:8" x14ac:dyDescent="0.25">
      <c r="A1" s="193" t="str">
        <f>PL!$A$1</f>
        <v>BVC Specialities Private Limited</v>
      </c>
      <c r="B1" s="55"/>
      <c r="C1" s="55"/>
      <c r="D1" s="55"/>
      <c r="E1" s="55"/>
      <c r="F1" s="55"/>
      <c r="G1" s="55"/>
      <c r="H1" s="56"/>
    </row>
    <row r="2" spans="1:8" x14ac:dyDescent="0.25">
      <c r="A2" s="59" t="str">
        <f>'BS  Notes  3-18'!$A$2</f>
        <v>Notes to Financial Statements for the year ended 31 March 2026</v>
      </c>
      <c r="B2" s="5"/>
      <c r="C2" s="5"/>
      <c r="D2" s="5"/>
      <c r="E2" s="5"/>
      <c r="F2" s="5"/>
      <c r="G2" s="5"/>
      <c r="H2" s="181" t="str">
        <f>Input!$D$2</f>
        <v>(₹ in Lakh)</v>
      </c>
    </row>
    <row r="3" spans="1:8" x14ac:dyDescent="0.25">
      <c r="A3" s="18"/>
      <c r="H3" s="58"/>
    </row>
    <row r="4" spans="1:8" x14ac:dyDescent="0.25">
      <c r="A4" s="27" t="str">
        <f>+CONCATENATE("NOTE ",Input!$D$100)</f>
        <v xml:space="preserve">NOTE </v>
      </c>
      <c r="H4" s="58"/>
    </row>
    <row r="5" spans="1:8" x14ac:dyDescent="0.25">
      <c r="A5" s="27" t="s">
        <v>567</v>
      </c>
      <c r="H5" s="58"/>
    </row>
    <row r="6" spans="1:8" x14ac:dyDescent="0.25">
      <c r="A6" s="18"/>
      <c r="B6" s="4" t="s">
        <v>568</v>
      </c>
      <c r="H6" s="58"/>
    </row>
    <row r="7" spans="1:8" x14ac:dyDescent="0.25">
      <c r="A7" s="18"/>
      <c r="B7" s="265" t="s">
        <v>569</v>
      </c>
      <c r="C7" s="265"/>
      <c r="D7" s="265"/>
      <c r="E7" s="265"/>
      <c r="F7" s="265"/>
      <c r="H7" s="58"/>
    </row>
    <row r="8" spans="1:8" ht="74.25" customHeight="1" x14ac:dyDescent="0.25">
      <c r="A8" s="18"/>
      <c r="B8" s="1961" t="s">
        <v>716</v>
      </c>
      <c r="C8" s="1961"/>
      <c r="D8" s="1961"/>
      <c r="E8" s="1961"/>
      <c r="F8" s="1961"/>
      <c r="G8" s="1961"/>
      <c r="H8" s="1962"/>
    </row>
    <row r="9" spans="1:8" ht="45" customHeight="1" x14ac:dyDescent="0.25">
      <c r="A9" s="18"/>
      <c r="B9" s="2022" t="s">
        <v>570</v>
      </c>
      <c r="C9" s="2022"/>
      <c r="D9" s="2022"/>
      <c r="E9" s="2022"/>
      <c r="F9" s="2022"/>
      <c r="G9" s="2022"/>
      <c r="H9" s="2023"/>
    </row>
    <row r="10" spans="1:8" ht="107.25" customHeight="1" x14ac:dyDescent="0.25">
      <c r="A10" s="18"/>
      <c r="B10" s="1961" t="s">
        <v>571</v>
      </c>
      <c r="C10" s="1961"/>
      <c r="D10" s="1961"/>
      <c r="E10" s="1961"/>
      <c r="F10" s="1961"/>
      <c r="G10" s="1961"/>
      <c r="H10" s="1962"/>
    </row>
    <row r="11" spans="1:8" ht="195.75" customHeight="1" x14ac:dyDescent="0.25">
      <c r="A11" s="18"/>
      <c r="B11" s="1961" t="s">
        <v>572</v>
      </c>
      <c r="C11" s="1961"/>
      <c r="D11" s="1961"/>
      <c r="E11" s="1961"/>
      <c r="F11" s="1961"/>
      <c r="G11" s="1961"/>
      <c r="H11" s="1962"/>
    </row>
    <row r="12" spans="1:8" x14ac:dyDescent="0.25">
      <c r="A12" s="18"/>
      <c r="B12" s="315"/>
      <c r="C12" s="315"/>
      <c r="D12" s="315"/>
      <c r="E12" s="315"/>
      <c r="F12" s="315"/>
      <c r="G12" s="315"/>
      <c r="H12" s="465"/>
    </row>
    <row r="13" spans="1:8" x14ac:dyDescent="0.25">
      <c r="A13" s="368" t="s">
        <v>603</v>
      </c>
      <c r="B13" s="4" t="s">
        <v>604</v>
      </c>
      <c r="C13" s="315"/>
      <c r="D13" s="315"/>
      <c r="E13" s="315"/>
      <c r="F13" s="315"/>
      <c r="G13" s="315"/>
      <c r="H13" s="465"/>
    </row>
    <row r="14" spans="1:8" ht="29.25" customHeight="1" x14ac:dyDescent="0.25">
      <c r="A14" s="18"/>
      <c r="B14" s="1961" t="s">
        <v>605</v>
      </c>
      <c r="C14" s="1961"/>
      <c r="D14" s="1961"/>
      <c r="E14" s="1961"/>
      <c r="F14" s="1961"/>
      <c r="G14" s="1961"/>
      <c r="H14" s="1962"/>
    </row>
    <row r="15" spans="1:8" x14ac:dyDescent="0.25">
      <c r="A15" s="18"/>
      <c r="B15" s="315"/>
      <c r="C15" s="315"/>
      <c r="D15" s="315"/>
      <c r="E15" s="315"/>
      <c r="F15" s="315"/>
      <c r="G15" s="315"/>
      <c r="H15" s="465"/>
    </row>
    <row r="16" spans="1:8" ht="15.75" thickBot="1" x14ac:dyDescent="0.3">
      <c r="A16" s="18"/>
      <c r="B16" s="473" t="s">
        <v>606</v>
      </c>
      <c r="C16" s="315"/>
      <c r="D16" s="315"/>
      <c r="E16" s="315"/>
      <c r="F16" s="315"/>
      <c r="G16" s="315"/>
      <c r="H16" s="465"/>
    </row>
    <row r="17" spans="1:8" ht="30" x14ac:dyDescent="0.25">
      <c r="A17" s="18"/>
      <c r="B17" s="373"/>
      <c r="C17" s="374"/>
      <c r="D17" s="374"/>
      <c r="E17" s="369" t="s">
        <v>607</v>
      </c>
      <c r="F17" s="370" t="s">
        <v>608</v>
      </c>
      <c r="G17" s="370" t="s">
        <v>609</v>
      </c>
      <c r="H17" s="371" t="s">
        <v>79</v>
      </c>
    </row>
    <row r="18" spans="1:8" x14ac:dyDescent="0.25">
      <c r="A18" s="18"/>
      <c r="B18" s="375" t="s">
        <v>3</v>
      </c>
      <c r="C18" s="286"/>
      <c r="D18" s="315"/>
      <c r="E18" s="315"/>
      <c r="F18" s="315"/>
      <c r="G18" s="315"/>
      <c r="H18" s="465"/>
    </row>
    <row r="19" spans="1:8" x14ac:dyDescent="0.25">
      <c r="A19" s="18"/>
      <c r="B19" s="21" t="s">
        <v>4</v>
      </c>
      <c r="C19" s="3"/>
      <c r="D19" s="315"/>
      <c r="E19" s="315"/>
      <c r="F19" s="315"/>
      <c r="G19" s="315"/>
      <c r="H19" s="465"/>
    </row>
    <row r="20" spans="1:8" x14ac:dyDescent="0.25">
      <c r="A20" s="18"/>
      <c r="B20" s="376" t="s">
        <v>87</v>
      </c>
      <c r="C20" s="6"/>
      <c r="D20" s="315"/>
      <c r="E20" s="474"/>
      <c r="F20" s="474">
        <f>H20-G20</f>
        <v>0</v>
      </c>
      <c r="G20" s="474">
        <v>0</v>
      </c>
      <c r="H20" s="387">
        <f>BS!F8</f>
        <v>0</v>
      </c>
    </row>
    <row r="21" spans="1:8" x14ac:dyDescent="0.25">
      <c r="A21" s="18"/>
      <c r="B21" s="376" t="s">
        <v>289</v>
      </c>
      <c r="C21" s="6"/>
      <c r="D21" s="315"/>
      <c r="E21" s="474"/>
      <c r="F21" s="474">
        <f t="shared" ref="F21:F23" si="0">H21-G21</f>
        <v>1646</v>
      </c>
      <c r="G21" s="474">
        <v>0</v>
      </c>
      <c r="H21" s="387">
        <f>BS!F9</f>
        <v>1646</v>
      </c>
    </row>
    <row r="22" spans="1:8" x14ac:dyDescent="0.25">
      <c r="A22" s="18"/>
      <c r="B22" s="376" t="s">
        <v>158</v>
      </c>
      <c r="C22" s="6"/>
      <c r="D22" s="315"/>
      <c r="E22" s="474"/>
      <c r="F22" s="474">
        <f t="shared" si="0"/>
        <v>0</v>
      </c>
      <c r="G22" s="474">
        <v>0</v>
      </c>
      <c r="H22" s="387">
        <f>BS!F10</f>
        <v>0</v>
      </c>
    </row>
    <row r="23" spans="1:8" x14ac:dyDescent="0.25">
      <c r="A23" s="18"/>
      <c r="B23" s="376" t="s">
        <v>78</v>
      </c>
      <c r="C23" s="6"/>
      <c r="D23" s="315"/>
      <c r="E23" s="474"/>
      <c r="F23" s="474">
        <f t="shared" si="0"/>
        <v>0</v>
      </c>
      <c r="G23" s="474">
        <v>0</v>
      </c>
      <c r="H23" s="387">
        <f>BS!F11</f>
        <v>0</v>
      </c>
    </row>
    <row r="24" spans="1:8" x14ac:dyDescent="0.25">
      <c r="A24" s="18"/>
      <c r="B24" s="365" t="s">
        <v>15</v>
      </c>
      <c r="C24" s="232"/>
      <c r="D24" s="372"/>
      <c r="E24" s="388"/>
      <c r="F24" s="392">
        <f>SUM(F20:F23)</f>
        <v>1646</v>
      </c>
      <c r="G24" s="392">
        <f>SUM(G20:G23)</f>
        <v>0</v>
      </c>
      <c r="H24" s="393">
        <f>SUM(H20:H23)</f>
        <v>1646</v>
      </c>
    </row>
    <row r="25" spans="1:8" x14ac:dyDescent="0.25">
      <c r="A25" s="18"/>
      <c r="B25" s="21"/>
      <c r="C25" s="3"/>
      <c r="D25" s="315"/>
      <c r="E25" s="474"/>
      <c r="F25" s="474"/>
      <c r="G25" s="474"/>
      <c r="H25" s="387"/>
    </row>
    <row r="26" spans="1:8" x14ac:dyDescent="0.25">
      <c r="A26" s="18"/>
      <c r="B26" s="21" t="s">
        <v>16</v>
      </c>
      <c r="C26" s="3"/>
      <c r="D26" s="315"/>
      <c r="E26" s="474"/>
      <c r="F26" s="474"/>
      <c r="G26" s="474"/>
      <c r="H26" s="387"/>
    </row>
    <row r="27" spans="1:8" x14ac:dyDescent="0.25">
      <c r="A27" s="18"/>
      <c r="B27" s="376" t="s">
        <v>13</v>
      </c>
      <c r="C27" s="6"/>
      <c r="D27" s="315"/>
      <c r="E27" s="474"/>
      <c r="F27" s="474"/>
      <c r="G27" s="474"/>
      <c r="H27" s="387"/>
    </row>
    <row r="28" spans="1:8" x14ac:dyDescent="0.25">
      <c r="A28" s="18"/>
      <c r="B28" s="377" t="s">
        <v>483</v>
      </c>
      <c r="C28" s="227"/>
      <c r="D28" s="315"/>
      <c r="E28" s="474"/>
      <c r="F28" s="474">
        <f t="shared" ref="F28:F29" si="1">H28-G28</f>
        <v>24</v>
      </c>
      <c r="G28" s="474">
        <v>0</v>
      </c>
      <c r="H28" s="387">
        <f>BS!F25</f>
        <v>24</v>
      </c>
    </row>
    <row r="29" spans="1:8" x14ac:dyDescent="0.25">
      <c r="A29" s="18"/>
      <c r="B29" s="376" t="s">
        <v>17</v>
      </c>
      <c r="C29" s="6"/>
      <c r="D29" s="315"/>
      <c r="E29" s="474"/>
      <c r="F29" s="474">
        <f t="shared" si="1"/>
        <v>296</v>
      </c>
      <c r="G29" s="474">
        <v>0</v>
      </c>
      <c r="H29" s="387">
        <f>BS!F29</f>
        <v>296</v>
      </c>
    </row>
    <row r="30" spans="1:8" x14ac:dyDescent="0.25">
      <c r="A30" s="18"/>
      <c r="B30" s="365" t="s">
        <v>18</v>
      </c>
      <c r="C30" s="232"/>
      <c r="D30" s="372"/>
      <c r="E30" s="388"/>
      <c r="F30" s="392">
        <f>SUM(F28:F29)</f>
        <v>320</v>
      </c>
      <c r="G30" s="392">
        <f>SUM(G28:G29)</f>
        <v>0</v>
      </c>
      <c r="H30" s="393">
        <f>SUM(H28:H29)</f>
        <v>320</v>
      </c>
    </row>
    <row r="31" spans="1:8" x14ac:dyDescent="0.25">
      <c r="A31" s="18"/>
      <c r="B31" s="381" t="s">
        <v>19</v>
      </c>
      <c r="C31" s="382"/>
      <c r="D31" s="383"/>
      <c r="E31" s="390"/>
      <c r="F31" s="394">
        <f>F24+F30</f>
        <v>1966</v>
      </c>
      <c r="G31" s="394">
        <f>G24+G30</f>
        <v>0</v>
      </c>
      <c r="H31" s="398">
        <f>H24+H30</f>
        <v>1966</v>
      </c>
    </row>
    <row r="32" spans="1:8" x14ac:dyDescent="0.25">
      <c r="A32" s="18"/>
      <c r="B32" s="21"/>
      <c r="C32" s="3"/>
      <c r="D32" s="315"/>
      <c r="E32" s="474"/>
      <c r="F32" s="474"/>
      <c r="G32" s="474"/>
      <c r="H32" s="387"/>
    </row>
    <row r="33" spans="1:8" x14ac:dyDescent="0.25">
      <c r="A33" s="18"/>
      <c r="B33" s="375" t="s">
        <v>20</v>
      </c>
      <c r="C33" s="286"/>
      <c r="D33" s="315"/>
      <c r="E33" s="474"/>
      <c r="F33" s="474"/>
      <c r="G33" s="474"/>
      <c r="H33" s="387"/>
    </row>
    <row r="34" spans="1:8" x14ac:dyDescent="0.25">
      <c r="A34" s="18"/>
      <c r="B34" s="21" t="s">
        <v>21</v>
      </c>
      <c r="C34" s="3"/>
      <c r="D34" s="315"/>
      <c r="E34" s="474"/>
      <c r="F34" s="474"/>
      <c r="G34" s="474"/>
      <c r="H34" s="387"/>
    </row>
    <row r="35" spans="1:8" x14ac:dyDescent="0.25">
      <c r="A35" s="18"/>
      <c r="B35" s="376" t="s">
        <v>23</v>
      </c>
      <c r="C35" s="6"/>
      <c r="D35" s="315"/>
      <c r="E35" s="474"/>
      <c r="F35" s="474">
        <f t="shared" ref="F35:F36" si="2">H35-G35</f>
        <v>100</v>
      </c>
      <c r="G35" s="474">
        <v>0</v>
      </c>
      <c r="H35" s="387">
        <f>BS!F35</f>
        <v>100</v>
      </c>
    </row>
    <row r="36" spans="1:8" x14ac:dyDescent="0.25">
      <c r="A36" s="18"/>
      <c r="B36" s="376" t="s">
        <v>24</v>
      </c>
      <c r="C36" s="6"/>
      <c r="D36" s="315"/>
      <c r="E36" s="397" t="s">
        <v>687</v>
      </c>
      <c r="F36" s="474" t="e">
        <f t="shared" si="2"/>
        <v>#REF!</v>
      </c>
      <c r="G36" s="474">
        <f>ROUND(('TB BVS 31.3.22'!K32+'TB BVS 31.3.22'!K35)/Input!C2,Input!E2)+ROUND('TB BVS 31.3.22'!K31/Input!C2,Input!E2)-ROUND(('TB BVS 31.3.22'!K36)/Input!$C$2,Input!$E$2)</f>
        <v>-753</v>
      </c>
      <c r="H36" s="387" t="e">
        <f>BS!F37</f>
        <v>#REF!</v>
      </c>
    </row>
    <row r="37" spans="1:8" ht="15.75" thickBot="1" x14ac:dyDescent="0.3">
      <c r="A37" s="363"/>
      <c r="B37" s="379" t="s">
        <v>25</v>
      </c>
      <c r="C37" s="380"/>
      <c r="D37" s="402"/>
      <c r="E37" s="404"/>
      <c r="F37" s="405" t="e">
        <f>SUM(F35:F36)</f>
        <v>#REF!</v>
      </c>
      <c r="G37" s="405">
        <f>SUM(G35:G36)</f>
        <v>-753</v>
      </c>
      <c r="H37" s="403" t="e">
        <f>SUM(H35:H36)</f>
        <v>#REF!</v>
      </c>
    </row>
    <row r="38" spans="1:8" x14ac:dyDescent="0.25">
      <c r="A38" s="416"/>
      <c r="B38" s="19" t="s">
        <v>606</v>
      </c>
      <c r="C38" s="417"/>
      <c r="D38" s="418"/>
      <c r="E38" s="419"/>
      <c r="F38" s="419"/>
      <c r="G38" s="419"/>
      <c r="H38" s="420"/>
    </row>
    <row r="39" spans="1:8" x14ac:dyDescent="0.25">
      <c r="A39" s="18"/>
      <c r="B39" s="375" t="s">
        <v>26</v>
      </c>
      <c r="C39" s="286"/>
      <c r="D39" s="315"/>
      <c r="E39" s="474"/>
      <c r="F39" s="474"/>
      <c r="G39" s="474"/>
      <c r="H39" s="387"/>
    </row>
    <row r="40" spans="1:8" x14ac:dyDescent="0.25">
      <c r="A40" s="18"/>
      <c r="B40" s="21" t="s">
        <v>27</v>
      </c>
      <c r="C40" s="3"/>
      <c r="D40" s="315"/>
      <c r="E40" s="474"/>
      <c r="F40" s="474"/>
      <c r="G40" s="474"/>
      <c r="H40" s="387"/>
    </row>
    <row r="41" spans="1:8" x14ac:dyDescent="0.25">
      <c r="A41" s="18"/>
      <c r="B41" s="376" t="s">
        <v>28</v>
      </c>
      <c r="C41" s="6"/>
      <c r="D41" s="315"/>
      <c r="E41" s="474"/>
      <c r="F41" s="474"/>
      <c r="G41" s="474"/>
      <c r="H41" s="387"/>
    </row>
    <row r="42" spans="1:8" x14ac:dyDescent="0.25">
      <c r="A42" s="18"/>
      <c r="B42" s="377" t="s">
        <v>29</v>
      </c>
      <c r="C42" s="227"/>
      <c r="D42" s="315"/>
      <c r="E42" s="396" t="s">
        <v>688</v>
      </c>
      <c r="F42" s="474">
        <f t="shared" ref="F42:F43" si="3">H42-G42</f>
        <v>0</v>
      </c>
      <c r="G42" s="474">
        <f>-ROUND(('TB BVS 31.3.22'!K32+'TB BVS 31.3.22'!K35)/Input!C2,Input!E2)</f>
        <v>495</v>
      </c>
      <c r="H42" s="387">
        <f>BS!F43</f>
        <v>495</v>
      </c>
    </row>
    <row r="43" spans="1:8" x14ac:dyDescent="0.25">
      <c r="A43" s="18"/>
      <c r="B43" s="376" t="s">
        <v>31</v>
      </c>
      <c r="C43" s="6"/>
      <c r="D43" s="315"/>
      <c r="E43" s="396" t="s">
        <v>689</v>
      </c>
      <c r="F43" s="474">
        <f t="shared" si="3"/>
        <v>-258</v>
      </c>
      <c r="G43" s="474">
        <f>-ROUND('TB BVS 31.3.22'!K31/Input!C2,Input!E2)+ROUND(('TB BVS 31.3.22'!K36)/Input!$C$2,Input!$E$2)</f>
        <v>258</v>
      </c>
      <c r="H43" s="387">
        <f>BS!F16</f>
        <v>0</v>
      </c>
    </row>
    <row r="44" spans="1:8" x14ac:dyDescent="0.25">
      <c r="A44" s="18"/>
      <c r="B44" s="365" t="s">
        <v>32</v>
      </c>
      <c r="C44" s="232"/>
      <c r="D44" s="372"/>
      <c r="E44" s="388"/>
      <c r="F44" s="392">
        <f>SUM(F42:F43)</f>
        <v>-258</v>
      </c>
      <c r="G44" s="392">
        <f>SUM(G42:G43)</f>
        <v>753</v>
      </c>
      <c r="H44" s="393">
        <f>SUM(H42:H43)</f>
        <v>495</v>
      </c>
    </row>
    <row r="45" spans="1:8" x14ac:dyDescent="0.25">
      <c r="A45" s="18"/>
      <c r="B45" s="21"/>
      <c r="C45" s="3"/>
      <c r="D45" s="315"/>
      <c r="E45" s="474"/>
      <c r="F45" s="474"/>
      <c r="G45" s="474"/>
      <c r="H45" s="387"/>
    </row>
    <row r="46" spans="1:8" x14ac:dyDescent="0.25">
      <c r="A46" s="18"/>
      <c r="B46" s="21" t="s">
        <v>33</v>
      </c>
      <c r="C46" s="3"/>
      <c r="D46" s="315"/>
      <c r="E46" s="474"/>
      <c r="F46" s="474"/>
      <c r="G46" s="474"/>
      <c r="H46" s="387"/>
    </row>
    <row r="47" spans="1:8" x14ac:dyDescent="0.25">
      <c r="A47" s="18"/>
      <c r="B47" s="376" t="s">
        <v>28</v>
      </c>
      <c r="C47" s="6"/>
      <c r="D47" s="315"/>
      <c r="E47" s="474"/>
      <c r="F47" s="474"/>
      <c r="G47" s="474"/>
      <c r="H47" s="387"/>
    </row>
    <row r="48" spans="1:8" x14ac:dyDescent="0.25">
      <c r="A48" s="18"/>
      <c r="B48" s="377" t="s">
        <v>29</v>
      </c>
      <c r="C48" s="227"/>
      <c r="D48" s="315"/>
      <c r="E48" s="474"/>
      <c r="F48" s="474">
        <f t="shared" ref="F48:F52" si="4">H48-G48</f>
        <v>30</v>
      </c>
      <c r="G48" s="474">
        <v>0</v>
      </c>
      <c r="H48" s="387">
        <f>BS!F50</f>
        <v>30</v>
      </c>
    </row>
    <row r="49" spans="1:8" x14ac:dyDescent="0.25">
      <c r="A49" s="18"/>
      <c r="B49" s="377" t="s">
        <v>521</v>
      </c>
      <c r="C49" s="227"/>
      <c r="D49" s="315"/>
      <c r="E49" s="474"/>
      <c r="F49" s="474"/>
      <c r="G49" s="474"/>
      <c r="H49" s="387"/>
    </row>
    <row r="50" spans="1:8" x14ac:dyDescent="0.25">
      <c r="A50" s="18"/>
      <c r="B50" s="378" t="s">
        <v>115</v>
      </c>
      <c r="C50" s="287"/>
      <c r="D50" s="315"/>
      <c r="E50" s="474"/>
      <c r="F50" s="474">
        <f t="shared" si="4"/>
        <v>0</v>
      </c>
      <c r="G50" s="474">
        <v>0</v>
      </c>
      <c r="H50" s="387">
        <f>BS!F53</f>
        <v>0</v>
      </c>
    </row>
    <row r="51" spans="1:8" x14ac:dyDescent="0.25">
      <c r="A51" s="18"/>
      <c r="B51" s="378" t="s">
        <v>114</v>
      </c>
      <c r="C51" s="288"/>
      <c r="D51" s="315"/>
      <c r="E51" s="474"/>
      <c r="F51" s="474">
        <f t="shared" si="4"/>
        <v>14</v>
      </c>
      <c r="G51" s="474">
        <v>0</v>
      </c>
      <c r="H51" s="387">
        <f>BS!F54</f>
        <v>14</v>
      </c>
    </row>
    <row r="52" spans="1:8" x14ac:dyDescent="0.25">
      <c r="A52" s="18"/>
      <c r="B52" s="376" t="s">
        <v>36</v>
      </c>
      <c r="C52" s="6"/>
      <c r="D52" s="315"/>
      <c r="E52" s="474"/>
      <c r="F52" s="474">
        <f t="shared" si="4"/>
        <v>0</v>
      </c>
      <c r="G52" s="474">
        <v>0</v>
      </c>
      <c r="H52" s="387">
        <f>BS!F56</f>
        <v>0</v>
      </c>
    </row>
    <row r="53" spans="1:8" x14ac:dyDescent="0.25">
      <c r="A53" s="18"/>
      <c r="B53" s="384" t="s">
        <v>37</v>
      </c>
      <c r="C53" s="385"/>
      <c r="D53" s="386"/>
      <c r="E53" s="391"/>
      <c r="F53" s="395">
        <f>SUM(F48:F52)</f>
        <v>44</v>
      </c>
      <c r="G53" s="395">
        <f t="shared" ref="G53:H53" si="5">SUM(G48:G52)</f>
        <v>0</v>
      </c>
      <c r="H53" s="406">
        <f t="shared" si="5"/>
        <v>44</v>
      </c>
    </row>
    <row r="54" spans="1:8" x14ac:dyDescent="0.25">
      <c r="A54" s="18"/>
      <c r="B54" s="365" t="s">
        <v>38</v>
      </c>
      <c r="C54" s="232"/>
      <c r="D54" s="372"/>
      <c r="E54" s="388"/>
      <c r="F54" s="392">
        <f>F44+F53</f>
        <v>-214</v>
      </c>
      <c r="G54" s="392">
        <f t="shared" ref="G54:H54" si="6">G44+G53</f>
        <v>753</v>
      </c>
      <c r="H54" s="393">
        <f t="shared" si="6"/>
        <v>539</v>
      </c>
    </row>
    <row r="55" spans="1:8" ht="15.75" thickBot="1" x14ac:dyDescent="0.3">
      <c r="A55" s="18"/>
      <c r="B55" s="407" t="s">
        <v>39</v>
      </c>
      <c r="C55" s="408"/>
      <c r="D55" s="409"/>
      <c r="E55" s="410"/>
      <c r="F55" s="411" t="e">
        <f>F37+F54</f>
        <v>#REF!</v>
      </c>
      <c r="G55" s="411">
        <f t="shared" ref="G55:H55" si="7">G37+G54</f>
        <v>0</v>
      </c>
      <c r="H55" s="412" t="e">
        <f t="shared" si="7"/>
        <v>#REF!</v>
      </c>
    </row>
    <row r="56" spans="1:8" x14ac:dyDescent="0.25">
      <c r="A56" s="18"/>
      <c r="B56" s="2020" t="s">
        <v>670</v>
      </c>
      <c r="C56" s="2020"/>
      <c r="D56" s="2020"/>
      <c r="E56" s="2020"/>
      <c r="F56" s="2020"/>
      <c r="G56" s="2020"/>
      <c r="H56" s="2021"/>
    </row>
    <row r="57" spans="1:8" x14ac:dyDescent="0.25">
      <c r="A57" s="18"/>
      <c r="B57" s="315"/>
      <c r="C57" s="315"/>
      <c r="D57" s="315"/>
      <c r="E57" s="315"/>
      <c r="F57" s="315"/>
      <c r="G57" s="315"/>
      <c r="H57" s="465"/>
    </row>
    <row r="58" spans="1:8" ht="15.75" thickBot="1" x14ac:dyDescent="0.3">
      <c r="A58" s="18"/>
      <c r="B58" s="2020" t="s">
        <v>612</v>
      </c>
      <c r="C58" s="2020"/>
      <c r="D58" s="2020"/>
      <c r="E58" s="2020"/>
      <c r="F58" s="2020"/>
      <c r="G58" s="2020"/>
      <c r="H58" s="2021"/>
    </row>
    <row r="59" spans="1:8" ht="30.75" customHeight="1" x14ac:dyDescent="0.25">
      <c r="A59" s="18"/>
      <c r="B59" s="373"/>
      <c r="C59" s="374"/>
      <c r="D59" s="374"/>
      <c r="E59" s="369" t="s">
        <v>607</v>
      </c>
      <c r="F59" s="370" t="s">
        <v>608</v>
      </c>
      <c r="G59" s="370" t="s">
        <v>609</v>
      </c>
      <c r="H59" s="371" t="s">
        <v>79</v>
      </c>
    </row>
    <row r="60" spans="1:8" x14ac:dyDescent="0.25">
      <c r="A60" s="18"/>
      <c r="B60" s="413" t="s">
        <v>97</v>
      </c>
      <c r="C60" s="286"/>
      <c r="D60" s="315"/>
      <c r="E60" s="315"/>
      <c r="F60" s="315"/>
      <c r="G60" s="315"/>
      <c r="H60" s="465"/>
    </row>
    <row r="61" spans="1:8" x14ac:dyDescent="0.25">
      <c r="A61" s="18"/>
      <c r="B61" s="376" t="s">
        <v>51</v>
      </c>
      <c r="C61" s="6"/>
      <c r="D61" s="315"/>
      <c r="E61" s="399" t="s">
        <v>688</v>
      </c>
      <c r="F61" s="474">
        <f>H61-G61</f>
        <v>34</v>
      </c>
      <c r="G61" s="474">
        <f>ROUND(('TB BVS 31.3.22'!J33)/Input!$C$2,Input!$E$2)</f>
        <v>4</v>
      </c>
      <c r="H61" s="387">
        <f>PL!F17</f>
        <v>38</v>
      </c>
    </row>
    <row r="62" spans="1:8" x14ac:dyDescent="0.25">
      <c r="A62" s="18"/>
      <c r="B62" s="376" t="s">
        <v>589</v>
      </c>
      <c r="C62" s="6"/>
      <c r="D62" s="315"/>
      <c r="E62" s="315"/>
      <c r="F62" s="474">
        <f t="shared" ref="F62:F63" si="8">H62-G62</f>
        <v>6</v>
      </c>
      <c r="G62" s="474">
        <v>0</v>
      </c>
      <c r="H62" s="387">
        <f>PL!F18</f>
        <v>6</v>
      </c>
    </row>
    <row r="63" spans="1:8" x14ac:dyDescent="0.25">
      <c r="A63" s="18"/>
      <c r="B63" s="376" t="s">
        <v>53</v>
      </c>
      <c r="C63" s="6"/>
      <c r="D63" s="315"/>
      <c r="E63" s="315"/>
      <c r="F63" s="474">
        <f t="shared" si="8"/>
        <v>38</v>
      </c>
      <c r="G63" s="474">
        <v>0</v>
      </c>
      <c r="H63" s="387">
        <f>PL!F19</f>
        <v>38</v>
      </c>
    </row>
    <row r="64" spans="1:8" x14ac:dyDescent="0.25">
      <c r="A64" s="18"/>
      <c r="B64" s="365" t="s">
        <v>613</v>
      </c>
      <c r="C64" s="232"/>
      <c r="D64" s="372"/>
      <c r="E64" s="372"/>
      <c r="F64" s="392">
        <f>SUM(F61:F63)</f>
        <v>78</v>
      </c>
      <c r="G64" s="392">
        <f>SUM(G61:G63)</f>
        <v>4</v>
      </c>
      <c r="H64" s="393">
        <f>SUM(H61:H63)</f>
        <v>82</v>
      </c>
    </row>
    <row r="65" spans="1:8" x14ac:dyDescent="0.25">
      <c r="A65" s="18"/>
      <c r="B65" s="381" t="s">
        <v>614</v>
      </c>
      <c r="C65" s="382"/>
      <c r="D65" s="383"/>
      <c r="E65" s="383"/>
      <c r="F65" s="394">
        <f>-F64</f>
        <v>-78</v>
      </c>
      <c r="G65" s="394">
        <f>-G64</f>
        <v>-4</v>
      </c>
      <c r="H65" s="398">
        <f>-H64</f>
        <v>-82</v>
      </c>
    </row>
    <row r="66" spans="1:8" x14ac:dyDescent="0.25">
      <c r="A66" s="18"/>
      <c r="B66" s="414" t="s">
        <v>58</v>
      </c>
      <c r="C66" s="468"/>
      <c r="D66" s="315"/>
      <c r="E66" s="315"/>
      <c r="F66" s="474"/>
      <c r="G66" s="474"/>
      <c r="H66" s="387"/>
    </row>
    <row r="67" spans="1:8" x14ac:dyDescent="0.25">
      <c r="A67" s="18"/>
      <c r="B67" s="376" t="s">
        <v>59</v>
      </c>
      <c r="C67" s="6"/>
      <c r="D67" s="315"/>
      <c r="E67" s="315"/>
      <c r="F67" s="474">
        <f t="shared" ref="F67:F68" si="9">H67-G67</f>
        <v>0</v>
      </c>
      <c r="G67" s="474">
        <v>0</v>
      </c>
      <c r="H67" s="387">
        <f>PL!F23</f>
        <v>0</v>
      </c>
    </row>
    <row r="68" spans="1:8" x14ac:dyDescent="0.25">
      <c r="A68" s="18"/>
      <c r="B68" s="376" t="s">
        <v>588</v>
      </c>
      <c r="C68" s="6"/>
      <c r="D68" s="315"/>
      <c r="E68" s="399" t="s">
        <v>689</v>
      </c>
      <c r="F68" s="474">
        <f t="shared" si="9"/>
        <v>0</v>
      </c>
      <c r="G68" s="474">
        <f>ROUND(('TB BVS 31.3.22'!K36)/Input!$C$2,Input!$E$2)</f>
        <v>-1</v>
      </c>
      <c r="H68" s="387">
        <f>PL!F24</f>
        <v>-1</v>
      </c>
    </row>
    <row r="69" spans="1:8" x14ac:dyDescent="0.25">
      <c r="A69" s="18"/>
      <c r="B69" s="415" t="s">
        <v>60</v>
      </c>
      <c r="C69" s="364"/>
      <c r="D69" s="372"/>
      <c r="E69" s="372"/>
      <c r="F69" s="392">
        <f>SUM(F67:F68)</f>
        <v>0</v>
      </c>
      <c r="G69" s="392">
        <f>SUM(G67:G68)</f>
        <v>-1</v>
      </c>
      <c r="H69" s="393">
        <f>SUM(H67:H68)</f>
        <v>-1</v>
      </c>
    </row>
    <row r="70" spans="1:8" x14ac:dyDescent="0.25">
      <c r="A70" s="18"/>
      <c r="B70" s="381" t="s">
        <v>615</v>
      </c>
      <c r="C70" s="382"/>
      <c r="D70" s="383"/>
      <c r="E70" s="383"/>
      <c r="F70" s="394">
        <f>F65-F69</f>
        <v>-78</v>
      </c>
      <c r="G70" s="394">
        <f>G65-G69</f>
        <v>-3</v>
      </c>
      <c r="H70" s="398">
        <f>H65-H69</f>
        <v>-81</v>
      </c>
    </row>
    <row r="71" spans="1:8" x14ac:dyDescent="0.25">
      <c r="A71" s="18"/>
      <c r="B71" s="21"/>
      <c r="C71" s="3"/>
      <c r="D71" s="315"/>
      <c r="E71" s="315"/>
      <c r="F71" s="474"/>
      <c r="G71" s="474"/>
      <c r="H71" s="387"/>
    </row>
    <row r="72" spans="1:8" x14ac:dyDescent="0.25">
      <c r="A72" s="18"/>
      <c r="B72" s="21" t="s">
        <v>64</v>
      </c>
      <c r="C72" s="3"/>
      <c r="D72" s="315"/>
      <c r="E72" s="315"/>
      <c r="F72" s="474">
        <v>0</v>
      </c>
      <c r="G72" s="474">
        <v>0</v>
      </c>
      <c r="H72" s="387">
        <v>0</v>
      </c>
    </row>
    <row r="73" spans="1:8" x14ac:dyDescent="0.25">
      <c r="A73" s="18"/>
      <c r="B73" s="365" t="s">
        <v>65</v>
      </c>
      <c r="C73" s="232"/>
      <c r="D73" s="372"/>
      <c r="E73" s="372"/>
      <c r="F73" s="388">
        <f>SUM(F72)</f>
        <v>0</v>
      </c>
      <c r="G73" s="388">
        <f>SUM(G72)</f>
        <v>0</v>
      </c>
      <c r="H73" s="389">
        <f>SUM(H72)</f>
        <v>0</v>
      </c>
    </row>
    <row r="74" spans="1:8" ht="15.75" thickBot="1" x14ac:dyDescent="0.3">
      <c r="A74" s="18"/>
      <c r="B74" s="379" t="s">
        <v>616</v>
      </c>
      <c r="C74" s="380"/>
      <c r="D74" s="402"/>
      <c r="E74" s="402"/>
      <c r="F74" s="405">
        <f>F70+F73</f>
        <v>-78</v>
      </c>
      <c r="G74" s="405">
        <f>G70+G73</f>
        <v>-3</v>
      </c>
      <c r="H74" s="403">
        <f>H70+H73</f>
        <v>-81</v>
      </c>
    </row>
    <row r="75" spans="1:8" x14ac:dyDescent="0.25">
      <c r="A75" s="18"/>
      <c r="B75" s="2020" t="s">
        <v>670</v>
      </c>
      <c r="C75" s="2020"/>
      <c r="D75" s="2020"/>
      <c r="E75" s="2020"/>
      <c r="F75" s="2020"/>
      <c r="G75" s="2020"/>
      <c r="H75" s="2021"/>
    </row>
    <row r="76" spans="1:8" x14ac:dyDescent="0.25">
      <c r="A76" s="18"/>
      <c r="B76" s="315"/>
      <c r="C76" s="315"/>
      <c r="D76" s="315"/>
      <c r="E76" s="315"/>
      <c r="F76" s="315"/>
      <c r="G76" s="315"/>
      <c r="H76" s="465"/>
    </row>
    <row r="77" spans="1:8" ht="15.75" thickBot="1" x14ac:dyDescent="0.3">
      <c r="A77" s="18"/>
      <c r="B77" s="473" t="s">
        <v>618</v>
      </c>
      <c r="C77" s="315"/>
      <c r="D77" s="315"/>
      <c r="E77" s="315"/>
      <c r="F77" s="315"/>
      <c r="G77" s="315"/>
      <c r="H77" s="465"/>
    </row>
    <row r="78" spans="1:8" ht="30" x14ac:dyDescent="0.25">
      <c r="A78" s="18"/>
      <c r="B78" s="373"/>
      <c r="C78" s="374"/>
      <c r="D78" s="374"/>
      <c r="E78" s="374"/>
      <c r="F78" s="400"/>
      <c r="G78" s="400" t="s">
        <v>607</v>
      </c>
      <c r="H78" s="371" t="str">
        <f>CONCATENATE("As at ",Input!$C$6)</f>
        <v>As at 31 March 2022</v>
      </c>
    </row>
    <row r="79" spans="1:8" x14ac:dyDescent="0.25">
      <c r="A79" s="18"/>
      <c r="B79" s="27" t="s">
        <v>580</v>
      </c>
      <c r="C79" s="315"/>
      <c r="D79" s="315"/>
      <c r="E79" s="315"/>
      <c r="F79" s="310"/>
      <c r="G79" s="310"/>
      <c r="H79" s="283">
        <f>ROUND(192159083.848137/Input!$C$2,Input!$E$2)</f>
        <v>1922</v>
      </c>
    </row>
    <row r="80" spans="1:8" x14ac:dyDescent="0.25">
      <c r="A80" s="18"/>
      <c r="B80" s="18" t="s">
        <v>581</v>
      </c>
      <c r="C80" s="315"/>
      <c r="D80" s="315"/>
      <c r="E80" s="315"/>
      <c r="F80" s="396"/>
      <c r="G80" s="396" t="s">
        <v>688</v>
      </c>
      <c r="H80" s="276">
        <f>ROUND(('TB BVS 31.3.22'!K32+'TB BVS 31.3.22'!K35)/Input!C2,Input!E2)</f>
        <v>-495</v>
      </c>
    </row>
    <row r="81" spans="1:9" x14ac:dyDescent="0.25">
      <c r="A81" s="18"/>
      <c r="B81" s="18" t="s">
        <v>582</v>
      </c>
      <c r="C81" s="315"/>
      <c r="D81" s="315"/>
      <c r="E81" s="315"/>
      <c r="F81" s="396"/>
      <c r="G81" s="396" t="s">
        <v>689</v>
      </c>
      <c r="H81" s="276">
        <f>ROUND('TB BVS 31.3.22'!K31/Input!C2,Input!E2)+H88</f>
        <v>-258</v>
      </c>
    </row>
    <row r="82" spans="1:9" ht="15.75" customHeight="1" thickBot="1" x14ac:dyDescent="0.3">
      <c r="A82" s="18"/>
      <c r="B82" s="2024" t="s">
        <v>583</v>
      </c>
      <c r="C82" s="2025"/>
      <c r="D82" s="2025"/>
      <c r="E82" s="402"/>
      <c r="F82" s="313"/>
      <c r="G82" s="313"/>
      <c r="H82" s="401">
        <f>SUM(H79:H81)</f>
        <v>1169</v>
      </c>
      <c r="I82" s="279" t="e">
        <f>H82-BS!F38</f>
        <v>#REF!</v>
      </c>
    </row>
    <row r="83" spans="1:9" x14ac:dyDescent="0.25">
      <c r="A83" s="18"/>
      <c r="B83" s="315"/>
      <c r="C83" s="315"/>
      <c r="D83" s="315"/>
      <c r="E83" s="315"/>
      <c r="F83" s="315"/>
      <c r="G83" s="315"/>
      <c r="H83" s="465"/>
    </row>
    <row r="84" spans="1:9" ht="15.75" thickBot="1" x14ac:dyDescent="0.3">
      <c r="A84" s="18"/>
      <c r="B84" s="473" t="s">
        <v>617</v>
      </c>
      <c r="C84" s="315"/>
      <c r="D84" s="315"/>
      <c r="E84" s="315"/>
      <c r="F84" s="315"/>
      <c r="G84" s="315"/>
      <c r="H84" s="465"/>
    </row>
    <row r="85" spans="1:9" ht="30" x14ac:dyDescent="0.25">
      <c r="A85" s="18"/>
      <c r="B85" s="373"/>
      <c r="C85" s="374"/>
      <c r="D85" s="374"/>
      <c r="E85" s="374"/>
      <c r="F85" s="400"/>
      <c r="G85" s="400" t="s">
        <v>607</v>
      </c>
      <c r="H85" s="371" t="str">
        <f>CONCATENATE("As at ",Input!$C$6)</f>
        <v>As at 31 March 2022</v>
      </c>
    </row>
    <row r="86" spans="1:9" x14ac:dyDescent="0.25">
      <c r="A86" s="18"/>
      <c r="B86" s="203" t="s">
        <v>575</v>
      </c>
      <c r="C86" s="315"/>
      <c r="D86" s="315"/>
      <c r="E86" s="315"/>
      <c r="F86" s="310"/>
      <c r="G86" s="310"/>
      <c r="H86" s="283">
        <f>ROUND(-7940372.15186328/Input!$C$2,Input!$E$2)+1</f>
        <v>-78</v>
      </c>
    </row>
    <row r="87" spans="1:9" x14ac:dyDescent="0.25">
      <c r="A87" s="18"/>
      <c r="B87" s="18" t="s">
        <v>576</v>
      </c>
      <c r="C87" s="315"/>
      <c r="D87" s="315"/>
      <c r="E87" s="315"/>
      <c r="F87" s="396"/>
      <c r="G87" s="396" t="s">
        <v>610</v>
      </c>
      <c r="H87" s="276">
        <f>-ROUND(('TB BVS 31.3.22'!J33)/Input!$C$2,Input!$E$2)</f>
        <v>-4</v>
      </c>
    </row>
    <row r="88" spans="1:9" x14ac:dyDescent="0.25">
      <c r="A88" s="18"/>
      <c r="B88" s="18" t="s">
        <v>582</v>
      </c>
      <c r="C88" s="315"/>
      <c r="D88" s="315"/>
      <c r="E88" s="315"/>
      <c r="F88" s="396"/>
      <c r="G88" s="396" t="s">
        <v>611</v>
      </c>
      <c r="H88" s="276">
        <f>-ROUND(('TB BVS 31.3.22'!K36)/Input!$C$2,Input!$E$2)</f>
        <v>1</v>
      </c>
    </row>
    <row r="89" spans="1:9" x14ac:dyDescent="0.25">
      <c r="A89" s="18"/>
      <c r="B89" s="27" t="s">
        <v>577</v>
      </c>
      <c r="C89" s="315"/>
      <c r="D89" s="315"/>
      <c r="E89" s="315"/>
      <c r="F89" s="396"/>
      <c r="G89" s="396"/>
      <c r="H89" s="283">
        <f>SUM(H86:H88)</f>
        <v>-81</v>
      </c>
    </row>
    <row r="90" spans="1:9" x14ac:dyDescent="0.25">
      <c r="A90" s="18"/>
      <c r="B90" s="18" t="s">
        <v>578</v>
      </c>
      <c r="C90" s="315"/>
      <c r="D90" s="315"/>
      <c r="E90" s="315"/>
      <c r="F90" s="396"/>
      <c r="G90" s="396"/>
      <c r="H90" s="276">
        <v>0</v>
      </c>
    </row>
    <row r="91" spans="1:9" ht="15.75" thickBot="1" x14ac:dyDescent="0.3">
      <c r="A91" s="18"/>
      <c r="B91" s="2024" t="s">
        <v>579</v>
      </c>
      <c r="C91" s="2025"/>
      <c r="D91" s="2025"/>
      <c r="E91" s="402"/>
      <c r="F91" s="313"/>
      <c r="G91" s="313"/>
      <c r="H91" s="401">
        <f>H89+H90</f>
        <v>-81</v>
      </c>
      <c r="I91" s="279" t="e">
        <f>H91-PL!F26</f>
        <v>#REF!</v>
      </c>
    </row>
    <row r="92" spans="1:9" x14ac:dyDescent="0.25">
      <c r="A92" s="18"/>
      <c r="B92" s="315"/>
      <c r="C92" s="315"/>
      <c r="D92" s="315"/>
      <c r="E92" s="315"/>
      <c r="F92" s="315"/>
      <c r="G92" s="315"/>
      <c r="H92" s="465"/>
    </row>
    <row r="93" spans="1:9" ht="15.75" thickBot="1" x14ac:dyDescent="0.3">
      <c r="A93" s="18"/>
      <c r="B93" s="4" t="s">
        <v>619</v>
      </c>
      <c r="C93" s="315"/>
      <c r="D93" s="315"/>
      <c r="E93" s="315"/>
      <c r="F93" s="315"/>
      <c r="G93" s="315"/>
      <c r="H93" s="465"/>
    </row>
    <row r="94" spans="1:9" x14ac:dyDescent="0.25">
      <c r="A94" s="18"/>
      <c r="B94" s="373"/>
      <c r="C94" s="374"/>
      <c r="D94" s="374"/>
      <c r="E94" s="400"/>
      <c r="F94" s="370" t="s">
        <v>620</v>
      </c>
      <c r="G94" s="370" t="s">
        <v>609</v>
      </c>
      <c r="H94" s="371" t="s">
        <v>79</v>
      </c>
    </row>
    <row r="95" spans="1:9" x14ac:dyDescent="0.25">
      <c r="A95" s="18"/>
      <c r="B95" s="152" t="s">
        <v>621</v>
      </c>
      <c r="C95" s="315"/>
      <c r="D95" s="315"/>
      <c r="E95" s="315"/>
      <c r="F95" s="474" t="e">
        <f>H95-G95</f>
        <v>#REF!</v>
      </c>
      <c r="G95" s="474">
        <v>0</v>
      </c>
      <c r="H95" s="387" t="e">
        <f>#REF!</f>
        <v>#REF!</v>
      </c>
    </row>
    <row r="96" spans="1:9" x14ac:dyDescent="0.25">
      <c r="A96" s="18"/>
      <c r="B96" s="18" t="s">
        <v>622</v>
      </c>
      <c r="C96" s="315"/>
      <c r="D96" s="315"/>
      <c r="E96" s="315"/>
      <c r="F96" s="474" t="e">
        <f t="shared" ref="F96:F97" si="10">H96-G96</f>
        <v>#REF!</v>
      </c>
      <c r="G96" s="474">
        <v>0</v>
      </c>
      <c r="H96" s="387" t="e">
        <f>#REF!</f>
        <v>#REF!</v>
      </c>
    </row>
    <row r="97" spans="1:8" x14ac:dyDescent="0.25">
      <c r="A97" s="18"/>
      <c r="B97" s="18" t="s">
        <v>623</v>
      </c>
      <c r="C97" s="315"/>
      <c r="D97" s="315"/>
      <c r="E97" s="315"/>
      <c r="F97" s="474" t="e">
        <f t="shared" si="10"/>
        <v>#REF!</v>
      </c>
      <c r="G97" s="474">
        <v>0</v>
      </c>
      <c r="H97" s="387" t="e">
        <f>#REF!</f>
        <v>#REF!</v>
      </c>
    </row>
    <row r="98" spans="1:8" ht="15.75" thickBot="1" x14ac:dyDescent="0.3">
      <c r="A98" s="18"/>
      <c r="B98" s="312" t="s">
        <v>624</v>
      </c>
      <c r="C98" s="402"/>
      <c r="D98" s="402"/>
      <c r="E98" s="402"/>
      <c r="F98" s="405" t="e">
        <f>SUM(F95:F97)</f>
        <v>#REF!</v>
      </c>
      <c r="G98" s="405">
        <f t="shared" ref="G98:H98" si="11">SUM(G95:G97)</f>
        <v>0</v>
      </c>
      <c r="H98" s="403" t="e">
        <f t="shared" si="11"/>
        <v>#REF!</v>
      </c>
    </row>
    <row r="99" spans="1:8" ht="15.75" thickBot="1" x14ac:dyDescent="0.3">
      <c r="A99" s="363"/>
      <c r="B99" s="466"/>
      <c r="C99" s="466"/>
      <c r="D99" s="466"/>
      <c r="E99" s="466"/>
      <c r="F99" s="466"/>
      <c r="G99" s="466"/>
      <c r="H99" s="467"/>
    </row>
    <row r="100" spans="1:8" x14ac:dyDescent="0.25">
      <c r="A100" s="18"/>
      <c r="H100" s="58"/>
    </row>
    <row r="101" spans="1:8" x14ac:dyDescent="0.25">
      <c r="A101" s="27" t="s">
        <v>686</v>
      </c>
      <c r="H101" s="58"/>
    </row>
    <row r="102" spans="1:8" ht="62.25" customHeight="1" x14ac:dyDescent="0.25">
      <c r="A102" s="1731" t="s">
        <v>573</v>
      </c>
      <c r="B102" s="1732"/>
      <c r="C102" s="1732"/>
      <c r="D102" s="1732"/>
      <c r="E102" s="1732"/>
      <c r="F102" s="1732"/>
      <c r="G102" s="1732"/>
      <c r="H102" s="1733"/>
    </row>
    <row r="103" spans="1:8" ht="90" customHeight="1" x14ac:dyDescent="0.25">
      <c r="A103" s="2029" t="s">
        <v>574</v>
      </c>
      <c r="B103" s="1961"/>
      <c r="C103" s="1961"/>
      <c r="D103" s="1961"/>
      <c r="E103" s="1961"/>
      <c r="F103" s="1961"/>
      <c r="G103" s="1961"/>
      <c r="H103" s="1962"/>
    </row>
    <row r="104" spans="1:8" x14ac:dyDescent="0.25">
      <c r="A104" s="27"/>
      <c r="H104" s="58"/>
    </row>
    <row r="105" spans="1:8" x14ac:dyDescent="0.25">
      <c r="A105" s="27" t="str">
        <f>+CONCATENATE("NOTE ",Input!$D$101)</f>
        <v>NOTE 33</v>
      </c>
      <c r="H105" s="58"/>
    </row>
    <row r="106" spans="1:8" x14ac:dyDescent="0.25">
      <c r="A106" s="27" t="s">
        <v>370</v>
      </c>
      <c r="H106" s="58"/>
    </row>
    <row r="107" spans="1:8" ht="164.25" customHeight="1" x14ac:dyDescent="0.25">
      <c r="A107" s="2030" t="s">
        <v>371</v>
      </c>
      <c r="B107" s="2022"/>
      <c r="C107" s="2022"/>
      <c r="D107" s="2022"/>
      <c r="E107" s="2022"/>
      <c r="F107" s="2022"/>
      <c r="G107" s="2022"/>
      <c r="H107" s="2023"/>
    </row>
    <row r="108" spans="1:8" x14ac:dyDescent="0.25">
      <c r="A108" s="18"/>
      <c r="H108" s="58"/>
    </row>
    <row r="109" spans="1:8" ht="30" x14ac:dyDescent="0.25">
      <c r="A109" s="18"/>
      <c r="B109" s="258" t="s">
        <v>0</v>
      </c>
      <c r="C109" s="259"/>
      <c r="D109" s="260"/>
      <c r="E109" s="237" t="str">
        <f>CONCATENATE("As at ",Input!$C$4)</f>
        <v>As at 31 March 2024</v>
      </c>
      <c r="F109" s="237" t="str">
        <f>CONCATENATE("As at ",Input!$C$5)</f>
        <v>As at 31 March 2023</v>
      </c>
      <c r="G109" s="215"/>
      <c r="H109" s="58"/>
    </row>
    <row r="110" spans="1:8" x14ac:dyDescent="0.25">
      <c r="A110" s="18"/>
      <c r="B110" s="2031" t="s">
        <v>372</v>
      </c>
      <c r="C110" s="2032"/>
      <c r="D110" s="2033"/>
      <c r="E110" s="339">
        <f>BS!D43+BS!D50</f>
        <v>31442</v>
      </c>
      <c r="F110" s="339">
        <f>BS!E43+BS!E50</f>
        <v>29153</v>
      </c>
      <c r="G110" s="213"/>
      <c r="H110" s="58"/>
    </row>
    <row r="111" spans="1:8" x14ac:dyDescent="0.25">
      <c r="A111" s="18"/>
      <c r="B111" s="2034" t="s">
        <v>373</v>
      </c>
      <c r="C111" s="2035"/>
      <c r="D111" s="2036"/>
      <c r="E111" s="340">
        <f>BS!D25</f>
        <v>31</v>
      </c>
      <c r="F111" s="340">
        <f>BS!E25</f>
        <v>22</v>
      </c>
      <c r="G111" s="214"/>
      <c r="H111" s="58"/>
    </row>
    <row r="112" spans="1:8" x14ac:dyDescent="0.25">
      <c r="A112" s="18"/>
      <c r="B112" s="1992" t="s">
        <v>374</v>
      </c>
      <c r="C112" s="1993"/>
      <c r="D112" s="1994"/>
      <c r="E112" s="341">
        <f>E110-E111</f>
        <v>31411</v>
      </c>
      <c r="F112" s="342">
        <f>F110-F111</f>
        <v>29131</v>
      </c>
      <c r="G112" s="216"/>
      <c r="H112" s="58"/>
    </row>
    <row r="113" spans="1:8" x14ac:dyDescent="0.25">
      <c r="A113" s="18"/>
      <c r="B113" s="2026" t="s">
        <v>375</v>
      </c>
      <c r="C113" s="2027"/>
      <c r="D113" s="2028"/>
      <c r="E113" s="343">
        <f>BS!D38</f>
        <v>27544.184329500007</v>
      </c>
      <c r="F113" s="343">
        <f>BS!E38</f>
        <v>26778.282920300007</v>
      </c>
      <c r="G113" s="214"/>
      <c r="H113" s="58"/>
    </row>
    <row r="114" spans="1:8" x14ac:dyDescent="0.25">
      <c r="A114" s="18"/>
      <c r="B114" s="261" t="s">
        <v>376</v>
      </c>
      <c r="C114" s="262"/>
      <c r="D114" s="263"/>
      <c r="E114" s="502">
        <f>E112/E113</f>
        <v>1.1403859204630216</v>
      </c>
      <c r="F114" s="357">
        <f>F112/F113</f>
        <v>1.0878591464098861</v>
      </c>
      <c r="G114" s="216"/>
      <c r="H114" s="58"/>
    </row>
    <row r="115" spans="1:8" x14ac:dyDescent="0.25">
      <c r="A115" s="179"/>
      <c r="B115" s="5"/>
      <c r="C115" s="5"/>
      <c r="D115" s="5"/>
      <c r="E115" s="5"/>
      <c r="F115" s="5"/>
      <c r="G115" s="5"/>
      <c r="H115" s="182"/>
    </row>
    <row r="116" spans="1:8" x14ac:dyDescent="0.25">
      <c r="A116" s="18"/>
      <c r="H116" s="58"/>
    </row>
    <row r="117" spans="1:8" x14ac:dyDescent="0.25">
      <c r="A117" s="14" t="s">
        <v>113</v>
      </c>
      <c r="B117" s="6"/>
      <c r="C117" s="10"/>
      <c r="D117" s="10"/>
      <c r="E117" s="11"/>
      <c r="H117" s="58"/>
    </row>
    <row r="118" spans="1:8" x14ac:dyDescent="0.25">
      <c r="A118" s="33"/>
      <c r="B118" s="6"/>
      <c r="C118" s="10"/>
      <c r="D118" s="10"/>
      <c r="E118" s="11"/>
      <c r="H118" s="58"/>
    </row>
    <row r="119" spans="1:8" x14ac:dyDescent="0.25">
      <c r="A119" s="35" t="str">
        <f>BS!$A$66</f>
        <v>For B S R and Co</v>
      </c>
      <c r="B119" s="6"/>
      <c r="C119" s="53"/>
      <c r="D119" s="10"/>
      <c r="E119" s="11"/>
      <c r="F119" s="469">
        <f>BS!$C$66</f>
        <v>0</v>
      </c>
      <c r="G119" s="10"/>
      <c r="H119" s="34"/>
    </row>
    <row r="120" spans="1:8" x14ac:dyDescent="0.25">
      <c r="A120" s="35" t="str">
        <f>BS!$A$67</f>
        <v>Chartered Accountants</v>
      </c>
      <c r="B120" s="6"/>
      <c r="C120" s="53"/>
      <c r="D120" s="10"/>
      <c r="E120" s="11"/>
      <c r="F120" s="53">
        <f>BS!$C$67</f>
        <v>0</v>
      </c>
      <c r="G120" s="10"/>
      <c r="H120" s="34"/>
    </row>
    <row r="121" spans="1:8" x14ac:dyDescent="0.25">
      <c r="A121" s="351" t="str">
        <f>BS!$A$68</f>
        <v>Firm's Registration No: 128510W</v>
      </c>
      <c r="B121" s="6"/>
      <c r="C121" s="53"/>
      <c r="D121" s="10"/>
      <c r="E121" s="11"/>
      <c r="F121" s="469">
        <f>BS!$C$68</f>
        <v>0</v>
      </c>
      <c r="G121" s="10"/>
      <c r="H121" s="34"/>
    </row>
    <row r="122" spans="1:8" x14ac:dyDescent="0.25">
      <c r="A122" s="61"/>
      <c r="B122" s="6"/>
      <c r="C122" s="53"/>
      <c r="D122" s="10"/>
      <c r="E122" s="11"/>
      <c r="F122" s="53"/>
      <c r="G122" s="10"/>
      <c r="H122" s="34"/>
    </row>
    <row r="123" spans="1:8" x14ac:dyDescent="0.25">
      <c r="A123" s="33"/>
      <c r="B123" s="6"/>
      <c r="C123" s="10"/>
      <c r="D123" s="10"/>
      <c r="E123" s="11"/>
      <c r="F123" s="10"/>
      <c r="G123" s="10"/>
      <c r="H123" s="34"/>
    </row>
    <row r="124" spans="1:8" x14ac:dyDescent="0.25">
      <c r="A124" s="17" t="str">
        <f>BS!$A$71</f>
        <v>Jeyur Shah</v>
      </c>
      <c r="B124" s="6"/>
      <c r="C124" s="53"/>
      <c r="D124" s="53"/>
      <c r="E124" s="187"/>
      <c r="F124" s="472">
        <f>BS!$C$71</f>
        <v>0</v>
      </c>
      <c r="G124" s="472" t="str">
        <f>BS!D71</f>
        <v>Shishir Srivastava</v>
      </c>
      <c r="H124" s="60" t="str">
        <f>BS!E71</f>
        <v>Shaju Ouseph Chazhoor</v>
      </c>
    </row>
    <row r="125" spans="1:8" x14ac:dyDescent="0.25">
      <c r="A125" s="17" t="str">
        <f>BS!$A$72</f>
        <v>Partner</v>
      </c>
      <c r="B125" s="6"/>
      <c r="C125" s="53"/>
      <c r="D125" s="53"/>
      <c r="E125" s="187"/>
      <c r="F125" s="472">
        <f>BS!$C$72</f>
        <v>0</v>
      </c>
      <c r="G125" s="472" t="str">
        <f>BS!D72</f>
        <v>Director</v>
      </c>
      <c r="H125" s="60" t="str">
        <f>BS!E72</f>
        <v>Director</v>
      </c>
    </row>
    <row r="126" spans="1:8" x14ac:dyDescent="0.25">
      <c r="A126" s="350" t="str">
        <f>BS!$A$73</f>
        <v>Membership No. 045754</v>
      </c>
      <c r="B126" s="6"/>
      <c r="C126" s="53"/>
      <c r="D126" s="53"/>
      <c r="E126" s="53"/>
      <c r="F126" s="471">
        <f>BS!$C$73</f>
        <v>0</v>
      </c>
      <c r="G126" s="471" t="str">
        <f>BS!D73</f>
        <v>DIN: 00330342</v>
      </c>
      <c r="H126" s="36"/>
    </row>
    <row r="127" spans="1:8" x14ac:dyDescent="0.25">
      <c r="A127" s="17"/>
      <c r="B127" s="6"/>
      <c r="C127" s="53"/>
      <c r="D127" s="53"/>
      <c r="E127" s="53"/>
      <c r="F127" s="471"/>
      <c r="G127" s="471"/>
      <c r="H127" s="36"/>
    </row>
    <row r="128" spans="1:8" x14ac:dyDescent="0.25">
      <c r="A128" s="17"/>
      <c r="B128" s="6"/>
      <c r="C128" s="53"/>
      <c r="D128" s="53"/>
      <c r="E128" s="53"/>
      <c r="F128" s="471"/>
      <c r="G128" s="471"/>
      <c r="H128" s="36"/>
    </row>
    <row r="129" spans="1:8" x14ac:dyDescent="0.25">
      <c r="A129" s="37" t="str">
        <f>BS!$A$81</f>
        <v xml:space="preserve"> </v>
      </c>
      <c r="B129" s="6"/>
      <c r="C129" s="10"/>
      <c r="D129" s="129"/>
      <c r="E129" s="129"/>
      <c r="F129" s="10"/>
      <c r="G129" s="129"/>
      <c r="H129" s="38"/>
    </row>
    <row r="130" spans="1:8" x14ac:dyDescent="0.25">
      <c r="A130" s="35" t="str">
        <f>BS!$A$82</f>
        <v>Place: Ahmedabad</v>
      </c>
      <c r="B130" s="6"/>
      <c r="C130" s="470"/>
      <c r="D130" s="10"/>
      <c r="E130" s="11"/>
      <c r="F130" s="470">
        <f>BS!$C$82</f>
        <v>0</v>
      </c>
      <c r="G130" s="472" t="str">
        <f>BS!D82</f>
        <v>Place: Vadodara</v>
      </c>
      <c r="H130" s="60" t="str">
        <f>BS!E82</f>
        <v>Place: Vadodara</v>
      </c>
    </row>
    <row r="131" spans="1:8" ht="15.75" thickBot="1" x14ac:dyDescent="0.3">
      <c r="A131" s="39" t="str">
        <f>BS!$A$83</f>
        <v>Date: 17 July 2026</v>
      </c>
      <c r="B131" s="54"/>
      <c r="C131" s="41"/>
      <c r="D131" s="130"/>
      <c r="E131" s="188"/>
      <c r="F131" s="41">
        <f>BS!$C$83</f>
        <v>0</v>
      </c>
      <c r="G131" s="472" t="str">
        <f>BS!D83</f>
        <v>Date: 17 July 2026</v>
      </c>
      <c r="H131" s="60" t="str">
        <f>BS!E83</f>
        <v>Date: 17 July 2026</v>
      </c>
    </row>
  </sheetData>
  <mergeCells count="17">
    <mergeCell ref="B82:D82"/>
    <mergeCell ref="B91:D91"/>
    <mergeCell ref="B112:D112"/>
    <mergeCell ref="B113:D113"/>
    <mergeCell ref="A102:H102"/>
    <mergeCell ref="A103:H103"/>
    <mergeCell ref="A107:H107"/>
    <mergeCell ref="B110:D110"/>
    <mergeCell ref="B111:D111"/>
    <mergeCell ref="B58:H58"/>
    <mergeCell ref="B56:H56"/>
    <mergeCell ref="B75:H75"/>
    <mergeCell ref="B8:H8"/>
    <mergeCell ref="B9:H9"/>
    <mergeCell ref="B10:H10"/>
    <mergeCell ref="B11:H11"/>
    <mergeCell ref="B14:H14"/>
  </mergeCells>
  <pageMargins left="0.7" right="0.7" top="0.75" bottom="0.75" header="0.3" footer="0.3"/>
  <pageSetup scale="68" orientation="portrait" r:id="rId1"/>
  <headerFooter>
    <oddHeader>&amp;C&amp;G</oddHeader>
  </headerFooter>
  <rowBreaks count="2" manualBreakCount="2">
    <brk id="37" max="7" man="1"/>
    <brk id="99" max="7" man="1"/>
  </rowBreaks>
  <ignoredErrors>
    <ignoredError sqref="A13"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FCC0-98F8-4EFC-8EDB-3334F886BD4E}">
  <sheetPr codeName="Sheet14">
    <tabColor rgb="FFFFC000"/>
  </sheetPr>
  <dimension ref="A1"/>
  <sheetViews>
    <sheetView topLeftCell="A40" workbookViewId="0">
      <selection activeCell="K27" sqref="K27"/>
    </sheetView>
  </sheetViews>
  <sheetFormatPr defaultRowHeight="15" x14ac:dyDescent="0.25"/>
  <sheetData/>
  <pageMargins left="0.7" right="0.7" top="0.75" bottom="0.75" header="0.3" footer="0.3"/>
  <headerFooter>
    <oddHeader>&amp;C&amp;G</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dimension ref="A1:Z107"/>
  <sheetViews>
    <sheetView showGridLines="0" zoomScaleNormal="100" workbookViewId="0">
      <pane xSplit="2" ySplit="4" topLeftCell="C58" activePane="bottomRight" state="frozen"/>
      <selection activeCell="P33" sqref="P33"/>
      <selection pane="topRight" activeCell="P33" sqref="P33"/>
      <selection pane="bottomLeft" activeCell="P33" sqref="P33"/>
      <selection pane="bottomRight" activeCell="B69" sqref="B69"/>
    </sheetView>
  </sheetViews>
  <sheetFormatPr defaultColWidth="8.85546875" defaultRowHeight="15" x14ac:dyDescent="0.25"/>
  <cols>
    <col min="1" max="1" width="8.5703125" bestFit="1" customWidth="1"/>
    <col min="2" max="2" width="21.140625" bestFit="1" customWidth="1"/>
    <col min="3" max="3" width="5.42578125" bestFit="1" customWidth="1"/>
    <col min="4" max="4" width="53.42578125" bestFit="1" customWidth="1"/>
    <col min="5" max="5" width="31.5703125" bestFit="1" customWidth="1"/>
    <col min="6" max="6" width="13.140625" hidden="1" customWidth="1"/>
    <col min="7" max="7" width="53.42578125" hidden="1" customWidth="1"/>
    <col min="8" max="8" width="31.5703125" hidden="1" customWidth="1"/>
    <col min="9" max="9" width="26.5703125" bestFit="1" customWidth="1"/>
    <col min="10" max="10" width="14.5703125" bestFit="1" customWidth="1"/>
    <col min="11" max="11" width="15.42578125" bestFit="1" customWidth="1"/>
    <col min="12" max="12" width="15" customWidth="1"/>
    <col min="13" max="13" width="13.5703125" customWidth="1"/>
    <col min="14" max="14" width="15" customWidth="1"/>
    <col min="15" max="15" width="16.85546875" customWidth="1"/>
    <col min="16" max="16" width="15.140625" bestFit="1" customWidth="1"/>
    <col min="17" max="17" width="15.42578125" style="488" bestFit="1" customWidth="1"/>
    <col min="18" max="18" width="13.140625" style="126" customWidth="1"/>
    <col min="19" max="19" width="8.85546875" customWidth="1"/>
    <col min="20" max="20" width="8" customWidth="1"/>
    <col min="21" max="21" width="6.85546875" customWidth="1"/>
    <col min="22" max="22" width="14.85546875" bestFit="1" customWidth="1"/>
    <col min="23" max="23" width="18.42578125" bestFit="1" customWidth="1"/>
    <col min="24" max="24" width="17.5703125" bestFit="1" customWidth="1"/>
    <col min="26" max="26" width="10.5703125" bestFit="1" customWidth="1"/>
  </cols>
  <sheetData>
    <row r="1" spans="1:26" x14ac:dyDescent="0.25">
      <c r="A1" s="12" t="str">
        <f>Input!B1</f>
        <v>BVC Specialities Private Limited</v>
      </c>
      <c r="B1" s="12"/>
      <c r="H1" s="1"/>
      <c r="I1" s="1"/>
      <c r="L1" s="1"/>
    </row>
    <row r="2" spans="1:26" ht="15.75" thickBot="1" x14ac:dyDescent="0.3">
      <c r="A2" s="12" t="s">
        <v>465</v>
      </c>
      <c r="B2" s="12"/>
      <c r="I2" s="1"/>
      <c r="J2" s="62">
        <f t="shared" ref="J2:O2" si="0">SUBTOTAL(9,J5:J69)</f>
        <v>613570525.52829218</v>
      </c>
      <c r="K2" s="62">
        <f t="shared" si="0"/>
        <v>-613570071.32829201</v>
      </c>
      <c r="L2" s="75">
        <f t="shared" si="0"/>
        <v>454.19999997306149</v>
      </c>
      <c r="M2" s="75">
        <f t="shared" si="0"/>
        <v>31327446.66</v>
      </c>
      <c r="N2" s="75">
        <f t="shared" si="0"/>
        <v>-40853695.782899782</v>
      </c>
      <c r="O2" s="75">
        <f t="shared" si="0"/>
        <v>0</v>
      </c>
    </row>
    <row r="3" spans="1:26" x14ac:dyDescent="0.25">
      <c r="A3" s="65"/>
      <c r="B3" s="65"/>
      <c r="C3" s="2037" t="s">
        <v>79</v>
      </c>
      <c r="D3" s="2038"/>
      <c r="E3" s="2039"/>
      <c r="F3" s="2040" t="s">
        <v>140</v>
      </c>
      <c r="G3" s="2041"/>
      <c r="H3" s="2042"/>
      <c r="I3" s="84" t="s">
        <v>0</v>
      </c>
      <c r="J3" s="2043"/>
      <c r="K3" s="2044"/>
      <c r="L3" s="2044"/>
      <c r="M3" s="2044"/>
      <c r="N3" s="2045"/>
      <c r="O3" s="66"/>
    </row>
    <row r="4" spans="1:26" ht="15.75" thickBot="1" x14ac:dyDescent="0.3">
      <c r="A4" s="67" t="s">
        <v>93</v>
      </c>
      <c r="B4" s="67" t="s">
        <v>162</v>
      </c>
      <c r="C4" s="68" t="s">
        <v>40</v>
      </c>
      <c r="D4" s="69" t="s">
        <v>95</v>
      </c>
      <c r="E4" s="70" t="s">
        <v>96</v>
      </c>
      <c r="F4" s="71" t="s">
        <v>94</v>
      </c>
      <c r="G4" s="72" t="s">
        <v>141</v>
      </c>
      <c r="H4" s="73" t="s">
        <v>142</v>
      </c>
      <c r="I4" s="85"/>
      <c r="J4" s="86" t="s">
        <v>73</v>
      </c>
      <c r="K4" s="87" t="s">
        <v>74</v>
      </c>
      <c r="L4" s="87" t="s">
        <v>67</v>
      </c>
      <c r="M4" s="88" t="s">
        <v>69</v>
      </c>
      <c r="N4" s="70" t="s">
        <v>84</v>
      </c>
      <c r="O4" s="67" t="s">
        <v>92</v>
      </c>
      <c r="P4" s="486" t="s">
        <v>690</v>
      </c>
      <c r="Q4" s="489" t="s">
        <v>691</v>
      </c>
      <c r="R4" s="223"/>
      <c r="V4" s="4"/>
      <c r="W4" s="4"/>
      <c r="X4" s="4"/>
    </row>
    <row r="5" spans="1:26" s="95" customFormat="1" x14ac:dyDescent="0.25">
      <c r="A5" s="89" t="s">
        <v>21</v>
      </c>
      <c r="B5" s="151">
        <v>10000000</v>
      </c>
      <c r="C5" s="90">
        <f>VLOOKUP(D5,Input!$C$13:$D$101,2,0)</f>
        <v>12</v>
      </c>
      <c r="D5" s="91" t="s">
        <v>163</v>
      </c>
      <c r="E5" s="92" t="s">
        <v>602</v>
      </c>
      <c r="F5" s="90"/>
      <c r="G5" s="91"/>
      <c r="H5" s="92"/>
      <c r="I5" s="116" t="str">
        <f>IFERROR(VLOOKUP(B5,'Client TB 23'!$A$3:$G$32,2,0),0)</f>
        <v>Equity Share Capital</v>
      </c>
      <c r="J5" s="116">
        <f>IFERROR(VLOOKUP(B5,'Client TB 23'!$A$3:$G$32,6,0),0)</f>
        <v>0</v>
      </c>
      <c r="K5" s="117">
        <f>IFERROR(VLOOKUP(B5,'Client TB 23'!$A$3:$G$32,7,0),0)</f>
        <v>-100000</v>
      </c>
      <c r="L5" s="117">
        <f>J5+K5</f>
        <v>-100000</v>
      </c>
      <c r="M5" s="118">
        <v>0</v>
      </c>
      <c r="N5" s="119">
        <f>L5</f>
        <v>-100000</v>
      </c>
      <c r="O5" s="128">
        <f>L5-M5-N5</f>
        <v>0</v>
      </c>
      <c r="P5" s="95">
        <f>B5</f>
        <v>10000000</v>
      </c>
      <c r="Q5" s="487">
        <f>J5+K5</f>
        <v>-100000</v>
      </c>
      <c r="R5" s="224"/>
      <c r="S5" s="225"/>
      <c r="V5" s="225"/>
      <c r="X5" s="226"/>
      <c r="Y5" s="225"/>
      <c r="Z5" s="225"/>
    </row>
    <row r="6" spans="1:26" s="95" customFormat="1" x14ac:dyDescent="0.25">
      <c r="A6" s="96" t="s">
        <v>21</v>
      </c>
      <c r="B6" s="127">
        <v>10000001</v>
      </c>
      <c r="C6" s="90">
        <f>VLOOKUP(D6,Input!$C$13:$D$101,2,0)</f>
        <v>12</v>
      </c>
      <c r="D6" s="91" t="s">
        <v>163</v>
      </c>
      <c r="E6" s="83" t="s">
        <v>461</v>
      </c>
      <c r="F6" s="97"/>
      <c r="G6" s="98"/>
      <c r="H6" s="83"/>
      <c r="I6" s="116" t="str">
        <f>IFERROR(VLOOKUP(B6,'Client TB 23'!$A$3:$G$32,2,0),0)</f>
        <v>Preference Share Cap</v>
      </c>
      <c r="J6" s="116">
        <f>IFERROR(VLOOKUP(B6,'Client TB 23'!$A$3:$G$32,6,0),0)</f>
        <v>0</v>
      </c>
      <c r="K6" s="117">
        <v>-972760</v>
      </c>
      <c r="L6" s="117">
        <f t="shared" ref="L6:L53" si="1">J6+K6</f>
        <v>-972760</v>
      </c>
      <c r="M6" s="124">
        <v>0</v>
      </c>
      <c r="N6" s="119">
        <f t="shared" ref="N6:N8" si="2">L6</f>
        <v>-972760</v>
      </c>
      <c r="O6" s="128">
        <f t="shared" ref="O6:O65" si="3">L6-M6-N6</f>
        <v>0</v>
      </c>
      <c r="P6" s="95">
        <f>B6</f>
        <v>10000001</v>
      </c>
      <c r="Q6" s="487">
        <f t="shared" ref="Q6:Q69" si="4">J6+K6</f>
        <v>-972760</v>
      </c>
      <c r="R6" s="224"/>
      <c r="S6" s="225"/>
      <c r="X6" s="226"/>
      <c r="Y6" s="225"/>
      <c r="Z6" s="225"/>
    </row>
    <row r="7" spans="1:26" s="95" customFormat="1" x14ac:dyDescent="0.25">
      <c r="A7" s="96" t="s">
        <v>21</v>
      </c>
      <c r="B7" s="127" t="s">
        <v>226</v>
      </c>
      <c r="C7" s="90">
        <f>VLOOKUP(D7,Input!$C$13:$D$101,2,0)</f>
        <v>13</v>
      </c>
      <c r="D7" s="98" t="s">
        <v>164</v>
      </c>
      <c r="E7" s="81" t="s">
        <v>458</v>
      </c>
      <c r="F7" s="97"/>
      <c r="G7" s="98"/>
      <c r="H7" s="83"/>
      <c r="I7" s="116">
        <f>IFERROR(VLOOKUP(B7,'Client TB 23'!$A$3:$G$32,2,0),0)</f>
        <v>0</v>
      </c>
      <c r="J7" s="116">
        <f>IFERROR(VLOOKUP(B7,'Client TB 23'!$A$3:$G$32,6,0),0)</f>
        <v>0</v>
      </c>
      <c r="K7" s="117">
        <v>-199026696</v>
      </c>
      <c r="L7" s="117">
        <f t="shared" si="1"/>
        <v>-199026696</v>
      </c>
      <c r="M7" s="124">
        <v>0</v>
      </c>
      <c r="N7" s="119">
        <f t="shared" si="2"/>
        <v>-199026696</v>
      </c>
      <c r="O7" s="128">
        <f t="shared" si="3"/>
        <v>0</v>
      </c>
      <c r="P7" s="95">
        <v>10000001</v>
      </c>
      <c r="Q7" s="487">
        <f t="shared" si="4"/>
        <v>-199026696</v>
      </c>
      <c r="R7" s="224"/>
      <c r="S7" s="225"/>
      <c r="X7" s="226"/>
      <c r="Y7" s="225"/>
      <c r="Z7" s="225"/>
    </row>
    <row r="8" spans="1:26" s="95" customFormat="1" x14ac:dyDescent="0.25">
      <c r="A8" s="96" t="s">
        <v>21</v>
      </c>
      <c r="B8" s="127">
        <v>10100002</v>
      </c>
      <c r="C8" s="90">
        <f>VLOOKUP(D8,Input!$C$13:$D$101,2,0)</f>
        <v>13</v>
      </c>
      <c r="D8" s="98" t="s">
        <v>164</v>
      </c>
      <c r="E8" s="81" t="s">
        <v>124</v>
      </c>
      <c r="F8" s="97"/>
      <c r="G8" s="98"/>
      <c r="H8" s="83"/>
      <c r="I8" s="116" t="str">
        <f>IFERROR(VLOOKUP(B8,'Client TB 23'!$A$3:$G$32,2,0),0)</f>
        <v>Profit &amp; Loss Accoun</v>
      </c>
      <c r="J8" s="116">
        <f>IFERROR(VLOOKUP(B8,'Client TB 23'!$A$3:$G$32,6,0),0)</f>
        <v>7940372.4199999897</v>
      </c>
      <c r="K8" s="117">
        <f>IFERROR(VLOOKUP(B8,'Client TB 23'!$A$3:$G$32,7,0),0)</f>
        <v>0</v>
      </c>
      <c r="L8" s="117">
        <f t="shared" si="1"/>
        <v>7940372.4199999897</v>
      </c>
      <c r="M8" s="124">
        <v>0</v>
      </c>
      <c r="N8" s="119">
        <f t="shared" si="2"/>
        <v>7940372.4199999897</v>
      </c>
      <c r="O8" s="128">
        <f t="shared" si="3"/>
        <v>0</v>
      </c>
      <c r="P8" s="95">
        <f t="shared" ref="P8:P53" si="5">B8</f>
        <v>10100002</v>
      </c>
      <c r="Q8" s="487">
        <f t="shared" si="4"/>
        <v>7940372.4199999897</v>
      </c>
      <c r="R8" s="224"/>
      <c r="S8" s="225"/>
      <c r="X8" s="226"/>
      <c r="Y8" s="225"/>
      <c r="Z8" s="225"/>
    </row>
    <row r="9" spans="1:26" s="95" customFormat="1" x14ac:dyDescent="0.25">
      <c r="A9" s="96" t="s">
        <v>154</v>
      </c>
      <c r="B9" s="127">
        <v>20800110</v>
      </c>
      <c r="C9" s="90" t="e">
        <f>VLOOKUP(D9,Input!$C$13:$D$101,2,0)</f>
        <v>#N/A</v>
      </c>
      <c r="D9" s="98" t="s">
        <v>522</v>
      </c>
      <c r="E9" s="83" t="s">
        <v>121</v>
      </c>
      <c r="F9" s="97"/>
      <c r="G9" s="98"/>
      <c r="H9" s="83"/>
      <c r="I9" s="116" t="str">
        <f>IFERROR(VLOOKUP(B9,'Client TB 23'!$A$3:$G$32,2,0),0)</f>
        <v>HDFC_57500000732637</v>
      </c>
      <c r="J9" s="116">
        <f>IFERROR(VLOOKUP(B9,'Client TB 23'!$A$3:$G$32,6,0),0)</f>
        <v>475423.64</v>
      </c>
      <c r="K9" s="117">
        <f>IFERROR(VLOOKUP(B9,'Client TB 23'!$A$3:$G$32,7,0),0)</f>
        <v>0</v>
      </c>
      <c r="L9" s="117">
        <f t="shared" si="1"/>
        <v>475423.64</v>
      </c>
      <c r="M9" s="124">
        <f>L9</f>
        <v>475423.64</v>
      </c>
      <c r="N9" s="125">
        <v>0</v>
      </c>
      <c r="O9" s="128">
        <f t="shared" si="3"/>
        <v>0</v>
      </c>
      <c r="P9" s="95">
        <f t="shared" si="5"/>
        <v>20800110</v>
      </c>
      <c r="Q9" s="487">
        <f t="shared" si="4"/>
        <v>475423.64</v>
      </c>
      <c r="R9" s="224"/>
      <c r="S9" s="225"/>
      <c r="X9" s="226"/>
      <c r="Y9" s="225"/>
      <c r="Z9" s="225"/>
    </row>
    <row r="10" spans="1:26" s="95" customFormat="1" x14ac:dyDescent="0.25">
      <c r="A10" s="96" t="s">
        <v>154</v>
      </c>
      <c r="B10" s="127">
        <v>20800111</v>
      </c>
      <c r="C10" s="90" t="e">
        <f>VLOOKUP(D10,Input!$C$13:$D$101,2,0)</f>
        <v>#N/A</v>
      </c>
      <c r="D10" s="98" t="s">
        <v>522</v>
      </c>
      <c r="E10" s="83" t="s">
        <v>121</v>
      </c>
      <c r="F10" s="97"/>
      <c r="G10" s="98"/>
      <c r="H10" s="83"/>
      <c r="I10" s="116" t="str">
        <f>IFERROR(VLOOKUP(B10,'Client TB 23'!$A$3:$G$32,2,0),0)</f>
        <v>HDFC_57500000732637</v>
      </c>
      <c r="J10" s="116">
        <f>IFERROR(VLOOKUP(B10,'Client TB 23'!$A$3:$G$32,6,0),0)</f>
        <v>88800000</v>
      </c>
      <c r="K10" s="117">
        <f>IFERROR(VLOOKUP(B10,'Client TB 23'!$A$3:$G$32,7,0),0)</f>
        <v>0</v>
      </c>
      <c r="L10" s="117">
        <f t="shared" si="1"/>
        <v>88800000</v>
      </c>
      <c r="M10" s="124">
        <f t="shared" ref="M10:M21" si="6">L10</f>
        <v>88800000</v>
      </c>
      <c r="N10" s="125">
        <v>0</v>
      </c>
      <c r="O10" s="128">
        <f t="shared" si="3"/>
        <v>0</v>
      </c>
      <c r="P10" s="95">
        <f t="shared" si="5"/>
        <v>20800111</v>
      </c>
      <c r="Q10" s="487">
        <f t="shared" si="4"/>
        <v>88800000</v>
      </c>
      <c r="R10" s="224"/>
      <c r="S10" s="225"/>
      <c r="X10" s="226"/>
      <c r="Y10" s="225"/>
      <c r="Z10" s="225"/>
    </row>
    <row r="11" spans="1:26" s="95" customFormat="1" x14ac:dyDescent="0.25">
      <c r="A11" s="96" t="s">
        <v>154</v>
      </c>
      <c r="B11" s="127">
        <v>20800112</v>
      </c>
      <c r="C11" s="90" t="e">
        <f>VLOOKUP(D11,Input!$C$13:$D$101,2,0)</f>
        <v>#N/A</v>
      </c>
      <c r="D11" s="98" t="s">
        <v>522</v>
      </c>
      <c r="E11" s="83" t="s">
        <v>121</v>
      </c>
      <c r="F11" s="97"/>
      <c r="G11" s="98"/>
      <c r="H11" s="83"/>
      <c r="I11" s="116" t="str">
        <f>IFERROR(VLOOKUP(B11,'Client TB 23'!$A$3:$G$32,2,0),0)</f>
        <v>HDFC_57500000732637</v>
      </c>
      <c r="J11" s="116">
        <f>IFERROR(VLOOKUP(B11,'Client TB 23'!$A$3:$G$32,6,0),0)</f>
        <v>0</v>
      </c>
      <c r="K11" s="117">
        <f>IFERROR(VLOOKUP(B11,'Client TB 23'!$A$3:$G$32,7,0),0)</f>
        <v>-87971706.5</v>
      </c>
      <c r="L11" s="117">
        <f t="shared" si="1"/>
        <v>-87971706.5</v>
      </c>
      <c r="M11" s="124">
        <f t="shared" si="6"/>
        <v>-87971706.5</v>
      </c>
      <c r="N11" s="125">
        <v>0</v>
      </c>
      <c r="O11" s="128">
        <f t="shared" si="3"/>
        <v>0</v>
      </c>
      <c r="P11" s="95">
        <f t="shared" si="5"/>
        <v>20800112</v>
      </c>
      <c r="Q11" s="487">
        <f t="shared" si="4"/>
        <v>-87971706.5</v>
      </c>
      <c r="R11" s="224"/>
      <c r="S11" s="225"/>
      <c r="X11" s="226"/>
      <c r="Y11" s="225"/>
      <c r="Z11" s="225"/>
    </row>
    <row r="12" spans="1:26" s="95" customFormat="1" x14ac:dyDescent="0.25">
      <c r="A12" s="96" t="s">
        <v>26</v>
      </c>
      <c r="B12" s="127">
        <v>11000001</v>
      </c>
      <c r="C12" s="90">
        <f>VLOOKUP(D12,Input!$C$13:$D$101,2,0)</f>
        <v>17</v>
      </c>
      <c r="D12" s="98" t="s">
        <v>180</v>
      </c>
      <c r="E12" s="83" t="s">
        <v>131</v>
      </c>
      <c r="F12" s="97"/>
      <c r="G12" s="98"/>
      <c r="H12" s="83"/>
      <c r="I12" s="116" t="str">
        <f>IFERROR(VLOOKUP(B12,'Client TB 23'!$A$3:$G$32,2,0),0)</f>
        <v>TDS_Professional and</v>
      </c>
      <c r="J12" s="116">
        <f>IFERROR(VLOOKUP(B12,'Client TB 23'!$A$3:$G$32,6,0),0)</f>
        <v>0</v>
      </c>
      <c r="K12" s="117">
        <f>IFERROR(VLOOKUP(B12,'Client TB 23'!$A$3:$G$32,7,0),0)</f>
        <v>-17000</v>
      </c>
      <c r="L12" s="117">
        <f t="shared" si="1"/>
        <v>-17000</v>
      </c>
      <c r="M12" s="124">
        <f t="shared" si="6"/>
        <v>-17000</v>
      </c>
      <c r="N12" s="125">
        <v>0</v>
      </c>
      <c r="O12" s="128">
        <f t="shared" si="3"/>
        <v>0</v>
      </c>
      <c r="P12" s="95">
        <f t="shared" si="5"/>
        <v>11000001</v>
      </c>
      <c r="Q12" s="487">
        <f t="shared" si="4"/>
        <v>-17000</v>
      </c>
      <c r="R12" s="224"/>
      <c r="S12" s="225"/>
      <c r="X12" s="226"/>
      <c r="Y12" s="225"/>
      <c r="Z12" s="225"/>
    </row>
    <row r="13" spans="1:26" s="95" customFormat="1" x14ac:dyDescent="0.25">
      <c r="A13" s="96" t="s">
        <v>26</v>
      </c>
      <c r="B13" s="127">
        <v>11000003</v>
      </c>
      <c r="C13" s="90">
        <f>VLOOKUP(D13,Input!$C$13:$D$101,2,0)</f>
        <v>17</v>
      </c>
      <c r="D13" s="98" t="s">
        <v>180</v>
      </c>
      <c r="E13" s="83" t="s">
        <v>131</v>
      </c>
      <c r="F13" s="97"/>
      <c r="G13" s="98"/>
      <c r="H13" s="83"/>
      <c r="I13" s="116" t="str">
        <f>IFERROR(VLOOKUP(B13,'Client TB 23'!$A$3:$G$32,2,0),0)</f>
        <v>TDS_Interest on borr</v>
      </c>
      <c r="J13" s="116">
        <f>IFERROR(VLOOKUP(B13,'Client TB 23'!$A$3:$G$32,6,0),0)</f>
        <v>0</v>
      </c>
      <c r="K13" s="117">
        <f>IFERROR(VLOOKUP(B13,'Client TB 23'!$A$3:$G$32,7,0),0)</f>
        <v>-170932.14</v>
      </c>
      <c r="L13" s="117">
        <f t="shared" si="1"/>
        <v>-170932.14</v>
      </c>
      <c r="M13" s="124">
        <f t="shared" si="6"/>
        <v>-170932.14</v>
      </c>
      <c r="N13" s="125">
        <v>0</v>
      </c>
      <c r="O13" s="128">
        <f t="shared" si="3"/>
        <v>0</v>
      </c>
      <c r="P13" s="95">
        <f t="shared" si="5"/>
        <v>11000003</v>
      </c>
      <c r="Q13" s="487">
        <f t="shared" si="4"/>
        <v>-170932.14</v>
      </c>
      <c r="R13" s="224"/>
      <c r="S13" s="225"/>
      <c r="X13" s="226"/>
      <c r="Y13" s="225"/>
      <c r="Z13" s="225"/>
    </row>
    <row r="14" spans="1:26" s="95" customFormat="1" x14ac:dyDescent="0.25">
      <c r="A14" s="96" t="s">
        <v>26</v>
      </c>
      <c r="B14" s="127">
        <v>10800004</v>
      </c>
      <c r="C14" s="90">
        <f>VLOOKUP(D14,Input!$C$13:$D$101,2,0)</f>
        <v>15</v>
      </c>
      <c r="D14" s="98" t="s">
        <v>153</v>
      </c>
      <c r="E14" s="83" t="s">
        <v>134</v>
      </c>
      <c r="F14" s="97"/>
      <c r="G14" s="98"/>
      <c r="H14" s="83"/>
      <c r="I14" s="116" t="str">
        <f>IFERROR(VLOOKUP(B14,'Client TB 23'!$A$3:$G$32,2,0),0)</f>
        <v>Payable - Others</v>
      </c>
      <c r="J14" s="116">
        <f>IFERROR(VLOOKUP(B14,'Client TB 23'!$A$3:$G$32,6,0),0)</f>
        <v>0</v>
      </c>
      <c r="K14" s="117">
        <f>IFERROR(VLOOKUP(B14,'Client TB 23'!$A$3:$G$32,7,0),0)</f>
        <v>-24467</v>
      </c>
      <c r="L14" s="117">
        <f t="shared" si="1"/>
        <v>-24467</v>
      </c>
      <c r="M14" s="124">
        <f t="shared" si="6"/>
        <v>-24467</v>
      </c>
      <c r="N14" s="125">
        <v>0</v>
      </c>
      <c r="O14" s="128">
        <f t="shared" si="3"/>
        <v>0</v>
      </c>
      <c r="P14" s="95">
        <f t="shared" si="5"/>
        <v>10800004</v>
      </c>
      <c r="Q14" s="487">
        <f t="shared" si="4"/>
        <v>-24467</v>
      </c>
      <c r="R14" s="224"/>
      <c r="S14" s="225"/>
      <c r="X14" s="226"/>
      <c r="Y14" s="225"/>
      <c r="Z14" s="225"/>
    </row>
    <row r="15" spans="1:26" s="95" customFormat="1" x14ac:dyDescent="0.25">
      <c r="A15" s="96" t="s">
        <v>26</v>
      </c>
      <c r="B15" s="127">
        <v>10900000</v>
      </c>
      <c r="C15" s="90">
        <f>VLOOKUP(D15,Input!$C$13:$D$101,2,0)</f>
        <v>15</v>
      </c>
      <c r="D15" s="98" t="s">
        <v>153</v>
      </c>
      <c r="E15" s="83" t="s">
        <v>134</v>
      </c>
      <c r="F15" s="97"/>
      <c r="G15" s="98"/>
      <c r="H15" s="83"/>
      <c r="I15" s="116" t="str">
        <f>IFERROR(VLOOKUP(B15,'Client TB 23'!$A$3:$G$32,2,0),0)</f>
        <v>Provision_Other Expe</v>
      </c>
      <c r="J15" s="116">
        <f>IFERROR(VLOOKUP(B15,'Client TB 23'!$A$3:$G$32,6,0),0)</f>
        <v>0</v>
      </c>
      <c r="K15" s="117">
        <f>IFERROR(VLOOKUP(B15,'Client TB 23'!$A$3:$G$32,7,0),0)</f>
        <v>-179995</v>
      </c>
      <c r="L15" s="117">
        <f t="shared" si="1"/>
        <v>-179995</v>
      </c>
      <c r="M15" s="124">
        <f t="shared" si="6"/>
        <v>-179995</v>
      </c>
      <c r="N15" s="125">
        <v>0</v>
      </c>
      <c r="O15" s="128">
        <f t="shared" si="3"/>
        <v>0</v>
      </c>
      <c r="P15" s="95">
        <f t="shared" si="5"/>
        <v>10900000</v>
      </c>
      <c r="Q15" s="487">
        <f t="shared" si="4"/>
        <v>-179995</v>
      </c>
      <c r="R15" s="224"/>
      <c r="S15" s="225"/>
      <c r="X15" s="226"/>
      <c r="Y15" s="225"/>
      <c r="Z15" s="225"/>
    </row>
    <row r="16" spans="1:26" s="95" customFormat="1" x14ac:dyDescent="0.25">
      <c r="A16" s="96" t="s">
        <v>26</v>
      </c>
      <c r="B16" s="127">
        <v>10600010</v>
      </c>
      <c r="C16" s="90">
        <f>VLOOKUP(D16,Input!$C$13:$D$101,2,0)</f>
        <v>14</v>
      </c>
      <c r="D16" s="98" t="s">
        <v>83</v>
      </c>
      <c r="E16" s="83" t="s">
        <v>445</v>
      </c>
      <c r="F16" s="97"/>
      <c r="G16" s="98"/>
      <c r="H16" s="83"/>
      <c r="I16" s="116" t="str">
        <f>IFERROR(VLOOKUP(B16,'Client TB 23'!$A$3:$G$32,2,0),0)</f>
        <v>Best Value Chem Pvt</v>
      </c>
      <c r="J16" s="116">
        <f>IFERROR(VLOOKUP(B16,'Client TB 23'!$A$3:$G$32,6,0),0)</f>
        <v>0</v>
      </c>
      <c r="K16" s="117">
        <f>IFERROR(VLOOKUP(B16,'Client TB 23'!$A$3:$G$32,7,0),0)</f>
        <v>-118230550.26000001</v>
      </c>
      <c r="L16" s="117">
        <f t="shared" si="1"/>
        <v>-118230550.26000001</v>
      </c>
      <c r="M16" s="124">
        <v>0</v>
      </c>
      <c r="N16" s="125">
        <f>L16</f>
        <v>-118230550.26000001</v>
      </c>
      <c r="O16" s="128">
        <f t="shared" si="3"/>
        <v>0</v>
      </c>
      <c r="P16" s="95">
        <f t="shared" si="5"/>
        <v>10600010</v>
      </c>
      <c r="Q16" s="487">
        <f t="shared" si="4"/>
        <v>-118230550.26000001</v>
      </c>
      <c r="R16" s="224"/>
      <c r="S16" s="225"/>
      <c r="X16" s="226"/>
      <c r="Y16" s="225"/>
      <c r="Z16" s="225"/>
    </row>
    <row r="17" spans="1:26" s="95" customFormat="1" x14ac:dyDescent="0.25">
      <c r="A17" s="96" t="s">
        <v>26</v>
      </c>
      <c r="B17" s="127">
        <v>10800009</v>
      </c>
      <c r="C17" s="90">
        <f>VLOOKUP(D17,Input!$C$13:$D$101,2,0)</f>
        <v>15</v>
      </c>
      <c r="D17" s="98" t="s">
        <v>153</v>
      </c>
      <c r="E17" s="83" t="s">
        <v>134</v>
      </c>
      <c r="F17" s="97"/>
      <c r="G17" s="98"/>
      <c r="H17" s="83"/>
      <c r="I17" s="116">
        <f>IFERROR(VLOOKUP(B17,'Client TB 23'!$A$3:$G$32,2,0),0)</f>
        <v>0</v>
      </c>
      <c r="J17" s="116">
        <f>IFERROR(VLOOKUP(B17,'Client TB 23'!$A$3:$G$32,6,0),0)</f>
        <v>0</v>
      </c>
      <c r="K17" s="117">
        <f>IFERROR(VLOOKUP(B17,'Client TB 23'!$A$3:$G$32,7,0),0)</f>
        <v>0</v>
      </c>
      <c r="L17" s="117">
        <f t="shared" si="1"/>
        <v>0</v>
      </c>
      <c r="M17" s="124">
        <f t="shared" si="6"/>
        <v>0</v>
      </c>
      <c r="N17" s="125">
        <v>0</v>
      </c>
      <c r="O17" s="128">
        <f t="shared" si="3"/>
        <v>0</v>
      </c>
      <c r="P17" s="95">
        <f t="shared" si="5"/>
        <v>10800009</v>
      </c>
      <c r="Q17" s="487">
        <f t="shared" si="4"/>
        <v>0</v>
      </c>
      <c r="R17" s="224"/>
      <c r="S17" s="225"/>
      <c r="W17" s="225"/>
      <c r="X17" s="226"/>
      <c r="Y17" s="225"/>
      <c r="Z17" s="225"/>
    </row>
    <row r="18" spans="1:26" s="95" customFormat="1" x14ac:dyDescent="0.25">
      <c r="A18" s="96" t="s">
        <v>154</v>
      </c>
      <c r="B18" s="127">
        <v>21000009</v>
      </c>
      <c r="C18" s="90">
        <f>VLOOKUP(D18,Input!$C$13:$D$101,2,0)</f>
        <v>11</v>
      </c>
      <c r="D18" s="98" t="s">
        <v>190</v>
      </c>
      <c r="E18" s="83" t="s">
        <v>591</v>
      </c>
      <c r="F18" s="97"/>
      <c r="G18" s="98"/>
      <c r="H18" s="83"/>
      <c r="I18" s="116">
        <f>IFERROR(VLOOKUP(B18,'Client TB 23'!$A$3:$G$32,2,0),0)</f>
        <v>0</v>
      </c>
      <c r="J18" s="116">
        <f>IFERROR(VLOOKUP(B18,'Client TB 23'!$A$3:$G$32,6,0),0)</f>
        <v>0</v>
      </c>
      <c r="K18" s="117">
        <f>IFERROR(VLOOKUP(B18,'Client TB 23'!$A$3:$G$32,7,0),0)</f>
        <v>0</v>
      </c>
      <c r="L18" s="117">
        <f t="shared" si="1"/>
        <v>0</v>
      </c>
      <c r="M18" s="124">
        <f t="shared" si="6"/>
        <v>0</v>
      </c>
      <c r="N18" s="125">
        <v>0</v>
      </c>
      <c r="O18" s="128">
        <f t="shared" si="3"/>
        <v>0</v>
      </c>
      <c r="P18" s="95">
        <f t="shared" si="5"/>
        <v>21000009</v>
      </c>
      <c r="Q18" s="487">
        <f t="shared" si="4"/>
        <v>0</v>
      </c>
      <c r="R18" s="224"/>
      <c r="S18" s="225"/>
      <c r="X18" s="226"/>
      <c r="Y18" s="225"/>
      <c r="Z18" s="225"/>
    </row>
    <row r="19" spans="1:26" s="95" customFormat="1" x14ac:dyDescent="0.25">
      <c r="A19" s="96" t="s">
        <v>26</v>
      </c>
      <c r="B19" s="127">
        <v>11000012</v>
      </c>
      <c r="C19" s="90">
        <f>VLOOKUP(D19,Input!$C$13:$D$101,2,0)</f>
        <v>17</v>
      </c>
      <c r="D19" s="98" t="s">
        <v>180</v>
      </c>
      <c r="E19" s="83" t="s">
        <v>131</v>
      </c>
      <c r="F19" s="97"/>
      <c r="G19" s="98"/>
      <c r="H19" s="83"/>
      <c r="I19" s="116">
        <f>IFERROR(VLOOKUP(B19,'Client TB 23'!$A$3:$G$32,2,0),0)</f>
        <v>0</v>
      </c>
      <c r="J19" s="116">
        <f>IFERROR(VLOOKUP(B19,'Client TB 23'!$A$3:$G$32,6,0),0)</f>
        <v>0</v>
      </c>
      <c r="K19" s="117">
        <f>IFERROR(VLOOKUP(B19,'Client TB 23'!$A$3:$G$32,7,0),0)</f>
        <v>0</v>
      </c>
      <c r="L19" s="117">
        <f t="shared" si="1"/>
        <v>0</v>
      </c>
      <c r="M19" s="124">
        <f t="shared" si="6"/>
        <v>0</v>
      </c>
      <c r="N19" s="125">
        <v>0</v>
      </c>
      <c r="O19" s="128">
        <f t="shared" si="3"/>
        <v>0</v>
      </c>
      <c r="P19" s="95">
        <f t="shared" si="5"/>
        <v>11000012</v>
      </c>
      <c r="Q19" s="487">
        <f t="shared" si="4"/>
        <v>0</v>
      </c>
      <c r="R19" s="224"/>
      <c r="S19" s="225"/>
      <c r="X19" s="226"/>
      <c r="Y19" s="225"/>
      <c r="Z19" s="225"/>
    </row>
    <row r="20" spans="1:26" s="95" customFormat="1" x14ac:dyDescent="0.25">
      <c r="A20" s="96" t="s">
        <v>26</v>
      </c>
      <c r="B20" s="127">
        <v>11100002</v>
      </c>
      <c r="C20" s="90">
        <f>VLOOKUP(D20,Input!$C$13:$D$101,2,0)</f>
        <v>16</v>
      </c>
      <c r="D20" s="98" t="s">
        <v>169</v>
      </c>
      <c r="E20" s="83" t="s">
        <v>129</v>
      </c>
      <c r="F20" s="97"/>
      <c r="G20" s="98"/>
      <c r="H20" s="83"/>
      <c r="I20" s="116">
        <f>IFERROR(VLOOKUP(B20,'Client TB 23'!$A$3:$G$32,2,0),0)</f>
        <v>0</v>
      </c>
      <c r="J20" s="116">
        <f>IFERROR(VLOOKUP(B20,'Client TB 23'!$A$3:$G$32,6,0),0)</f>
        <v>0</v>
      </c>
      <c r="K20" s="117">
        <f>IFERROR(VLOOKUP(B20,'Client TB 23'!$A$3:$G$32,7,0),0)</f>
        <v>0</v>
      </c>
      <c r="L20" s="117">
        <f t="shared" si="1"/>
        <v>0</v>
      </c>
      <c r="M20" s="124">
        <f t="shared" si="6"/>
        <v>0</v>
      </c>
      <c r="N20" s="125">
        <v>0</v>
      </c>
      <c r="O20" s="128">
        <f t="shared" si="3"/>
        <v>0</v>
      </c>
      <c r="P20" s="95">
        <f t="shared" si="5"/>
        <v>11100002</v>
      </c>
      <c r="Q20" s="487">
        <f t="shared" si="4"/>
        <v>0</v>
      </c>
      <c r="R20" s="224"/>
      <c r="S20" s="225"/>
      <c r="X20" s="226"/>
      <c r="Y20" s="225"/>
      <c r="Z20" s="225"/>
    </row>
    <row r="21" spans="1:26" s="95" customFormat="1" x14ac:dyDescent="0.25">
      <c r="A21" s="96" t="s">
        <v>26</v>
      </c>
      <c r="B21" s="127">
        <v>10900018</v>
      </c>
      <c r="C21" s="90">
        <f>VLOOKUP(D21,Input!$C$13:$D$101,2,0)</f>
        <v>16</v>
      </c>
      <c r="D21" s="98" t="s">
        <v>169</v>
      </c>
      <c r="E21" s="83" t="s">
        <v>168</v>
      </c>
      <c r="F21" s="97"/>
      <c r="G21" s="98"/>
      <c r="H21" s="83"/>
      <c r="I21" s="116">
        <f>IFERROR(VLOOKUP(B21,'Client TB 23'!$A$3:$G$32,2,0),0)</f>
        <v>0</v>
      </c>
      <c r="J21" s="116">
        <f>IFERROR(VLOOKUP(B21,'Client TB 23'!$A$3:$G$32,6,0),0)</f>
        <v>0</v>
      </c>
      <c r="K21" s="117">
        <f>IFERROR(VLOOKUP(B21,'Client TB 23'!$A$3:$G$32,7,0),0)</f>
        <v>0</v>
      </c>
      <c r="L21" s="117">
        <f t="shared" si="1"/>
        <v>0</v>
      </c>
      <c r="M21" s="124">
        <f t="shared" si="6"/>
        <v>0</v>
      </c>
      <c r="N21" s="125">
        <v>0</v>
      </c>
      <c r="O21" s="128">
        <f t="shared" si="3"/>
        <v>0</v>
      </c>
      <c r="P21" s="95">
        <f t="shared" si="5"/>
        <v>10900018</v>
      </c>
      <c r="Q21" s="487">
        <f t="shared" si="4"/>
        <v>0</v>
      </c>
      <c r="R21" s="224"/>
      <c r="S21" s="225"/>
      <c r="X21" s="226"/>
      <c r="Y21" s="225"/>
      <c r="Z21" s="225"/>
    </row>
    <row r="22" spans="1:26" s="95" customFormat="1" x14ac:dyDescent="0.25">
      <c r="A22" s="96" t="s">
        <v>154</v>
      </c>
      <c r="B22" s="127">
        <v>20000000</v>
      </c>
      <c r="C22" s="90">
        <f>VLOOKUP(D22,Input!$C$13:$D$101,2,0)</f>
        <v>3</v>
      </c>
      <c r="D22" s="98" t="s">
        <v>173</v>
      </c>
      <c r="E22" s="83" t="s">
        <v>244</v>
      </c>
      <c r="F22" s="97"/>
      <c r="G22" s="98"/>
      <c r="H22" s="83"/>
      <c r="I22" s="116" t="str">
        <f>IFERROR(VLOOKUP(B22,'Client TB 23'!$A$3:$G$32,2,0),0)</f>
        <v>Freehold land</v>
      </c>
      <c r="J22" s="116">
        <f>IFERROR(VLOOKUP(B22,'Client TB 23'!$A$3:$G$32,6,0),0)</f>
        <v>92904351</v>
      </c>
      <c r="K22" s="117">
        <f>IFERROR(VLOOKUP(B22,'Client TB 23'!$A$3:$G$32,7,0),0)</f>
        <v>0</v>
      </c>
      <c r="L22" s="117">
        <f t="shared" si="1"/>
        <v>92904351</v>
      </c>
      <c r="M22" s="124"/>
      <c r="N22" s="125">
        <f>L22</f>
        <v>92904351</v>
      </c>
      <c r="O22" s="128">
        <f t="shared" si="3"/>
        <v>0</v>
      </c>
      <c r="P22" s="95">
        <f t="shared" si="5"/>
        <v>20000000</v>
      </c>
      <c r="Q22" s="487">
        <f t="shared" si="4"/>
        <v>92904351</v>
      </c>
      <c r="R22" s="224"/>
      <c r="S22" s="225"/>
      <c r="X22" s="226"/>
      <c r="Y22" s="225"/>
      <c r="Z22" s="225"/>
    </row>
    <row r="23" spans="1:26" s="95" customFormat="1" x14ac:dyDescent="0.25">
      <c r="A23" s="96" t="s">
        <v>154</v>
      </c>
      <c r="B23" s="127">
        <v>20000019</v>
      </c>
      <c r="C23" s="90">
        <f>VLOOKUP(D23,Input!$C$13:$D$101,2,0)</f>
        <v>3</v>
      </c>
      <c r="D23" s="98" t="s">
        <v>173</v>
      </c>
      <c r="E23" s="83" t="s">
        <v>244</v>
      </c>
      <c r="F23" s="97"/>
      <c r="G23" s="98"/>
      <c r="H23" s="83"/>
      <c r="I23" s="116" t="str">
        <f>IFERROR(VLOOKUP(B23,'Client TB 23'!$A$3:$G$32,2,0),0)</f>
        <v>Land Development</v>
      </c>
      <c r="J23" s="116">
        <f>IFERROR(VLOOKUP(B23,'Client TB 23'!$A$3:$G$32,6,0),0)</f>
        <v>0</v>
      </c>
      <c r="K23" s="117">
        <f>IFERROR(VLOOKUP(B23,'Client TB 23'!$A$3:$G$32,7,0),0)</f>
        <v>0</v>
      </c>
      <c r="L23" s="117">
        <f t="shared" si="1"/>
        <v>0</v>
      </c>
      <c r="M23" s="124">
        <v>0</v>
      </c>
      <c r="N23" s="125">
        <f t="shared" ref="N23:N24" si="7">L23</f>
        <v>0</v>
      </c>
      <c r="O23" s="128">
        <f t="shared" si="3"/>
        <v>0</v>
      </c>
      <c r="P23" s="95">
        <f t="shared" si="5"/>
        <v>20000019</v>
      </c>
      <c r="Q23" s="487">
        <f t="shared" si="4"/>
        <v>0</v>
      </c>
      <c r="R23" s="224"/>
      <c r="S23" s="225"/>
      <c r="X23" s="226"/>
      <c r="Y23" s="225"/>
      <c r="Z23" s="225"/>
    </row>
    <row r="24" spans="1:26" s="95" customFormat="1" x14ac:dyDescent="0.25">
      <c r="A24" s="96" t="s">
        <v>154</v>
      </c>
      <c r="B24" s="127">
        <v>20100002</v>
      </c>
      <c r="C24" s="90">
        <f>VLOOKUP(D24,Input!$C$13:$D$101,2,0)</f>
        <v>3</v>
      </c>
      <c r="D24" s="98" t="s">
        <v>173</v>
      </c>
      <c r="E24" s="83" t="s">
        <v>244</v>
      </c>
      <c r="F24" s="97"/>
      <c r="G24" s="98"/>
      <c r="H24" s="83"/>
      <c r="I24" s="116" t="str">
        <f>IFERROR(VLOOKUP(B24,'Client TB 23'!$A$3:$G$32,2,0),0)</f>
        <v>Capital WIP IO</v>
      </c>
      <c r="J24" s="116">
        <f>IFERROR(VLOOKUP(B24,'Client TB 23'!$A$3:$G$32,6,0),0)</f>
        <v>16690918.219999989</v>
      </c>
      <c r="K24" s="117">
        <f>IFERROR(VLOOKUP(B24,'Client TB 23'!$A$3:$G$32,7,0),0)</f>
        <v>0</v>
      </c>
      <c r="L24" s="117">
        <f t="shared" si="1"/>
        <v>16690918.219999989</v>
      </c>
      <c r="M24" s="124">
        <v>0</v>
      </c>
      <c r="N24" s="125">
        <f t="shared" si="7"/>
        <v>16690918.219999989</v>
      </c>
      <c r="O24" s="128">
        <f t="shared" si="3"/>
        <v>0</v>
      </c>
      <c r="P24" s="95">
        <f t="shared" si="5"/>
        <v>20100002</v>
      </c>
      <c r="Q24" s="487">
        <f t="shared" si="4"/>
        <v>16690918.219999989</v>
      </c>
      <c r="R24" s="224"/>
      <c r="S24" s="225"/>
      <c r="X24" s="226"/>
      <c r="Y24" s="225"/>
      <c r="Z24" s="225"/>
    </row>
    <row r="25" spans="1:26" s="95" customFormat="1" x14ac:dyDescent="0.25">
      <c r="A25" s="96" t="s">
        <v>154</v>
      </c>
      <c r="B25" s="127">
        <v>21100004</v>
      </c>
      <c r="C25" s="228">
        <f>VLOOKUP(D25,Input!$C$13:$D$101,2,0)</f>
        <v>5</v>
      </c>
      <c r="D25" s="98" t="s">
        <v>81</v>
      </c>
      <c r="E25" s="83" t="s">
        <v>174</v>
      </c>
      <c r="F25" s="97"/>
      <c r="G25" s="98"/>
      <c r="H25" s="83"/>
      <c r="I25" s="116">
        <f>IFERROR(VLOOKUP(B25,'Client TB 23'!$A$3:$G$32,2,0),0)</f>
        <v>0</v>
      </c>
      <c r="J25" s="116">
        <f>IFERROR(VLOOKUP(B25,'Client TB 23'!$A$3:$G$32,6,0),0)</f>
        <v>0</v>
      </c>
      <c r="K25" s="117">
        <f>IFERROR(VLOOKUP(B25,'Client TB 23'!$A$3:$G$32,7,0),0)</f>
        <v>0</v>
      </c>
      <c r="L25" s="117">
        <f t="shared" si="1"/>
        <v>0</v>
      </c>
      <c r="M25" s="124">
        <v>0</v>
      </c>
      <c r="N25" s="125">
        <v>0</v>
      </c>
      <c r="O25" s="128">
        <f t="shared" si="3"/>
        <v>0</v>
      </c>
      <c r="P25" s="95">
        <f t="shared" si="5"/>
        <v>21100004</v>
      </c>
      <c r="Q25" s="487">
        <f t="shared" si="4"/>
        <v>0</v>
      </c>
      <c r="R25" s="224"/>
      <c r="S25" s="225"/>
      <c r="X25" s="226"/>
      <c r="Y25" s="225"/>
      <c r="Z25" s="225"/>
    </row>
    <row r="26" spans="1:26" s="95" customFormat="1" x14ac:dyDescent="0.25">
      <c r="A26" s="96" t="s">
        <v>154</v>
      </c>
      <c r="B26" s="127">
        <v>20300000</v>
      </c>
      <c r="C26" s="228">
        <f>VLOOKUP(D26,Input!$C$13:$D$101,2,0)</f>
        <v>6</v>
      </c>
      <c r="D26" s="98" t="s">
        <v>152</v>
      </c>
      <c r="E26" s="83" t="s">
        <v>175</v>
      </c>
      <c r="F26" s="97"/>
      <c r="G26" s="98"/>
      <c r="H26" s="83"/>
      <c r="I26" s="116">
        <f>IFERROR(VLOOKUP(B26,'Client TB 23'!$A$3:$G$32,2,0),0)</f>
        <v>0</v>
      </c>
      <c r="J26" s="116">
        <f>IFERROR(VLOOKUP(B26,'Client TB 23'!$A$3:$G$32,6,0),0)</f>
        <v>0</v>
      </c>
      <c r="K26" s="117">
        <f>IFERROR(VLOOKUP(B26,'Client TB 23'!$A$3:$G$32,7,0),0)</f>
        <v>0</v>
      </c>
      <c r="L26" s="117">
        <f t="shared" si="1"/>
        <v>0</v>
      </c>
      <c r="M26" s="124">
        <v>0</v>
      </c>
      <c r="N26" s="125">
        <v>0</v>
      </c>
      <c r="O26" s="128">
        <f t="shared" si="3"/>
        <v>0</v>
      </c>
      <c r="P26" s="95">
        <f t="shared" si="5"/>
        <v>20300000</v>
      </c>
      <c r="Q26" s="487">
        <f t="shared" si="4"/>
        <v>0</v>
      </c>
      <c r="R26" s="224"/>
      <c r="S26" s="225"/>
      <c r="X26" s="226"/>
      <c r="Y26" s="225"/>
      <c r="Z26" s="225"/>
    </row>
    <row r="27" spans="1:26" s="95" customFormat="1" x14ac:dyDescent="0.25">
      <c r="A27" s="96" t="s">
        <v>154</v>
      </c>
      <c r="B27" s="127">
        <v>21000011</v>
      </c>
      <c r="C27" s="90">
        <f>VLOOKUP(D27,Input!$C$13:$D$101,2,0)</f>
        <v>11</v>
      </c>
      <c r="D27" s="98" t="s">
        <v>190</v>
      </c>
      <c r="E27" s="83" t="s">
        <v>591</v>
      </c>
      <c r="F27" s="97"/>
      <c r="G27" s="98"/>
      <c r="H27" s="83"/>
      <c r="I27" s="116" t="str">
        <f>IFERROR(VLOOKUP(B27,'Client TB 23'!$A$3:$G$32,2,0),0)</f>
        <v>CGST Receivable</v>
      </c>
      <c r="J27" s="116">
        <f>IFERROR(VLOOKUP(B27,'Client TB 23'!$A$3:$G$32,6,0),0)</f>
        <v>14599464.810000001</v>
      </c>
      <c r="K27" s="117">
        <f>IFERROR(VLOOKUP(B27,'Client TB 23'!$A$3:$G$32,7,0),0)</f>
        <v>0</v>
      </c>
      <c r="L27" s="117">
        <f t="shared" si="1"/>
        <v>14599464.810000001</v>
      </c>
      <c r="M27" s="124">
        <f>L27</f>
        <v>14599464.810000001</v>
      </c>
      <c r="N27" s="125">
        <v>0</v>
      </c>
      <c r="O27" s="128">
        <f t="shared" si="3"/>
        <v>0</v>
      </c>
      <c r="P27" s="95">
        <f t="shared" si="5"/>
        <v>21000011</v>
      </c>
      <c r="Q27" s="487">
        <f t="shared" si="4"/>
        <v>14599464.810000001</v>
      </c>
      <c r="R27" s="224"/>
      <c r="S27" s="225"/>
      <c r="X27" s="226"/>
      <c r="Y27" s="225"/>
      <c r="Z27" s="225"/>
    </row>
    <row r="28" spans="1:26" s="95" customFormat="1" x14ac:dyDescent="0.25">
      <c r="A28" s="96" t="s">
        <v>154</v>
      </c>
      <c r="B28" s="127">
        <v>20100001</v>
      </c>
      <c r="C28" s="90">
        <f>VLOOKUP(D28,Input!$C$13:$D$101,2,0)</f>
        <v>11</v>
      </c>
      <c r="D28" s="98" t="s">
        <v>190</v>
      </c>
      <c r="E28" s="83" t="s">
        <v>177</v>
      </c>
      <c r="F28" s="97"/>
      <c r="G28" s="98"/>
      <c r="H28" s="83"/>
      <c r="I28" s="116">
        <f>IFERROR(VLOOKUP(B28,'Client TB 23'!$A$3:$G$32,2,0),0)</f>
        <v>0</v>
      </c>
      <c r="J28" s="116">
        <f>IFERROR(VLOOKUP(B28,'Client TB 23'!$A$3:$G$32,6,0),0)</f>
        <v>0</v>
      </c>
      <c r="K28" s="117">
        <f>IFERROR(VLOOKUP(B28,'Client TB 23'!$A$3:$G$32,7,0),0)</f>
        <v>0</v>
      </c>
      <c r="L28" s="117">
        <f t="shared" si="1"/>
        <v>0</v>
      </c>
      <c r="M28" s="124">
        <v>0</v>
      </c>
      <c r="N28" s="125">
        <v>0</v>
      </c>
      <c r="O28" s="128">
        <f t="shared" si="3"/>
        <v>0</v>
      </c>
      <c r="P28" s="95">
        <f t="shared" si="5"/>
        <v>20100001</v>
      </c>
      <c r="Q28" s="487">
        <f t="shared" si="4"/>
        <v>0</v>
      </c>
      <c r="R28" s="224"/>
      <c r="S28" s="225"/>
      <c r="X28" s="226"/>
      <c r="Y28" s="225"/>
      <c r="Z28" s="225"/>
    </row>
    <row r="29" spans="1:26" s="95" customFormat="1" x14ac:dyDescent="0.25">
      <c r="A29" s="96" t="s">
        <v>154</v>
      </c>
      <c r="B29" s="127">
        <v>20000017</v>
      </c>
      <c r="C29" s="90">
        <f>VLOOKUP(D29,Input!$C$13:$D$101,2,0)</f>
        <v>3</v>
      </c>
      <c r="D29" s="98" t="s">
        <v>173</v>
      </c>
      <c r="E29" s="83" t="s">
        <v>289</v>
      </c>
      <c r="F29" s="97"/>
      <c r="G29" s="98"/>
      <c r="H29" s="83"/>
      <c r="I29" s="116" t="str">
        <f>IFERROR(VLOOKUP(B29,'Client TB 23'!$A$3:$G$32,2,0),0)</f>
        <v>Leasehold Land</v>
      </c>
      <c r="J29" s="116">
        <f>IFERROR(VLOOKUP(B29,'Client TB 23'!$A$3:$G$32,6,0),0)</f>
        <v>165189641</v>
      </c>
      <c r="K29" s="117">
        <f>IFERROR(VLOOKUP(B29,'Client TB 23'!$A$3:$G$32,7,0),0)</f>
        <v>0</v>
      </c>
      <c r="L29" s="117">
        <f t="shared" si="1"/>
        <v>165189641</v>
      </c>
      <c r="M29" s="124">
        <v>0</v>
      </c>
      <c r="N29" s="125">
        <f>L29</f>
        <v>165189641</v>
      </c>
      <c r="O29" s="128">
        <f t="shared" si="3"/>
        <v>0</v>
      </c>
      <c r="P29" s="95">
        <f t="shared" si="5"/>
        <v>20000017</v>
      </c>
      <c r="Q29" s="487">
        <f t="shared" si="4"/>
        <v>165189641</v>
      </c>
      <c r="R29" s="224"/>
      <c r="S29" s="225"/>
      <c r="X29" s="226"/>
      <c r="Y29" s="225"/>
      <c r="Z29" s="225"/>
    </row>
    <row r="30" spans="1:26" s="95" customFormat="1" x14ac:dyDescent="0.25">
      <c r="A30" s="96" t="s">
        <v>154</v>
      </c>
      <c r="B30" s="127">
        <v>20000018</v>
      </c>
      <c r="C30" s="90">
        <f>VLOOKUP(D30,Input!$C$13:$D$101,2,0)</f>
        <v>3</v>
      </c>
      <c r="D30" s="98" t="s">
        <v>173</v>
      </c>
      <c r="E30" s="83" t="s">
        <v>289</v>
      </c>
      <c r="F30" s="97"/>
      <c r="G30" s="98"/>
      <c r="H30" s="83"/>
      <c r="I30" s="116" t="str">
        <f>IFERROR(VLOOKUP(B30,'Client TB 23'!$A$3:$G$32,2,0),0)</f>
        <v>ACC_DEP_Leased Land</v>
      </c>
      <c r="J30" s="116">
        <f>IFERROR(VLOOKUP(B30,'Client TB 23'!$A$3:$G$32,6,0),0)</f>
        <v>0</v>
      </c>
      <c r="K30" s="117">
        <f>IFERROR(VLOOKUP(B30,'Client TB 23'!$A$3:$G$32,7,0),0)</f>
        <v>-2362664.8765952503</v>
      </c>
      <c r="L30" s="117">
        <f t="shared" si="1"/>
        <v>-2362664.8765952503</v>
      </c>
      <c r="M30" s="124">
        <v>0</v>
      </c>
      <c r="N30" s="125">
        <f>L30</f>
        <v>-2362664.8765952503</v>
      </c>
      <c r="O30" s="128">
        <f t="shared" si="3"/>
        <v>0</v>
      </c>
      <c r="P30" s="95">
        <f t="shared" si="5"/>
        <v>20000018</v>
      </c>
      <c r="Q30" s="487">
        <f t="shared" si="4"/>
        <v>-2362664.8765952503</v>
      </c>
      <c r="R30" s="224"/>
      <c r="S30" s="225"/>
      <c r="X30" s="226"/>
      <c r="Y30" s="225"/>
      <c r="Z30" s="225"/>
    </row>
    <row r="31" spans="1:26" s="95" customFormat="1" x14ac:dyDescent="0.25">
      <c r="A31" s="96" t="s">
        <v>154</v>
      </c>
      <c r="B31" s="127">
        <v>20100000</v>
      </c>
      <c r="C31" s="90">
        <f>VLOOKUP(D31,Input!$C$13:$D$101,2,0)</f>
        <v>3</v>
      </c>
      <c r="D31" s="98" t="s">
        <v>173</v>
      </c>
      <c r="E31" s="83" t="s">
        <v>244</v>
      </c>
      <c r="F31" s="97"/>
      <c r="G31" s="98"/>
      <c r="H31" s="83"/>
      <c r="I31" s="116">
        <f>IFERROR(VLOOKUP(B31,'Client TB 23'!$A$3:$G$32,2,0),0)</f>
        <v>0</v>
      </c>
      <c r="J31" s="116">
        <f>IFERROR(VLOOKUP(B31,'Client TB 23'!$A$3:$G$32,6,0),0)</f>
        <v>0</v>
      </c>
      <c r="K31" s="117">
        <f>IFERROR(VLOOKUP(B31,'Client TB 23'!$A$3:$G$32,7,0),0)</f>
        <v>0</v>
      </c>
      <c r="L31" s="117">
        <f t="shared" si="1"/>
        <v>0</v>
      </c>
      <c r="M31" s="124">
        <v>0</v>
      </c>
      <c r="N31" s="125">
        <f>L31</f>
        <v>0</v>
      </c>
      <c r="O31" s="128">
        <f t="shared" si="3"/>
        <v>0</v>
      </c>
      <c r="P31" s="95">
        <f t="shared" si="5"/>
        <v>20100000</v>
      </c>
      <c r="Q31" s="487">
        <f t="shared" si="4"/>
        <v>0</v>
      </c>
      <c r="R31" s="224"/>
      <c r="S31" s="225"/>
      <c r="X31" s="226"/>
      <c r="Y31" s="225"/>
      <c r="Z31" s="225"/>
    </row>
    <row r="32" spans="1:26" s="95" customFormat="1" x14ac:dyDescent="0.25">
      <c r="A32" s="96" t="s">
        <v>154</v>
      </c>
      <c r="B32" s="127">
        <v>21000008</v>
      </c>
      <c r="C32" s="90">
        <f>VLOOKUP(D32,Input!$C$13:$D$101,2,0)</f>
        <v>11</v>
      </c>
      <c r="D32" s="98" t="s">
        <v>190</v>
      </c>
      <c r="E32" s="83" t="s">
        <v>591</v>
      </c>
      <c r="F32" s="97"/>
      <c r="G32" s="98"/>
      <c r="H32" s="83"/>
      <c r="I32" s="116">
        <f>IFERROR(VLOOKUP(B32,'Client TB 23'!$A$3:$G$32,2,0),0)</f>
        <v>0</v>
      </c>
      <c r="J32" s="116">
        <f>IFERROR(VLOOKUP(B32,'Client TB 23'!$A$3:$G$32,6,0),0)</f>
        <v>0</v>
      </c>
      <c r="K32" s="117">
        <f>IFERROR(VLOOKUP(B32,'Client TB 23'!$A$3:$G$32,7,0),0)</f>
        <v>0</v>
      </c>
      <c r="L32" s="117">
        <f t="shared" si="1"/>
        <v>0</v>
      </c>
      <c r="M32" s="124">
        <v>0</v>
      </c>
      <c r="N32" s="125">
        <v>0</v>
      </c>
      <c r="O32" s="128">
        <f t="shared" si="3"/>
        <v>0</v>
      </c>
      <c r="P32" s="95">
        <f t="shared" si="5"/>
        <v>21000008</v>
      </c>
      <c r="Q32" s="487">
        <f t="shared" si="4"/>
        <v>0</v>
      </c>
      <c r="R32" s="224"/>
      <c r="S32" s="225"/>
      <c r="X32" s="226"/>
      <c r="Y32" s="225"/>
      <c r="Z32" s="225"/>
    </row>
    <row r="33" spans="1:26" s="95" customFormat="1" x14ac:dyDescent="0.25">
      <c r="A33" s="96" t="s">
        <v>154</v>
      </c>
      <c r="B33" s="127">
        <v>21000013</v>
      </c>
      <c r="C33" s="90">
        <f>VLOOKUP(D33,Input!$C$13:$D$101,2,0)</f>
        <v>11</v>
      </c>
      <c r="D33" s="98" t="s">
        <v>190</v>
      </c>
      <c r="E33" s="83" t="s">
        <v>591</v>
      </c>
      <c r="F33" s="97"/>
      <c r="G33" s="98"/>
      <c r="H33" s="83"/>
      <c r="I33" s="116" t="str">
        <f>IFERROR(VLOOKUP(B33,'Client TB 23'!$A$3:$G$32,2,0),0)</f>
        <v>SGST Receivable</v>
      </c>
      <c r="J33" s="116">
        <f>IFERROR(VLOOKUP(B33,'Client TB 23'!$A$3:$G$32,6,0),0)</f>
        <v>14599464.810000001</v>
      </c>
      <c r="K33" s="117">
        <f>IFERROR(VLOOKUP(B33,'Client TB 23'!$A$3:$G$32,7,0),0)</f>
        <v>0</v>
      </c>
      <c r="L33" s="117">
        <f t="shared" si="1"/>
        <v>14599464.810000001</v>
      </c>
      <c r="M33" s="124">
        <f>L33</f>
        <v>14599464.810000001</v>
      </c>
      <c r="N33" s="125">
        <v>0</v>
      </c>
      <c r="O33" s="128">
        <f t="shared" si="3"/>
        <v>0</v>
      </c>
      <c r="P33" s="95">
        <f t="shared" si="5"/>
        <v>21000013</v>
      </c>
      <c r="Q33" s="487">
        <f t="shared" si="4"/>
        <v>14599464.810000001</v>
      </c>
      <c r="R33" s="224"/>
      <c r="S33" s="225"/>
      <c r="X33" s="226"/>
      <c r="Y33" s="225"/>
      <c r="Z33" s="225"/>
    </row>
    <row r="34" spans="1:26" s="95" customFormat="1" x14ac:dyDescent="0.25">
      <c r="A34" s="96" t="s">
        <v>154</v>
      </c>
      <c r="B34" s="127">
        <v>21000012</v>
      </c>
      <c r="C34" s="90">
        <f>VLOOKUP(D34,Input!$C$13:$D$101,2,0)</f>
        <v>11</v>
      </c>
      <c r="D34" s="98" t="s">
        <v>190</v>
      </c>
      <c r="E34" s="83" t="s">
        <v>591</v>
      </c>
      <c r="F34" s="97"/>
      <c r="G34" s="98"/>
      <c r="H34" s="83"/>
      <c r="I34" s="116" t="str">
        <f>IFERROR(VLOOKUP(B34,'Client TB 23'!$A$3:$G$32,2,0),0)</f>
        <v>IGST Receivable</v>
      </c>
      <c r="J34" s="116">
        <f>IFERROR(VLOOKUP(B34,'Client TB 23'!$A$3:$G$32,6,0),0)</f>
        <v>1217194.04</v>
      </c>
      <c r="K34" s="117">
        <f>IFERROR(VLOOKUP(B34,'Client TB 23'!$A$3:$G$32,7,0),0)</f>
        <v>0</v>
      </c>
      <c r="L34" s="117">
        <f t="shared" si="1"/>
        <v>1217194.04</v>
      </c>
      <c r="M34" s="124">
        <f>L34</f>
        <v>1217194.04</v>
      </c>
      <c r="N34" s="125">
        <v>0</v>
      </c>
      <c r="O34" s="128">
        <f t="shared" si="3"/>
        <v>0</v>
      </c>
      <c r="P34" s="95">
        <f t="shared" si="5"/>
        <v>21000012</v>
      </c>
      <c r="Q34" s="487">
        <f t="shared" si="4"/>
        <v>1217194.04</v>
      </c>
      <c r="R34" s="224"/>
      <c r="S34" s="225"/>
      <c r="X34" s="226"/>
      <c r="Y34" s="225"/>
      <c r="Z34" s="225"/>
    </row>
    <row r="35" spans="1:26" s="95" customFormat="1" x14ac:dyDescent="0.25">
      <c r="A35" s="96" t="s">
        <v>154</v>
      </c>
      <c r="B35" s="127">
        <v>11100000</v>
      </c>
      <c r="C35" s="228">
        <f>VLOOKUP(D35,Input!$C$13:$D$101,2,0)</f>
        <v>6</v>
      </c>
      <c r="D35" s="98" t="s">
        <v>152</v>
      </c>
      <c r="E35" s="83" t="s">
        <v>176</v>
      </c>
      <c r="F35" s="97"/>
      <c r="G35" s="98"/>
      <c r="H35" s="83"/>
      <c r="I35" s="116">
        <f>IFERROR(VLOOKUP(B35,'Client TB 23'!$A$3:$G$32,2,0),0)</f>
        <v>0</v>
      </c>
      <c r="J35" s="116">
        <f>IFERROR(VLOOKUP(B35,'Client TB 23'!$A$3:$G$32,6,0),0)</f>
        <v>0</v>
      </c>
      <c r="K35" s="117">
        <f>IFERROR(VLOOKUP(B35,'Client TB 23'!$A$3:$G$32,7,0),0)</f>
        <v>0</v>
      </c>
      <c r="L35" s="117">
        <f t="shared" si="1"/>
        <v>0</v>
      </c>
      <c r="M35" s="124">
        <v>0</v>
      </c>
      <c r="N35" s="125">
        <v>0</v>
      </c>
      <c r="O35" s="128">
        <f t="shared" si="3"/>
        <v>0</v>
      </c>
      <c r="P35" s="95">
        <f t="shared" si="5"/>
        <v>11100000</v>
      </c>
      <c r="Q35" s="487">
        <f t="shared" si="4"/>
        <v>0</v>
      </c>
      <c r="R35" s="224"/>
      <c r="S35" s="225"/>
      <c r="X35" s="226"/>
      <c r="Y35" s="225"/>
      <c r="Z35" s="225"/>
    </row>
    <row r="36" spans="1:26" s="95" customFormat="1" x14ac:dyDescent="0.25">
      <c r="A36" s="96" t="s">
        <v>97</v>
      </c>
      <c r="B36" s="127">
        <v>40500008</v>
      </c>
      <c r="C36" s="90">
        <f>VLOOKUP(D36,Input!$C$13:$D$101,2,0)</f>
        <v>3</v>
      </c>
      <c r="D36" s="98" t="s">
        <v>173</v>
      </c>
      <c r="E36" s="83" t="s">
        <v>52</v>
      </c>
      <c r="F36" s="97"/>
      <c r="G36" s="98"/>
      <c r="H36" s="83"/>
      <c r="I36" s="116" t="str">
        <f>IFERROR(VLOOKUP(B36,'Client TB 23'!$A$3:$G$32,2,0),0)</f>
        <v>Depreciation and Amortization Expenses</v>
      </c>
      <c r="J36" s="116">
        <f>IFERROR(VLOOKUP(B36,'Client TB 23'!$A$3:$G$32,6,0),0)</f>
        <v>1752789.8765952501</v>
      </c>
      <c r="K36" s="117">
        <f>IFERROR(VLOOKUP(B36,'Client TB 23'!$A$3:$G$32,7,0),0)</f>
        <v>0</v>
      </c>
      <c r="L36" s="117">
        <f t="shared" si="1"/>
        <v>1752789.8765952501</v>
      </c>
      <c r="M36" s="124"/>
      <c r="N36" s="125"/>
      <c r="O36" s="128"/>
      <c r="P36" s="95">
        <f t="shared" si="5"/>
        <v>40500008</v>
      </c>
      <c r="Q36" s="487">
        <f t="shared" si="4"/>
        <v>1752789.8765952501</v>
      </c>
      <c r="R36" s="224"/>
      <c r="S36" s="225"/>
      <c r="X36" s="226"/>
      <c r="Y36" s="225"/>
      <c r="Z36" s="225"/>
    </row>
    <row r="37" spans="1:26" s="95" customFormat="1" x14ac:dyDescent="0.25">
      <c r="A37" s="96" t="s">
        <v>97</v>
      </c>
      <c r="B37" s="127">
        <v>40100002</v>
      </c>
      <c r="C37" s="228">
        <f>VLOOKUP(D37,Input!$C$13:$D$101,2,0)</f>
        <v>20</v>
      </c>
      <c r="D37" s="98" t="s">
        <v>160</v>
      </c>
      <c r="E37" s="83" t="s">
        <v>518</v>
      </c>
      <c r="F37" s="97"/>
      <c r="G37" s="98"/>
      <c r="H37" s="83"/>
      <c r="I37" s="116">
        <f>IFERROR(VLOOKUP(B37,'Client TB 23'!$A$3:$G$32,2,0),0)</f>
        <v>0</v>
      </c>
      <c r="J37" s="116">
        <f>IFERROR(VLOOKUP(B37,'Client TB 23'!$A$3:$G$32,6,0),0)</f>
        <v>0</v>
      </c>
      <c r="K37" s="117">
        <f>IFERROR(VLOOKUP(B37,'Client TB 23'!$A$3:$G$32,7,0),0)</f>
        <v>0</v>
      </c>
      <c r="L37" s="117">
        <f t="shared" si="1"/>
        <v>0</v>
      </c>
      <c r="M37" s="124">
        <v>0</v>
      </c>
      <c r="N37" s="125">
        <v>0</v>
      </c>
      <c r="O37" s="128">
        <f t="shared" si="3"/>
        <v>0</v>
      </c>
      <c r="P37" s="95">
        <f t="shared" si="5"/>
        <v>40100002</v>
      </c>
      <c r="Q37" s="487">
        <f t="shared" si="4"/>
        <v>0</v>
      </c>
      <c r="R37" s="224"/>
      <c r="S37" s="225"/>
      <c r="X37" s="226"/>
      <c r="Y37" s="225"/>
      <c r="Z37" s="225"/>
    </row>
    <row r="38" spans="1:26" s="95" customFormat="1" x14ac:dyDescent="0.25">
      <c r="A38" s="96" t="s">
        <v>97</v>
      </c>
      <c r="B38" s="127">
        <v>40700000</v>
      </c>
      <c r="C38" s="90">
        <f>VLOOKUP(D38,Input!$C$13:$D$101,2,0)</f>
        <v>24</v>
      </c>
      <c r="D38" s="98" t="s">
        <v>194</v>
      </c>
      <c r="E38" s="83" t="s">
        <v>519</v>
      </c>
      <c r="F38" s="97"/>
      <c r="G38" s="98"/>
      <c r="H38" s="83"/>
      <c r="I38" s="116" t="str">
        <f>IFERROR(VLOOKUP(B38,'Client TB 23'!$A$3:$G$32,2,0),0)</f>
        <v>Repair and Maintance</v>
      </c>
      <c r="J38" s="116">
        <f>IFERROR(VLOOKUP(B38,'Client TB 23'!$A$3:$G$32,6,0),0)</f>
        <v>59364</v>
      </c>
      <c r="K38" s="117">
        <f>IFERROR(VLOOKUP(B38,'Client TB 23'!$A$3:$G$32,7,0),0)</f>
        <v>0</v>
      </c>
      <c r="L38" s="117">
        <f t="shared" si="1"/>
        <v>59364</v>
      </c>
      <c r="M38" s="124">
        <v>0</v>
      </c>
      <c r="N38" s="125">
        <v>0</v>
      </c>
      <c r="O38" s="128">
        <v>0</v>
      </c>
      <c r="P38" s="95">
        <f t="shared" si="5"/>
        <v>40700000</v>
      </c>
      <c r="Q38" s="487">
        <f t="shared" si="4"/>
        <v>59364</v>
      </c>
      <c r="R38" s="224"/>
      <c r="S38" s="225"/>
      <c r="X38" s="226"/>
      <c r="Y38" s="225"/>
      <c r="Z38" s="225"/>
    </row>
    <row r="39" spans="1:26" s="95" customFormat="1" x14ac:dyDescent="0.25">
      <c r="A39" s="96" t="s">
        <v>97</v>
      </c>
      <c r="B39" s="127">
        <v>40300000</v>
      </c>
      <c r="C39" s="228">
        <f>VLOOKUP(D39,Input!$C$13:$D$101,2,0)</f>
        <v>22</v>
      </c>
      <c r="D39" s="98" t="s">
        <v>198</v>
      </c>
      <c r="E39" s="83" t="s">
        <v>199</v>
      </c>
      <c r="F39" s="97"/>
      <c r="G39" s="98"/>
      <c r="H39" s="83"/>
      <c r="I39" s="116">
        <f>IFERROR(VLOOKUP(B39,'Client TB 23'!$A$3:$G$32,2,0),0)</f>
        <v>0</v>
      </c>
      <c r="J39" s="116">
        <f>IFERROR(VLOOKUP(B39,'Client TB 23'!$A$3:$G$32,6,0),0)</f>
        <v>0</v>
      </c>
      <c r="K39" s="117">
        <f>IFERROR(VLOOKUP(B39,'Client TB 23'!$A$3:$G$32,7,0),0)</f>
        <v>0</v>
      </c>
      <c r="L39" s="117">
        <f t="shared" si="1"/>
        <v>0</v>
      </c>
      <c r="M39" s="124">
        <v>0</v>
      </c>
      <c r="N39" s="125">
        <v>0</v>
      </c>
      <c r="O39" s="128">
        <f t="shared" si="3"/>
        <v>0</v>
      </c>
      <c r="P39" s="95">
        <f t="shared" si="5"/>
        <v>40300000</v>
      </c>
      <c r="Q39" s="487">
        <f t="shared" si="4"/>
        <v>0</v>
      </c>
      <c r="R39" s="224"/>
      <c r="S39" s="225"/>
      <c r="W39" s="225"/>
      <c r="X39" s="226"/>
      <c r="Y39" s="225"/>
      <c r="Z39" s="225"/>
    </row>
    <row r="40" spans="1:26" s="95" customFormat="1" x14ac:dyDescent="0.25">
      <c r="A40" s="96" t="s">
        <v>97</v>
      </c>
      <c r="B40" s="127">
        <v>40100008</v>
      </c>
      <c r="C40" s="228">
        <f>VLOOKUP(D40,Input!$C$13:$D$101,2,0)</f>
        <v>20</v>
      </c>
      <c r="D40" s="98" t="s">
        <v>160</v>
      </c>
      <c r="E40" s="83" t="s">
        <v>518</v>
      </c>
      <c r="F40" s="97"/>
      <c r="G40" s="98"/>
      <c r="H40" s="83"/>
      <c r="I40" s="116">
        <f>IFERROR(VLOOKUP(B40,'Client TB 23'!$A$3:$G$32,2,0),0)</f>
        <v>0</v>
      </c>
      <c r="J40" s="116">
        <f>IFERROR(VLOOKUP(B40,'Client TB 23'!$A$3:$G$32,6,0),0)</f>
        <v>0</v>
      </c>
      <c r="K40" s="117">
        <f>IFERROR(VLOOKUP(B40,'Client TB 23'!$A$3:$G$32,7,0),0)</f>
        <v>0</v>
      </c>
      <c r="L40" s="117">
        <f t="shared" si="1"/>
        <v>0</v>
      </c>
      <c r="M40" s="124">
        <v>0</v>
      </c>
      <c r="N40" s="125">
        <v>0</v>
      </c>
      <c r="O40" s="128">
        <f t="shared" si="3"/>
        <v>0</v>
      </c>
      <c r="P40" s="95">
        <f t="shared" si="5"/>
        <v>40100008</v>
      </c>
      <c r="Q40" s="487">
        <f t="shared" si="4"/>
        <v>0</v>
      </c>
      <c r="R40" s="224"/>
      <c r="S40" s="225"/>
      <c r="X40" s="226"/>
      <c r="Y40" s="225"/>
      <c r="Z40" s="225"/>
    </row>
    <row r="41" spans="1:26" s="95" customFormat="1" x14ac:dyDescent="0.25">
      <c r="A41" s="96" t="s">
        <v>97</v>
      </c>
      <c r="B41" s="127">
        <v>40700017</v>
      </c>
      <c r="C41" s="90">
        <f>VLOOKUP(D41,Input!$C$13:$D$101,2,0)</f>
        <v>24</v>
      </c>
      <c r="D41" s="98" t="s">
        <v>194</v>
      </c>
      <c r="E41" s="83" t="s">
        <v>138</v>
      </c>
      <c r="F41" s="97"/>
      <c r="G41" s="98"/>
      <c r="H41" s="83"/>
      <c r="I41" s="116">
        <f>IFERROR(VLOOKUP(B41,'Client TB 23'!$A$3:$G$32,2,0),0)</f>
        <v>0</v>
      </c>
      <c r="J41" s="116">
        <f>IFERROR(VLOOKUP(B41,'Client TB 23'!$A$3:$G$32,6,0),0)</f>
        <v>0</v>
      </c>
      <c r="K41" s="117">
        <f>IFERROR(VLOOKUP(B41,'Client TB 23'!$A$3:$G$32,7,0),0)</f>
        <v>0</v>
      </c>
      <c r="L41" s="117">
        <f t="shared" si="1"/>
        <v>0</v>
      </c>
      <c r="M41" s="124">
        <v>0</v>
      </c>
      <c r="N41" s="125">
        <v>0</v>
      </c>
      <c r="O41" s="128">
        <f t="shared" si="3"/>
        <v>0</v>
      </c>
      <c r="P41" s="95">
        <f t="shared" si="5"/>
        <v>40700017</v>
      </c>
      <c r="Q41" s="487">
        <f t="shared" si="4"/>
        <v>0</v>
      </c>
      <c r="R41" s="224"/>
      <c r="S41" s="225"/>
      <c r="X41" s="226"/>
      <c r="Y41" s="225"/>
      <c r="Z41" s="225"/>
    </row>
    <row r="42" spans="1:26" s="95" customFormat="1" x14ac:dyDescent="0.25">
      <c r="A42" s="96" t="s">
        <v>97</v>
      </c>
      <c r="B42" s="127">
        <v>40700028</v>
      </c>
      <c r="C42" s="90">
        <f>VLOOKUP(D42,Input!$C$13:$D$101,2,0)</f>
        <v>24</v>
      </c>
      <c r="D42" s="98" t="s">
        <v>194</v>
      </c>
      <c r="E42" s="83" t="s">
        <v>197</v>
      </c>
      <c r="F42" s="97"/>
      <c r="G42" s="98"/>
      <c r="H42" s="83"/>
      <c r="I42" s="116">
        <f>IFERROR(VLOOKUP(B42,'Client TB 23'!$A$3:$G$32,2,0),0)</f>
        <v>0</v>
      </c>
      <c r="J42" s="116">
        <f>IFERROR(VLOOKUP(B42,'Client TB 23'!$A$3:$G$32,6,0),0)</f>
        <v>0</v>
      </c>
      <c r="K42" s="117">
        <f>IFERROR(VLOOKUP(B42,'Client TB 23'!$A$3:$G$32,7,0),0)</f>
        <v>0</v>
      </c>
      <c r="L42" s="117">
        <f t="shared" si="1"/>
        <v>0</v>
      </c>
      <c r="M42" s="124">
        <v>0</v>
      </c>
      <c r="N42" s="125">
        <v>0</v>
      </c>
      <c r="O42" s="128">
        <f t="shared" si="3"/>
        <v>0</v>
      </c>
      <c r="P42" s="95">
        <f t="shared" si="5"/>
        <v>40700028</v>
      </c>
      <c r="Q42" s="487">
        <f t="shared" si="4"/>
        <v>0</v>
      </c>
      <c r="R42" s="224"/>
      <c r="S42" s="225"/>
      <c r="X42" s="226"/>
      <c r="Y42" s="225"/>
      <c r="Z42" s="225"/>
    </row>
    <row r="43" spans="1:26" s="95" customFormat="1" x14ac:dyDescent="0.25">
      <c r="A43" s="96" t="s">
        <v>97</v>
      </c>
      <c r="B43" s="127">
        <v>40700027</v>
      </c>
      <c r="C43" s="90">
        <f>VLOOKUP(D43,Input!$C$13:$D$101,2,0)</f>
        <v>24</v>
      </c>
      <c r="D43" s="98" t="s">
        <v>194</v>
      </c>
      <c r="E43" s="83" t="s">
        <v>200</v>
      </c>
      <c r="F43" s="97"/>
      <c r="G43" s="98"/>
      <c r="H43" s="83"/>
      <c r="I43" s="116">
        <f>IFERROR(VLOOKUP(B43,'Client TB 23'!$A$3:$G$32,2,0),0)</f>
        <v>0</v>
      </c>
      <c r="J43" s="116">
        <f>IFERROR(VLOOKUP(B43,'Client TB 23'!$A$3:$G$32,6,0),0)</f>
        <v>0</v>
      </c>
      <c r="K43" s="117">
        <f>IFERROR(VLOOKUP(B43,'Client TB 23'!$A$3:$G$32,7,0),0)</f>
        <v>0</v>
      </c>
      <c r="L43" s="117">
        <f t="shared" si="1"/>
        <v>0</v>
      </c>
      <c r="M43" s="124">
        <v>0</v>
      </c>
      <c r="N43" s="125">
        <v>0</v>
      </c>
      <c r="O43" s="128">
        <f t="shared" si="3"/>
        <v>0</v>
      </c>
      <c r="P43" s="95">
        <f t="shared" si="5"/>
        <v>40700027</v>
      </c>
      <c r="Q43" s="487">
        <f t="shared" si="4"/>
        <v>0</v>
      </c>
      <c r="R43" s="224"/>
      <c r="S43" s="225"/>
      <c r="X43" s="226"/>
      <c r="Y43" s="225"/>
      <c r="Z43" s="225"/>
    </row>
    <row r="44" spans="1:26" s="95" customFormat="1" x14ac:dyDescent="0.25">
      <c r="A44" s="96" t="s">
        <v>97</v>
      </c>
      <c r="B44" s="127">
        <v>40700007</v>
      </c>
      <c r="C44" s="90">
        <f>VLOOKUP(D44,Input!$C$13:$D$101,2,0)</f>
        <v>24</v>
      </c>
      <c r="D44" s="98" t="s">
        <v>194</v>
      </c>
      <c r="E44" s="83" t="s">
        <v>155</v>
      </c>
      <c r="F44" s="97"/>
      <c r="G44" s="98"/>
      <c r="H44" s="83"/>
      <c r="I44" s="116" t="str">
        <f>IFERROR(VLOOKUP(B44,'Client TB 23'!$A$3:$G$32,2,0),0)</f>
        <v>Professional &amp; Consu</v>
      </c>
      <c r="J44" s="116">
        <f>IFERROR(VLOOKUP(B44,'Client TB 23'!$A$3:$G$32,6,0),0)</f>
        <v>4799228</v>
      </c>
      <c r="K44" s="117">
        <f>IFERROR(VLOOKUP(B44,'Client TB 23'!$A$3:$G$32,7,0),0)</f>
        <v>0</v>
      </c>
      <c r="L44" s="117">
        <f t="shared" si="1"/>
        <v>4799228</v>
      </c>
      <c r="M44" s="124">
        <v>0</v>
      </c>
      <c r="N44" s="125">
        <v>0</v>
      </c>
      <c r="O44" s="128">
        <v>0</v>
      </c>
      <c r="P44" s="95">
        <f t="shared" si="5"/>
        <v>40700007</v>
      </c>
      <c r="Q44" s="487">
        <f t="shared" si="4"/>
        <v>4799228</v>
      </c>
      <c r="R44" s="224"/>
      <c r="S44" s="225"/>
      <c r="X44" s="226"/>
      <c r="Y44" s="225"/>
      <c r="Z44" s="225"/>
    </row>
    <row r="45" spans="1:26" s="95" customFormat="1" x14ac:dyDescent="0.25">
      <c r="A45" s="96" t="s">
        <v>97</v>
      </c>
      <c r="B45" s="127">
        <v>40700008</v>
      </c>
      <c r="C45" s="90">
        <f>VLOOKUP(D45,Input!$C$13:$D$101,2,0)</f>
        <v>24</v>
      </c>
      <c r="D45" s="98" t="s">
        <v>194</v>
      </c>
      <c r="E45" s="83" t="s">
        <v>138</v>
      </c>
      <c r="F45" s="97"/>
      <c r="G45" s="98"/>
      <c r="H45" s="83"/>
      <c r="I45" s="116" t="str">
        <f>IFERROR(VLOOKUP(B45,'Client TB 23'!$A$3:$G$32,2,0),0)</f>
        <v>Rates and Taxes</v>
      </c>
      <c r="J45" s="116">
        <f>IFERROR(VLOOKUP(B45,'Client TB 23'!$A$3:$G$32,6,0),0)</f>
        <v>3000</v>
      </c>
      <c r="K45" s="117">
        <f>IFERROR(VLOOKUP(B45,'Client TB 23'!$A$3:$G$32,7,0),0)</f>
        <v>0</v>
      </c>
      <c r="L45" s="117">
        <f t="shared" si="1"/>
        <v>3000</v>
      </c>
      <c r="M45" s="124">
        <v>0</v>
      </c>
      <c r="N45" s="125">
        <v>0</v>
      </c>
      <c r="O45" s="128">
        <v>0</v>
      </c>
      <c r="P45" s="95">
        <f t="shared" si="5"/>
        <v>40700008</v>
      </c>
      <c r="Q45" s="487">
        <f t="shared" si="4"/>
        <v>3000</v>
      </c>
      <c r="R45" s="224"/>
      <c r="S45" s="225"/>
      <c r="X45" s="226"/>
      <c r="Y45" s="225"/>
      <c r="Z45" s="225"/>
    </row>
    <row r="46" spans="1:26" s="95" customFormat="1" x14ac:dyDescent="0.25">
      <c r="A46" s="96" t="s">
        <v>97</v>
      </c>
      <c r="B46" s="127">
        <v>40400000</v>
      </c>
      <c r="C46" s="90">
        <f>VLOOKUP(D46,Input!$C$13:$D$101,2,0)</f>
        <v>23</v>
      </c>
      <c r="D46" s="98" t="s">
        <v>202</v>
      </c>
      <c r="E46" s="83" t="s">
        <v>146</v>
      </c>
      <c r="F46" s="97"/>
      <c r="G46" s="98"/>
      <c r="H46" s="83"/>
      <c r="I46" s="116">
        <f>IFERROR(VLOOKUP(B46,'Client TB 23'!$A$3:$G$32,2,0),0)</f>
        <v>0</v>
      </c>
      <c r="J46" s="116">
        <f>IFERROR(VLOOKUP(B46,'Client TB 23'!$A$3:$G$32,6,0),0)</f>
        <v>0</v>
      </c>
      <c r="K46" s="117">
        <f>IFERROR(VLOOKUP(B46,'Client TB 23'!$A$3:$G$32,7,0),0)</f>
        <v>0</v>
      </c>
      <c r="L46" s="117">
        <f t="shared" si="1"/>
        <v>0</v>
      </c>
      <c r="M46" s="124">
        <v>0</v>
      </c>
      <c r="N46" s="125">
        <v>0</v>
      </c>
      <c r="O46" s="128">
        <f t="shared" si="3"/>
        <v>0</v>
      </c>
      <c r="P46" s="95">
        <f t="shared" si="5"/>
        <v>40400000</v>
      </c>
      <c r="Q46" s="487">
        <f t="shared" si="4"/>
        <v>0</v>
      </c>
      <c r="R46" s="224"/>
      <c r="S46" s="225"/>
      <c r="X46" s="226"/>
      <c r="Y46" s="225"/>
      <c r="Z46" s="225"/>
    </row>
    <row r="47" spans="1:26" s="95" customFormat="1" x14ac:dyDescent="0.25">
      <c r="A47" s="96" t="s">
        <v>97</v>
      </c>
      <c r="B47" s="127">
        <v>40400001</v>
      </c>
      <c r="C47" s="90">
        <f>VLOOKUP(D47,Input!$C$13:$D$101,2,0)</f>
        <v>24</v>
      </c>
      <c r="D47" s="98" t="s">
        <v>194</v>
      </c>
      <c r="E47" s="83" t="s">
        <v>203</v>
      </c>
      <c r="F47" s="97"/>
      <c r="G47" s="98"/>
      <c r="H47" s="83"/>
      <c r="I47" s="116" t="str">
        <f>IFERROR(VLOOKUP(B47,'Client TB 23'!$A$3:$G$32,2,0),0)</f>
        <v>Other Bank Charges</v>
      </c>
      <c r="J47" s="116">
        <f>IFERROR(VLOOKUP(B47,'Client TB 23'!$A$3:$G$32,6,0),0)</f>
        <v>312.16000000000003</v>
      </c>
      <c r="K47" s="117">
        <f>IFERROR(VLOOKUP(B47,'Client TB 23'!$A$3:$G$32,7,0),0)</f>
        <v>0</v>
      </c>
      <c r="L47" s="117">
        <f t="shared" si="1"/>
        <v>312.16000000000003</v>
      </c>
      <c r="M47" s="124">
        <v>0</v>
      </c>
      <c r="N47" s="125">
        <v>0</v>
      </c>
      <c r="O47" s="128">
        <v>0</v>
      </c>
      <c r="P47" s="95">
        <f t="shared" si="5"/>
        <v>40400001</v>
      </c>
      <c r="Q47" s="487">
        <f t="shared" si="4"/>
        <v>312.16000000000003</v>
      </c>
      <c r="R47" s="224"/>
      <c r="S47" s="225"/>
      <c r="X47" s="226"/>
      <c r="Y47" s="225"/>
      <c r="Z47" s="225"/>
    </row>
    <row r="48" spans="1:26" s="95" customFormat="1" x14ac:dyDescent="0.25">
      <c r="A48" s="96" t="s">
        <v>97</v>
      </c>
      <c r="B48" s="127">
        <v>40400003</v>
      </c>
      <c r="C48" s="90">
        <f>VLOOKUP(D48,Input!$C$13:$D$101,2,0)</f>
        <v>24</v>
      </c>
      <c r="D48" s="98" t="s">
        <v>194</v>
      </c>
      <c r="E48" s="83" t="s">
        <v>203</v>
      </c>
      <c r="F48" s="97"/>
      <c r="G48" s="98"/>
      <c r="H48" s="83"/>
      <c r="I48" s="116">
        <f>IFERROR(VLOOKUP(B48,'Client TB 23'!$A$3:$G$32,2,0),0)</f>
        <v>0</v>
      </c>
      <c r="J48" s="116">
        <f>IFERROR(VLOOKUP(B48,'Client TB 23'!$A$3:$G$32,6,0),0)</f>
        <v>0</v>
      </c>
      <c r="K48" s="117">
        <f>IFERROR(VLOOKUP(B48,'Client TB 23'!$A$3:$G$32,7,0),0)</f>
        <v>0</v>
      </c>
      <c r="L48" s="117">
        <f t="shared" si="1"/>
        <v>0</v>
      </c>
      <c r="M48" s="124">
        <v>0</v>
      </c>
      <c r="N48" s="125">
        <v>0</v>
      </c>
      <c r="O48" s="128">
        <f t="shared" si="3"/>
        <v>0</v>
      </c>
      <c r="P48" s="95">
        <f t="shared" si="5"/>
        <v>40400003</v>
      </c>
      <c r="Q48" s="487">
        <f t="shared" si="4"/>
        <v>0</v>
      </c>
      <c r="R48" s="224"/>
      <c r="S48" s="225"/>
      <c r="X48" s="226"/>
      <c r="Y48" s="225"/>
      <c r="Z48" s="225"/>
    </row>
    <row r="49" spans="1:26" s="95" customFormat="1" x14ac:dyDescent="0.25">
      <c r="A49" s="96" t="s">
        <v>97</v>
      </c>
      <c r="B49" s="127">
        <v>40700010</v>
      </c>
      <c r="C49" s="90">
        <f>VLOOKUP(D49,Input!$C$13:$D$101,2,0)</f>
        <v>24</v>
      </c>
      <c r="D49" s="98" t="s">
        <v>194</v>
      </c>
      <c r="E49" s="83" t="s">
        <v>155</v>
      </c>
      <c r="F49" s="97"/>
      <c r="G49" s="98"/>
      <c r="H49" s="83"/>
      <c r="I49" s="116">
        <f>IFERROR(VLOOKUP(B49,'Client TB 23'!$A$3:$G$32,2,0),0)</f>
        <v>0</v>
      </c>
      <c r="J49" s="116">
        <f>IFERROR(VLOOKUP(B49,'Client TB 23'!$A$3:$G$32,6,0),0)</f>
        <v>0</v>
      </c>
      <c r="K49" s="117">
        <f>IFERROR(VLOOKUP(B49,'Client TB 23'!$A$3:$G$32,7,0),0)</f>
        <v>0</v>
      </c>
      <c r="L49" s="117">
        <f t="shared" si="1"/>
        <v>0</v>
      </c>
      <c r="M49" s="124">
        <v>0</v>
      </c>
      <c r="N49" s="125">
        <v>0</v>
      </c>
      <c r="O49" s="128">
        <f t="shared" si="3"/>
        <v>0</v>
      </c>
      <c r="P49" s="95">
        <f t="shared" si="5"/>
        <v>40700010</v>
      </c>
      <c r="Q49" s="487">
        <f t="shared" si="4"/>
        <v>0</v>
      </c>
      <c r="R49" s="224"/>
      <c r="S49" s="225"/>
      <c r="X49" s="226"/>
      <c r="Y49" s="225"/>
      <c r="Z49" s="225"/>
    </row>
    <row r="50" spans="1:26" s="95" customFormat="1" x14ac:dyDescent="0.25">
      <c r="A50" s="96" t="s">
        <v>97</v>
      </c>
      <c r="B50" s="127">
        <v>40400005</v>
      </c>
      <c r="C50" s="90">
        <f>VLOOKUP(D50,Input!$C$13:$D$101,2,0)</f>
        <v>24</v>
      </c>
      <c r="D50" s="98" t="s">
        <v>194</v>
      </c>
      <c r="E50" s="83" t="s">
        <v>203</v>
      </c>
      <c r="F50" s="97"/>
      <c r="G50" s="98"/>
      <c r="H50" s="83"/>
      <c r="I50" s="116">
        <f>IFERROR(VLOOKUP(B50,'Client TB 23'!$A$3:$G$32,2,0),0)</f>
        <v>0</v>
      </c>
      <c r="J50" s="116">
        <f>IFERROR(VLOOKUP(B50,'Client TB 23'!$A$3:$G$32,6,0),0)</f>
        <v>0</v>
      </c>
      <c r="K50" s="117">
        <f>IFERROR(VLOOKUP(B50,'Client TB 23'!$A$3:$G$32,7,0),0)</f>
        <v>0</v>
      </c>
      <c r="L50" s="117">
        <f t="shared" si="1"/>
        <v>0</v>
      </c>
      <c r="M50" s="124">
        <v>0</v>
      </c>
      <c r="N50" s="125">
        <v>0</v>
      </c>
      <c r="O50" s="128">
        <f t="shared" si="3"/>
        <v>0</v>
      </c>
      <c r="P50" s="95">
        <f t="shared" si="5"/>
        <v>40400005</v>
      </c>
      <c r="Q50" s="487">
        <f t="shared" si="4"/>
        <v>0</v>
      </c>
      <c r="R50" s="224"/>
      <c r="S50" s="225"/>
      <c r="X50" s="226"/>
      <c r="Y50" s="225"/>
      <c r="Z50" s="225"/>
    </row>
    <row r="51" spans="1:26" s="95" customFormat="1" x14ac:dyDescent="0.25">
      <c r="A51" s="96" t="s">
        <v>97</v>
      </c>
      <c r="B51" s="127">
        <v>40700016</v>
      </c>
      <c r="C51" s="90">
        <f>VLOOKUP(D51,Input!$C$13:$D$101,2,0)</f>
        <v>24</v>
      </c>
      <c r="D51" s="98" t="s">
        <v>194</v>
      </c>
      <c r="E51" s="83" t="s">
        <v>138</v>
      </c>
      <c r="F51" s="97"/>
      <c r="G51" s="98"/>
      <c r="H51" s="83"/>
      <c r="I51" s="116" t="str">
        <f>IFERROR(VLOOKUP(B51,'Client TB 23'!$A$3:$G$32,2,0),0)</f>
        <v>Interest On TDS</v>
      </c>
      <c r="J51" s="116">
        <f>IFERROR(VLOOKUP(B51,'Client TB 23'!$A$3:$G$32,6,0),0)</f>
        <v>25248</v>
      </c>
      <c r="K51" s="117">
        <f>IFERROR(VLOOKUP(B51,'Client TB 23'!$A$3:$G$32,7,0),0)</f>
        <v>0</v>
      </c>
      <c r="L51" s="117">
        <f t="shared" si="1"/>
        <v>25248</v>
      </c>
      <c r="M51" s="124">
        <v>0</v>
      </c>
      <c r="N51" s="125">
        <v>0</v>
      </c>
      <c r="O51" s="128">
        <v>0</v>
      </c>
      <c r="P51" s="95">
        <f t="shared" si="5"/>
        <v>40700016</v>
      </c>
      <c r="Q51" s="487">
        <f t="shared" si="4"/>
        <v>25248</v>
      </c>
      <c r="R51" s="224"/>
      <c r="S51" s="225"/>
      <c r="X51" s="226"/>
      <c r="Y51" s="225"/>
      <c r="Z51" s="225"/>
    </row>
    <row r="52" spans="1:26" s="95" customFormat="1" x14ac:dyDescent="0.25">
      <c r="A52" s="96" t="s">
        <v>97</v>
      </c>
      <c r="B52" s="127">
        <v>40400011</v>
      </c>
      <c r="C52" s="90">
        <f>VLOOKUP(D52,Input!$C$13:$D$101,2,0)</f>
        <v>23</v>
      </c>
      <c r="D52" s="98" t="s">
        <v>202</v>
      </c>
      <c r="E52" s="83" t="s">
        <v>151</v>
      </c>
      <c r="F52" s="97"/>
      <c r="G52" s="98"/>
      <c r="H52" s="83"/>
      <c r="I52" s="116">
        <f>IFERROR(VLOOKUP(B52,'Client TB 23'!$A$3:$G$32,2,0),0)</f>
        <v>0</v>
      </c>
      <c r="J52" s="116">
        <f>IFERROR(VLOOKUP(B52,'Client TB 23'!$A$3:$G$32,6,0),0)</f>
        <v>0</v>
      </c>
      <c r="K52" s="117">
        <f>IFERROR(VLOOKUP(B52,'Client TB 23'!$A$3:$G$32,7,0),0)</f>
        <v>0</v>
      </c>
      <c r="L52" s="117">
        <f t="shared" si="1"/>
        <v>0</v>
      </c>
      <c r="M52" s="124">
        <v>0</v>
      </c>
      <c r="N52" s="125">
        <v>0</v>
      </c>
      <c r="O52" s="128">
        <f t="shared" si="3"/>
        <v>0</v>
      </c>
      <c r="P52" s="95">
        <f t="shared" si="5"/>
        <v>40400011</v>
      </c>
      <c r="Q52" s="487">
        <f t="shared" si="4"/>
        <v>0</v>
      </c>
      <c r="R52" s="224"/>
      <c r="S52" s="225"/>
      <c r="X52" s="226"/>
      <c r="Y52" s="225"/>
      <c r="Z52" s="225"/>
    </row>
    <row r="53" spans="1:26" s="95" customFormat="1" x14ac:dyDescent="0.25">
      <c r="A53" s="96" t="s">
        <v>97</v>
      </c>
      <c r="B53" s="127">
        <v>40700020</v>
      </c>
      <c r="C53" s="90">
        <f>VLOOKUP(D53,Input!$C$13:$D$101,2,0)</f>
        <v>24</v>
      </c>
      <c r="D53" s="98" t="s">
        <v>194</v>
      </c>
      <c r="E53" s="83" t="s">
        <v>196</v>
      </c>
      <c r="F53" s="97"/>
      <c r="G53" s="98"/>
      <c r="H53" s="83"/>
      <c r="I53" s="116">
        <f>IFERROR(VLOOKUP(B53,'Client TB 23'!$A$3:$G$32,2,0),0)</f>
        <v>0</v>
      </c>
      <c r="J53" s="116">
        <f>IFERROR(VLOOKUP(B53,'Client TB 23'!$A$3:$G$32,6,0),0)</f>
        <v>0</v>
      </c>
      <c r="K53" s="117">
        <f>IFERROR(VLOOKUP(B53,'Client TB 23'!$A$3:$G$32,7,0),0)</f>
        <v>0</v>
      </c>
      <c r="L53" s="117">
        <f t="shared" si="1"/>
        <v>0</v>
      </c>
      <c r="M53" s="124">
        <v>0</v>
      </c>
      <c r="N53" s="125">
        <v>0</v>
      </c>
      <c r="O53" s="128">
        <f t="shared" si="3"/>
        <v>0</v>
      </c>
      <c r="P53" s="95">
        <f t="shared" si="5"/>
        <v>40700020</v>
      </c>
      <c r="Q53" s="487">
        <f t="shared" si="4"/>
        <v>0</v>
      </c>
      <c r="R53" s="224"/>
      <c r="S53" s="225"/>
      <c r="X53" s="226"/>
      <c r="Y53" s="225"/>
      <c r="Z53" s="225"/>
    </row>
    <row r="54" spans="1:26" s="95" customFormat="1" x14ac:dyDescent="0.25">
      <c r="A54" s="96"/>
      <c r="B54" s="127"/>
      <c r="C54" s="97"/>
      <c r="D54" s="98"/>
      <c r="E54" s="83"/>
      <c r="F54" s="97"/>
      <c r="G54" s="98"/>
      <c r="H54" s="83"/>
      <c r="I54" s="99"/>
      <c r="J54" s="116"/>
      <c r="K54" s="117"/>
      <c r="L54" s="121"/>
      <c r="M54" s="124"/>
      <c r="N54" s="125"/>
      <c r="O54" s="128">
        <f t="shared" si="3"/>
        <v>0</v>
      </c>
      <c r="Q54" s="487"/>
      <c r="R54" s="224"/>
      <c r="S54" s="225"/>
      <c r="X54" s="226"/>
      <c r="Y54" s="225"/>
      <c r="Z54" s="225"/>
    </row>
    <row r="55" spans="1:26" s="95" customFormat="1" x14ac:dyDescent="0.25">
      <c r="A55" s="96" t="s">
        <v>21</v>
      </c>
      <c r="B55" s="127" t="s">
        <v>237</v>
      </c>
      <c r="C55" s="90">
        <f>VLOOKUP(D55,Input!$C$13:$D$101,2,0)</f>
        <v>12</v>
      </c>
      <c r="D55" s="91" t="s">
        <v>163</v>
      </c>
      <c r="E55" s="83" t="s">
        <v>461</v>
      </c>
      <c r="F55" s="97"/>
      <c r="G55" s="98"/>
      <c r="H55" s="83"/>
      <c r="I55" s="99"/>
      <c r="J55" s="116">
        <f>'TB BVS 31.3.22'!J28</f>
        <v>972760</v>
      </c>
      <c r="K55" s="117"/>
      <c r="L55" s="121">
        <f>J55+K55</f>
        <v>972760</v>
      </c>
      <c r="M55" s="124">
        <v>0</v>
      </c>
      <c r="N55" s="125">
        <f>L55</f>
        <v>972760</v>
      </c>
      <c r="O55" s="128">
        <f t="shared" si="3"/>
        <v>0</v>
      </c>
      <c r="P55" s="95">
        <v>10000001</v>
      </c>
      <c r="Q55" s="487">
        <f t="shared" si="4"/>
        <v>972760</v>
      </c>
      <c r="R55" s="224"/>
      <c r="S55" s="225"/>
      <c r="X55" s="226"/>
      <c r="Y55" s="225"/>
      <c r="Z55" s="225"/>
    </row>
    <row r="56" spans="1:26" s="95" customFormat="1" x14ac:dyDescent="0.25">
      <c r="A56" s="96" t="s">
        <v>21</v>
      </c>
      <c r="B56" s="127" t="s">
        <v>237</v>
      </c>
      <c r="C56" s="90">
        <f>VLOOKUP(D56,Input!$C$13:$D$101,2,0)</f>
        <v>13</v>
      </c>
      <c r="D56" s="98" t="s">
        <v>164</v>
      </c>
      <c r="E56" s="83" t="s">
        <v>458</v>
      </c>
      <c r="F56" s="97"/>
      <c r="G56" s="98"/>
      <c r="H56" s="83"/>
      <c r="I56" s="99"/>
      <c r="J56" s="116">
        <f>'TB BVS 31.3.22'!J29</f>
        <v>199026696</v>
      </c>
      <c r="K56" s="117"/>
      <c r="L56" s="121">
        <f t="shared" ref="L56:L69" si="8">J56+K56</f>
        <v>199026696</v>
      </c>
      <c r="M56" s="124">
        <v>0</v>
      </c>
      <c r="N56" s="125">
        <f>L56</f>
        <v>199026696</v>
      </c>
      <c r="O56" s="128">
        <f t="shared" si="3"/>
        <v>0</v>
      </c>
      <c r="P56" s="95">
        <v>10000001</v>
      </c>
      <c r="Q56" s="487">
        <f t="shared" si="4"/>
        <v>199026696</v>
      </c>
      <c r="R56" s="224"/>
      <c r="S56" s="225"/>
      <c r="W56" s="225"/>
      <c r="X56" s="226"/>
      <c r="Y56" s="225"/>
      <c r="Z56" s="225"/>
    </row>
    <row r="57" spans="1:26" s="95" customFormat="1" x14ac:dyDescent="0.25">
      <c r="A57" s="96" t="s">
        <v>21</v>
      </c>
      <c r="B57" s="127" t="s">
        <v>237</v>
      </c>
      <c r="C57" s="90">
        <f>VLOOKUP(D57,Input!$C$13:$D$101,2,0)</f>
        <v>13</v>
      </c>
      <c r="D57" s="98" t="s">
        <v>164</v>
      </c>
      <c r="E57" s="83" t="s">
        <v>484</v>
      </c>
      <c r="F57" s="97"/>
      <c r="G57" s="98"/>
      <c r="H57" s="83"/>
      <c r="I57" s="99"/>
      <c r="J57" s="116"/>
      <c r="K57" s="117">
        <f>-'OCPS - BVS'!P31</f>
        <v>-125000357.82689637</v>
      </c>
      <c r="L57" s="121">
        <f t="shared" si="8"/>
        <v>-125000357.82689637</v>
      </c>
      <c r="M57" s="124">
        <v>0</v>
      </c>
      <c r="N57" s="125">
        <f>L57</f>
        <v>-125000357.82689637</v>
      </c>
      <c r="O57" s="128">
        <f t="shared" si="3"/>
        <v>0</v>
      </c>
      <c r="P57" s="95" t="s">
        <v>692</v>
      </c>
      <c r="Q57" s="487">
        <f t="shared" si="4"/>
        <v>-125000357.82689637</v>
      </c>
      <c r="R57" s="224"/>
      <c r="S57" s="225"/>
      <c r="X57" s="226"/>
      <c r="Y57" s="225"/>
      <c r="Z57" s="225"/>
    </row>
    <row r="58" spans="1:26" s="95" customFormat="1" x14ac:dyDescent="0.25">
      <c r="A58" s="96" t="s">
        <v>26</v>
      </c>
      <c r="B58" s="127" t="s">
        <v>237</v>
      </c>
      <c r="C58" s="97"/>
      <c r="D58" s="98" t="s">
        <v>172</v>
      </c>
      <c r="E58" s="83" t="s">
        <v>487</v>
      </c>
      <c r="F58" s="97"/>
      <c r="G58" s="98"/>
      <c r="H58" s="83"/>
      <c r="I58" s="99"/>
      <c r="J58" s="116"/>
      <c r="K58" s="117">
        <f>-'OCPS - BVS'!P32+'OCPS - BVS'!O36</f>
        <v>-25821192.59051064</v>
      </c>
      <c r="L58" s="121">
        <f t="shared" si="8"/>
        <v>-25821192.59051064</v>
      </c>
      <c r="M58" s="124"/>
      <c r="N58" s="125">
        <f>L58</f>
        <v>-25821192.59051064</v>
      </c>
      <c r="O58" s="128">
        <f t="shared" si="3"/>
        <v>0</v>
      </c>
      <c r="P58" s="95" t="s">
        <v>692</v>
      </c>
      <c r="Q58" s="487">
        <f t="shared" si="4"/>
        <v>-25821192.59051064</v>
      </c>
      <c r="R58" s="224"/>
      <c r="S58" s="225"/>
      <c r="X58" s="226"/>
      <c r="Y58" s="225"/>
      <c r="Z58" s="225"/>
    </row>
    <row r="59" spans="1:26" s="95" customFormat="1" x14ac:dyDescent="0.25">
      <c r="A59" s="96" t="s">
        <v>26</v>
      </c>
      <c r="B59" s="127" t="s">
        <v>237</v>
      </c>
      <c r="C59" s="90">
        <f>VLOOKUP(D59,Input!$C$13:$D$101,2,0)</f>
        <v>14</v>
      </c>
      <c r="D59" s="98" t="s">
        <v>83</v>
      </c>
      <c r="E59" s="83" t="s">
        <v>551</v>
      </c>
      <c r="F59" s="97"/>
      <c r="G59" s="98"/>
      <c r="H59" s="83"/>
      <c r="I59" s="99"/>
      <c r="J59" s="116"/>
      <c r="K59" s="117">
        <f>-'OCPS - BVS'!K4</f>
        <v>-49525851.705648929</v>
      </c>
      <c r="L59" s="121">
        <f t="shared" si="8"/>
        <v>-49525851.705648929</v>
      </c>
      <c r="M59" s="124"/>
      <c r="N59" s="125">
        <f>L59</f>
        <v>-49525851.705648929</v>
      </c>
      <c r="O59" s="128">
        <f t="shared" si="3"/>
        <v>0</v>
      </c>
      <c r="P59" s="95" t="s">
        <v>692</v>
      </c>
      <c r="Q59" s="487">
        <f t="shared" si="4"/>
        <v>-49525851.705648929</v>
      </c>
      <c r="R59" s="224"/>
      <c r="S59" s="225"/>
      <c r="X59" s="226"/>
      <c r="Y59" s="225"/>
      <c r="Z59" s="225"/>
    </row>
    <row r="60" spans="1:26" s="95" customFormat="1" x14ac:dyDescent="0.25">
      <c r="A60" s="96" t="s">
        <v>97</v>
      </c>
      <c r="B60" s="127" t="s">
        <v>237</v>
      </c>
      <c r="C60" s="90">
        <f>VLOOKUP(D60,Input!$C$13:$D$101,2,0)</f>
        <v>23</v>
      </c>
      <c r="D60" s="102" t="s">
        <v>51</v>
      </c>
      <c r="E60" s="103" t="s">
        <v>536</v>
      </c>
      <c r="F60" s="97"/>
      <c r="G60" s="98"/>
      <c r="H60" s="83"/>
      <c r="I60" s="99"/>
      <c r="J60" s="116">
        <f>'OCPS - BVS'!O40+'OCPS - BVS'!O45+'OCPS - BVS'!O50+'OCPS - BVS'!O55</f>
        <v>3600529.4190006773</v>
      </c>
      <c r="K60" s="117"/>
      <c r="L60" s="121">
        <f t="shared" si="8"/>
        <v>3600529.4190006773</v>
      </c>
      <c r="M60" s="124"/>
      <c r="N60" s="125"/>
      <c r="O60" s="128"/>
      <c r="P60" s="95" t="s">
        <v>693</v>
      </c>
      <c r="Q60" s="487">
        <f t="shared" si="4"/>
        <v>3600529.4190006773</v>
      </c>
      <c r="R60" s="224"/>
      <c r="S60" s="225"/>
      <c r="X60" s="226"/>
      <c r="Y60" s="225"/>
      <c r="Z60" s="225"/>
    </row>
    <row r="61" spans="1:26" s="95" customFormat="1" x14ac:dyDescent="0.25">
      <c r="A61" s="96" t="s">
        <v>26</v>
      </c>
      <c r="B61" s="127" t="s">
        <v>237</v>
      </c>
      <c r="C61" s="90">
        <f>VLOOKUP(D61,Input!$C$13:$D$101,2,0)</f>
        <v>4</v>
      </c>
      <c r="D61" s="98" t="s">
        <v>172</v>
      </c>
      <c r="E61" s="83" t="s">
        <v>487</v>
      </c>
      <c r="F61" s="97"/>
      <c r="G61" s="98"/>
      <c r="H61" s="83"/>
      <c r="I61" s="99"/>
      <c r="J61" s="116">
        <f>'OCPS - BVS'!O41+'OCPS - BVS'!O46+'OCPS - BVS'!O51+'OCPS - BVS'!O56</f>
        <v>617850.84830051626</v>
      </c>
      <c r="K61" s="117"/>
      <c r="L61" s="121">
        <f t="shared" si="8"/>
        <v>617850.84830051626</v>
      </c>
      <c r="M61" s="124"/>
      <c r="N61" s="125">
        <f>L61</f>
        <v>617850.84830051626</v>
      </c>
      <c r="O61" s="128">
        <f t="shared" si="3"/>
        <v>0</v>
      </c>
      <c r="P61" s="95" t="s">
        <v>692</v>
      </c>
      <c r="Q61" s="487">
        <f t="shared" si="4"/>
        <v>617850.84830051626</v>
      </c>
      <c r="R61" s="224"/>
      <c r="S61" s="225"/>
      <c r="X61" s="226"/>
      <c r="Y61" s="225"/>
      <c r="Z61" s="225"/>
    </row>
    <row r="62" spans="1:26" s="95" customFormat="1" x14ac:dyDescent="0.25">
      <c r="A62" s="96" t="s">
        <v>26</v>
      </c>
      <c r="B62" s="127" t="s">
        <v>237</v>
      </c>
      <c r="C62" s="90">
        <f>VLOOKUP(D62,Input!$C$13:$D$101,2,0)</f>
        <v>14</v>
      </c>
      <c r="D62" s="98" t="s">
        <v>83</v>
      </c>
      <c r="E62" s="83" t="s">
        <v>551</v>
      </c>
      <c r="F62" s="97"/>
      <c r="G62" s="98"/>
      <c r="H62" s="83"/>
      <c r="I62" s="99"/>
      <c r="J62" s="116"/>
      <c r="K62" s="117">
        <f>-J60</f>
        <v>-3600529.4190006773</v>
      </c>
      <c r="L62" s="121">
        <f t="shared" si="8"/>
        <v>-3600529.4190006773</v>
      </c>
      <c r="M62" s="124"/>
      <c r="N62" s="125">
        <f>L62</f>
        <v>-3600529.4190006773</v>
      </c>
      <c r="O62" s="128">
        <f t="shared" ref="O62:O67" si="9">L62-M62-N62</f>
        <v>0</v>
      </c>
      <c r="P62" s="95" t="s">
        <v>692</v>
      </c>
      <c r="Q62" s="487">
        <f t="shared" si="4"/>
        <v>-3600529.4190006773</v>
      </c>
      <c r="R62" s="224"/>
      <c r="S62" s="225"/>
      <c r="X62" s="226"/>
      <c r="Y62" s="225"/>
      <c r="Z62" s="225"/>
    </row>
    <row r="63" spans="1:26" s="95" customFormat="1" x14ac:dyDescent="0.25">
      <c r="A63" s="96" t="s">
        <v>21</v>
      </c>
      <c r="B63" s="82" t="s">
        <v>237</v>
      </c>
      <c r="C63" s="90">
        <f>VLOOKUP(D63,Input!$C$13:$D$101,2,0)</f>
        <v>13</v>
      </c>
      <c r="D63" s="98" t="s">
        <v>164</v>
      </c>
      <c r="E63" s="92" t="s">
        <v>124</v>
      </c>
      <c r="F63" s="97"/>
      <c r="G63" s="98"/>
      <c r="H63" s="83"/>
      <c r="I63" s="99"/>
      <c r="J63" s="116"/>
      <c r="K63" s="117">
        <f>'OCPS - BVS'!O35-'OCPS - BVS'!P38</f>
        <v>348400.12305594987</v>
      </c>
      <c r="L63" s="121">
        <f t="shared" si="8"/>
        <v>348400.12305594987</v>
      </c>
      <c r="M63" s="124"/>
      <c r="N63" s="125">
        <f>L63</f>
        <v>348400.12305594987</v>
      </c>
      <c r="O63" s="128">
        <f t="shared" si="3"/>
        <v>0</v>
      </c>
      <c r="P63" s="95" t="s">
        <v>692</v>
      </c>
      <c r="Q63" s="487">
        <v>347946</v>
      </c>
      <c r="R63" s="224"/>
      <c r="S63" s="225"/>
      <c r="X63" s="226"/>
      <c r="Y63" s="225"/>
      <c r="Z63" s="225"/>
    </row>
    <row r="64" spans="1:26" s="95" customFormat="1" x14ac:dyDescent="0.25">
      <c r="A64" s="96" t="s">
        <v>97</v>
      </c>
      <c r="B64" s="127" t="s">
        <v>237</v>
      </c>
      <c r="C64" s="90">
        <f>VLOOKUP(D64,Input!$C$13:$D$101,2,0)</f>
        <v>4</v>
      </c>
      <c r="D64" s="98" t="s">
        <v>172</v>
      </c>
      <c r="E64" s="83" t="s">
        <v>588</v>
      </c>
      <c r="F64" s="97"/>
      <c r="G64" s="98"/>
      <c r="H64" s="83"/>
      <c r="I64" s="99"/>
      <c r="J64" s="116"/>
      <c r="K64" s="117">
        <f>-J61</f>
        <v>-617850.84830051626</v>
      </c>
      <c r="L64" s="121">
        <f t="shared" si="8"/>
        <v>-617850.84830051626</v>
      </c>
      <c r="M64" s="124"/>
      <c r="N64" s="125">
        <v>0</v>
      </c>
      <c r="O64" s="128"/>
      <c r="P64" s="95" t="s">
        <v>693</v>
      </c>
      <c r="Q64" s="487">
        <f t="shared" si="4"/>
        <v>-617850.84830051626</v>
      </c>
      <c r="R64" s="224"/>
      <c r="S64" s="225"/>
      <c r="X64" s="226"/>
      <c r="Y64" s="225"/>
      <c r="Z64" s="225"/>
    </row>
    <row r="65" spans="1:26" s="95" customFormat="1" x14ac:dyDescent="0.25">
      <c r="A65" s="96" t="s">
        <v>683</v>
      </c>
      <c r="B65" s="127" t="s">
        <v>237</v>
      </c>
      <c r="C65" s="90">
        <f>VLOOKUP(D65,Input!$C$13:$D$101,2,0)</f>
        <v>4</v>
      </c>
      <c r="D65" s="98" t="s">
        <v>684</v>
      </c>
      <c r="E65" s="83" t="s">
        <v>545</v>
      </c>
      <c r="F65" s="97"/>
      <c r="G65" s="98"/>
      <c r="H65" s="83"/>
      <c r="I65" s="99"/>
      <c r="J65" s="116">
        <v>95917.284395660376</v>
      </c>
      <c r="K65" s="117"/>
      <c r="L65" s="121">
        <f t="shared" ref="L65:L66" si="10">J65+K65</f>
        <v>95917.284395660376</v>
      </c>
      <c r="M65" s="124"/>
      <c r="N65" s="125">
        <f>L65</f>
        <v>95917.284395660376</v>
      </c>
      <c r="O65" s="128">
        <f t="shared" si="3"/>
        <v>0</v>
      </c>
      <c r="P65" s="95" t="s">
        <v>692</v>
      </c>
      <c r="Q65" s="487">
        <f t="shared" si="4"/>
        <v>95917.284395660376</v>
      </c>
      <c r="R65" s="224"/>
      <c r="S65" s="225"/>
      <c r="X65" s="226"/>
      <c r="Y65" s="225"/>
      <c r="Z65" s="225"/>
    </row>
    <row r="66" spans="1:26" s="95" customFormat="1" x14ac:dyDescent="0.25">
      <c r="A66" s="96" t="s">
        <v>97</v>
      </c>
      <c r="B66" s="127" t="s">
        <v>237</v>
      </c>
      <c r="C66" s="90">
        <f>VLOOKUP(D66,Input!$C$13:$D$101,2,0)</f>
        <v>4</v>
      </c>
      <c r="D66" s="98" t="s">
        <v>172</v>
      </c>
      <c r="E66" s="83" t="s">
        <v>588</v>
      </c>
      <c r="F66" s="97"/>
      <c r="G66" s="98"/>
      <c r="H66" s="83"/>
      <c r="I66" s="99"/>
      <c r="J66" s="116"/>
      <c r="K66" s="117">
        <f>-J65</f>
        <v>-95917.284395660376</v>
      </c>
      <c r="L66" s="121">
        <f t="shared" si="10"/>
        <v>-95917.284395660376</v>
      </c>
      <c r="M66" s="124"/>
      <c r="N66" s="125">
        <v>0</v>
      </c>
      <c r="O66" s="128"/>
      <c r="P66" s="95" t="s">
        <v>693</v>
      </c>
      <c r="Q66" s="487">
        <f t="shared" si="4"/>
        <v>-95917.284395660376</v>
      </c>
      <c r="R66" s="224"/>
      <c r="S66" s="225"/>
      <c r="X66" s="226"/>
      <c r="Y66" s="225"/>
      <c r="Z66" s="225"/>
    </row>
    <row r="67" spans="1:26" s="95" customFormat="1" x14ac:dyDescent="0.25">
      <c r="A67" s="96"/>
      <c r="B67" s="127"/>
      <c r="C67" s="97"/>
      <c r="D67" s="98"/>
      <c r="E67" s="83"/>
      <c r="F67" s="97"/>
      <c r="G67" s="98"/>
      <c r="H67" s="83"/>
      <c r="I67" s="99"/>
      <c r="J67" s="116"/>
      <c r="K67" s="117"/>
      <c r="L67" s="121"/>
      <c r="M67" s="124"/>
      <c r="N67" s="125"/>
      <c r="O67" s="128">
        <f t="shared" si="9"/>
        <v>0</v>
      </c>
      <c r="Q67" s="487"/>
      <c r="R67" s="224"/>
      <c r="S67" s="225"/>
      <c r="X67" s="226"/>
      <c r="Y67" s="225"/>
      <c r="Z67" s="225"/>
    </row>
    <row r="68" spans="1:26" s="95" customFormat="1" x14ac:dyDescent="0.25">
      <c r="A68" s="96" t="s">
        <v>97</v>
      </c>
      <c r="B68" s="127" t="s">
        <v>220</v>
      </c>
      <c r="C68" s="90">
        <f>VLOOKUP(D68,Input!$C$13:$D$101,2,0)</f>
        <v>24</v>
      </c>
      <c r="D68" s="98" t="s">
        <v>194</v>
      </c>
      <c r="E68" s="83" t="s">
        <v>155</v>
      </c>
      <c r="F68" s="97"/>
      <c r="G68" s="98"/>
      <c r="H68" s="83"/>
      <c r="I68" s="99" t="s">
        <v>155</v>
      </c>
      <c r="J68" s="116"/>
      <c r="K68" s="117">
        <v>-200000</v>
      </c>
      <c r="L68" s="121">
        <f t="shared" si="8"/>
        <v>-200000</v>
      </c>
      <c r="M68" s="124">
        <v>0</v>
      </c>
      <c r="N68" s="125">
        <v>0</v>
      </c>
      <c r="O68" s="128">
        <v>0</v>
      </c>
      <c r="P68" s="95" t="s">
        <v>694</v>
      </c>
      <c r="Q68" s="487">
        <f t="shared" si="4"/>
        <v>-200000</v>
      </c>
      <c r="R68" s="224"/>
      <c r="S68" s="225"/>
      <c r="X68" s="226"/>
      <c r="Y68" s="225"/>
      <c r="Z68" s="225"/>
    </row>
    <row r="69" spans="1:26" s="95" customFormat="1" x14ac:dyDescent="0.25">
      <c r="A69" s="96" t="s">
        <v>97</v>
      </c>
      <c r="B69" s="127" t="s">
        <v>220</v>
      </c>
      <c r="C69" s="90">
        <f>VLOOKUP(D69,Input!$C$13:$D$101,2,0)</f>
        <v>24</v>
      </c>
      <c r="D69" s="98" t="s">
        <v>194</v>
      </c>
      <c r="E69" s="83" t="s">
        <v>72</v>
      </c>
      <c r="F69" s="97"/>
      <c r="G69" s="98"/>
      <c r="H69" s="83"/>
      <c r="I69" s="99" t="s">
        <v>72</v>
      </c>
      <c r="J69" s="116">
        <v>200000</v>
      </c>
      <c r="K69" s="117"/>
      <c r="L69" s="121">
        <f t="shared" si="8"/>
        <v>200000</v>
      </c>
      <c r="M69" s="124">
        <v>0</v>
      </c>
      <c r="N69" s="125">
        <v>0</v>
      </c>
      <c r="O69" s="128">
        <v>0</v>
      </c>
      <c r="P69" s="95" t="s">
        <v>694</v>
      </c>
      <c r="Q69" s="487">
        <f t="shared" si="4"/>
        <v>200000</v>
      </c>
      <c r="R69" s="224"/>
      <c r="S69" s="225"/>
      <c r="X69" s="226"/>
      <c r="Y69" s="225"/>
      <c r="Z69" s="225"/>
    </row>
    <row r="70" spans="1:26" ht="15.75" thickBot="1" x14ac:dyDescent="0.3">
      <c r="A70" s="108"/>
      <c r="B70" s="108"/>
      <c r="C70" s="109"/>
      <c r="D70" s="110"/>
      <c r="E70" s="111"/>
      <c r="F70" s="109"/>
      <c r="G70" s="110"/>
      <c r="H70" s="111"/>
      <c r="I70" s="112"/>
      <c r="J70" s="113"/>
      <c r="K70" s="114"/>
      <c r="L70" s="115"/>
      <c r="M70" s="110"/>
      <c r="N70" s="111"/>
      <c r="O70" s="108"/>
    </row>
    <row r="73" spans="1:26" x14ac:dyDescent="0.25">
      <c r="J73" s="62"/>
      <c r="K73" s="62"/>
    </row>
    <row r="74" spans="1:26" x14ac:dyDescent="0.25">
      <c r="J74" s="62"/>
      <c r="K74" s="62"/>
    </row>
    <row r="75" spans="1:26" x14ac:dyDescent="0.25">
      <c r="J75" s="62"/>
      <c r="K75" s="62"/>
    </row>
    <row r="76" spans="1:26" x14ac:dyDescent="0.25">
      <c r="J76" s="62"/>
      <c r="K76" s="62"/>
    </row>
    <row r="77" spans="1:26" x14ac:dyDescent="0.25">
      <c r="J77" s="62"/>
      <c r="K77" s="62"/>
      <c r="M77" s="157"/>
    </row>
    <row r="78" spans="1:26" x14ac:dyDescent="0.25">
      <c r="J78" s="62"/>
      <c r="K78" s="62"/>
    </row>
    <row r="79" spans="1:26" x14ac:dyDescent="0.25">
      <c r="J79" s="62"/>
      <c r="K79" s="62"/>
    </row>
    <row r="80" spans="1:26" x14ac:dyDescent="0.25">
      <c r="J80" s="62"/>
      <c r="K80" s="62"/>
    </row>
    <row r="81" spans="10:11" x14ac:dyDescent="0.25">
      <c r="J81" s="62"/>
      <c r="K81" s="62"/>
    </row>
    <row r="82" spans="10:11" x14ac:dyDescent="0.25">
      <c r="J82" s="62"/>
      <c r="K82" s="62"/>
    </row>
    <row r="85" spans="10:11" x14ac:dyDescent="0.25">
      <c r="J85" s="62"/>
      <c r="K85" s="62"/>
    </row>
    <row r="86" spans="10:11" x14ac:dyDescent="0.25">
      <c r="J86" s="62"/>
      <c r="K86" s="62"/>
    </row>
    <row r="89" spans="10:11" x14ac:dyDescent="0.25">
      <c r="J89" s="62"/>
      <c r="K89" s="62"/>
    </row>
    <row r="90" spans="10:11" x14ac:dyDescent="0.25">
      <c r="J90" s="62"/>
      <c r="K90" s="62"/>
    </row>
    <row r="91" spans="10:11" x14ac:dyDescent="0.25">
      <c r="J91" s="62"/>
      <c r="K91" s="62"/>
    </row>
    <row r="92" spans="10:11" x14ac:dyDescent="0.25">
      <c r="J92" s="62"/>
      <c r="K92" s="62"/>
    </row>
    <row r="93" spans="10:11" x14ac:dyDescent="0.25">
      <c r="J93" s="62"/>
      <c r="K93" s="62"/>
    </row>
    <row r="94" spans="10:11" x14ac:dyDescent="0.25">
      <c r="J94" s="62"/>
      <c r="K94" s="62"/>
    </row>
    <row r="97" spans="10:11" x14ac:dyDescent="0.25">
      <c r="J97" s="62"/>
      <c r="K97" s="62"/>
    </row>
    <row r="98" spans="10:11" x14ac:dyDescent="0.25">
      <c r="J98" s="62"/>
      <c r="K98" s="62"/>
    </row>
    <row r="101" spans="10:11" x14ac:dyDescent="0.25">
      <c r="J101" s="62"/>
      <c r="K101" s="62"/>
    </row>
    <row r="102" spans="10:11" x14ac:dyDescent="0.25">
      <c r="J102" s="62"/>
      <c r="K102" s="62"/>
    </row>
    <row r="103" spans="10:11" x14ac:dyDescent="0.25">
      <c r="J103" s="62"/>
      <c r="K103" s="62"/>
    </row>
    <row r="106" spans="10:11" x14ac:dyDescent="0.25">
      <c r="J106" s="62"/>
      <c r="K106" s="62"/>
    </row>
    <row r="107" spans="10:11" x14ac:dyDescent="0.25">
      <c r="J107" s="62"/>
      <c r="K107" s="62"/>
    </row>
  </sheetData>
  <autoFilter ref="A4:Z107" xr:uid="{00000000-0001-0000-0800-000000000000}"/>
  <mergeCells count="3">
    <mergeCell ref="C3:E3"/>
    <mergeCell ref="F3:H3"/>
    <mergeCell ref="J3:N3"/>
  </mergeCells>
  <conditionalFormatting sqref="Q1:Q3 Q5:Q1048576">
    <cfRule type="duplicateValues" dxfId="2" priority="2"/>
  </conditionalFormatting>
  <conditionalFormatting sqref="Q4">
    <cfRule type="duplicateValues" dxfId="1" priority="1"/>
  </conditionalFormatting>
  <pageMargins left="0.7" right="0.7" top="0.75" bottom="0.75" header="0.3" footer="0.3"/>
  <pageSetup orientation="portrait" r:id="rId1"/>
  <headerFooter>
    <oddHeader>&amp;C&amp;G</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CE41-4FC0-472C-B979-F3E608C8CB18}">
  <sheetPr codeName="Sheet17">
    <tabColor rgb="FF92D050"/>
  </sheetPr>
  <dimension ref="A1:J65"/>
  <sheetViews>
    <sheetView workbookViewId="0">
      <pane ySplit="1" topLeftCell="A47" activePane="bottomLeft" state="frozen"/>
      <selection activeCell="I4" sqref="I4"/>
      <selection pane="bottomLeft" activeCell="I4" sqref="I4"/>
    </sheetView>
  </sheetViews>
  <sheetFormatPr defaultRowHeight="15" x14ac:dyDescent="0.25"/>
  <cols>
    <col min="1" max="1" width="15.140625" style="205" bestFit="1" customWidth="1"/>
    <col min="2" max="2" width="35.140625" style="126" bestFit="1" customWidth="1"/>
    <col min="3" max="3" width="12.7109375" bestFit="1" customWidth="1"/>
    <col min="4" max="4" width="2.85546875" bestFit="1" customWidth="1"/>
    <col min="6" max="6" width="15.140625" bestFit="1" customWidth="1"/>
    <col min="7" max="7" width="15.42578125" style="75" bestFit="1" customWidth="1"/>
    <col min="9" max="9" width="15.42578125" bestFit="1" customWidth="1"/>
    <col min="10" max="10" width="12.7109375" bestFit="1" customWidth="1"/>
  </cols>
  <sheetData>
    <row r="1" spans="1:10" x14ac:dyDescent="0.25">
      <c r="A1" s="204" t="s">
        <v>690</v>
      </c>
      <c r="B1" s="223" t="s">
        <v>695</v>
      </c>
      <c r="C1" s="223" t="s">
        <v>691</v>
      </c>
      <c r="F1" s="4" t="s">
        <v>698</v>
      </c>
      <c r="G1" s="491" t="s">
        <v>230</v>
      </c>
      <c r="I1" s="4" t="s">
        <v>701</v>
      </c>
      <c r="J1" s="491" t="s">
        <v>230</v>
      </c>
    </row>
    <row r="2" spans="1:10" x14ac:dyDescent="0.25">
      <c r="A2" s="205">
        <v>10000000</v>
      </c>
      <c r="B2" s="126" t="s">
        <v>143</v>
      </c>
      <c r="C2" s="75">
        <f>SUMIF('TB BVS 31.3.23'!P:P,'GL Summary'!A2,'TB BVS 31.3.23'!Q:Q)</f>
        <v>-100000</v>
      </c>
      <c r="D2" t="s">
        <v>696</v>
      </c>
      <c r="F2" s="75">
        <f>IFERROR(VLOOKUP(A2,[25]TB!$I:$K,3,0),0)</f>
        <v>0</v>
      </c>
      <c r="G2" s="75">
        <f>C2-F2</f>
        <v>-100000</v>
      </c>
      <c r="I2" s="75" t="e">
        <f>SUMIF([25]TB_V1!$A:$A,A2,[25]TB_V1!$C:$C)</f>
        <v>#VALUE!</v>
      </c>
      <c r="J2" s="157" t="e">
        <f>C2-I2</f>
        <v>#VALUE!</v>
      </c>
    </row>
    <row r="3" spans="1:10" x14ac:dyDescent="0.25">
      <c r="A3" s="205">
        <v>10000001</v>
      </c>
      <c r="B3" s="126" t="s">
        <v>495</v>
      </c>
      <c r="C3" s="75">
        <f>SUMIF('TB BVS 31.3.23'!P:P,'GL Summary'!A3,'TB BVS 31.3.23'!Q:Q)</f>
        <v>0</v>
      </c>
      <c r="D3" t="s">
        <v>696</v>
      </c>
      <c r="F3" s="75">
        <f>IFERROR(VLOOKUP(A3,[25]TB!$I:$K,3,0),0)</f>
        <v>0</v>
      </c>
      <c r="G3" s="75">
        <f t="shared" ref="G3:G54" si="0">C3-F3</f>
        <v>0</v>
      </c>
      <c r="I3" s="75" t="e">
        <f>SUMIF([25]TB_V1!$A:$A,A3,[25]TB_V1!$C:$C)</f>
        <v>#VALUE!</v>
      </c>
      <c r="J3" s="157" t="e">
        <f t="shared" ref="J3:J61" si="1">C3-I3</f>
        <v>#VALUE!</v>
      </c>
    </row>
    <row r="4" spans="1:10" x14ac:dyDescent="0.25">
      <c r="A4" s="205">
        <v>10100002</v>
      </c>
      <c r="B4" s="126" t="s">
        <v>506</v>
      </c>
      <c r="C4" s="75">
        <f>SUMIF('TB BVS 31.3.23'!P:P,'GL Summary'!A4,'TB BVS 31.3.23'!Q:Q)</f>
        <v>7940372.4199999897</v>
      </c>
      <c r="D4" t="s">
        <v>696</v>
      </c>
      <c r="F4" s="75">
        <f>IFERROR(VLOOKUP(A4,[25]TB!$I:$K,3,0),0)</f>
        <v>0</v>
      </c>
      <c r="G4" s="75">
        <f t="shared" si="0"/>
        <v>7940372.4199999897</v>
      </c>
      <c r="I4" s="75" t="e">
        <f>SUMIF([25]TB_V1!$A:$A,A4,[25]TB_V1!$C:$C)</f>
        <v>#VALUE!</v>
      </c>
      <c r="J4" s="157" t="e">
        <f t="shared" si="1"/>
        <v>#VALUE!</v>
      </c>
    </row>
    <row r="5" spans="1:10" x14ac:dyDescent="0.25">
      <c r="A5" s="205">
        <v>20800110</v>
      </c>
      <c r="B5" s="126" t="s">
        <v>502</v>
      </c>
      <c r="C5" s="75">
        <f>SUMIF('TB BVS 31.3.23'!P:P,'GL Summary'!A5,'TB BVS 31.3.23'!Q:Q)</f>
        <v>475423.64</v>
      </c>
      <c r="D5" t="s">
        <v>696</v>
      </c>
      <c r="F5" s="75">
        <f>IFERROR(VLOOKUP(A5,[25]TB!$I:$K,3,0),0)</f>
        <v>0</v>
      </c>
      <c r="G5" s="75">
        <f t="shared" si="0"/>
        <v>475423.64</v>
      </c>
      <c r="I5" s="75" t="e">
        <f>SUMIF([25]TB_V1!$A:$A,A5,[25]TB_V1!$C:$C)</f>
        <v>#VALUE!</v>
      </c>
      <c r="J5" s="157" t="e">
        <f t="shared" si="1"/>
        <v>#VALUE!</v>
      </c>
    </row>
    <row r="6" spans="1:10" x14ac:dyDescent="0.25">
      <c r="A6" s="205">
        <v>20800111</v>
      </c>
      <c r="B6" s="126" t="s">
        <v>502</v>
      </c>
      <c r="C6" s="75">
        <f>SUMIF('TB BVS 31.3.23'!P:P,'GL Summary'!A6,'TB BVS 31.3.23'!Q:Q)</f>
        <v>88800000</v>
      </c>
      <c r="D6" t="s">
        <v>696</v>
      </c>
      <c r="F6" s="75">
        <f>IFERROR(VLOOKUP(A6,[25]TB!$I:$K,3,0),0)</f>
        <v>0</v>
      </c>
      <c r="G6" s="75">
        <f t="shared" si="0"/>
        <v>88800000</v>
      </c>
      <c r="I6" s="75" t="e">
        <f>SUMIF([25]TB_V1!$A:$A,A6,[25]TB_V1!$C:$C)</f>
        <v>#VALUE!</v>
      </c>
      <c r="J6" s="157" t="e">
        <f t="shared" si="1"/>
        <v>#VALUE!</v>
      </c>
    </row>
    <row r="7" spans="1:10" x14ac:dyDescent="0.25">
      <c r="A7" s="205">
        <v>20800112</v>
      </c>
      <c r="B7" s="126" t="s">
        <v>502</v>
      </c>
      <c r="C7" s="75">
        <f>SUMIF('TB BVS 31.3.23'!P:P,'GL Summary'!A7,'TB BVS 31.3.23'!Q:Q)</f>
        <v>-87971706.5</v>
      </c>
      <c r="D7" t="s">
        <v>696</v>
      </c>
      <c r="F7" s="75">
        <f>IFERROR(VLOOKUP(A7,[25]TB!$I:$K,3,0),0)</f>
        <v>0</v>
      </c>
      <c r="G7" s="75">
        <f t="shared" si="0"/>
        <v>-87971706.5</v>
      </c>
      <c r="I7" s="75" t="e">
        <f>SUMIF([25]TB_V1!$A:$A,A7,[25]TB_V1!$C:$C)</f>
        <v>#VALUE!</v>
      </c>
      <c r="J7" s="157" t="e">
        <f t="shared" si="1"/>
        <v>#VALUE!</v>
      </c>
    </row>
    <row r="8" spans="1:10" x14ac:dyDescent="0.25">
      <c r="A8" s="205">
        <v>11000001</v>
      </c>
      <c r="B8" s="126" t="s">
        <v>496</v>
      </c>
      <c r="C8" s="75">
        <f>SUMIF('TB BVS 31.3.23'!P:P,'GL Summary'!A8,'TB BVS 31.3.23'!Q:Q)</f>
        <v>-17000</v>
      </c>
      <c r="D8" t="s">
        <v>696</v>
      </c>
      <c r="F8" s="75">
        <f>IFERROR(VLOOKUP(A8,[25]TB!$I:$K,3,0),0)</f>
        <v>0</v>
      </c>
      <c r="G8" s="75">
        <f t="shared" si="0"/>
        <v>-17000</v>
      </c>
      <c r="I8" s="75" t="e">
        <f>SUMIF([25]TB_V1!$A:$A,A8,[25]TB_V1!$C:$C)</f>
        <v>#VALUE!</v>
      </c>
      <c r="J8" s="157" t="e">
        <f t="shared" si="1"/>
        <v>#VALUE!</v>
      </c>
    </row>
    <row r="9" spans="1:10" x14ac:dyDescent="0.25">
      <c r="A9" s="205">
        <v>11000003</v>
      </c>
      <c r="B9" s="126" t="s">
        <v>507</v>
      </c>
      <c r="C9" s="75">
        <f>SUMIF('TB BVS 31.3.23'!P:P,'GL Summary'!A9,'TB BVS 31.3.23'!Q:Q)</f>
        <v>-170932.14</v>
      </c>
      <c r="D9" t="s">
        <v>696</v>
      </c>
      <c r="F9" s="75">
        <f>IFERROR(VLOOKUP(A9,[25]TB!$I:$K,3,0),0)</f>
        <v>0</v>
      </c>
      <c r="G9" s="75">
        <f t="shared" si="0"/>
        <v>-170932.14</v>
      </c>
      <c r="I9" s="75" t="e">
        <f>SUMIF([25]TB_V1!$A:$A,A9,[25]TB_V1!$C:$C)</f>
        <v>#VALUE!</v>
      </c>
      <c r="J9" s="157" t="e">
        <f t="shared" si="1"/>
        <v>#VALUE!</v>
      </c>
    </row>
    <row r="10" spans="1:10" x14ac:dyDescent="0.25">
      <c r="A10" s="205">
        <v>10800004</v>
      </c>
      <c r="B10" s="126" t="s">
        <v>227</v>
      </c>
      <c r="C10" s="75">
        <f>SUMIF('TB BVS 31.3.23'!P:P,'GL Summary'!A10,'TB BVS 31.3.23'!Q:Q)</f>
        <v>-24467</v>
      </c>
      <c r="D10" t="s">
        <v>696</v>
      </c>
      <c r="F10" s="75">
        <f>IFERROR(VLOOKUP(A10,[25]TB!$I:$K,3,0),0)</f>
        <v>0</v>
      </c>
      <c r="G10" s="75">
        <f t="shared" si="0"/>
        <v>-24467</v>
      </c>
      <c r="I10" s="75" t="e">
        <f>SUMIF([25]TB_V1!$A:$A,A10,[25]TB_V1!$C:$C)</f>
        <v>#VALUE!</v>
      </c>
      <c r="J10" s="157" t="e">
        <f t="shared" si="1"/>
        <v>#VALUE!</v>
      </c>
    </row>
    <row r="11" spans="1:10" x14ac:dyDescent="0.25">
      <c r="A11" s="205">
        <v>10900000</v>
      </c>
      <c r="B11" s="126" t="s">
        <v>504</v>
      </c>
      <c r="C11" s="75">
        <f>SUMIF('TB BVS 31.3.23'!P:P,'GL Summary'!A11,'TB BVS 31.3.23'!Q:Q)</f>
        <v>-179995</v>
      </c>
      <c r="D11" t="s">
        <v>696</v>
      </c>
      <c r="F11" s="75">
        <f>IFERROR(VLOOKUP(A11,[25]TB!$I:$K,3,0),0)</f>
        <v>0</v>
      </c>
      <c r="G11" s="75">
        <f t="shared" si="0"/>
        <v>-179995</v>
      </c>
      <c r="I11" s="75" t="e">
        <f>SUMIF([25]TB_V1!$A:$A,A11,[25]TB_V1!$C:$C)</f>
        <v>#VALUE!</v>
      </c>
      <c r="J11" s="157" t="e">
        <f t="shared" si="1"/>
        <v>#VALUE!</v>
      </c>
    </row>
    <row r="12" spans="1:10" x14ac:dyDescent="0.25">
      <c r="A12" s="205">
        <v>10600010</v>
      </c>
      <c r="B12" s="126" t="s">
        <v>497</v>
      </c>
      <c r="C12" s="75">
        <f>SUMIF('TB BVS 31.3.23'!P:P,'GL Summary'!A12,'TB BVS 31.3.23'!Q:Q)</f>
        <v>-118230550.26000001</v>
      </c>
      <c r="D12" t="s">
        <v>696</v>
      </c>
      <c r="F12" s="75">
        <f>IFERROR(VLOOKUP(A12,[25]TB!$I:$K,3,0),0)</f>
        <v>0</v>
      </c>
      <c r="G12" s="75">
        <f t="shared" si="0"/>
        <v>-118230550.26000001</v>
      </c>
      <c r="I12" s="75" t="e">
        <f>SUMIF([25]TB_V1!$A:$A,A12,[25]TB_V1!$C:$C)</f>
        <v>#VALUE!</v>
      </c>
      <c r="J12" s="157" t="e">
        <f t="shared" si="1"/>
        <v>#VALUE!</v>
      </c>
    </row>
    <row r="13" spans="1:10" x14ac:dyDescent="0.25">
      <c r="A13" s="205">
        <v>10800009</v>
      </c>
      <c r="B13" s="126" t="s">
        <v>226</v>
      </c>
      <c r="C13" s="75">
        <f>SUMIF('TB BVS 31.3.23'!P:P,'GL Summary'!A13,'TB BVS 31.3.23'!Q:Q)</f>
        <v>0</v>
      </c>
      <c r="D13" t="s">
        <v>696</v>
      </c>
      <c r="F13" s="75">
        <f>IFERROR(VLOOKUP(A13,[25]TB!$I:$K,3,0),0)</f>
        <v>0</v>
      </c>
      <c r="G13" s="75">
        <f t="shared" si="0"/>
        <v>0</v>
      </c>
      <c r="I13" s="75" t="e">
        <f>SUMIF([25]TB_V1!$A:$A,A13,[25]TB_V1!$C:$C)</f>
        <v>#VALUE!</v>
      </c>
      <c r="J13" s="157" t="e">
        <f t="shared" si="1"/>
        <v>#VALUE!</v>
      </c>
    </row>
    <row r="14" spans="1:10" x14ac:dyDescent="0.25">
      <c r="A14" s="205">
        <v>21000009</v>
      </c>
      <c r="B14" s="126" t="s">
        <v>226</v>
      </c>
      <c r="C14" s="75">
        <f>SUMIF('TB BVS 31.3.23'!P:P,'GL Summary'!A14,'TB BVS 31.3.23'!Q:Q)</f>
        <v>0</v>
      </c>
      <c r="D14" t="s">
        <v>696</v>
      </c>
      <c r="F14" s="75">
        <f>IFERROR(VLOOKUP(A14,[25]TB!$I:$K,3,0),0)</f>
        <v>0</v>
      </c>
      <c r="G14" s="75">
        <f t="shared" si="0"/>
        <v>0</v>
      </c>
      <c r="I14" s="75" t="e">
        <f>SUMIF([25]TB_V1!$A:$A,A14,[25]TB_V1!$C:$C)</f>
        <v>#VALUE!</v>
      </c>
      <c r="J14" s="157" t="e">
        <f t="shared" si="1"/>
        <v>#VALUE!</v>
      </c>
    </row>
    <row r="15" spans="1:10" x14ac:dyDescent="0.25">
      <c r="A15" s="205">
        <v>11000012</v>
      </c>
      <c r="B15" s="126" t="s">
        <v>226</v>
      </c>
      <c r="C15" s="75">
        <f>SUMIF('TB BVS 31.3.23'!P:P,'GL Summary'!A15,'TB BVS 31.3.23'!Q:Q)</f>
        <v>0</v>
      </c>
      <c r="D15" t="s">
        <v>696</v>
      </c>
      <c r="F15" s="75">
        <f>IFERROR(VLOOKUP(A15,[25]TB!$I:$K,3,0),0)</f>
        <v>0</v>
      </c>
      <c r="G15" s="75">
        <f t="shared" si="0"/>
        <v>0</v>
      </c>
      <c r="I15" s="75" t="e">
        <f>SUMIF([25]TB_V1!$A:$A,A15,[25]TB_V1!$C:$C)</f>
        <v>#VALUE!</v>
      </c>
      <c r="J15" s="157" t="e">
        <f t="shared" si="1"/>
        <v>#VALUE!</v>
      </c>
    </row>
    <row r="16" spans="1:10" x14ac:dyDescent="0.25">
      <c r="A16" s="205">
        <v>11100002</v>
      </c>
      <c r="B16" s="126" t="s">
        <v>226</v>
      </c>
      <c r="C16" s="75">
        <f>SUMIF('TB BVS 31.3.23'!P:P,'GL Summary'!A16,'TB BVS 31.3.23'!Q:Q)</f>
        <v>0</v>
      </c>
      <c r="D16" t="s">
        <v>696</v>
      </c>
      <c r="F16" s="75">
        <f>IFERROR(VLOOKUP(A16,[25]TB!$I:$K,3,0),0)</f>
        <v>0</v>
      </c>
      <c r="G16" s="75">
        <f t="shared" si="0"/>
        <v>0</v>
      </c>
      <c r="I16" s="75" t="e">
        <f>SUMIF([25]TB_V1!$A:$A,A16,[25]TB_V1!$C:$C)</f>
        <v>#VALUE!</v>
      </c>
      <c r="J16" s="157" t="e">
        <f t="shared" si="1"/>
        <v>#VALUE!</v>
      </c>
    </row>
    <row r="17" spans="1:10" x14ac:dyDescent="0.25">
      <c r="A17" s="205">
        <v>10900018</v>
      </c>
      <c r="B17" s="126" t="s">
        <v>226</v>
      </c>
      <c r="C17" s="75">
        <f>SUMIF('TB BVS 31.3.23'!P:P,'GL Summary'!A17,'TB BVS 31.3.23'!Q:Q)</f>
        <v>0</v>
      </c>
      <c r="D17" t="s">
        <v>696</v>
      </c>
      <c r="F17" s="75">
        <f>IFERROR(VLOOKUP(A17,[25]TB!$I:$K,3,0),0)</f>
        <v>0</v>
      </c>
      <c r="G17" s="75">
        <f t="shared" si="0"/>
        <v>0</v>
      </c>
      <c r="I17" s="75" t="e">
        <f>SUMIF([25]TB_V1!$A:$A,A17,[25]TB_V1!$C:$C)</f>
        <v>#VALUE!</v>
      </c>
      <c r="J17" s="157" t="e">
        <f t="shared" si="1"/>
        <v>#VALUE!</v>
      </c>
    </row>
    <row r="18" spans="1:10" x14ac:dyDescent="0.25">
      <c r="A18" s="205">
        <v>20000000</v>
      </c>
      <c r="B18" s="126" t="s">
        <v>498</v>
      </c>
      <c r="C18" s="75">
        <f>SUMIF('TB BVS 31.3.23'!P:P,'GL Summary'!A18,'TB BVS 31.3.23'!Q:Q)</f>
        <v>92904351</v>
      </c>
      <c r="D18" t="s">
        <v>696</v>
      </c>
      <c r="F18" s="75">
        <f>IFERROR(VLOOKUP(A18,[25]TB!$I:$K,3,0),0)</f>
        <v>0</v>
      </c>
      <c r="G18" s="75">
        <f t="shared" si="0"/>
        <v>92904351</v>
      </c>
      <c r="I18" s="75" t="e">
        <f>SUMIF([25]TB_V1!$A:$A,A18,[25]TB_V1!$C:$C)</f>
        <v>#VALUE!</v>
      </c>
      <c r="J18" s="157" t="e">
        <f t="shared" si="1"/>
        <v>#VALUE!</v>
      </c>
    </row>
    <row r="19" spans="1:10" x14ac:dyDescent="0.25">
      <c r="A19" s="205">
        <v>20000019</v>
      </c>
      <c r="B19" s="126" t="s">
        <v>188</v>
      </c>
      <c r="C19" s="75">
        <f>SUMIF('TB BVS 31.3.23'!P:P,'GL Summary'!A19,'TB BVS 31.3.23'!Q:Q)</f>
        <v>0</v>
      </c>
      <c r="D19" t="s">
        <v>696</v>
      </c>
      <c r="F19" s="75">
        <f>IFERROR(VLOOKUP(A19,[25]TB!$I:$K,3,0),0)</f>
        <v>0</v>
      </c>
      <c r="G19" s="75">
        <f t="shared" si="0"/>
        <v>0</v>
      </c>
      <c r="I19" s="75" t="e">
        <f>SUMIF([25]TB_V1!$A:$A,A19,[25]TB_V1!$C:$C)</f>
        <v>#VALUE!</v>
      </c>
      <c r="J19" s="157" t="e">
        <f t="shared" si="1"/>
        <v>#VALUE!</v>
      </c>
    </row>
    <row r="20" spans="1:10" x14ac:dyDescent="0.25">
      <c r="A20" s="205">
        <v>20100002</v>
      </c>
      <c r="B20" s="126" t="s">
        <v>501</v>
      </c>
      <c r="C20" s="75">
        <f>SUMIF('TB BVS 31.3.23'!P:P,'GL Summary'!A20,'TB BVS 31.3.23'!Q:Q)</f>
        <v>16690918.219999989</v>
      </c>
      <c r="D20" t="s">
        <v>696</v>
      </c>
      <c r="F20" s="75">
        <f>IFERROR(VLOOKUP(A20,[25]TB!$I:$K,3,0),0)</f>
        <v>0</v>
      </c>
      <c r="G20" s="75">
        <f t="shared" si="0"/>
        <v>16690918.219999989</v>
      </c>
      <c r="I20" s="75" t="e">
        <f>SUMIF([25]TB_V1!$A:$A,A20,[25]TB_V1!$C:$C)</f>
        <v>#VALUE!</v>
      </c>
      <c r="J20" s="157" t="e">
        <f t="shared" si="1"/>
        <v>#VALUE!</v>
      </c>
    </row>
    <row r="21" spans="1:10" x14ac:dyDescent="0.25">
      <c r="A21" s="205">
        <v>21100004</v>
      </c>
      <c r="B21" s="126" t="s">
        <v>226</v>
      </c>
      <c r="C21" s="75">
        <f>SUMIF('TB BVS 31.3.23'!P:P,'GL Summary'!A21,'TB BVS 31.3.23'!Q:Q)</f>
        <v>0</v>
      </c>
      <c r="D21" t="s">
        <v>696</v>
      </c>
      <c r="F21" s="75">
        <f>IFERROR(VLOOKUP(A21,[25]TB!$I:$K,3,0),0)</f>
        <v>0</v>
      </c>
      <c r="G21" s="75">
        <f t="shared" si="0"/>
        <v>0</v>
      </c>
      <c r="I21" s="75" t="e">
        <f>SUMIF([25]TB_V1!$A:$A,A21,[25]TB_V1!$C:$C)</f>
        <v>#VALUE!</v>
      </c>
      <c r="J21" s="157" t="e">
        <f t="shared" si="1"/>
        <v>#VALUE!</v>
      </c>
    </row>
    <row r="22" spans="1:10" x14ac:dyDescent="0.25">
      <c r="A22" s="205">
        <v>20300000</v>
      </c>
      <c r="B22" s="126" t="s">
        <v>226</v>
      </c>
      <c r="C22" s="75">
        <f>SUMIF('TB BVS 31.3.23'!P:P,'GL Summary'!A22,'TB BVS 31.3.23'!Q:Q)</f>
        <v>0</v>
      </c>
      <c r="D22" t="s">
        <v>696</v>
      </c>
      <c r="F22" s="75">
        <f>IFERROR(VLOOKUP(A22,[25]TB!$I:$K,3,0),0)</f>
        <v>0</v>
      </c>
      <c r="G22" s="75">
        <f t="shared" si="0"/>
        <v>0</v>
      </c>
      <c r="I22" s="75" t="e">
        <f>SUMIF([25]TB_V1!$A:$A,A22,[25]TB_V1!$C:$C)</f>
        <v>#VALUE!</v>
      </c>
      <c r="J22" s="157" t="e">
        <f t="shared" si="1"/>
        <v>#VALUE!</v>
      </c>
    </row>
    <row r="23" spans="1:10" x14ac:dyDescent="0.25">
      <c r="A23" s="205">
        <v>21000011</v>
      </c>
      <c r="B23" s="126" t="s">
        <v>191</v>
      </c>
      <c r="C23" s="75">
        <f>SUMIF('TB BVS 31.3.23'!P:P,'GL Summary'!A23,'TB BVS 31.3.23'!Q:Q)</f>
        <v>14599464.810000001</v>
      </c>
      <c r="D23" t="s">
        <v>696</v>
      </c>
      <c r="F23" s="75">
        <f>IFERROR(VLOOKUP(A23,[25]TB!$I:$K,3,0),0)</f>
        <v>0</v>
      </c>
      <c r="G23" s="75">
        <f t="shared" si="0"/>
        <v>14599464.810000001</v>
      </c>
      <c r="I23" s="75" t="e">
        <f>SUMIF([25]TB_V1!$A:$A,A23,[25]TB_V1!$C:$C)</f>
        <v>#VALUE!</v>
      </c>
      <c r="J23" s="157" t="e">
        <f t="shared" si="1"/>
        <v>#VALUE!</v>
      </c>
    </row>
    <row r="24" spans="1:10" x14ac:dyDescent="0.25">
      <c r="A24" s="205">
        <v>20100001</v>
      </c>
      <c r="B24" s="126" t="s">
        <v>226</v>
      </c>
      <c r="C24" s="75">
        <f>SUMIF('TB BVS 31.3.23'!P:P,'GL Summary'!A24,'TB BVS 31.3.23'!Q:Q)</f>
        <v>0</v>
      </c>
      <c r="D24" t="s">
        <v>696</v>
      </c>
      <c r="F24" s="75">
        <f>IFERROR(VLOOKUP(A24,[25]TB!$I:$K,3,0),0)</f>
        <v>0</v>
      </c>
      <c r="G24" s="75">
        <f t="shared" si="0"/>
        <v>0</v>
      </c>
      <c r="I24" s="75" t="e">
        <f>SUMIF([25]TB_V1!$A:$A,A24,[25]TB_V1!$C:$C)</f>
        <v>#VALUE!</v>
      </c>
      <c r="J24" s="157" t="e">
        <f t="shared" si="1"/>
        <v>#VALUE!</v>
      </c>
    </row>
    <row r="25" spans="1:10" x14ac:dyDescent="0.25">
      <c r="A25" s="205">
        <v>20000017</v>
      </c>
      <c r="B25" s="126" t="s">
        <v>500</v>
      </c>
      <c r="C25" s="75">
        <f>SUMIF('TB BVS 31.3.23'!P:P,'GL Summary'!A25,'TB BVS 31.3.23'!Q:Q)</f>
        <v>165189641</v>
      </c>
      <c r="D25" t="s">
        <v>696</v>
      </c>
      <c r="F25" s="75">
        <f>IFERROR(VLOOKUP(A25,[25]TB!$I:$K,3,0),0)</f>
        <v>0</v>
      </c>
      <c r="G25" s="75">
        <f t="shared" si="0"/>
        <v>165189641</v>
      </c>
      <c r="I25" s="75" t="e">
        <f>SUMIF([25]TB_V1!$A:$A,A25,[25]TB_V1!$C:$C)</f>
        <v>#VALUE!</v>
      </c>
      <c r="J25" s="157" t="e">
        <f t="shared" si="1"/>
        <v>#VALUE!</v>
      </c>
    </row>
    <row r="26" spans="1:10" x14ac:dyDescent="0.25">
      <c r="A26" s="205">
        <v>20000018</v>
      </c>
      <c r="B26" s="126" t="s">
        <v>505</v>
      </c>
      <c r="C26" s="75">
        <f>SUMIF('TB BVS 31.3.23'!P:P,'GL Summary'!A26,'TB BVS 31.3.23'!Q:Q)</f>
        <v>-2362664.8765952503</v>
      </c>
      <c r="D26" t="s">
        <v>696</v>
      </c>
      <c r="F26" s="75">
        <f>IFERROR(VLOOKUP(A26,[25]TB!$I:$K,3,0),0)</f>
        <v>0</v>
      </c>
      <c r="G26" s="75">
        <f t="shared" si="0"/>
        <v>-2362664.8765952503</v>
      </c>
      <c r="I26" s="75" t="e">
        <f>SUMIF([25]TB_V1!$A:$A,A26,[25]TB_V1!$C:$C)</f>
        <v>#VALUE!</v>
      </c>
      <c r="J26" s="157" t="e">
        <f t="shared" si="1"/>
        <v>#VALUE!</v>
      </c>
    </row>
    <row r="27" spans="1:10" x14ac:dyDescent="0.25">
      <c r="A27" s="205">
        <v>20100000</v>
      </c>
      <c r="B27" s="126" t="s">
        <v>226</v>
      </c>
      <c r="C27" s="75">
        <f>SUMIF('TB BVS 31.3.23'!P:P,'GL Summary'!A27,'TB BVS 31.3.23'!Q:Q)</f>
        <v>0</v>
      </c>
      <c r="D27" t="s">
        <v>696</v>
      </c>
      <c r="F27" s="75">
        <f>IFERROR(VLOOKUP(A27,[25]TB!$I:$K,3,0),0)</f>
        <v>0</v>
      </c>
      <c r="G27" s="75">
        <f t="shared" si="0"/>
        <v>0</v>
      </c>
      <c r="I27" s="75" t="e">
        <f>SUMIF([25]TB_V1!$A:$A,A27,[25]TB_V1!$C:$C)</f>
        <v>#VALUE!</v>
      </c>
      <c r="J27" s="157" t="e">
        <f t="shared" si="1"/>
        <v>#VALUE!</v>
      </c>
    </row>
    <row r="28" spans="1:10" x14ac:dyDescent="0.25">
      <c r="A28" s="205">
        <v>21000008</v>
      </c>
      <c r="B28" s="126" t="s">
        <v>226</v>
      </c>
      <c r="C28" s="75">
        <f>SUMIF('TB BVS 31.3.23'!P:P,'GL Summary'!A28,'TB BVS 31.3.23'!Q:Q)</f>
        <v>0</v>
      </c>
      <c r="D28" t="s">
        <v>696</v>
      </c>
      <c r="F28" s="75">
        <f>IFERROR(VLOOKUP(A28,[25]TB!$I:$K,3,0),0)</f>
        <v>0</v>
      </c>
      <c r="G28" s="75">
        <f t="shared" si="0"/>
        <v>0</v>
      </c>
      <c r="I28" s="75" t="e">
        <f>SUMIF([25]TB_V1!$A:$A,A28,[25]TB_V1!$C:$C)</f>
        <v>#VALUE!</v>
      </c>
      <c r="J28" s="157" t="e">
        <f t="shared" si="1"/>
        <v>#VALUE!</v>
      </c>
    </row>
    <row r="29" spans="1:10" x14ac:dyDescent="0.25">
      <c r="A29" s="205">
        <v>21000013</v>
      </c>
      <c r="B29" s="126" t="s">
        <v>193</v>
      </c>
      <c r="C29" s="75">
        <f>SUMIF('TB BVS 31.3.23'!P:P,'GL Summary'!A29,'TB BVS 31.3.23'!Q:Q)</f>
        <v>14599464.810000001</v>
      </c>
      <c r="D29" t="s">
        <v>696</v>
      </c>
      <c r="F29" s="75">
        <f>IFERROR(VLOOKUP(A29,[25]TB!$I:$K,3,0),0)</f>
        <v>0</v>
      </c>
      <c r="G29" s="75">
        <f t="shared" si="0"/>
        <v>14599464.810000001</v>
      </c>
      <c r="I29" s="75" t="e">
        <f>SUMIF([25]TB_V1!$A:$A,A29,[25]TB_V1!$C:$C)</f>
        <v>#VALUE!</v>
      </c>
      <c r="J29" s="157" t="e">
        <f t="shared" si="1"/>
        <v>#VALUE!</v>
      </c>
    </row>
    <row r="30" spans="1:10" x14ac:dyDescent="0.25">
      <c r="A30" s="205">
        <v>21000012</v>
      </c>
      <c r="B30" s="126" t="s">
        <v>192</v>
      </c>
      <c r="C30" s="75">
        <f>SUMIF('TB BVS 31.3.23'!P:P,'GL Summary'!A30,'TB BVS 31.3.23'!Q:Q)</f>
        <v>1217194.04</v>
      </c>
      <c r="D30" t="s">
        <v>696</v>
      </c>
      <c r="F30" s="75">
        <f>IFERROR(VLOOKUP(A30,[25]TB!$I:$K,3,0),0)</f>
        <v>0</v>
      </c>
      <c r="G30" s="75">
        <f t="shared" si="0"/>
        <v>1217194.04</v>
      </c>
      <c r="I30" s="75" t="e">
        <f>SUMIF([25]TB_V1!$A:$A,A30,[25]TB_V1!$C:$C)</f>
        <v>#VALUE!</v>
      </c>
      <c r="J30" s="157" t="e">
        <f t="shared" si="1"/>
        <v>#VALUE!</v>
      </c>
    </row>
    <row r="31" spans="1:10" x14ac:dyDescent="0.25">
      <c r="A31" s="205">
        <v>11100000</v>
      </c>
      <c r="B31" s="126" t="s">
        <v>226</v>
      </c>
      <c r="C31" s="75">
        <f>SUMIF('TB BVS 31.3.23'!P:P,'GL Summary'!A31,'TB BVS 31.3.23'!Q:Q)</f>
        <v>0</v>
      </c>
      <c r="D31" t="s">
        <v>696</v>
      </c>
      <c r="F31" s="75">
        <f>IFERROR(VLOOKUP(A31,[25]TB!$I:$K,3,0),0)</f>
        <v>0</v>
      </c>
      <c r="G31" s="75">
        <f t="shared" si="0"/>
        <v>0</v>
      </c>
      <c r="I31" s="75" t="e">
        <f>SUMIF([25]TB_V1!$A:$A,A31,[25]TB_V1!$C:$C)</f>
        <v>#VALUE!</v>
      </c>
      <c r="J31" s="157" t="e">
        <f t="shared" si="1"/>
        <v>#VALUE!</v>
      </c>
    </row>
    <row r="32" spans="1:10" x14ac:dyDescent="0.25">
      <c r="A32" s="205">
        <v>40500008</v>
      </c>
      <c r="B32" s="126" t="s">
        <v>52</v>
      </c>
      <c r="C32" s="75">
        <f>SUMIF('TB BVS 31.3.23'!P:P,'GL Summary'!A32,'TB BVS 31.3.23'!Q:Q)</f>
        <v>1752789.8765952501</v>
      </c>
      <c r="D32" t="s">
        <v>697</v>
      </c>
      <c r="F32" s="75">
        <f>IFERROR(VLOOKUP(A32,[25]TB!$I:$K,3,0),0)</f>
        <v>0</v>
      </c>
      <c r="G32" s="75">
        <f t="shared" si="0"/>
        <v>1752789.8765952501</v>
      </c>
      <c r="I32" s="75" t="e">
        <f>SUMIF([25]TB_V1!$A:$A,A32,[25]TB_V1!$C:$C)</f>
        <v>#VALUE!</v>
      </c>
      <c r="J32" s="157" t="e">
        <f t="shared" si="1"/>
        <v>#VALUE!</v>
      </c>
    </row>
    <row r="33" spans="1:10" x14ac:dyDescent="0.25">
      <c r="A33" s="205">
        <v>40100002</v>
      </c>
      <c r="B33" s="126" t="s">
        <v>226</v>
      </c>
      <c r="C33" s="75">
        <f>SUMIF('TB BVS 31.3.23'!P:P,'GL Summary'!A33,'TB BVS 31.3.23'!Q:Q)</f>
        <v>0</v>
      </c>
      <c r="D33" t="s">
        <v>697</v>
      </c>
      <c r="F33" s="75">
        <f>IFERROR(VLOOKUP(A33,[25]TB!$I:$K,3,0),0)</f>
        <v>0</v>
      </c>
      <c r="G33" s="75">
        <f t="shared" si="0"/>
        <v>0</v>
      </c>
      <c r="I33" s="75" t="e">
        <f>SUMIF([25]TB_V1!$A:$A,A33,[25]TB_V1!$C:$C)</f>
        <v>#VALUE!</v>
      </c>
      <c r="J33" s="157" t="e">
        <f t="shared" si="1"/>
        <v>#VALUE!</v>
      </c>
    </row>
    <row r="34" spans="1:10" x14ac:dyDescent="0.25">
      <c r="A34" s="205">
        <v>40700000</v>
      </c>
      <c r="B34" s="126" t="s">
        <v>516</v>
      </c>
      <c r="C34" s="75">
        <f>SUMIF('TB BVS 31.3.23'!P:P,'GL Summary'!A34,'TB BVS 31.3.23'!Q:Q)</f>
        <v>59364</v>
      </c>
      <c r="D34" t="s">
        <v>697</v>
      </c>
      <c r="F34" s="75">
        <f>IFERROR(VLOOKUP(A34,[25]TB!$I:$K,3,0),0)</f>
        <v>0</v>
      </c>
      <c r="G34" s="75">
        <f t="shared" si="0"/>
        <v>59364</v>
      </c>
      <c r="I34" s="75" t="e">
        <f>SUMIF([25]TB_V1!$A:$A,A34,[25]TB_V1!$C:$C)</f>
        <v>#VALUE!</v>
      </c>
      <c r="J34" s="157" t="e">
        <f t="shared" si="1"/>
        <v>#VALUE!</v>
      </c>
    </row>
    <row r="35" spans="1:10" x14ac:dyDescent="0.25">
      <c r="A35" s="205">
        <v>40300000</v>
      </c>
      <c r="B35" s="126" t="s">
        <v>226</v>
      </c>
      <c r="C35" s="75">
        <f>SUMIF('TB BVS 31.3.23'!P:P,'GL Summary'!A35,'TB BVS 31.3.23'!Q:Q)</f>
        <v>0</v>
      </c>
      <c r="D35" t="s">
        <v>697</v>
      </c>
      <c r="F35" s="75">
        <f>IFERROR(VLOOKUP(A35,[25]TB!$I:$K,3,0),0)</f>
        <v>0</v>
      </c>
      <c r="G35" s="75">
        <f t="shared" si="0"/>
        <v>0</v>
      </c>
      <c r="I35" s="75" t="e">
        <f>SUMIF([25]TB_V1!$A:$A,A35,[25]TB_V1!$C:$C)</f>
        <v>#VALUE!</v>
      </c>
      <c r="J35" s="157" t="e">
        <f t="shared" si="1"/>
        <v>#VALUE!</v>
      </c>
    </row>
    <row r="36" spans="1:10" x14ac:dyDescent="0.25">
      <c r="A36" s="205">
        <v>40100008</v>
      </c>
      <c r="B36" s="126" t="s">
        <v>226</v>
      </c>
      <c r="C36" s="75">
        <f>SUMIF('TB BVS 31.3.23'!P:P,'GL Summary'!A36,'TB BVS 31.3.23'!Q:Q)</f>
        <v>0</v>
      </c>
      <c r="D36" t="s">
        <v>697</v>
      </c>
      <c r="F36" s="75">
        <f>IFERROR(VLOOKUP(A36,[25]TB!$I:$K,3,0),0)</f>
        <v>0</v>
      </c>
      <c r="G36" s="75">
        <f t="shared" si="0"/>
        <v>0</v>
      </c>
      <c r="I36" s="75" t="e">
        <f>SUMIF([25]TB_V1!$A:$A,A36,[25]TB_V1!$C:$C)</f>
        <v>#VALUE!</v>
      </c>
      <c r="J36" s="157" t="e">
        <f t="shared" si="1"/>
        <v>#VALUE!</v>
      </c>
    </row>
    <row r="37" spans="1:10" x14ac:dyDescent="0.25">
      <c r="A37" s="205">
        <v>40700017</v>
      </c>
      <c r="B37" s="126" t="s">
        <v>226</v>
      </c>
      <c r="C37" s="75">
        <f>SUMIF('TB BVS 31.3.23'!P:P,'GL Summary'!A37,'TB BVS 31.3.23'!Q:Q)</f>
        <v>0</v>
      </c>
      <c r="D37" t="s">
        <v>697</v>
      </c>
      <c r="F37" s="75">
        <f>IFERROR(VLOOKUP(A37,[25]TB!$I:$K,3,0),0)</f>
        <v>0</v>
      </c>
      <c r="G37" s="75">
        <f t="shared" si="0"/>
        <v>0</v>
      </c>
      <c r="I37" s="75" t="e">
        <f>SUMIF([25]TB_V1!$A:$A,A37,[25]TB_V1!$C:$C)</f>
        <v>#VALUE!</v>
      </c>
      <c r="J37" s="157" t="e">
        <f t="shared" si="1"/>
        <v>#VALUE!</v>
      </c>
    </row>
    <row r="38" spans="1:10" x14ac:dyDescent="0.25">
      <c r="A38" s="205">
        <v>40700028</v>
      </c>
      <c r="B38" s="126" t="s">
        <v>226</v>
      </c>
      <c r="C38" s="75">
        <f>SUMIF('TB BVS 31.3.23'!P:P,'GL Summary'!A38,'TB BVS 31.3.23'!Q:Q)</f>
        <v>0</v>
      </c>
      <c r="D38" t="s">
        <v>697</v>
      </c>
      <c r="F38" s="75">
        <f>IFERROR(VLOOKUP(A38,[25]TB!$I:$K,3,0),0)</f>
        <v>0</v>
      </c>
      <c r="G38" s="75">
        <f t="shared" si="0"/>
        <v>0</v>
      </c>
      <c r="I38" s="75" t="e">
        <f>SUMIF([25]TB_V1!$A:$A,A38,[25]TB_V1!$C:$C)</f>
        <v>#VALUE!</v>
      </c>
      <c r="J38" s="157" t="e">
        <f t="shared" si="1"/>
        <v>#VALUE!</v>
      </c>
    </row>
    <row r="39" spans="1:10" x14ac:dyDescent="0.25">
      <c r="A39" s="205">
        <v>40700027</v>
      </c>
      <c r="B39" s="126" t="s">
        <v>226</v>
      </c>
      <c r="C39" s="75">
        <f>SUMIF('TB BVS 31.3.23'!P:P,'GL Summary'!A39,'TB BVS 31.3.23'!Q:Q)</f>
        <v>0</v>
      </c>
      <c r="D39" t="s">
        <v>697</v>
      </c>
      <c r="F39" s="75">
        <f>IFERROR(VLOOKUP(A39,[25]TB!$I:$K,3,0),0)</f>
        <v>0</v>
      </c>
      <c r="G39" s="75">
        <f t="shared" si="0"/>
        <v>0</v>
      </c>
      <c r="I39" s="75" t="e">
        <f>SUMIF([25]TB_V1!$A:$A,A39,[25]TB_V1!$C:$C)</f>
        <v>#VALUE!</v>
      </c>
      <c r="J39" s="157" t="e">
        <f t="shared" si="1"/>
        <v>#VALUE!</v>
      </c>
    </row>
    <row r="40" spans="1:10" x14ac:dyDescent="0.25">
      <c r="A40" s="205">
        <v>40700007</v>
      </c>
      <c r="B40" s="126" t="s">
        <v>510</v>
      </c>
      <c r="C40" s="75">
        <f>SUMIF('TB BVS 31.3.23'!P:P,'GL Summary'!A40,'TB BVS 31.3.23'!Q:Q)</f>
        <v>4799228</v>
      </c>
      <c r="D40" t="s">
        <v>697</v>
      </c>
      <c r="F40" s="75">
        <f>IFERROR(VLOOKUP(A40,[25]TB!$I:$K,3,0),0)</f>
        <v>0</v>
      </c>
      <c r="G40" s="75">
        <f t="shared" si="0"/>
        <v>4799228</v>
      </c>
      <c r="I40" s="75" t="e">
        <f>SUMIF([25]TB_V1!$A:$A,A40,[25]TB_V1!$C:$C)</f>
        <v>#VALUE!</v>
      </c>
      <c r="J40" s="157" t="e">
        <f t="shared" si="1"/>
        <v>#VALUE!</v>
      </c>
    </row>
    <row r="41" spans="1:10" x14ac:dyDescent="0.25">
      <c r="A41" s="205">
        <v>40700008</v>
      </c>
      <c r="B41" s="126" t="s">
        <v>511</v>
      </c>
      <c r="C41" s="75">
        <f>SUMIF('TB BVS 31.3.23'!P:P,'GL Summary'!A41,'TB BVS 31.3.23'!Q:Q)</f>
        <v>3000</v>
      </c>
      <c r="D41" t="s">
        <v>697</v>
      </c>
      <c r="F41" s="75">
        <f>IFERROR(VLOOKUP(A41,[25]TB!$I:$K,3,0),0)</f>
        <v>0</v>
      </c>
      <c r="G41" s="75">
        <f t="shared" si="0"/>
        <v>3000</v>
      </c>
      <c r="I41" s="75" t="e">
        <f>SUMIF([25]TB_V1!$A:$A,A41,[25]TB_V1!$C:$C)</f>
        <v>#VALUE!</v>
      </c>
      <c r="J41" s="157" t="e">
        <f t="shared" si="1"/>
        <v>#VALUE!</v>
      </c>
    </row>
    <row r="42" spans="1:10" x14ac:dyDescent="0.25">
      <c r="A42" s="205">
        <v>40400000</v>
      </c>
      <c r="B42" s="126" t="s">
        <v>226</v>
      </c>
      <c r="C42" s="75">
        <f>SUMIF('TB BVS 31.3.23'!P:P,'GL Summary'!A42,'TB BVS 31.3.23'!Q:Q)</f>
        <v>0</v>
      </c>
      <c r="D42" t="s">
        <v>697</v>
      </c>
      <c r="F42" s="75">
        <f>IFERROR(VLOOKUP(A42,[25]TB!$I:$K,3,0),0)</f>
        <v>0</v>
      </c>
      <c r="G42" s="75">
        <f t="shared" si="0"/>
        <v>0</v>
      </c>
      <c r="I42" s="75" t="e">
        <f>SUMIF([25]TB_V1!$A:$A,A42,[25]TB_V1!$C:$C)</f>
        <v>#VALUE!</v>
      </c>
      <c r="J42" s="157" t="e">
        <f t="shared" si="1"/>
        <v>#VALUE!</v>
      </c>
    </row>
    <row r="43" spans="1:10" x14ac:dyDescent="0.25">
      <c r="A43" s="205">
        <v>40400001</v>
      </c>
      <c r="B43" s="126" t="s">
        <v>512</v>
      </c>
      <c r="C43" s="75">
        <f>SUMIF('TB BVS 31.3.23'!P:P,'GL Summary'!A43,'TB BVS 31.3.23'!Q:Q)</f>
        <v>312.16000000000003</v>
      </c>
      <c r="D43" t="s">
        <v>697</v>
      </c>
      <c r="F43" s="75">
        <f>IFERROR(VLOOKUP(A43,[25]TB!$I:$K,3,0),0)</f>
        <v>0</v>
      </c>
      <c r="G43" s="75">
        <f t="shared" si="0"/>
        <v>312.16000000000003</v>
      </c>
      <c r="I43" s="75" t="e">
        <f>SUMIF([25]TB_V1!$A:$A,A43,[25]TB_V1!$C:$C)</f>
        <v>#VALUE!</v>
      </c>
      <c r="J43" s="157" t="e">
        <f t="shared" si="1"/>
        <v>#VALUE!</v>
      </c>
    </row>
    <row r="44" spans="1:10" x14ac:dyDescent="0.25">
      <c r="A44" s="205">
        <v>40400003</v>
      </c>
      <c r="B44" s="126" t="s">
        <v>226</v>
      </c>
      <c r="C44" s="75">
        <f>SUMIF('TB BVS 31.3.23'!P:P,'GL Summary'!A44,'TB BVS 31.3.23'!Q:Q)</f>
        <v>0</v>
      </c>
      <c r="D44" t="s">
        <v>697</v>
      </c>
      <c r="F44" s="75">
        <f>IFERROR(VLOOKUP(A44,[25]TB!$I:$K,3,0),0)</f>
        <v>0</v>
      </c>
      <c r="G44" s="75">
        <f t="shared" si="0"/>
        <v>0</v>
      </c>
      <c r="I44" s="75" t="e">
        <f>SUMIF([25]TB_V1!$A:$A,A44,[25]TB_V1!$C:$C)</f>
        <v>#VALUE!</v>
      </c>
      <c r="J44" s="157" t="e">
        <f t="shared" si="1"/>
        <v>#VALUE!</v>
      </c>
    </row>
    <row r="45" spans="1:10" x14ac:dyDescent="0.25">
      <c r="A45" s="205">
        <v>40700010</v>
      </c>
      <c r="B45" s="126" t="s">
        <v>226</v>
      </c>
      <c r="C45" s="75">
        <f>SUMIF('TB BVS 31.3.23'!P:P,'GL Summary'!A45,'TB BVS 31.3.23'!Q:Q)</f>
        <v>0</v>
      </c>
      <c r="D45" t="s">
        <v>697</v>
      </c>
      <c r="F45" s="75">
        <f>IFERROR(VLOOKUP(A45,[25]TB!$I:$K,3,0),0)</f>
        <v>0</v>
      </c>
      <c r="G45" s="75">
        <f t="shared" si="0"/>
        <v>0</v>
      </c>
      <c r="I45" s="75" t="e">
        <f>SUMIF([25]TB_V1!$A:$A,A45,[25]TB_V1!$C:$C)</f>
        <v>#VALUE!</v>
      </c>
      <c r="J45" s="157" t="e">
        <f t="shared" si="1"/>
        <v>#VALUE!</v>
      </c>
    </row>
    <row r="46" spans="1:10" x14ac:dyDescent="0.25">
      <c r="A46" s="205">
        <v>40400005</v>
      </c>
      <c r="B46" s="126" t="s">
        <v>226</v>
      </c>
      <c r="C46" s="75">
        <f>SUMIF('TB BVS 31.3.23'!P:P,'GL Summary'!A46,'TB BVS 31.3.23'!Q:Q)</f>
        <v>0</v>
      </c>
      <c r="D46" t="s">
        <v>697</v>
      </c>
      <c r="F46" s="75">
        <f>IFERROR(VLOOKUP(A46,[25]TB!$I:$K,3,0),0)</f>
        <v>0</v>
      </c>
      <c r="G46" s="75">
        <f t="shared" si="0"/>
        <v>0</v>
      </c>
      <c r="I46" s="75" t="e">
        <f>SUMIF([25]TB_V1!$A:$A,A46,[25]TB_V1!$C:$C)</f>
        <v>#VALUE!</v>
      </c>
      <c r="J46" s="157" t="e">
        <f t="shared" si="1"/>
        <v>#VALUE!</v>
      </c>
    </row>
    <row r="47" spans="1:10" x14ac:dyDescent="0.25">
      <c r="A47" s="205">
        <v>40700016</v>
      </c>
      <c r="B47" s="126" t="s">
        <v>205</v>
      </c>
      <c r="C47" s="75">
        <f>SUMIF('TB BVS 31.3.23'!P:P,'GL Summary'!A47,'TB BVS 31.3.23'!Q:Q)</f>
        <v>25248</v>
      </c>
      <c r="D47" t="s">
        <v>697</v>
      </c>
      <c r="F47" s="75">
        <f>IFERROR(VLOOKUP(A47,[25]TB!$I:$K,3,0),0)</f>
        <v>0</v>
      </c>
      <c r="G47" s="75">
        <f t="shared" si="0"/>
        <v>25248</v>
      </c>
      <c r="I47" s="75" t="e">
        <f>SUMIF([25]TB_V1!$A:$A,A47,[25]TB_V1!$C:$C)</f>
        <v>#VALUE!</v>
      </c>
      <c r="J47" s="157" t="e">
        <f t="shared" si="1"/>
        <v>#VALUE!</v>
      </c>
    </row>
    <row r="48" spans="1:10" x14ac:dyDescent="0.25">
      <c r="A48" s="205">
        <v>40400011</v>
      </c>
      <c r="B48" s="126" t="s">
        <v>226</v>
      </c>
      <c r="C48" s="75">
        <f>SUMIF('TB BVS 31.3.23'!P:P,'GL Summary'!A48,'TB BVS 31.3.23'!Q:Q)</f>
        <v>0</v>
      </c>
      <c r="D48" t="s">
        <v>697</v>
      </c>
      <c r="F48" s="75">
        <f>IFERROR(VLOOKUP(A48,[25]TB!$I:$K,3,0),0)</f>
        <v>0</v>
      </c>
      <c r="G48" s="75">
        <f t="shared" si="0"/>
        <v>0</v>
      </c>
      <c r="I48" s="75" t="e">
        <f>SUMIF([25]TB_V1!$A:$A,A48,[25]TB_V1!$C:$C)</f>
        <v>#VALUE!</v>
      </c>
      <c r="J48" s="157" t="e">
        <f t="shared" si="1"/>
        <v>#VALUE!</v>
      </c>
    </row>
    <row r="49" spans="1:10" x14ac:dyDescent="0.25">
      <c r="A49" s="205">
        <v>40700020</v>
      </c>
      <c r="B49" s="126" t="s">
        <v>226</v>
      </c>
      <c r="C49" s="75">
        <f>SUMIF('TB BVS 31.3.23'!P:P,'GL Summary'!A49,'TB BVS 31.3.23'!Q:Q)</f>
        <v>0</v>
      </c>
      <c r="D49" t="s">
        <v>697</v>
      </c>
      <c r="F49" s="75">
        <f>IFERROR(VLOOKUP(A49,[25]TB!$I:$K,3,0),0)</f>
        <v>0</v>
      </c>
      <c r="G49" s="75">
        <f t="shared" si="0"/>
        <v>0</v>
      </c>
      <c r="I49" s="75" t="e">
        <f>SUMIF([25]TB_V1!$A:$A,A49,[25]TB_V1!$C:$C)</f>
        <v>#VALUE!</v>
      </c>
      <c r="J49" s="157" t="e">
        <f t="shared" si="1"/>
        <v>#VALUE!</v>
      </c>
    </row>
    <row r="50" spans="1:10" x14ac:dyDescent="0.25">
      <c r="A50" s="205">
        <v>30100007</v>
      </c>
      <c r="B50" s="126" t="s">
        <v>699</v>
      </c>
      <c r="C50" s="75">
        <f>SUMIF('TB BVS 31.3.23'!P:P,'GL Summary'!A50,'TB BVS 31.3.23'!Q:Q)</f>
        <v>0</v>
      </c>
      <c r="D50" t="s">
        <v>697</v>
      </c>
      <c r="F50" s="75">
        <f>IFERROR(VLOOKUP(A50,[25]TB!$I:$K,3,0),0)</f>
        <v>0</v>
      </c>
      <c r="G50" s="75">
        <f t="shared" ref="G50:G51" si="2">C50-F50</f>
        <v>0</v>
      </c>
      <c r="I50" s="75" t="e">
        <f>SUMIF([25]TB_V1!$A:$A,A50,[25]TB_V1!$C:$C)</f>
        <v>#VALUE!</v>
      </c>
      <c r="J50" s="157" t="e">
        <f t="shared" si="1"/>
        <v>#VALUE!</v>
      </c>
    </row>
    <row r="51" spans="1:10" x14ac:dyDescent="0.25">
      <c r="A51" s="205">
        <v>40700015</v>
      </c>
      <c r="B51" s="126" t="s">
        <v>700</v>
      </c>
      <c r="C51" s="75">
        <f>SUMIF('TB BVS 31.3.23'!P:P,'GL Summary'!A51,'TB BVS 31.3.23'!Q:Q)</f>
        <v>0</v>
      </c>
      <c r="D51" t="s">
        <v>697</v>
      </c>
      <c r="F51" s="75">
        <f>IFERROR(VLOOKUP(A51,[25]TB!$I:$K,3,0),0)</f>
        <v>0</v>
      </c>
      <c r="G51" s="75">
        <f t="shared" si="2"/>
        <v>0</v>
      </c>
      <c r="I51" s="75" t="e">
        <f>SUMIF([25]TB_V1!$A:$A,A51,[25]TB_V1!$C:$C)</f>
        <v>#VALUE!</v>
      </c>
      <c r="J51" s="157" t="e">
        <f t="shared" si="1"/>
        <v>#VALUE!</v>
      </c>
    </row>
    <row r="52" spans="1:10" x14ac:dyDescent="0.25">
      <c r="A52" s="205" t="s">
        <v>692</v>
      </c>
      <c r="B52" s="126" t="s">
        <v>226</v>
      </c>
      <c r="C52" s="75">
        <f>SUMIF('TB BVS 31.3.23'!P:P,'GL Summary'!A52,'TB BVS 31.3.23'!Q:Q)</f>
        <v>-202886217.40936044</v>
      </c>
      <c r="D52" t="s">
        <v>696</v>
      </c>
      <c r="F52" s="75">
        <f>IFERROR(VLOOKUP(A52,[25]TB!$I:$K,3,0),0)</f>
        <v>0</v>
      </c>
      <c r="G52" s="75">
        <f t="shared" si="0"/>
        <v>-202886217.40936044</v>
      </c>
      <c r="I52" s="75" t="e">
        <f>SUMIF([25]TB_V1!$A:$A,A52,[25]TB_V1!$C:$C)</f>
        <v>#VALUE!</v>
      </c>
      <c r="J52" s="157" t="e">
        <f t="shared" si="1"/>
        <v>#VALUE!</v>
      </c>
    </row>
    <row r="53" spans="1:10" x14ac:dyDescent="0.25">
      <c r="A53" s="205" t="s">
        <v>693</v>
      </c>
      <c r="B53" s="126" t="s">
        <v>226</v>
      </c>
      <c r="C53" s="75">
        <f>SUMIF('TB BVS 31.3.23'!P:P,'GL Summary'!A53,'TB BVS 31.3.23'!Q:Q)</f>
        <v>2886761.2863045009</v>
      </c>
      <c r="D53" t="s">
        <v>697</v>
      </c>
      <c r="F53" s="75">
        <f>IFERROR(VLOOKUP(A53,[25]TB!$I:$K,3,0),0)</f>
        <v>0</v>
      </c>
      <c r="G53" s="75">
        <f t="shared" si="0"/>
        <v>2886761.2863045009</v>
      </c>
      <c r="I53" s="75" t="e">
        <f>SUMIF([25]TB_V1!$A:$A,A53,[25]TB_V1!$C:$C)</f>
        <v>#VALUE!</v>
      </c>
      <c r="J53" s="157" t="e">
        <f t="shared" si="1"/>
        <v>#VALUE!</v>
      </c>
    </row>
    <row r="54" spans="1:10" x14ac:dyDescent="0.25">
      <c r="A54" s="205" t="s">
        <v>694</v>
      </c>
      <c r="B54" s="126" t="s">
        <v>226</v>
      </c>
      <c r="C54" s="75">
        <f>SUMIF('TB BVS 31.3.23'!P:P,'GL Summary'!A54,'TB BVS 31.3.23'!Q:Q)</f>
        <v>0</v>
      </c>
      <c r="D54" t="s">
        <v>697</v>
      </c>
      <c r="F54" s="75">
        <f>IFERROR(VLOOKUP(A54,[25]TB!$I:$K,3,0),0)</f>
        <v>0</v>
      </c>
      <c r="G54" s="75">
        <f t="shared" si="0"/>
        <v>0</v>
      </c>
      <c r="I54" s="75" t="e">
        <f>SUMIF([25]TB_V1!$A:$A,A54,[25]TB_V1!$C:$C)</f>
        <v>#VALUE!</v>
      </c>
      <c r="J54" s="157" t="e">
        <f t="shared" si="1"/>
        <v>#VALUE!</v>
      </c>
    </row>
    <row r="55" spans="1:10" x14ac:dyDescent="0.25">
      <c r="A55" s="205">
        <v>10100008</v>
      </c>
      <c r="B55" s="126" t="s">
        <v>702</v>
      </c>
      <c r="C55" s="75">
        <f>SUMIF('TB BVS 31.3.23'!P:P,'GL Summary'!A55,'TB BVS 31.3.23'!Q:Q)</f>
        <v>0</v>
      </c>
      <c r="D55" t="s">
        <v>696</v>
      </c>
      <c r="F55" s="75">
        <f>IFERROR(VLOOKUP(A55,[25]TB!$I:$K,3,0),0)</f>
        <v>0</v>
      </c>
      <c r="G55" s="75">
        <f t="shared" ref="G55:G61" si="3">C55-F55</f>
        <v>0</v>
      </c>
      <c r="I55" s="75" t="e">
        <f>SUMIF([25]TB_V1!$A:$A,A55,[25]TB_V1!$C:$C)</f>
        <v>#VALUE!</v>
      </c>
      <c r="J55" s="157" t="e">
        <f t="shared" si="1"/>
        <v>#VALUE!</v>
      </c>
    </row>
    <row r="56" spans="1:10" x14ac:dyDescent="0.25">
      <c r="A56" s="205">
        <v>10100009</v>
      </c>
      <c r="B56" s="126" t="s">
        <v>703</v>
      </c>
      <c r="C56" s="75">
        <f>SUMIF('TB BVS 31.3.23'!P:P,'GL Summary'!A56,'TB BVS 31.3.23'!Q:Q)</f>
        <v>0</v>
      </c>
      <c r="D56" t="s">
        <v>696</v>
      </c>
      <c r="F56" s="75">
        <f>IFERROR(VLOOKUP(A56,[25]TB!$I:$K,3,0),0)</f>
        <v>0</v>
      </c>
      <c r="G56" s="75">
        <f t="shared" si="3"/>
        <v>0</v>
      </c>
      <c r="I56" s="75" t="e">
        <f>SUMIF([25]TB_V1!$A:$A,A56,[25]TB_V1!$C:$C)</f>
        <v>#VALUE!</v>
      </c>
      <c r="J56" s="157" t="e">
        <f t="shared" si="1"/>
        <v>#VALUE!</v>
      </c>
    </row>
    <row r="57" spans="1:10" x14ac:dyDescent="0.25">
      <c r="A57" s="205">
        <v>10300001</v>
      </c>
      <c r="B57" s="126" t="s">
        <v>704</v>
      </c>
      <c r="C57" s="75">
        <f>SUMIF('TB BVS 31.3.23'!P:P,'GL Summary'!A57,'TB BVS 31.3.23'!Q:Q)</f>
        <v>0</v>
      </c>
      <c r="D57" t="s">
        <v>696</v>
      </c>
      <c r="F57" s="75">
        <f>IFERROR(VLOOKUP(A57,[25]TB!$I:$K,3,0),0)</f>
        <v>0</v>
      </c>
      <c r="G57" s="75">
        <f t="shared" si="3"/>
        <v>0</v>
      </c>
      <c r="I57" s="75" t="e">
        <f>SUMIF([25]TB_V1!$A:$A,A57,[25]TB_V1!$C:$C)</f>
        <v>#VALUE!</v>
      </c>
      <c r="J57" s="157" t="e">
        <f t="shared" si="1"/>
        <v>#VALUE!</v>
      </c>
    </row>
    <row r="58" spans="1:10" x14ac:dyDescent="0.25">
      <c r="A58" s="205">
        <v>10400001</v>
      </c>
      <c r="B58" s="126" t="s">
        <v>705</v>
      </c>
      <c r="C58" s="75">
        <f>SUMIF('TB BVS 31.3.23'!P:P,'GL Summary'!A58,'TB BVS 31.3.23'!Q:Q)</f>
        <v>0</v>
      </c>
      <c r="D58" t="s">
        <v>696</v>
      </c>
      <c r="F58" s="75">
        <f>IFERROR(VLOOKUP(A58,[25]TB!$I:$K,3,0),0)</f>
        <v>0</v>
      </c>
      <c r="G58" s="75">
        <f t="shared" si="3"/>
        <v>0</v>
      </c>
      <c r="I58" s="75" t="e">
        <f>SUMIF([25]TB_V1!$A:$A,A58,[25]TB_V1!$C:$C)</f>
        <v>#VALUE!</v>
      </c>
      <c r="J58" s="157" t="e">
        <f t="shared" si="1"/>
        <v>#VALUE!</v>
      </c>
    </row>
    <row r="59" spans="1:10" x14ac:dyDescent="0.25">
      <c r="A59" s="205">
        <v>20400001</v>
      </c>
      <c r="B59" s="126" t="s">
        <v>706</v>
      </c>
      <c r="C59" s="75">
        <f>SUMIF('TB BVS 31.3.23'!P:P,'GL Summary'!A59,'TB BVS 31.3.23'!Q:Q)</f>
        <v>0</v>
      </c>
      <c r="D59" t="s">
        <v>696</v>
      </c>
      <c r="F59" s="75">
        <f>IFERROR(VLOOKUP(A59,[25]TB!$I:$K,3,0),0)</f>
        <v>0</v>
      </c>
      <c r="G59" s="75">
        <f t="shared" si="3"/>
        <v>0</v>
      </c>
      <c r="I59" s="75" t="e">
        <f>SUMIF([25]TB_V1!$A:$A,A59,[25]TB_V1!$C:$C)</f>
        <v>#VALUE!</v>
      </c>
      <c r="J59" s="157" t="e">
        <f t="shared" si="1"/>
        <v>#VALUE!</v>
      </c>
    </row>
    <row r="60" spans="1:10" x14ac:dyDescent="0.25">
      <c r="A60" s="205">
        <v>40400016</v>
      </c>
      <c r="B60" s="126" t="s">
        <v>707</v>
      </c>
      <c r="C60" s="75">
        <f>SUMIF('TB BVS 31.3.23'!P:P,'GL Summary'!A60,'TB BVS 31.3.23'!Q:Q)</f>
        <v>0</v>
      </c>
      <c r="D60" t="s">
        <v>697</v>
      </c>
      <c r="F60" s="75">
        <f>IFERROR(VLOOKUP(A60,[25]TB!$I:$K,3,0),0)</f>
        <v>0</v>
      </c>
      <c r="G60" s="75">
        <f t="shared" si="3"/>
        <v>0</v>
      </c>
      <c r="I60" s="75" t="e">
        <f>SUMIF([25]TB_V1!$A:$A,A60,[25]TB_V1!$C:$C)</f>
        <v>#VALUE!</v>
      </c>
      <c r="J60" s="157" t="e">
        <f t="shared" si="1"/>
        <v>#VALUE!</v>
      </c>
    </row>
    <row r="61" spans="1:10" x14ac:dyDescent="0.25">
      <c r="A61" s="205">
        <v>40700040</v>
      </c>
      <c r="B61" s="126" t="s">
        <v>708</v>
      </c>
      <c r="C61" s="75">
        <f>SUMIF('TB BVS 31.3.23'!P:P,'GL Summary'!A61,'TB BVS 31.3.23'!Q:Q)</f>
        <v>0</v>
      </c>
      <c r="D61" t="s">
        <v>697</v>
      </c>
      <c r="F61" s="75">
        <f>IFERROR(VLOOKUP(A61,[25]TB!$I:$K,3,0),0)</f>
        <v>0</v>
      </c>
      <c r="G61" s="75">
        <f t="shared" si="3"/>
        <v>0</v>
      </c>
      <c r="I61" s="75" t="e">
        <f>SUMIF([25]TB_V1!$A:$A,A61,[25]TB_V1!$C:$C)</f>
        <v>#VALUE!</v>
      </c>
      <c r="J61" s="157" t="e">
        <f t="shared" si="1"/>
        <v>#VALUE!</v>
      </c>
    </row>
    <row r="62" spans="1:10" x14ac:dyDescent="0.25">
      <c r="C62" s="491">
        <f>SUM(C2:C61)</f>
        <v>7.6944020576775074E-2</v>
      </c>
      <c r="F62" s="490">
        <f>SUM(F2:F61)</f>
        <v>0</v>
      </c>
      <c r="G62" s="490">
        <f>SUM(G2:G61)</f>
        <v>7.6944020576775074E-2</v>
      </c>
      <c r="I62" s="491" t="e">
        <f>SUM(I2:I61)</f>
        <v>#VALUE!</v>
      </c>
      <c r="J62" s="491" t="e">
        <f>SUM(J2:J61)</f>
        <v>#VALUE!</v>
      </c>
    </row>
    <row r="65" spans="2:3" x14ac:dyDescent="0.25">
      <c r="B65" s="126" t="s">
        <v>697</v>
      </c>
      <c r="C65" s="491">
        <f>SUMIF(D2:D54,B65,C2:C54)</f>
        <v>9526703.3228997514</v>
      </c>
    </row>
  </sheetData>
  <conditionalFormatting sqref="C1">
    <cfRule type="duplicateValues" dxfId="0" priority="1"/>
  </conditionalFormatting>
  <pageMargins left="0.7" right="0.7" top="0.75" bottom="0.75" header="0.3" footer="0.3"/>
  <headerFooter>
    <oddHeader>&amp;C&amp;G</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6B40-1763-42F3-BDA9-63C53C4A7DF4}">
  <sheetPr codeName="Sheet19"/>
  <dimension ref="A1:U41"/>
  <sheetViews>
    <sheetView topLeftCell="F4" workbookViewId="0">
      <selection activeCell="P33" sqref="P33"/>
    </sheetView>
  </sheetViews>
  <sheetFormatPr defaultColWidth="8.85546875" defaultRowHeight="15" x14ac:dyDescent="0.25"/>
  <cols>
    <col min="1" max="1" width="28.42578125" bestFit="1" customWidth="1"/>
    <col min="2" max="2" width="22.5703125" bestFit="1" customWidth="1"/>
    <col min="3" max="3" width="12.5703125" bestFit="1" customWidth="1"/>
    <col min="4" max="4" width="25.42578125" bestFit="1" customWidth="1"/>
    <col min="5" max="5" width="62.5703125" bestFit="1" customWidth="1"/>
    <col min="6" max="6" width="17.42578125" bestFit="1" customWidth="1"/>
    <col min="7" max="7" width="27.85546875" bestFit="1" customWidth="1"/>
    <col min="8" max="8" width="26.5703125" bestFit="1" customWidth="1"/>
    <col min="9" max="9" width="53" bestFit="1" customWidth="1"/>
    <col min="10" max="10" width="17.42578125" bestFit="1" customWidth="1"/>
    <col min="11" max="11" width="18.140625" bestFit="1" customWidth="1"/>
    <col min="12" max="12" width="17.5703125" bestFit="1" customWidth="1"/>
    <col min="13" max="13" width="17" bestFit="1" customWidth="1"/>
    <col min="14" max="14" width="16.42578125" bestFit="1" customWidth="1"/>
    <col min="15" max="15" width="17" bestFit="1" customWidth="1"/>
    <col min="17" max="17" width="13.5703125" bestFit="1" customWidth="1"/>
    <col min="18" max="18" width="14" bestFit="1" customWidth="1"/>
  </cols>
  <sheetData>
    <row r="1" spans="1:21" x14ac:dyDescent="0.25">
      <c r="A1" s="12" t="str">
        <f>Input!B1</f>
        <v>BVC Specialities Private Limited</v>
      </c>
      <c r="B1" s="12"/>
      <c r="H1" s="1"/>
      <c r="I1" s="1"/>
      <c r="L1" s="1"/>
      <c r="M1" s="1"/>
    </row>
    <row r="2" spans="1:21" ht="15.75" thickBot="1" x14ac:dyDescent="0.3">
      <c r="A2" s="12" t="s">
        <v>145</v>
      </c>
      <c r="B2" s="12"/>
      <c r="I2" s="1"/>
      <c r="J2" s="1">
        <f t="shared" ref="J2:O2" si="0">SUBTOTAL(9,J5:J38)</f>
        <v>405707864.61823916</v>
      </c>
      <c r="K2" s="1">
        <f t="shared" si="0"/>
        <v>-405707410.33823907</v>
      </c>
      <c r="L2" s="1">
        <f t="shared" si="0"/>
        <v>454.28000000864267</v>
      </c>
      <c r="M2" s="1">
        <f t="shared" si="0"/>
        <v>27579317.961910952</v>
      </c>
      <c r="N2" s="1">
        <f t="shared" si="0"/>
        <v>-35867636.123055935</v>
      </c>
      <c r="O2" s="1">
        <f t="shared" si="0"/>
        <v>0</v>
      </c>
    </row>
    <row r="3" spans="1:21" x14ac:dyDescent="0.25">
      <c r="A3" s="65"/>
      <c r="B3" s="65"/>
      <c r="C3" s="2046" t="s">
        <v>79</v>
      </c>
      <c r="D3" s="2047"/>
      <c r="E3" s="2048"/>
      <c r="F3" s="2040" t="s">
        <v>140</v>
      </c>
      <c r="G3" s="2041"/>
      <c r="H3" s="2042"/>
      <c r="I3" s="84" t="s">
        <v>0</v>
      </c>
      <c r="J3" s="2043"/>
      <c r="K3" s="2044"/>
      <c r="L3" s="2044"/>
      <c r="M3" s="2044"/>
      <c r="N3" s="2045"/>
      <c r="O3" s="66"/>
    </row>
    <row r="4" spans="1:21" ht="15.75" thickBot="1" x14ac:dyDescent="0.3">
      <c r="A4" s="67" t="s">
        <v>93</v>
      </c>
      <c r="B4" s="67" t="s">
        <v>452</v>
      </c>
      <c r="C4" s="68" t="s">
        <v>40</v>
      </c>
      <c r="D4" s="69" t="s">
        <v>95</v>
      </c>
      <c r="E4" s="70" t="s">
        <v>96</v>
      </c>
      <c r="F4" s="71" t="s">
        <v>94</v>
      </c>
      <c r="G4" s="72" t="s">
        <v>141</v>
      </c>
      <c r="H4" s="73" t="s">
        <v>142</v>
      </c>
      <c r="I4" s="85"/>
      <c r="J4" s="86" t="s">
        <v>73</v>
      </c>
      <c r="K4" s="87" t="s">
        <v>74</v>
      </c>
      <c r="L4" s="87" t="s">
        <v>67</v>
      </c>
      <c r="M4" s="88" t="s">
        <v>69</v>
      </c>
      <c r="N4" s="70" t="s">
        <v>84</v>
      </c>
      <c r="O4" s="74" t="s">
        <v>92</v>
      </c>
      <c r="S4" s="4"/>
      <c r="T4" s="4"/>
      <c r="U4" s="4"/>
    </row>
    <row r="5" spans="1:21" s="95" customFormat="1" x14ac:dyDescent="0.25">
      <c r="A5" s="89" t="s">
        <v>21</v>
      </c>
      <c r="B5" s="89">
        <v>1110001</v>
      </c>
      <c r="C5" s="90">
        <f>VLOOKUP(D5,Input!$C$13:$D$101,2,0)</f>
        <v>12</v>
      </c>
      <c r="D5" s="91" t="s">
        <v>163</v>
      </c>
      <c r="E5" s="92" t="s">
        <v>602</v>
      </c>
      <c r="F5" s="90">
        <v>3</v>
      </c>
      <c r="G5" s="91" t="s">
        <v>178</v>
      </c>
      <c r="H5" s="92" t="s">
        <v>444</v>
      </c>
      <c r="I5" s="93" t="s">
        <v>143</v>
      </c>
      <c r="J5" s="116">
        <v>0</v>
      </c>
      <c r="K5" s="117">
        <v>-100000</v>
      </c>
      <c r="L5" s="117">
        <f t="shared" ref="L5:L36" si="1">J5+K5</f>
        <v>-100000</v>
      </c>
      <c r="M5" s="118">
        <v>0</v>
      </c>
      <c r="N5" s="119">
        <f>L5-M5</f>
        <v>-100000</v>
      </c>
      <c r="O5" s="94">
        <f t="shared" ref="O5:O11" si="2">L5-M5-N5</f>
        <v>0</v>
      </c>
      <c r="U5" s="177"/>
    </row>
    <row r="6" spans="1:21" s="95" customFormat="1" x14ac:dyDescent="0.25">
      <c r="A6" s="89" t="s">
        <v>21</v>
      </c>
      <c r="B6" s="89">
        <v>1110002</v>
      </c>
      <c r="C6" s="90">
        <f>VLOOKUP(D6,Input!$C$13:$D$101,2,0)</f>
        <v>12</v>
      </c>
      <c r="D6" s="91" t="s">
        <v>163</v>
      </c>
      <c r="E6" s="92" t="s">
        <v>461</v>
      </c>
      <c r="F6" s="90"/>
      <c r="G6" s="91"/>
      <c r="H6" s="92"/>
      <c r="I6" s="93" t="s">
        <v>455</v>
      </c>
      <c r="J6" s="116"/>
      <c r="K6" s="117">
        <v>-972760</v>
      </c>
      <c r="L6" s="117">
        <f t="shared" si="1"/>
        <v>-972760</v>
      </c>
      <c r="M6" s="118">
        <v>0</v>
      </c>
      <c r="N6" s="119">
        <f>L6-M6</f>
        <v>-972760</v>
      </c>
      <c r="O6" s="94">
        <f t="shared" si="2"/>
        <v>0</v>
      </c>
      <c r="U6" s="177"/>
    </row>
    <row r="7" spans="1:21" s="95" customFormat="1" x14ac:dyDescent="0.25">
      <c r="A7" s="89" t="s">
        <v>21</v>
      </c>
      <c r="B7" s="89" t="s">
        <v>226</v>
      </c>
      <c r="C7" s="90">
        <f>VLOOKUP(D7,Input!$C$13:$D$101,2,0)</f>
        <v>13</v>
      </c>
      <c r="D7" s="91" t="s">
        <v>24</v>
      </c>
      <c r="E7" s="92" t="s">
        <v>458</v>
      </c>
      <c r="F7" s="90"/>
      <c r="G7" s="91"/>
      <c r="H7" s="92"/>
      <c r="I7" s="93"/>
      <c r="J7" s="116"/>
      <c r="K7" s="117">
        <v>-199026696</v>
      </c>
      <c r="L7" s="117">
        <f t="shared" si="1"/>
        <v>-199026696</v>
      </c>
      <c r="M7" s="118">
        <v>0</v>
      </c>
      <c r="N7" s="119">
        <f>L7-M7</f>
        <v>-199026696</v>
      </c>
      <c r="O7" s="94">
        <f t="shared" si="2"/>
        <v>0</v>
      </c>
      <c r="U7" s="177"/>
    </row>
    <row r="8" spans="1:21" s="95" customFormat="1" x14ac:dyDescent="0.25">
      <c r="A8" s="96" t="s">
        <v>26</v>
      </c>
      <c r="B8" s="96">
        <v>1411004</v>
      </c>
      <c r="C8" s="90">
        <f>VLOOKUP(D8,Input!$C$13:$D$101,2,0)</f>
        <v>17</v>
      </c>
      <c r="D8" s="98" t="s">
        <v>180</v>
      </c>
      <c r="E8" s="83" t="s">
        <v>131</v>
      </c>
      <c r="F8" s="97">
        <v>10</v>
      </c>
      <c r="G8" s="98" t="s">
        <v>180</v>
      </c>
      <c r="H8" s="83" t="s">
        <v>166</v>
      </c>
      <c r="I8" s="99" t="s">
        <v>181</v>
      </c>
      <c r="J8" s="120">
        <v>0</v>
      </c>
      <c r="K8" s="121">
        <v>-36250</v>
      </c>
      <c r="L8" s="121">
        <f t="shared" si="1"/>
        <v>-36250</v>
      </c>
      <c r="M8" s="124">
        <f>L8</f>
        <v>-36250</v>
      </c>
      <c r="N8" s="125">
        <v>0</v>
      </c>
      <c r="O8" s="94">
        <f t="shared" si="2"/>
        <v>0</v>
      </c>
    </row>
    <row r="9" spans="1:21" s="95" customFormat="1" x14ac:dyDescent="0.25">
      <c r="A9" s="96" t="s">
        <v>26</v>
      </c>
      <c r="B9" s="96">
        <v>1420007</v>
      </c>
      <c r="C9" s="90">
        <f>VLOOKUP(D9,Input!$C$13:$D$101,2,0)</f>
        <v>15</v>
      </c>
      <c r="D9" s="98" t="s">
        <v>153</v>
      </c>
      <c r="E9" s="83" t="s">
        <v>134</v>
      </c>
      <c r="F9" s="97">
        <v>7</v>
      </c>
      <c r="G9" s="98" t="s">
        <v>153</v>
      </c>
      <c r="H9" s="83" t="s">
        <v>167</v>
      </c>
      <c r="I9" s="99" t="s">
        <v>182</v>
      </c>
      <c r="J9" s="120"/>
      <c r="K9" s="121">
        <v>-90000</v>
      </c>
      <c r="L9" s="121">
        <f t="shared" si="1"/>
        <v>-90000</v>
      </c>
      <c r="M9" s="124">
        <f>L9</f>
        <v>-90000</v>
      </c>
      <c r="N9" s="125">
        <v>0</v>
      </c>
      <c r="O9" s="94">
        <f t="shared" si="2"/>
        <v>0</v>
      </c>
    </row>
    <row r="10" spans="1:21" s="95" customFormat="1" x14ac:dyDescent="0.25">
      <c r="A10" s="96" t="s">
        <v>26</v>
      </c>
      <c r="B10" s="96">
        <v>1430004</v>
      </c>
      <c r="C10" s="90">
        <f>VLOOKUP(D10,Input!$C$13:$D$101,2,0)</f>
        <v>15</v>
      </c>
      <c r="D10" s="98" t="s">
        <v>153</v>
      </c>
      <c r="E10" s="83" t="s">
        <v>134</v>
      </c>
      <c r="F10" s="97">
        <v>9</v>
      </c>
      <c r="G10" s="98" t="s">
        <v>153</v>
      </c>
      <c r="H10" s="83" t="s">
        <v>167</v>
      </c>
      <c r="I10" s="99" t="s">
        <v>183</v>
      </c>
      <c r="J10" s="120">
        <v>0</v>
      </c>
      <c r="K10" s="121">
        <v>-1301747</v>
      </c>
      <c r="L10" s="121">
        <f t="shared" si="1"/>
        <v>-1301747</v>
      </c>
      <c r="M10" s="124">
        <f>L10</f>
        <v>-1301747</v>
      </c>
      <c r="N10" s="125">
        <v>0</v>
      </c>
      <c r="O10" s="94">
        <f t="shared" si="2"/>
        <v>0</v>
      </c>
    </row>
    <row r="11" spans="1:21" s="95" customFormat="1" x14ac:dyDescent="0.25">
      <c r="A11" s="96" t="s">
        <v>26</v>
      </c>
      <c r="B11" s="96">
        <v>1450002</v>
      </c>
      <c r="C11" s="90">
        <f>VLOOKUP(D11,Input!$C$13:$D$101,2,0)</f>
        <v>14</v>
      </c>
      <c r="D11" s="98" t="s">
        <v>83</v>
      </c>
      <c r="E11" s="83" t="s">
        <v>445</v>
      </c>
      <c r="F11" s="97">
        <v>5</v>
      </c>
      <c r="G11" s="98" t="s">
        <v>449</v>
      </c>
      <c r="H11" s="83" t="s">
        <v>448</v>
      </c>
      <c r="I11" s="99" t="s">
        <v>450</v>
      </c>
      <c r="J11" s="120"/>
      <c r="K11" s="121">
        <v>-2978340.6180890501</v>
      </c>
      <c r="L11" s="121">
        <f t="shared" si="1"/>
        <v>-2978340.6180890501</v>
      </c>
      <c r="M11" s="124">
        <f>L11</f>
        <v>-2978340.6180890501</v>
      </c>
      <c r="N11" s="125"/>
      <c r="O11" s="94">
        <f t="shared" si="2"/>
        <v>0</v>
      </c>
    </row>
    <row r="12" spans="1:21" s="95" customFormat="1" x14ac:dyDescent="0.25">
      <c r="A12" s="96" t="s">
        <v>154</v>
      </c>
      <c r="B12" s="96">
        <v>2111101</v>
      </c>
      <c r="C12" s="90">
        <f>VLOOKUP(D12,Input!$C$13:$D$101,2,0)</f>
        <v>3</v>
      </c>
      <c r="D12" s="98" t="s">
        <v>173</v>
      </c>
      <c r="E12" s="83" t="s">
        <v>289</v>
      </c>
      <c r="F12" s="97">
        <v>12</v>
      </c>
      <c r="G12" s="98" t="s">
        <v>185</v>
      </c>
      <c r="H12" s="83" t="s">
        <v>186</v>
      </c>
      <c r="I12" s="99" t="s">
        <v>187</v>
      </c>
      <c r="J12" s="120">
        <f>158197441+6992200</f>
        <v>165189641</v>
      </c>
      <c r="K12" s="121">
        <v>0</v>
      </c>
      <c r="L12" s="121">
        <f t="shared" si="1"/>
        <v>165189641</v>
      </c>
      <c r="M12" s="124">
        <v>0</v>
      </c>
      <c r="N12" s="125">
        <f>L12-M12</f>
        <v>165189641</v>
      </c>
      <c r="O12" s="94">
        <f t="shared" ref="O12:O18" si="3">L12-M12-N12</f>
        <v>0</v>
      </c>
    </row>
    <row r="13" spans="1:21" s="95" customFormat="1" x14ac:dyDescent="0.25">
      <c r="A13" s="96" t="s">
        <v>154</v>
      </c>
      <c r="B13" s="96">
        <v>2111103</v>
      </c>
      <c r="C13" s="90">
        <f>VLOOKUP(D13,Input!$C$13:$D$101,2,0)</f>
        <v>3</v>
      </c>
      <c r="D13" s="98" t="s">
        <v>173</v>
      </c>
      <c r="E13" s="83" t="s">
        <v>289</v>
      </c>
      <c r="F13" s="97">
        <v>12</v>
      </c>
      <c r="G13" s="98" t="s">
        <v>185</v>
      </c>
      <c r="H13" s="83" t="s">
        <v>186</v>
      </c>
      <c r="I13" s="99" t="s">
        <v>447</v>
      </c>
      <c r="J13" s="120"/>
      <c r="K13" s="121">
        <v>-609875</v>
      </c>
      <c r="L13" s="121">
        <f t="shared" si="1"/>
        <v>-609875</v>
      </c>
      <c r="M13" s="124">
        <v>0</v>
      </c>
      <c r="N13" s="125">
        <f>L13-M13</f>
        <v>-609875</v>
      </c>
      <c r="O13" s="94">
        <f t="shared" si="3"/>
        <v>0</v>
      </c>
    </row>
    <row r="14" spans="1:21" s="95" customFormat="1" x14ac:dyDescent="0.25">
      <c r="A14" s="96" t="s">
        <v>154</v>
      </c>
      <c r="B14" s="96">
        <v>2114001</v>
      </c>
      <c r="C14" s="90">
        <f>VLOOKUP(D14,Input!$C$13:$D$101,2,0)</f>
        <v>3</v>
      </c>
      <c r="D14" s="98" t="s">
        <v>173</v>
      </c>
      <c r="E14" s="83" t="s">
        <v>87</v>
      </c>
      <c r="F14" s="97">
        <v>12</v>
      </c>
      <c r="G14" s="98" t="s">
        <v>185</v>
      </c>
      <c r="H14" s="83" t="s">
        <v>186</v>
      </c>
      <c r="I14" s="99" t="s">
        <v>189</v>
      </c>
      <c r="J14" s="120">
        <v>0</v>
      </c>
      <c r="K14" s="120">
        <v>0</v>
      </c>
      <c r="L14" s="121">
        <f t="shared" si="1"/>
        <v>0</v>
      </c>
      <c r="M14" s="124">
        <v>0</v>
      </c>
      <c r="N14" s="125">
        <f>L14-M14</f>
        <v>0</v>
      </c>
      <c r="O14" s="94">
        <f t="shared" si="3"/>
        <v>0</v>
      </c>
    </row>
    <row r="15" spans="1:21" s="95" customFormat="1" x14ac:dyDescent="0.25">
      <c r="A15" s="96" t="s">
        <v>154</v>
      </c>
      <c r="B15" s="96">
        <v>2231005</v>
      </c>
      <c r="C15" s="90" t="e">
        <f>VLOOKUP(D15,Input!$C$13:$D$101,2,0)</f>
        <v>#N/A</v>
      </c>
      <c r="D15" s="98" t="s">
        <v>522</v>
      </c>
      <c r="E15" s="83" t="s">
        <v>121</v>
      </c>
      <c r="F15" s="97">
        <v>17</v>
      </c>
      <c r="G15" s="98" t="s">
        <v>179</v>
      </c>
      <c r="H15" s="83" t="s">
        <v>165</v>
      </c>
      <c r="I15" s="99" t="s">
        <v>460</v>
      </c>
      <c r="J15" s="120">
        <v>2414453.2999999998</v>
      </c>
      <c r="K15" s="121">
        <v>0</v>
      </c>
      <c r="L15" s="121">
        <f t="shared" si="1"/>
        <v>2414453.2999999998</v>
      </c>
      <c r="M15" s="124">
        <f>L15</f>
        <v>2414453.2999999998</v>
      </c>
      <c r="N15" s="125">
        <v>0</v>
      </c>
      <c r="O15" s="94">
        <f t="shared" si="3"/>
        <v>0</v>
      </c>
    </row>
    <row r="16" spans="1:21" s="95" customFormat="1" x14ac:dyDescent="0.25">
      <c r="A16" s="96" t="s">
        <v>154</v>
      </c>
      <c r="B16" s="96">
        <v>2260101</v>
      </c>
      <c r="C16" s="90">
        <f>VLOOKUP(D16,Input!$C$13:$D$101,2,0)</f>
        <v>11</v>
      </c>
      <c r="D16" s="98" t="s">
        <v>190</v>
      </c>
      <c r="E16" s="83" t="s">
        <v>591</v>
      </c>
      <c r="F16" s="97">
        <v>18</v>
      </c>
      <c r="G16" s="98" t="s">
        <v>184</v>
      </c>
      <c r="H16" s="83" t="s">
        <v>171</v>
      </c>
      <c r="I16" s="99" t="s">
        <v>191</v>
      </c>
      <c r="J16" s="120">
        <v>14541434.640000001</v>
      </c>
      <c r="K16" s="121">
        <v>0</v>
      </c>
      <c r="L16" s="121">
        <f t="shared" si="1"/>
        <v>14541434.640000001</v>
      </c>
      <c r="M16" s="124">
        <f>L16</f>
        <v>14541434.640000001</v>
      </c>
      <c r="N16" s="125">
        <v>0</v>
      </c>
      <c r="O16" s="94">
        <f t="shared" si="3"/>
        <v>0</v>
      </c>
    </row>
    <row r="17" spans="1:15" s="95" customFormat="1" x14ac:dyDescent="0.25">
      <c r="A17" s="96" t="s">
        <v>154</v>
      </c>
      <c r="B17" s="96">
        <v>2260102</v>
      </c>
      <c r="C17" s="90">
        <f>VLOOKUP(D17,Input!$C$13:$D$101,2,0)</f>
        <v>11</v>
      </c>
      <c r="D17" s="98" t="s">
        <v>190</v>
      </c>
      <c r="E17" s="83" t="s">
        <v>591</v>
      </c>
      <c r="F17" s="97">
        <v>18</v>
      </c>
      <c r="G17" s="98" t="s">
        <v>184</v>
      </c>
      <c r="H17" s="83" t="s">
        <v>171</v>
      </c>
      <c r="I17" s="99" t="s">
        <v>446</v>
      </c>
      <c r="J17" s="120">
        <v>488333</v>
      </c>
      <c r="K17" s="121">
        <v>0</v>
      </c>
      <c r="L17" s="121">
        <f t="shared" si="1"/>
        <v>488333</v>
      </c>
      <c r="M17" s="124">
        <f>L17</f>
        <v>488333</v>
      </c>
      <c r="N17" s="125">
        <v>0</v>
      </c>
      <c r="O17" s="94">
        <f t="shared" si="3"/>
        <v>0</v>
      </c>
    </row>
    <row r="18" spans="1:15" s="95" customFormat="1" x14ac:dyDescent="0.25">
      <c r="A18" s="96" t="s">
        <v>154</v>
      </c>
      <c r="B18" s="96">
        <v>2260103</v>
      </c>
      <c r="C18" s="90">
        <f>VLOOKUP(D18,Input!$C$13:$D$101,2,0)</f>
        <v>11</v>
      </c>
      <c r="D18" s="98" t="s">
        <v>190</v>
      </c>
      <c r="E18" s="83" t="s">
        <v>591</v>
      </c>
      <c r="F18" s="97">
        <v>18</v>
      </c>
      <c r="G18" s="98" t="s">
        <v>184</v>
      </c>
      <c r="H18" s="83" t="s">
        <v>171</v>
      </c>
      <c r="I18" s="99" t="s">
        <v>192</v>
      </c>
      <c r="J18" s="120">
        <v>14541434.640000001</v>
      </c>
      <c r="K18" s="121">
        <v>0</v>
      </c>
      <c r="L18" s="121">
        <f t="shared" si="1"/>
        <v>14541434.640000001</v>
      </c>
      <c r="M18" s="124">
        <f>L18</f>
        <v>14541434.640000001</v>
      </c>
      <c r="N18" s="125">
        <v>0</v>
      </c>
      <c r="O18" s="94">
        <f t="shared" si="3"/>
        <v>0</v>
      </c>
    </row>
    <row r="19" spans="1:15" s="95" customFormat="1" x14ac:dyDescent="0.25">
      <c r="A19" s="96" t="s">
        <v>97</v>
      </c>
      <c r="B19" s="96">
        <v>4310036</v>
      </c>
      <c r="C19" s="90">
        <f>VLOOKUP(D19,Input!$C$13:$D$101,2,0)</f>
        <v>24</v>
      </c>
      <c r="D19" s="98" t="s">
        <v>194</v>
      </c>
      <c r="E19" s="83" t="s">
        <v>155</v>
      </c>
      <c r="F19" s="97">
        <v>27</v>
      </c>
      <c r="G19" s="98" t="s">
        <v>194</v>
      </c>
      <c r="H19" s="83" t="s">
        <v>201</v>
      </c>
      <c r="I19" s="99" t="s">
        <v>451</v>
      </c>
      <c r="J19" s="120">
        <v>3717500</v>
      </c>
      <c r="K19" s="121">
        <v>0</v>
      </c>
      <c r="L19" s="121">
        <f t="shared" si="1"/>
        <v>3717500</v>
      </c>
      <c r="M19" s="124">
        <v>0</v>
      </c>
      <c r="N19" s="125">
        <v>0</v>
      </c>
      <c r="O19" s="94"/>
    </row>
    <row r="20" spans="1:15" s="95" customFormat="1" x14ac:dyDescent="0.25">
      <c r="A20" s="96" t="s">
        <v>97</v>
      </c>
      <c r="B20" s="96">
        <v>4310037</v>
      </c>
      <c r="C20" s="90">
        <f>VLOOKUP(D20,Input!$C$13:$D$101,2,0)</f>
        <v>24</v>
      </c>
      <c r="D20" s="98" t="s">
        <v>194</v>
      </c>
      <c r="E20" s="83" t="s">
        <v>138</v>
      </c>
      <c r="F20" s="97">
        <v>27</v>
      </c>
      <c r="G20" s="98" t="s">
        <v>194</v>
      </c>
      <c r="H20" s="83" t="s">
        <v>195</v>
      </c>
      <c r="I20" s="99" t="s">
        <v>138</v>
      </c>
      <c r="J20" s="120">
        <v>46109</v>
      </c>
      <c r="K20" s="121">
        <v>0</v>
      </c>
      <c r="L20" s="121">
        <f t="shared" si="1"/>
        <v>46109</v>
      </c>
      <c r="M20" s="124">
        <v>0</v>
      </c>
      <c r="N20" s="125">
        <v>0</v>
      </c>
      <c r="O20" s="96"/>
    </row>
    <row r="21" spans="1:15" s="95" customFormat="1" x14ac:dyDescent="0.25">
      <c r="A21" s="96" t="s">
        <v>97</v>
      </c>
      <c r="B21" s="96">
        <v>4310064</v>
      </c>
      <c r="C21" s="90">
        <f>VLOOKUP(D21,Input!$C$13:$D$101,2,0)</f>
        <v>23</v>
      </c>
      <c r="D21" s="98" t="s">
        <v>202</v>
      </c>
      <c r="E21" s="83" t="s">
        <v>146</v>
      </c>
      <c r="F21" s="97">
        <v>25</v>
      </c>
      <c r="G21" s="98" t="s">
        <v>204</v>
      </c>
      <c r="H21" s="99" t="s">
        <v>453</v>
      </c>
      <c r="I21" s="99" t="s">
        <v>453</v>
      </c>
      <c r="J21" s="120">
        <v>0</v>
      </c>
      <c r="K21" s="121">
        <v>0</v>
      </c>
      <c r="L21" s="121">
        <f t="shared" si="1"/>
        <v>0</v>
      </c>
      <c r="M21" s="124"/>
      <c r="N21" s="125"/>
      <c r="O21" s="96"/>
    </row>
    <row r="22" spans="1:15" s="95" customFormat="1" x14ac:dyDescent="0.25">
      <c r="A22" s="96" t="s">
        <v>97</v>
      </c>
      <c r="B22" s="96">
        <v>4310068</v>
      </c>
      <c r="C22" s="90">
        <f>VLOOKUP(D22,Input!$C$13:$D$101,2,0)</f>
        <v>24</v>
      </c>
      <c r="D22" s="98" t="s">
        <v>194</v>
      </c>
      <c r="E22" s="83" t="s">
        <v>203</v>
      </c>
      <c r="F22" s="97">
        <v>27</v>
      </c>
      <c r="G22" s="98" t="s">
        <v>194</v>
      </c>
      <c r="H22" s="83" t="s">
        <v>203</v>
      </c>
      <c r="I22" s="99" t="s">
        <v>75</v>
      </c>
      <c r="J22" s="120">
        <v>325.7</v>
      </c>
      <c r="K22" s="121">
        <v>0</v>
      </c>
      <c r="L22" s="121">
        <f t="shared" si="1"/>
        <v>325.7</v>
      </c>
      <c r="M22" s="124">
        <v>0</v>
      </c>
      <c r="N22" s="125">
        <v>0</v>
      </c>
      <c r="O22" s="96"/>
    </row>
    <row r="23" spans="1:15" s="95" customFormat="1" x14ac:dyDescent="0.25">
      <c r="A23" s="100" t="s">
        <v>97</v>
      </c>
      <c r="B23" s="100">
        <v>4320020</v>
      </c>
      <c r="C23" s="90">
        <f>VLOOKUP(D23,Input!$C$13:$D$101,2,0)</f>
        <v>24</v>
      </c>
      <c r="D23" s="102" t="s">
        <v>194</v>
      </c>
      <c r="E23" s="83" t="s">
        <v>138</v>
      </c>
      <c r="F23" s="101">
        <v>27</v>
      </c>
      <c r="G23" s="102" t="s">
        <v>194</v>
      </c>
      <c r="H23" s="103" t="s">
        <v>195</v>
      </c>
      <c r="I23" s="104" t="s">
        <v>205</v>
      </c>
      <c r="J23" s="120">
        <v>164</v>
      </c>
      <c r="K23" s="121">
        <v>0</v>
      </c>
      <c r="L23" s="121">
        <f t="shared" si="1"/>
        <v>164</v>
      </c>
      <c r="M23" s="124">
        <v>0</v>
      </c>
      <c r="N23" s="125">
        <v>0</v>
      </c>
      <c r="O23" s="105"/>
    </row>
    <row r="24" spans="1:15" s="95" customFormat="1" x14ac:dyDescent="0.25">
      <c r="A24" s="100" t="s">
        <v>97</v>
      </c>
      <c r="B24" s="100">
        <v>4320021</v>
      </c>
      <c r="C24" s="90">
        <f>VLOOKUP(D24,Input!$C$13:$D$101,2,0)</f>
        <v>23</v>
      </c>
      <c r="D24" s="102" t="s">
        <v>202</v>
      </c>
      <c r="E24" s="103" t="s">
        <v>213</v>
      </c>
      <c r="F24" s="101">
        <v>25</v>
      </c>
      <c r="G24" s="102" t="s">
        <v>204</v>
      </c>
      <c r="H24" s="103" t="s">
        <v>206</v>
      </c>
      <c r="I24" s="104" t="s">
        <v>207</v>
      </c>
      <c r="J24" s="120">
        <v>3366398.6180890501</v>
      </c>
      <c r="K24" s="121">
        <v>0</v>
      </c>
      <c r="L24" s="121">
        <f t="shared" si="1"/>
        <v>3366398.6180890501</v>
      </c>
      <c r="M24" s="124">
        <v>0</v>
      </c>
      <c r="N24" s="125">
        <v>0</v>
      </c>
      <c r="O24" s="105"/>
    </row>
    <row r="25" spans="1:15" s="95" customFormat="1" x14ac:dyDescent="0.25">
      <c r="A25" s="100" t="s">
        <v>97</v>
      </c>
      <c r="B25" s="100">
        <v>4320044</v>
      </c>
      <c r="C25" s="90">
        <f>VLOOKUP(D25,Input!$C$13:$D$101,2,0)</f>
        <v>24</v>
      </c>
      <c r="D25" s="102" t="s">
        <v>194</v>
      </c>
      <c r="E25" s="83" t="s">
        <v>535</v>
      </c>
      <c r="F25" s="101">
        <v>25</v>
      </c>
      <c r="G25" s="102" t="s">
        <v>204</v>
      </c>
      <c r="H25" s="103" t="s">
        <v>208</v>
      </c>
      <c r="I25" s="104" t="s">
        <v>209</v>
      </c>
      <c r="J25" s="120">
        <v>200000</v>
      </c>
      <c r="K25" s="121">
        <v>0</v>
      </c>
      <c r="L25" s="121">
        <f t="shared" si="1"/>
        <v>200000</v>
      </c>
      <c r="M25" s="124">
        <v>0</v>
      </c>
      <c r="N25" s="125">
        <v>0</v>
      </c>
      <c r="O25" s="105"/>
    </row>
    <row r="26" spans="1:15" s="95" customFormat="1" x14ac:dyDescent="0.25">
      <c r="A26" s="96" t="s">
        <v>97</v>
      </c>
      <c r="B26" s="100">
        <v>4500008</v>
      </c>
      <c r="C26" s="90">
        <f>VLOOKUP(D26,Input!$C$13:$D$101,2,0)</f>
        <v>3</v>
      </c>
      <c r="D26" s="102" t="s">
        <v>173</v>
      </c>
      <c r="E26" s="103" t="s">
        <v>52</v>
      </c>
      <c r="F26" s="101">
        <v>26</v>
      </c>
      <c r="G26" s="102" t="s">
        <v>210</v>
      </c>
      <c r="H26" s="103" t="s">
        <v>211</v>
      </c>
      <c r="I26" s="104" t="s">
        <v>454</v>
      </c>
      <c r="J26" s="120">
        <v>609875</v>
      </c>
      <c r="K26" s="121">
        <v>0</v>
      </c>
      <c r="L26" s="121">
        <f t="shared" si="1"/>
        <v>609875</v>
      </c>
      <c r="M26" s="124">
        <v>0</v>
      </c>
      <c r="N26" s="125">
        <v>0</v>
      </c>
      <c r="O26" s="105"/>
    </row>
    <row r="27" spans="1:15" s="95" customFormat="1" x14ac:dyDescent="0.25">
      <c r="A27" s="100"/>
      <c r="B27" s="100"/>
      <c r="C27" s="90"/>
      <c r="D27" s="102"/>
      <c r="E27" s="103"/>
      <c r="F27" s="101"/>
      <c r="G27" s="102"/>
      <c r="H27" s="103"/>
      <c r="I27" s="104"/>
      <c r="J27" s="116"/>
      <c r="K27" s="122"/>
      <c r="L27" s="121"/>
      <c r="M27" s="124"/>
      <c r="N27" s="153"/>
      <c r="O27" s="105"/>
    </row>
    <row r="28" spans="1:15" s="95" customFormat="1" x14ac:dyDescent="0.25">
      <c r="A28" s="100" t="s">
        <v>21</v>
      </c>
      <c r="B28" s="82" t="s">
        <v>237</v>
      </c>
      <c r="C28" s="90"/>
      <c r="D28" s="102"/>
      <c r="E28" s="103" t="s">
        <v>461</v>
      </c>
      <c r="F28" s="101"/>
      <c r="G28" s="102"/>
      <c r="H28" s="103"/>
      <c r="I28" s="104"/>
      <c r="J28" s="116">
        <f>972760</f>
        <v>972760</v>
      </c>
      <c r="K28" s="122"/>
      <c r="L28" s="121">
        <f t="shared" si="1"/>
        <v>972760</v>
      </c>
      <c r="M28" s="124"/>
      <c r="N28" s="153">
        <f t="shared" ref="N28:N29" si="4">L28</f>
        <v>972760</v>
      </c>
      <c r="O28" s="105">
        <f t="shared" ref="O28:O35" si="5">L28-M28-N28</f>
        <v>0</v>
      </c>
    </row>
    <row r="29" spans="1:15" s="95" customFormat="1" x14ac:dyDescent="0.25">
      <c r="A29" s="100" t="s">
        <v>21</v>
      </c>
      <c r="B29" s="82" t="s">
        <v>237</v>
      </c>
      <c r="C29" s="90">
        <f>VLOOKUP(D29,Input!$C$13:$D$101,2,0)</f>
        <v>13</v>
      </c>
      <c r="D29" s="102" t="s">
        <v>24</v>
      </c>
      <c r="E29" s="103" t="s">
        <v>458</v>
      </c>
      <c r="F29" s="101"/>
      <c r="G29" s="102"/>
      <c r="H29" s="103"/>
      <c r="I29" s="104"/>
      <c r="J29" s="116">
        <f>199026696</f>
        <v>199026696</v>
      </c>
      <c r="K29" s="122"/>
      <c r="L29" s="121">
        <f t="shared" si="1"/>
        <v>199026696</v>
      </c>
      <c r="M29" s="124"/>
      <c r="N29" s="153">
        <f t="shared" si="4"/>
        <v>199026696</v>
      </c>
      <c r="O29" s="105">
        <f t="shared" si="5"/>
        <v>0</v>
      </c>
    </row>
    <row r="30" spans="1:15" s="95" customFormat="1" x14ac:dyDescent="0.25">
      <c r="A30" s="100" t="s">
        <v>21</v>
      </c>
      <c r="B30" s="82" t="s">
        <v>237</v>
      </c>
      <c r="C30" s="90">
        <f>VLOOKUP(D30,Input!$C$13:$D$101,2,0)</f>
        <v>13</v>
      </c>
      <c r="D30" s="102" t="s">
        <v>24</v>
      </c>
      <c r="E30" s="103" t="s">
        <v>484</v>
      </c>
      <c r="F30" s="101"/>
      <c r="G30" s="102"/>
      <c r="H30" s="103"/>
      <c r="I30" s="104"/>
      <c r="J30" s="116"/>
      <c r="K30" s="122">
        <f>-'OCPS - BVS'!P31</f>
        <v>-125000357.82689637</v>
      </c>
      <c r="L30" s="121">
        <f t="shared" si="1"/>
        <v>-125000357.82689637</v>
      </c>
      <c r="M30" s="124"/>
      <c r="N30" s="153">
        <f>L30</f>
        <v>-125000357.82689637</v>
      </c>
      <c r="O30" s="105">
        <f t="shared" si="5"/>
        <v>0</v>
      </c>
    </row>
    <row r="31" spans="1:15" s="95" customFormat="1" x14ac:dyDescent="0.25">
      <c r="A31" s="100" t="s">
        <v>26</v>
      </c>
      <c r="B31" s="82" t="s">
        <v>237</v>
      </c>
      <c r="C31" s="90">
        <f>VLOOKUP(D31,Input!$C$13:$D$101,2,0)</f>
        <v>4</v>
      </c>
      <c r="D31" s="102" t="s">
        <v>172</v>
      </c>
      <c r="E31" s="103" t="s">
        <v>487</v>
      </c>
      <c r="F31" s="101"/>
      <c r="G31" s="102"/>
      <c r="H31" s="103"/>
      <c r="I31" s="104"/>
      <c r="J31" s="116"/>
      <c r="K31" s="116">
        <f>-'OCPS - BVS'!P32</f>
        <v>-25893362.389057722</v>
      </c>
      <c r="L31" s="121">
        <f t="shared" si="1"/>
        <v>-25893362.389057722</v>
      </c>
      <c r="M31" s="124"/>
      <c r="N31" s="153">
        <f t="shared" ref="N31:N32" si="6">L31</f>
        <v>-25893362.389057722</v>
      </c>
      <c r="O31" s="105">
        <f t="shared" si="5"/>
        <v>0</v>
      </c>
    </row>
    <row r="32" spans="1:15" s="95" customFormat="1" x14ac:dyDescent="0.25">
      <c r="A32" s="100" t="s">
        <v>26</v>
      </c>
      <c r="B32" s="82" t="s">
        <v>237</v>
      </c>
      <c r="C32" s="90">
        <f>VLOOKUP(D32,Input!$C$13:$D$101,2,0)</f>
        <v>14</v>
      </c>
      <c r="D32" s="98" t="s">
        <v>83</v>
      </c>
      <c r="E32" s="103" t="s">
        <v>551</v>
      </c>
      <c r="F32" s="101"/>
      <c r="G32" s="102"/>
      <c r="H32" s="103"/>
      <c r="I32" s="104"/>
      <c r="J32" s="116"/>
      <c r="K32" s="116">
        <f>-'OCPS - BVS'!P33</f>
        <v>-49105281.784045897</v>
      </c>
      <c r="L32" s="121">
        <f t="shared" si="1"/>
        <v>-49105281.784045897</v>
      </c>
      <c r="M32" s="124"/>
      <c r="N32" s="153">
        <f t="shared" si="6"/>
        <v>-49105281.784045897</v>
      </c>
      <c r="O32" s="105">
        <f t="shared" si="5"/>
        <v>0</v>
      </c>
    </row>
    <row r="33" spans="1:15" s="95" customFormat="1" x14ac:dyDescent="0.25">
      <c r="A33" s="100" t="s">
        <v>97</v>
      </c>
      <c r="B33" s="82" t="s">
        <v>237</v>
      </c>
      <c r="C33" s="90">
        <f>VLOOKUP(D33,Input!$C$13:$D$101,2,0)</f>
        <v>23</v>
      </c>
      <c r="D33" s="102" t="s">
        <v>51</v>
      </c>
      <c r="E33" s="103" t="s">
        <v>536</v>
      </c>
      <c r="F33" s="101"/>
      <c r="G33" s="102"/>
      <c r="H33" s="103"/>
      <c r="I33" s="104"/>
      <c r="J33" s="116">
        <f>'OCPS - BVS'!O35</f>
        <v>420569.92160302977</v>
      </c>
      <c r="K33" s="122"/>
      <c r="L33" s="121">
        <f t="shared" si="1"/>
        <v>420569.92160302977</v>
      </c>
      <c r="M33" s="124"/>
      <c r="N33" s="153"/>
      <c r="O33" s="105"/>
    </row>
    <row r="34" spans="1:15" s="95" customFormat="1" x14ac:dyDescent="0.25">
      <c r="A34" s="100" t="s">
        <v>26</v>
      </c>
      <c r="B34" s="82" t="s">
        <v>237</v>
      </c>
      <c r="C34" s="90">
        <f>VLOOKUP(D34,Input!$C$13:$D$101,2,0)</f>
        <v>4</v>
      </c>
      <c r="D34" s="102" t="s">
        <v>172</v>
      </c>
      <c r="E34" s="103" t="s">
        <v>487</v>
      </c>
      <c r="F34" s="101"/>
      <c r="G34" s="102"/>
      <c r="H34" s="103"/>
      <c r="I34" s="104"/>
      <c r="J34" s="116">
        <f>'OCPS - BVS'!O36</f>
        <v>72169.798547079903</v>
      </c>
      <c r="K34" s="122"/>
      <c r="L34" s="121">
        <f t="shared" si="1"/>
        <v>72169.798547079903</v>
      </c>
      <c r="M34" s="124"/>
      <c r="N34" s="153">
        <f t="shared" ref="N34:N35" si="7">L34</f>
        <v>72169.798547079903</v>
      </c>
      <c r="O34" s="105">
        <f t="shared" si="5"/>
        <v>0</v>
      </c>
    </row>
    <row r="35" spans="1:15" s="95" customFormat="1" x14ac:dyDescent="0.25">
      <c r="A35" s="100" t="s">
        <v>26</v>
      </c>
      <c r="B35" s="82" t="s">
        <v>237</v>
      </c>
      <c r="C35" s="90">
        <f>VLOOKUP(D35,Input!$C$13:$D$101,2,0)</f>
        <v>14</v>
      </c>
      <c r="D35" s="98" t="s">
        <v>83</v>
      </c>
      <c r="E35" s="103" t="s">
        <v>551</v>
      </c>
      <c r="F35" s="101"/>
      <c r="G35" s="102"/>
      <c r="H35" s="103"/>
      <c r="I35" s="104"/>
      <c r="J35" s="116"/>
      <c r="K35" s="122">
        <f>-J33</f>
        <v>-420569.92160302977</v>
      </c>
      <c r="L35" s="121">
        <f t="shared" si="1"/>
        <v>-420569.92160302977</v>
      </c>
      <c r="M35" s="124"/>
      <c r="N35" s="153">
        <f t="shared" si="7"/>
        <v>-420569.92160302977</v>
      </c>
      <c r="O35" s="105">
        <f t="shared" si="5"/>
        <v>0</v>
      </c>
    </row>
    <row r="36" spans="1:15" s="95" customFormat="1" x14ac:dyDescent="0.25">
      <c r="A36" s="100" t="s">
        <v>97</v>
      </c>
      <c r="B36" s="82" t="s">
        <v>237</v>
      </c>
      <c r="C36" s="90">
        <f>VLOOKUP(D36,Input!$C$13:$D$101,2,0)</f>
        <v>4</v>
      </c>
      <c r="D36" s="102" t="s">
        <v>172</v>
      </c>
      <c r="E36" s="103" t="s">
        <v>588</v>
      </c>
      <c r="F36" s="101"/>
      <c r="G36" s="102"/>
      <c r="H36" s="103"/>
      <c r="I36" s="104"/>
      <c r="J36" s="116"/>
      <c r="K36" s="122">
        <f>-J34</f>
        <v>-72169.798547079903</v>
      </c>
      <c r="L36" s="121">
        <f t="shared" si="1"/>
        <v>-72169.798547079903</v>
      </c>
      <c r="M36" s="124"/>
      <c r="N36" s="153"/>
      <c r="O36" s="105"/>
    </row>
    <row r="37" spans="1:15" s="95" customFormat="1" x14ac:dyDescent="0.25">
      <c r="A37" s="100" t="s">
        <v>97</v>
      </c>
      <c r="B37" s="100" t="s">
        <v>220</v>
      </c>
      <c r="C37" s="90">
        <f>VLOOKUP(D37,Input!$C$13:$D$101,2,0)</f>
        <v>24</v>
      </c>
      <c r="D37" s="102" t="s">
        <v>194</v>
      </c>
      <c r="E37" s="103" t="s">
        <v>155</v>
      </c>
      <c r="F37" s="97">
        <v>27</v>
      </c>
      <c r="G37" s="102" t="s">
        <v>194</v>
      </c>
      <c r="H37" s="83" t="s">
        <v>201</v>
      </c>
      <c r="I37" s="104" t="s">
        <v>155</v>
      </c>
      <c r="J37" s="116">
        <v>0</v>
      </c>
      <c r="K37" s="122">
        <f>-J38</f>
        <v>-100000</v>
      </c>
      <c r="L37" s="121">
        <f>J37+K37</f>
        <v>-100000</v>
      </c>
      <c r="M37" s="124"/>
      <c r="N37" s="123"/>
      <c r="O37" s="105"/>
    </row>
    <row r="38" spans="1:15" s="95" customFormat="1" x14ac:dyDescent="0.25">
      <c r="A38" s="100" t="s">
        <v>97</v>
      </c>
      <c r="B38" s="100" t="s">
        <v>220</v>
      </c>
      <c r="C38" s="90">
        <f>VLOOKUP(D38,Input!$C$13:$D$101,2,0)</f>
        <v>24</v>
      </c>
      <c r="D38" s="102" t="s">
        <v>194</v>
      </c>
      <c r="E38" s="103" t="s">
        <v>72</v>
      </c>
      <c r="F38" s="97">
        <v>27</v>
      </c>
      <c r="G38" s="102" t="s">
        <v>194</v>
      </c>
      <c r="H38" s="103" t="s">
        <v>72</v>
      </c>
      <c r="I38" s="104" t="s">
        <v>72</v>
      </c>
      <c r="J38" s="116">
        <v>100000</v>
      </c>
      <c r="K38" s="122">
        <v>0</v>
      </c>
      <c r="L38" s="121">
        <f>J38+K38</f>
        <v>100000</v>
      </c>
      <c r="M38" s="124"/>
      <c r="N38" s="123"/>
      <c r="O38" s="105"/>
    </row>
    <row r="39" spans="1:15" s="95" customFormat="1" x14ac:dyDescent="0.25">
      <c r="A39" s="96" t="s">
        <v>26</v>
      </c>
      <c r="B39" s="76" t="s">
        <v>459</v>
      </c>
      <c r="C39" s="90">
        <f>VLOOKUP(D39,Input!$C$13:$D$101,2,0)</f>
        <v>14</v>
      </c>
      <c r="D39" s="98" t="s">
        <v>83</v>
      </c>
      <c r="E39" s="83" t="s">
        <v>445</v>
      </c>
      <c r="F39" s="101"/>
      <c r="G39" s="102"/>
      <c r="H39" s="103"/>
      <c r="I39" s="104"/>
      <c r="J39" s="116">
        <f>-K40</f>
        <v>0</v>
      </c>
      <c r="K39" s="122">
        <v>0</v>
      </c>
      <c r="L39" s="121">
        <f>J39+K39</f>
        <v>0</v>
      </c>
      <c r="M39" s="124">
        <f>L39</f>
        <v>0</v>
      </c>
      <c r="N39" s="123"/>
      <c r="O39" s="105">
        <f t="shared" ref="O39:O40" si="8">L39-M39-N39</f>
        <v>0</v>
      </c>
    </row>
    <row r="40" spans="1:15" x14ac:dyDescent="0.25">
      <c r="A40" s="96" t="s">
        <v>26</v>
      </c>
      <c r="B40" s="76" t="s">
        <v>459</v>
      </c>
      <c r="C40" s="90">
        <f>VLOOKUP(D40,Input!$C$13:$D$101,2,0)</f>
        <v>16</v>
      </c>
      <c r="D40" s="98" t="s">
        <v>169</v>
      </c>
      <c r="E40" s="79" t="s">
        <v>170</v>
      </c>
      <c r="F40" s="77"/>
      <c r="G40" s="78"/>
      <c r="H40" s="79"/>
      <c r="I40" s="106"/>
      <c r="J40" s="270">
        <v>0</v>
      </c>
      <c r="K40" s="269">
        <f>-2978340.61808905*0</f>
        <v>0</v>
      </c>
      <c r="L40" s="121">
        <f>J40+K40</f>
        <v>0</v>
      </c>
      <c r="M40" s="124">
        <f>L40</f>
        <v>0</v>
      </c>
      <c r="N40" s="107"/>
      <c r="O40" s="105">
        <f t="shared" si="8"/>
        <v>0</v>
      </c>
    </row>
    <row r="41" spans="1:15" ht="15.75" thickBot="1" x14ac:dyDescent="0.3">
      <c r="A41" s="108"/>
      <c r="B41" s="108"/>
      <c r="C41" s="109"/>
      <c r="D41" s="110"/>
      <c r="E41" s="111"/>
      <c r="F41" s="109"/>
      <c r="G41" s="110"/>
      <c r="H41" s="111"/>
      <c r="I41" s="112"/>
      <c r="J41" s="113"/>
      <c r="K41" s="114"/>
      <c r="L41" s="115"/>
      <c r="M41" s="110"/>
      <c r="N41" s="111"/>
      <c r="O41" s="108"/>
    </row>
  </sheetData>
  <autoFilter ref="A4:U41" xr:uid="{A7BA6B40-1763-42F3-BDA9-63C53C4A7DF4}"/>
  <mergeCells count="3">
    <mergeCell ref="C3:E3"/>
    <mergeCell ref="F3:H3"/>
    <mergeCell ref="J3:N3"/>
  </mergeCells>
  <pageMargins left="0.7" right="0.7" top="0.75" bottom="0.75" header="0.3" footer="0.3"/>
  <pageSetup orientation="portrait" horizontalDpi="300" verticalDpi="300" r:id="rId1"/>
  <headerFooter>
    <oddHeader>&amp;C&amp;G</oddHead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2:Q60"/>
  <sheetViews>
    <sheetView showGridLines="0" topLeftCell="C21" workbookViewId="0">
      <selection activeCell="P33" sqref="P33"/>
    </sheetView>
  </sheetViews>
  <sheetFormatPr defaultColWidth="8.85546875" defaultRowHeight="12" x14ac:dyDescent="0.2"/>
  <cols>
    <col min="1" max="1" width="24.5703125" style="44" bestFit="1" customWidth="1"/>
    <col min="2" max="2" width="60.140625" style="44" customWidth="1"/>
    <col min="3" max="3" width="1.42578125" style="44" customWidth="1"/>
    <col min="4" max="4" width="16.42578125" style="44" bestFit="1" customWidth="1"/>
    <col min="5" max="5" width="12.85546875" style="44" bestFit="1" customWidth="1"/>
    <col min="6" max="6" width="13" style="44" customWidth="1"/>
    <col min="7" max="7" width="1.42578125" style="44" customWidth="1"/>
    <col min="8" max="8" width="12.42578125" style="44" bestFit="1" customWidth="1"/>
    <col min="9" max="9" width="11.5703125" style="44" bestFit="1" customWidth="1"/>
    <col min="10" max="10" width="11.140625" style="44" bestFit="1" customWidth="1"/>
    <col min="11" max="11" width="11.5703125" style="44" bestFit="1" customWidth="1"/>
    <col min="12" max="12" width="1.140625" style="44" customWidth="1"/>
    <col min="13" max="13" width="8.85546875" style="44"/>
    <col min="14" max="14" width="29.5703125" style="44" bestFit="1" customWidth="1"/>
    <col min="15" max="15" width="11.5703125" style="44" bestFit="1" customWidth="1"/>
    <col min="16" max="16" width="10.5703125" style="44" bestFit="1" customWidth="1"/>
    <col min="17" max="17" width="35.140625" style="44" bestFit="1" customWidth="1"/>
    <col min="18" max="16384" width="8.85546875" style="44"/>
  </cols>
  <sheetData>
    <row r="2" spans="1:17" x14ac:dyDescent="0.2">
      <c r="A2" s="158" t="s">
        <v>245</v>
      </c>
      <c r="B2" s="159" t="s">
        <v>157</v>
      </c>
      <c r="C2" s="160"/>
      <c r="D2" s="154" t="s">
        <v>242</v>
      </c>
      <c r="E2" s="154" t="s">
        <v>246</v>
      </c>
      <c r="F2" s="154" t="s">
        <v>247</v>
      </c>
      <c r="G2" s="160"/>
      <c r="H2" s="161" t="s">
        <v>248</v>
      </c>
      <c r="I2" s="161" t="s">
        <v>249</v>
      </c>
      <c r="J2" s="161" t="s">
        <v>250</v>
      </c>
      <c r="K2" s="161" t="s">
        <v>251</v>
      </c>
      <c r="L2" s="160"/>
      <c r="M2" s="43" t="s">
        <v>252</v>
      </c>
    </row>
    <row r="3" spans="1:17" x14ac:dyDescent="0.2">
      <c r="A3" s="158" t="s">
        <v>253</v>
      </c>
      <c r="B3" s="159" t="s">
        <v>286</v>
      </c>
      <c r="C3" s="160"/>
      <c r="D3" s="162">
        <f>B9</f>
        <v>44609</v>
      </c>
      <c r="E3" s="156"/>
      <c r="F3" s="156"/>
      <c r="G3" s="160"/>
      <c r="H3" s="163">
        <f>F25</f>
        <v>49105281.784045897</v>
      </c>
      <c r="I3" s="156">
        <v>0</v>
      </c>
      <c r="J3" s="156">
        <v>0</v>
      </c>
      <c r="K3" s="163">
        <f>H3+I3+J3</f>
        <v>49105281.784045897</v>
      </c>
      <c r="L3" s="160"/>
    </row>
    <row r="4" spans="1:17" x14ac:dyDescent="0.2">
      <c r="A4" s="158" t="s">
        <v>254</v>
      </c>
      <c r="B4" s="159" t="s">
        <v>255</v>
      </c>
      <c r="C4" s="160"/>
      <c r="D4" s="162">
        <v>44651</v>
      </c>
      <c r="E4" s="163">
        <f>B12*B8/355*(D4-D3+1)*0</f>
        <v>0</v>
      </c>
      <c r="F4" s="163">
        <f t="shared" ref="F4:F24" si="0">1/((1+$B$17)^((D4-$D$3)/365))*E4</f>
        <v>0</v>
      </c>
      <c r="G4" s="160"/>
      <c r="H4" s="163">
        <f>K3</f>
        <v>49105281.784045897</v>
      </c>
      <c r="I4" s="163">
        <f>H4*(D4-D3+1)/365*B17</f>
        <v>420569.92160302977</v>
      </c>
      <c r="J4" s="163">
        <f>-E4</f>
        <v>0</v>
      </c>
      <c r="K4" s="163">
        <f>H4+I4+J4</f>
        <v>49525851.705648929</v>
      </c>
      <c r="L4" s="160"/>
      <c r="M4" s="154" t="s">
        <v>242</v>
      </c>
      <c r="N4" s="154" t="s">
        <v>0</v>
      </c>
      <c r="O4" s="154" t="s">
        <v>73</v>
      </c>
      <c r="P4" s="154" t="s">
        <v>74</v>
      </c>
      <c r="Q4" s="154" t="s">
        <v>243</v>
      </c>
    </row>
    <row r="5" spans="1:17" x14ac:dyDescent="0.2">
      <c r="A5" s="158" t="s">
        <v>256</v>
      </c>
      <c r="B5" s="164">
        <v>10</v>
      </c>
      <c r="C5" s="160"/>
      <c r="D5" s="162">
        <v>45016</v>
      </c>
      <c r="E5" s="163">
        <f>$B$12*$B$8*0</f>
        <v>0</v>
      </c>
      <c r="F5" s="163">
        <f t="shared" si="0"/>
        <v>0</v>
      </c>
      <c r="G5" s="160"/>
      <c r="H5" s="163">
        <f>K4</f>
        <v>49525851.705648929</v>
      </c>
      <c r="I5" s="163">
        <f>H5*$B$17</f>
        <v>3600529.4190006773</v>
      </c>
      <c r="J5" s="163">
        <f>-E5</f>
        <v>0</v>
      </c>
      <c r="K5" s="163">
        <f>H5+I5+J5</f>
        <v>53126381.124649607</v>
      </c>
      <c r="L5" s="160"/>
      <c r="M5" s="162">
        <f>D3</f>
        <v>44609</v>
      </c>
      <c r="N5" s="156" t="s">
        <v>238</v>
      </c>
      <c r="O5" s="163">
        <f>F27</f>
        <v>150893720.2159541</v>
      </c>
      <c r="P5" s="156"/>
      <c r="Q5" s="156" t="s">
        <v>257</v>
      </c>
    </row>
    <row r="6" spans="1:17" x14ac:dyDescent="0.2">
      <c r="A6" s="158" t="s">
        <v>258</v>
      </c>
      <c r="B6" s="164">
        <v>2072</v>
      </c>
      <c r="C6" s="160"/>
      <c r="D6" s="162">
        <v>45382</v>
      </c>
      <c r="E6" s="163">
        <f>$B$12*$B$8*0</f>
        <v>0</v>
      </c>
      <c r="F6" s="163">
        <f t="shared" si="0"/>
        <v>0</v>
      </c>
      <c r="G6" s="160"/>
      <c r="H6" s="163">
        <f t="shared" ref="H6:H24" si="1">K5</f>
        <v>53126381.124649607</v>
      </c>
      <c r="I6" s="163">
        <f t="shared" ref="I6:I23" si="2">H6*$B$17</f>
        <v>3862287.9077620264</v>
      </c>
      <c r="J6" s="163">
        <f t="shared" ref="J6:J24" si="3">-E6</f>
        <v>0</v>
      </c>
      <c r="K6" s="163">
        <f t="shared" ref="K6:K23" si="4">H6+I6+J6</f>
        <v>56988669.032411635</v>
      </c>
      <c r="L6" s="160"/>
      <c r="M6" s="156"/>
      <c r="N6" s="156" t="s">
        <v>239</v>
      </c>
      <c r="O6" s="163">
        <f>F25</f>
        <v>49105281.784045897</v>
      </c>
      <c r="P6" s="156"/>
      <c r="Q6" s="156"/>
    </row>
    <row r="7" spans="1:17" x14ac:dyDescent="0.2">
      <c r="A7" s="158" t="s">
        <v>259</v>
      </c>
      <c r="B7" s="164">
        <v>2082</v>
      </c>
      <c r="C7" s="160"/>
      <c r="D7" s="162">
        <v>45747</v>
      </c>
      <c r="E7" s="163">
        <f t="shared" ref="E7:E15" si="5">$B$12*$B$8*0</f>
        <v>0</v>
      </c>
      <c r="F7" s="163">
        <f t="shared" si="0"/>
        <v>0</v>
      </c>
      <c r="G7" s="160"/>
      <c r="H7" s="163">
        <f t="shared" si="1"/>
        <v>56988669.032411635</v>
      </c>
      <c r="I7" s="163">
        <f t="shared" si="2"/>
        <v>4143076.2386563257</v>
      </c>
      <c r="J7" s="163">
        <f t="shared" si="3"/>
        <v>0</v>
      </c>
      <c r="K7" s="163">
        <f t="shared" si="4"/>
        <v>61131745.271067962</v>
      </c>
      <c r="L7" s="160"/>
      <c r="M7" s="156"/>
      <c r="N7" s="156" t="s">
        <v>240</v>
      </c>
      <c r="O7" s="156"/>
      <c r="P7" s="163">
        <f>O5+O6</f>
        <v>199999002</v>
      </c>
      <c r="Q7" s="156"/>
    </row>
    <row r="8" spans="1:17" x14ac:dyDescent="0.2">
      <c r="A8" s="158" t="s">
        <v>260</v>
      </c>
      <c r="B8" s="165">
        <v>1E-4</v>
      </c>
      <c r="C8" s="160"/>
      <c r="D8" s="162">
        <v>46112</v>
      </c>
      <c r="E8" s="163">
        <f t="shared" si="5"/>
        <v>0</v>
      </c>
      <c r="F8" s="163">
        <f t="shared" si="0"/>
        <v>0</v>
      </c>
      <c r="G8" s="160"/>
      <c r="H8" s="163">
        <f t="shared" si="1"/>
        <v>61131745.271067962</v>
      </c>
      <c r="I8" s="163">
        <f t="shared" si="2"/>
        <v>4444277.881206641</v>
      </c>
      <c r="J8" s="163">
        <f t="shared" si="3"/>
        <v>0</v>
      </c>
      <c r="K8" s="163">
        <f t="shared" si="4"/>
        <v>65576023.152274601</v>
      </c>
      <c r="L8" s="160"/>
      <c r="M8" s="156"/>
      <c r="N8" s="156"/>
      <c r="O8" s="156"/>
      <c r="P8" s="156"/>
      <c r="Q8" s="156"/>
    </row>
    <row r="9" spans="1:17" x14ac:dyDescent="0.2">
      <c r="A9" s="158" t="s">
        <v>261</v>
      </c>
      <c r="B9" s="166">
        <v>44609</v>
      </c>
      <c r="C9" s="160"/>
      <c r="D9" s="162">
        <v>46477</v>
      </c>
      <c r="E9" s="163">
        <f t="shared" si="5"/>
        <v>0</v>
      </c>
      <c r="F9" s="163">
        <f t="shared" si="0"/>
        <v>0</v>
      </c>
      <c r="G9" s="160"/>
      <c r="H9" s="163">
        <f t="shared" si="1"/>
        <v>65576023.152274601</v>
      </c>
      <c r="I9" s="163">
        <f t="shared" si="2"/>
        <v>4767376.8831703635</v>
      </c>
      <c r="J9" s="163">
        <f t="shared" si="3"/>
        <v>0</v>
      </c>
      <c r="K9" s="163">
        <f t="shared" si="4"/>
        <v>70343400.03544496</v>
      </c>
      <c r="L9" s="160"/>
      <c r="M9" s="155">
        <v>44651</v>
      </c>
      <c r="N9" s="156" t="s">
        <v>239</v>
      </c>
      <c r="O9" s="163">
        <f>I4</f>
        <v>420569.92160302977</v>
      </c>
      <c r="P9" s="156"/>
      <c r="Q9" s="156"/>
    </row>
    <row r="10" spans="1:17" x14ac:dyDescent="0.2">
      <c r="A10" s="158" t="s">
        <v>262</v>
      </c>
      <c r="B10" s="166">
        <v>51913</v>
      </c>
      <c r="C10" s="160"/>
      <c r="D10" s="162">
        <v>46843</v>
      </c>
      <c r="E10" s="163">
        <f t="shared" si="5"/>
        <v>0</v>
      </c>
      <c r="F10" s="163">
        <f t="shared" si="0"/>
        <v>0</v>
      </c>
      <c r="G10" s="160"/>
      <c r="H10" s="163">
        <f t="shared" si="1"/>
        <v>70343400.03544496</v>
      </c>
      <c r="I10" s="163">
        <f t="shared" si="2"/>
        <v>5113965.1825768482</v>
      </c>
      <c r="J10" s="163">
        <f t="shared" si="3"/>
        <v>0</v>
      </c>
      <c r="K10" s="163">
        <f t="shared" si="4"/>
        <v>75457365.21802181</v>
      </c>
      <c r="L10" s="160"/>
      <c r="M10" s="156"/>
      <c r="N10" s="156" t="s">
        <v>241</v>
      </c>
      <c r="O10" s="156"/>
      <c r="P10" s="163">
        <f>O9</f>
        <v>420569.92160302977</v>
      </c>
      <c r="Q10" s="156"/>
    </row>
    <row r="11" spans="1:17" x14ac:dyDescent="0.2">
      <c r="A11" s="158" t="s">
        <v>263</v>
      </c>
      <c r="B11" s="164">
        <v>96061</v>
      </c>
      <c r="C11" s="160"/>
      <c r="D11" s="162">
        <v>47208</v>
      </c>
      <c r="E11" s="163">
        <f t="shared" si="5"/>
        <v>0</v>
      </c>
      <c r="F11" s="163">
        <f t="shared" si="0"/>
        <v>0</v>
      </c>
      <c r="G11" s="160"/>
      <c r="H11" s="163">
        <f t="shared" si="1"/>
        <v>75457365.21802181</v>
      </c>
      <c r="I11" s="163">
        <f t="shared" si="2"/>
        <v>5485750.451350186</v>
      </c>
      <c r="J11" s="163">
        <f t="shared" si="3"/>
        <v>0</v>
      </c>
      <c r="K11" s="163">
        <f t="shared" si="4"/>
        <v>80943115.669371992</v>
      </c>
      <c r="L11" s="160"/>
      <c r="M11" s="156"/>
      <c r="N11" s="156"/>
      <c r="O11" s="156"/>
      <c r="P11" s="156"/>
      <c r="Q11" s="156"/>
    </row>
    <row r="12" spans="1:17" x14ac:dyDescent="0.2">
      <c r="A12" s="158" t="s">
        <v>264</v>
      </c>
      <c r="B12" s="164">
        <f>B7*B11</f>
        <v>199999002</v>
      </c>
      <c r="C12" s="160"/>
      <c r="D12" s="162">
        <v>47573</v>
      </c>
      <c r="E12" s="163">
        <f t="shared" si="5"/>
        <v>0</v>
      </c>
      <c r="F12" s="163">
        <f t="shared" si="0"/>
        <v>0</v>
      </c>
      <c r="G12" s="160"/>
      <c r="H12" s="163">
        <f t="shared" si="1"/>
        <v>80943115.669371992</v>
      </c>
      <c r="I12" s="163">
        <f t="shared" si="2"/>
        <v>5884564.5091633443</v>
      </c>
      <c r="J12" s="163">
        <f t="shared" si="3"/>
        <v>0</v>
      </c>
      <c r="K12" s="163">
        <f t="shared" si="4"/>
        <v>86827680.178535342</v>
      </c>
      <c r="L12" s="160"/>
      <c r="M12" s="155">
        <v>44742</v>
      </c>
      <c r="N12" s="156" t="s">
        <v>239</v>
      </c>
      <c r="O12" s="163">
        <f>I5/4</f>
        <v>900132.35475016932</v>
      </c>
      <c r="P12" s="156"/>
      <c r="Q12" s="156"/>
    </row>
    <row r="13" spans="1:17" x14ac:dyDescent="0.2">
      <c r="A13" s="158" t="s">
        <v>265</v>
      </c>
      <c r="B13" s="159" t="s">
        <v>266</v>
      </c>
      <c r="C13" s="160"/>
      <c r="D13" s="162">
        <v>47938</v>
      </c>
      <c r="E13" s="163">
        <f t="shared" si="5"/>
        <v>0</v>
      </c>
      <c r="F13" s="163">
        <f t="shared" si="0"/>
        <v>0</v>
      </c>
      <c r="G13" s="160"/>
      <c r="H13" s="163">
        <f t="shared" si="1"/>
        <v>86827680.178535342</v>
      </c>
      <c r="I13" s="163">
        <f t="shared" si="2"/>
        <v>6312372.3489795197</v>
      </c>
      <c r="J13" s="163">
        <f t="shared" si="3"/>
        <v>0</v>
      </c>
      <c r="K13" s="163">
        <f t="shared" si="4"/>
        <v>93140052.52751486</v>
      </c>
      <c r="L13" s="160"/>
      <c r="M13" s="156"/>
      <c r="N13" s="156" t="s">
        <v>241</v>
      </c>
      <c r="O13" s="156"/>
      <c r="P13" s="163">
        <f>O12</f>
        <v>900132.35475016932</v>
      </c>
      <c r="Q13" s="156"/>
    </row>
    <row r="14" spans="1:17" x14ac:dyDescent="0.2">
      <c r="A14" s="158" t="s">
        <v>267</v>
      </c>
      <c r="B14" s="167" t="s">
        <v>268</v>
      </c>
      <c r="C14" s="160"/>
      <c r="D14" s="162">
        <v>48304</v>
      </c>
      <c r="E14" s="163">
        <f t="shared" si="5"/>
        <v>0</v>
      </c>
      <c r="F14" s="163">
        <f t="shared" si="0"/>
        <v>0</v>
      </c>
      <c r="G14" s="160"/>
      <c r="H14" s="163">
        <f t="shared" si="1"/>
        <v>93140052.52751486</v>
      </c>
      <c r="I14" s="163">
        <f t="shared" si="2"/>
        <v>6771281.8187503302</v>
      </c>
      <c r="J14" s="163">
        <f t="shared" si="3"/>
        <v>0</v>
      </c>
      <c r="K14" s="163">
        <f t="shared" si="4"/>
        <v>99911334.346265197</v>
      </c>
      <c r="L14" s="160"/>
      <c r="M14" s="156"/>
      <c r="N14" s="156"/>
      <c r="O14" s="156"/>
      <c r="P14" s="156"/>
      <c r="Q14" s="156"/>
    </row>
    <row r="15" spans="1:17" x14ac:dyDescent="0.2">
      <c r="A15" s="158" t="s">
        <v>269</v>
      </c>
      <c r="B15" s="159" t="s">
        <v>270</v>
      </c>
      <c r="C15" s="160"/>
      <c r="D15" s="162">
        <v>48669</v>
      </c>
      <c r="E15" s="163">
        <f t="shared" si="5"/>
        <v>0</v>
      </c>
      <c r="F15" s="163">
        <f t="shared" si="0"/>
        <v>0</v>
      </c>
      <c r="G15" s="160"/>
      <c r="H15" s="163">
        <f t="shared" si="1"/>
        <v>99911334.346265197</v>
      </c>
      <c r="I15" s="163">
        <f t="shared" si="2"/>
        <v>7263554.0069734799</v>
      </c>
      <c r="J15" s="163">
        <f t="shared" si="3"/>
        <v>0</v>
      </c>
      <c r="K15" s="163">
        <f t="shared" si="4"/>
        <v>107174888.35323867</v>
      </c>
      <c r="L15" s="160"/>
      <c r="M15" s="155">
        <v>44834</v>
      </c>
      <c r="N15" s="156" t="s">
        <v>239</v>
      </c>
      <c r="O15" s="163">
        <f>O12</f>
        <v>900132.35475016932</v>
      </c>
      <c r="P15" s="156"/>
      <c r="Q15" s="156"/>
    </row>
    <row r="16" spans="1:17" ht="36" x14ac:dyDescent="0.2">
      <c r="A16" s="158" t="s">
        <v>271</v>
      </c>
      <c r="B16" s="168" t="s">
        <v>272</v>
      </c>
      <c r="C16" s="160"/>
      <c r="D16" s="162">
        <v>49034</v>
      </c>
      <c r="E16" s="163">
        <f>$B$12*$B$8*0</f>
        <v>0</v>
      </c>
      <c r="F16" s="163">
        <f t="shared" si="0"/>
        <v>0</v>
      </c>
      <c r="G16" s="160"/>
      <c r="H16" s="163">
        <f t="shared" si="1"/>
        <v>107174888.35323867</v>
      </c>
      <c r="I16" s="163">
        <f t="shared" si="2"/>
        <v>7791614.3832804514</v>
      </c>
      <c r="J16" s="163">
        <f t="shared" si="3"/>
        <v>0</v>
      </c>
      <c r="K16" s="163">
        <f t="shared" si="4"/>
        <v>114966502.73651913</v>
      </c>
      <c r="L16" s="160"/>
      <c r="M16" s="156"/>
      <c r="N16" s="156" t="s">
        <v>241</v>
      </c>
      <c r="O16" s="156"/>
      <c r="P16" s="163">
        <f>P13</f>
        <v>900132.35475016932</v>
      </c>
      <c r="Q16" s="156"/>
    </row>
    <row r="17" spans="1:17" x14ac:dyDescent="0.2">
      <c r="A17" s="169" t="s">
        <v>273</v>
      </c>
      <c r="B17" s="273">
        <v>7.2700000000000001E-2</v>
      </c>
      <c r="C17" s="160"/>
      <c r="D17" s="162">
        <v>49399</v>
      </c>
      <c r="E17" s="163">
        <f t="shared" ref="E17:E23" si="6">$B$12*$B$8*0</f>
        <v>0</v>
      </c>
      <c r="F17" s="163">
        <f t="shared" si="0"/>
        <v>0</v>
      </c>
      <c r="G17" s="160"/>
      <c r="H17" s="163">
        <f t="shared" si="1"/>
        <v>114966502.73651913</v>
      </c>
      <c r="I17" s="163">
        <f t="shared" si="2"/>
        <v>8358064.748944941</v>
      </c>
      <c r="J17" s="163">
        <f t="shared" si="3"/>
        <v>0</v>
      </c>
      <c r="K17" s="163">
        <f t="shared" si="4"/>
        <v>123324567.48546407</v>
      </c>
      <c r="L17" s="160"/>
      <c r="M17" s="156"/>
      <c r="N17" s="156"/>
      <c r="O17" s="156"/>
      <c r="P17" s="156"/>
      <c r="Q17" s="156"/>
    </row>
    <row r="18" spans="1:17" x14ac:dyDescent="0.2">
      <c r="A18" s="169" t="s">
        <v>274</v>
      </c>
      <c r="B18" s="273">
        <f>(15%*1.1)*1.04</f>
        <v>0.1716</v>
      </c>
      <c r="C18" s="160"/>
      <c r="D18" s="162">
        <v>49765</v>
      </c>
      <c r="E18" s="163">
        <f t="shared" si="6"/>
        <v>0</v>
      </c>
      <c r="F18" s="163">
        <f t="shared" si="0"/>
        <v>0</v>
      </c>
      <c r="G18" s="160"/>
      <c r="H18" s="163">
        <f t="shared" si="1"/>
        <v>123324567.48546407</v>
      </c>
      <c r="I18" s="163">
        <f t="shared" si="2"/>
        <v>8965696.0561932381</v>
      </c>
      <c r="J18" s="163">
        <f t="shared" si="3"/>
        <v>0</v>
      </c>
      <c r="K18" s="163">
        <f t="shared" si="4"/>
        <v>132290263.5416573</v>
      </c>
      <c r="L18" s="160"/>
      <c r="M18" s="155">
        <v>44926</v>
      </c>
      <c r="N18" s="156" t="s">
        <v>239</v>
      </c>
      <c r="O18" s="163">
        <f>O15</f>
        <v>900132.35475016932</v>
      </c>
      <c r="P18" s="156"/>
      <c r="Q18" s="156"/>
    </row>
    <row r="19" spans="1:17" x14ac:dyDescent="0.2">
      <c r="C19" s="160"/>
      <c r="D19" s="162">
        <v>50130</v>
      </c>
      <c r="E19" s="163">
        <f t="shared" si="6"/>
        <v>0</v>
      </c>
      <c r="F19" s="163">
        <f t="shared" si="0"/>
        <v>0</v>
      </c>
      <c r="G19" s="160"/>
      <c r="H19" s="163">
        <f t="shared" si="1"/>
        <v>132290263.5416573</v>
      </c>
      <c r="I19" s="163">
        <f t="shared" si="2"/>
        <v>9617502.1594784856</v>
      </c>
      <c r="J19" s="163">
        <f t="shared" si="3"/>
        <v>0</v>
      </c>
      <c r="K19" s="163">
        <f t="shared" si="4"/>
        <v>141907765.70113578</v>
      </c>
      <c r="L19" s="160"/>
      <c r="M19" s="156"/>
      <c r="N19" s="156" t="s">
        <v>241</v>
      </c>
      <c r="O19" s="156"/>
      <c r="P19" s="163">
        <f>P16</f>
        <v>900132.35475016932</v>
      </c>
      <c r="Q19" s="156"/>
    </row>
    <row r="20" spans="1:17" x14ac:dyDescent="0.2">
      <c r="C20" s="160"/>
      <c r="D20" s="162">
        <v>50495</v>
      </c>
      <c r="E20" s="163">
        <f t="shared" si="6"/>
        <v>0</v>
      </c>
      <c r="F20" s="163">
        <f t="shared" si="0"/>
        <v>0</v>
      </c>
      <c r="G20" s="160"/>
      <c r="H20" s="163">
        <f t="shared" si="1"/>
        <v>141907765.70113578</v>
      </c>
      <c r="I20" s="163">
        <f t="shared" si="2"/>
        <v>10316694.566472571</v>
      </c>
      <c r="J20" s="163">
        <f t="shared" si="3"/>
        <v>0</v>
      </c>
      <c r="K20" s="163">
        <f t="shared" si="4"/>
        <v>152224460.26760834</v>
      </c>
      <c r="L20" s="160"/>
      <c r="M20" s="156"/>
      <c r="N20" s="156"/>
      <c r="O20" s="156"/>
      <c r="P20" s="156"/>
      <c r="Q20" s="156"/>
    </row>
    <row r="21" spans="1:17" x14ac:dyDescent="0.2">
      <c r="C21" s="160"/>
      <c r="D21" s="162">
        <v>50860</v>
      </c>
      <c r="E21" s="163">
        <f t="shared" si="6"/>
        <v>0</v>
      </c>
      <c r="F21" s="163">
        <f t="shared" si="0"/>
        <v>0</v>
      </c>
      <c r="G21" s="160"/>
      <c r="H21" s="163">
        <f t="shared" si="1"/>
        <v>152224460.26760834</v>
      </c>
      <c r="I21" s="163">
        <f t="shared" si="2"/>
        <v>11066718.261455126</v>
      </c>
      <c r="J21" s="163">
        <f t="shared" si="3"/>
        <v>0</v>
      </c>
      <c r="K21" s="163">
        <f t="shared" si="4"/>
        <v>163291178.52906346</v>
      </c>
      <c r="L21" s="160"/>
      <c r="M21" s="155">
        <v>45016</v>
      </c>
      <c r="N21" s="156" t="s">
        <v>239</v>
      </c>
      <c r="O21" s="163">
        <f>O18</f>
        <v>900132.35475016932</v>
      </c>
      <c r="P21" s="156"/>
      <c r="Q21" s="156" t="s">
        <v>275</v>
      </c>
    </row>
    <row r="22" spans="1:17" x14ac:dyDescent="0.2">
      <c r="C22" s="160"/>
      <c r="D22" s="162">
        <v>51226</v>
      </c>
      <c r="E22" s="163">
        <f t="shared" si="6"/>
        <v>0</v>
      </c>
      <c r="F22" s="163">
        <f t="shared" si="0"/>
        <v>0</v>
      </c>
      <c r="G22" s="160"/>
      <c r="H22" s="163">
        <f t="shared" si="1"/>
        <v>163291178.52906346</v>
      </c>
      <c r="I22" s="163">
        <f t="shared" si="2"/>
        <v>11871268.679062914</v>
      </c>
      <c r="J22" s="163">
        <f t="shared" si="3"/>
        <v>0</v>
      </c>
      <c r="K22" s="163">
        <f t="shared" si="4"/>
        <v>175162447.20812637</v>
      </c>
      <c r="L22" s="160"/>
      <c r="M22" s="156"/>
      <c r="N22" s="156" t="s">
        <v>241</v>
      </c>
      <c r="O22" s="156"/>
      <c r="P22" s="163">
        <f>P19</f>
        <v>900132.35475016932</v>
      </c>
      <c r="Q22" s="156"/>
    </row>
    <row r="23" spans="1:17" x14ac:dyDescent="0.2">
      <c r="C23" s="160"/>
      <c r="D23" s="162">
        <v>51591</v>
      </c>
      <c r="E23" s="163">
        <f t="shared" si="6"/>
        <v>0</v>
      </c>
      <c r="F23" s="163">
        <f t="shared" si="0"/>
        <v>0</v>
      </c>
      <c r="G23" s="160"/>
      <c r="H23" s="163">
        <f t="shared" si="1"/>
        <v>175162447.20812637</v>
      </c>
      <c r="I23" s="163">
        <f t="shared" si="2"/>
        <v>12734309.912030786</v>
      </c>
      <c r="J23" s="163">
        <f t="shared" si="3"/>
        <v>0</v>
      </c>
      <c r="K23" s="163">
        <f t="shared" si="4"/>
        <v>187896757.12015715</v>
      </c>
      <c r="L23" s="160"/>
    </row>
    <row r="24" spans="1:17" x14ac:dyDescent="0.2">
      <c r="C24" s="160"/>
      <c r="D24" s="162">
        <f>B10</f>
        <v>51913</v>
      </c>
      <c r="E24" s="163">
        <f>B12*B8/355*(D24-D23+1)*0+B12</f>
        <v>199999002</v>
      </c>
      <c r="F24" s="163">
        <f t="shared" si="0"/>
        <v>49105281.784045897</v>
      </c>
      <c r="G24" s="160"/>
      <c r="H24" s="163">
        <f t="shared" si="1"/>
        <v>187896757.12015715</v>
      </c>
      <c r="I24" s="163">
        <f>H24*(D24-D23+1)/365*B17+16977</f>
        <v>12105224.781839021</v>
      </c>
      <c r="J24" s="163">
        <f t="shared" si="3"/>
        <v>-199999002</v>
      </c>
      <c r="K24" s="163">
        <f>H24+I24+J24-2980</f>
        <v>-9.800383448600769E-2</v>
      </c>
      <c r="L24" s="160"/>
      <c r="M24" s="170" t="s">
        <v>276</v>
      </c>
    </row>
    <row r="25" spans="1:17" x14ac:dyDescent="0.2">
      <c r="C25" s="160"/>
      <c r="D25" s="161" t="s">
        <v>67</v>
      </c>
      <c r="E25" s="171">
        <f>SUM(E4:E24)</f>
        <v>199999002</v>
      </c>
      <c r="F25" s="171">
        <f>SUM(F4:F24)</f>
        <v>49105281.784045897</v>
      </c>
      <c r="M25" s="170" t="s">
        <v>277</v>
      </c>
    </row>
    <row r="26" spans="1:17" x14ac:dyDescent="0.2">
      <c r="C26" s="160"/>
      <c r="D26" s="161" t="s">
        <v>278</v>
      </c>
      <c r="E26" s="172"/>
      <c r="F26" s="171">
        <f>F25</f>
        <v>49105281.784045897</v>
      </c>
    </row>
    <row r="27" spans="1:17" x14ac:dyDescent="0.2">
      <c r="C27" s="160"/>
      <c r="D27" s="161" t="s">
        <v>279</v>
      </c>
      <c r="E27" s="172"/>
      <c r="F27" s="171">
        <f>B12-F26</f>
        <v>150893720.2159541</v>
      </c>
      <c r="M27" s="43" t="s">
        <v>287</v>
      </c>
    </row>
    <row r="29" spans="1:17" x14ac:dyDescent="0.2">
      <c r="M29" s="154" t="s">
        <v>242</v>
      </c>
      <c r="N29" s="154" t="s">
        <v>0</v>
      </c>
      <c r="O29" s="154" t="s">
        <v>73</v>
      </c>
      <c r="P29" s="154" t="s">
        <v>74</v>
      </c>
      <c r="Q29" s="154" t="s">
        <v>243</v>
      </c>
    </row>
    <row r="30" spans="1:17" x14ac:dyDescent="0.2">
      <c r="D30" s="43"/>
      <c r="M30" s="162">
        <f>M5</f>
        <v>44609</v>
      </c>
      <c r="N30" s="156" t="s">
        <v>280</v>
      </c>
      <c r="O30" s="163">
        <f>B12</f>
        <v>199999002</v>
      </c>
      <c r="P30" s="156"/>
      <c r="Q30" s="156" t="s">
        <v>257</v>
      </c>
    </row>
    <row r="31" spans="1:17" x14ac:dyDescent="0.2">
      <c r="B31" s="271"/>
      <c r="M31" s="156"/>
      <c r="N31" s="156" t="s">
        <v>281</v>
      </c>
      <c r="O31" s="163"/>
      <c r="P31" s="163">
        <f>F27-P32</f>
        <v>125000357.82689637</v>
      </c>
      <c r="Q31" s="156"/>
    </row>
    <row r="32" spans="1:17" x14ac:dyDescent="0.2">
      <c r="B32" s="272"/>
      <c r="M32" s="156"/>
      <c r="N32" s="156" t="s">
        <v>236</v>
      </c>
      <c r="O32" s="163"/>
      <c r="P32" s="163">
        <f>F27*$B$18</f>
        <v>25893362.389057722</v>
      </c>
      <c r="Q32" s="156"/>
    </row>
    <row r="33" spans="13:17" x14ac:dyDescent="0.2">
      <c r="M33" s="156"/>
      <c r="N33" s="156" t="s">
        <v>282</v>
      </c>
      <c r="O33" s="156"/>
      <c r="P33" s="163">
        <f>F26</f>
        <v>49105281.784045897</v>
      </c>
      <c r="Q33" s="493">
        <f>P37+P42*4</f>
        <v>4021099.3406037069</v>
      </c>
    </row>
    <row r="34" spans="13:17" x14ac:dyDescent="0.2">
      <c r="M34" s="156"/>
      <c r="N34" s="156"/>
      <c r="O34" s="156"/>
      <c r="P34" s="156"/>
      <c r="Q34" s="156"/>
    </row>
    <row r="35" spans="13:17" x14ac:dyDescent="0.2">
      <c r="M35" s="155">
        <v>44651</v>
      </c>
      <c r="N35" s="156" t="s">
        <v>283</v>
      </c>
      <c r="O35" s="163">
        <f>I4</f>
        <v>420569.92160302977</v>
      </c>
      <c r="P35" s="156"/>
      <c r="Q35" s="156"/>
    </row>
    <row r="36" spans="13:17" x14ac:dyDescent="0.2">
      <c r="M36" s="155"/>
      <c r="N36" s="156" t="s">
        <v>284</v>
      </c>
      <c r="O36" s="163">
        <f>O35*B18</f>
        <v>72169.798547079903</v>
      </c>
      <c r="P36" s="156"/>
      <c r="Q36" s="156"/>
    </row>
    <row r="37" spans="13:17" x14ac:dyDescent="0.2">
      <c r="M37" s="156"/>
      <c r="N37" s="156" t="s">
        <v>282</v>
      </c>
      <c r="O37" s="156"/>
      <c r="P37" s="163">
        <f>O35</f>
        <v>420569.92160302977</v>
      </c>
      <c r="Q37" s="156"/>
    </row>
    <row r="38" spans="13:17" x14ac:dyDescent="0.2">
      <c r="M38" s="156"/>
      <c r="N38" s="156" t="s">
        <v>285</v>
      </c>
      <c r="O38" s="156"/>
      <c r="P38" s="163">
        <f>O36</f>
        <v>72169.798547079903</v>
      </c>
      <c r="Q38" s="156"/>
    </row>
    <row r="39" spans="13:17" x14ac:dyDescent="0.2">
      <c r="M39" s="156"/>
      <c r="N39" s="156"/>
      <c r="O39" s="156"/>
      <c r="P39" s="156"/>
      <c r="Q39" s="156"/>
    </row>
    <row r="40" spans="13:17" x14ac:dyDescent="0.2">
      <c r="M40" s="155">
        <v>44742</v>
      </c>
      <c r="N40" s="156" t="s">
        <v>283</v>
      </c>
      <c r="O40" s="163">
        <f>I5/4</f>
        <v>900132.35475016932</v>
      </c>
      <c r="P40" s="156"/>
      <c r="Q40" s="156"/>
    </row>
    <row r="41" spans="13:17" x14ac:dyDescent="0.2">
      <c r="M41" s="156"/>
      <c r="N41" s="156" t="s">
        <v>284</v>
      </c>
      <c r="O41" s="274">
        <f>O40*$B$18</f>
        <v>154462.71207512906</v>
      </c>
      <c r="P41" s="163"/>
      <c r="Q41" s="156"/>
    </row>
    <row r="42" spans="13:17" x14ac:dyDescent="0.2">
      <c r="M42" s="156"/>
      <c r="N42" s="156" t="s">
        <v>282</v>
      </c>
      <c r="O42" s="156"/>
      <c r="P42" s="163">
        <f>O40</f>
        <v>900132.35475016932</v>
      </c>
      <c r="Q42" s="156"/>
    </row>
    <row r="43" spans="13:17" x14ac:dyDescent="0.2">
      <c r="M43" s="156"/>
      <c r="N43" s="156" t="s">
        <v>285</v>
      </c>
      <c r="O43" s="156"/>
      <c r="P43" s="163">
        <f>O41</f>
        <v>154462.71207512906</v>
      </c>
      <c r="Q43" s="156"/>
    </row>
    <row r="44" spans="13:17" x14ac:dyDescent="0.2">
      <c r="M44" s="156"/>
      <c r="N44" s="156"/>
      <c r="O44" s="156"/>
      <c r="P44" s="156"/>
      <c r="Q44" s="156"/>
    </row>
    <row r="45" spans="13:17" x14ac:dyDescent="0.2">
      <c r="M45" s="155">
        <v>44834</v>
      </c>
      <c r="N45" s="156" t="s">
        <v>283</v>
      </c>
      <c r="O45" s="163">
        <f>O40</f>
        <v>900132.35475016932</v>
      </c>
      <c r="P45" s="156"/>
      <c r="Q45" s="156"/>
    </row>
    <row r="46" spans="13:17" x14ac:dyDescent="0.2">
      <c r="M46" s="156"/>
      <c r="N46" s="156" t="s">
        <v>284</v>
      </c>
      <c r="O46" s="274">
        <f>O45*$B$18</f>
        <v>154462.71207512906</v>
      </c>
      <c r="P46" s="163"/>
      <c r="Q46" s="156"/>
    </row>
    <row r="47" spans="13:17" x14ac:dyDescent="0.2">
      <c r="M47" s="156"/>
      <c r="N47" s="156" t="s">
        <v>282</v>
      </c>
      <c r="O47" s="156"/>
      <c r="P47" s="163">
        <f>O45</f>
        <v>900132.35475016932</v>
      </c>
      <c r="Q47" s="156"/>
    </row>
    <row r="48" spans="13:17" x14ac:dyDescent="0.2">
      <c r="M48" s="156"/>
      <c r="N48" s="156" t="s">
        <v>285</v>
      </c>
      <c r="O48" s="156"/>
      <c r="P48" s="163">
        <f>O46</f>
        <v>154462.71207512906</v>
      </c>
      <c r="Q48" s="156"/>
    </row>
    <row r="49" spans="13:17" x14ac:dyDescent="0.2">
      <c r="M49" s="156"/>
      <c r="N49" s="156"/>
      <c r="O49" s="156"/>
      <c r="P49" s="156"/>
      <c r="Q49" s="156"/>
    </row>
    <row r="50" spans="13:17" x14ac:dyDescent="0.2">
      <c r="M50" s="155">
        <v>44926</v>
      </c>
      <c r="N50" s="156" t="s">
        <v>283</v>
      </c>
      <c r="O50" s="163">
        <f>O45</f>
        <v>900132.35475016932</v>
      </c>
      <c r="P50" s="156"/>
      <c r="Q50" s="156"/>
    </row>
    <row r="51" spans="13:17" x14ac:dyDescent="0.2">
      <c r="M51" s="156"/>
      <c r="N51" s="156" t="s">
        <v>284</v>
      </c>
      <c r="O51" s="274">
        <f>O50*$B$18</f>
        <v>154462.71207512906</v>
      </c>
      <c r="P51" s="163"/>
      <c r="Q51" s="156"/>
    </row>
    <row r="52" spans="13:17" x14ac:dyDescent="0.2">
      <c r="M52" s="156"/>
      <c r="N52" s="156" t="s">
        <v>282</v>
      </c>
      <c r="O52" s="156"/>
      <c r="P52" s="163">
        <f>O50</f>
        <v>900132.35475016932</v>
      </c>
      <c r="Q52" s="156"/>
    </row>
    <row r="53" spans="13:17" x14ac:dyDescent="0.2">
      <c r="M53" s="156"/>
      <c r="N53" s="156" t="s">
        <v>285</v>
      </c>
      <c r="O53" s="156"/>
      <c r="P53" s="163">
        <f>O51</f>
        <v>154462.71207512906</v>
      </c>
      <c r="Q53" s="156"/>
    </row>
    <row r="54" spans="13:17" x14ac:dyDescent="0.2">
      <c r="M54" s="156"/>
      <c r="N54" s="156"/>
      <c r="O54" s="156"/>
      <c r="P54" s="156"/>
      <c r="Q54" s="156"/>
    </row>
    <row r="55" spans="13:17" x14ac:dyDescent="0.2">
      <c r="M55" s="155">
        <v>45016</v>
      </c>
      <c r="N55" s="156" t="s">
        <v>283</v>
      </c>
      <c r="O55" s="163">
        <f>O50</f>
        <v>900132.35475016932</v>
      </c>
      <c r="P55" s="156"/>
      <c r="Q55" s="156"/>
    </row>
    <row r="56" spans="13:17" x14ac:dyDescent="0.2">
      <c r="M56" s="155"/>
      <c r="N56" s="156" t="s">
        <v>284</v>
      </c>
      <c r="O56" s="274">
        <f>O55*$B$18</f>
        <v>154462.71207512906</v>
      </c>
      <c r="P56" s="163"/>
      <c r="Q56" s="156"/>
    </row>
    <row r="57" spans="13:17" x14ac:dyDescent="0.2">
      <c r="M57" s="155"/>
      <c r="N57" s="156" t="s">
        <v>282</v>
      </c>
      <c r="O57" s="156"/>
      <c r="P57" s="163">
        <f>O55</f>
        <v>900132.35475016932</v>
      </c>
      <c r="Q57" s="156"/>
    </row>
    <row r="58" spans="13:17" x14ac:dyDescent="0.2">
      <c r="M58" s="156"/>
      <c r="N58" s="156" t="s">
        <v>285</v>
      </c>
      <c r="O58" s="156"/>
      <c r="P58" s="163">
        <f>O56</f>
        <v>154462.71207512906</v>
      </c>
      <c r="Q58" s="156"/>
    </row>
    <row r="60" spans="13:17" x14ac:dyDescent="0.2">
      <c r="M60" s="170" t="s">
        <v>276</v>
      </c>
    </row>
  </sheetData>
  <pageMargins left="0.7" right="0.7" top="0.75" bottom="0.75" header="0.3" footer="0.3"/>
  <pageSetup paperSize="9" orientation="portrait" horizontalDpi="0" verticalDpi="0" r:id="rId1"/>
  <headerFooter>
    <oddHeader>&amp;C&amp;G</oddHeader>
  </headerFooter>
  <legacyDrawing r:id="rId2"/>
</worksheet>
</file>

<file path=docMetadata/LabelInfo.xml><?xml version="1.0" encoding="utf-8"?>
<clbl:labelList xmlns:clbl="http://schemas.microsoft.com/office/2020/mipLabelMetadata">
  <clbl:label id="{9eaaa079-828f-4d7d-88df-824423c32c9d}" enabled="1" method="Privileged" siteId="{affdb55a-3152-4464-981d-a774fefaac12}" removed="0"/>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23</vt:i4>
      </vt:variant>
    </vt:vector>
  </HeadingPairs>
  <TitlesOfParts>
    <vt:vector size="63" baseType="lpstr">
      <vt:lpstr>README</vt:lpstr>
      <vt:lpstr>Input</vt:lpstr>
      <vt:lpstr>Pivot</vt:lpstr>
      <vt:lpstr>Master Grouping</vt:lpstr>
      <vt:lpstr>TB BVS 31.3.25</vt:lpstr>
      <vt:lpstr>TB BVS 31.03.26</vt:lpstr>
      <vt:lpstr>BS</vt:lpstr>
      <vt:lpstr>PL</vt:lpstr>
      <vt:lpstr>CFS Working</vt:lpstr>
      <vt:lpstr>IT Computation_FY24</vt:lpstr>
      <vt:lpstr>IT Comp workings_FY24</vt:lpstr>
      <vt:lpstr>Cash Flow_FY26</vt:lpstr>
      <vt:lpstr>SOCIE</vt:lpstr>
      <vt:lpstr>PPE- note 3</vt:lpstr>
      <vt:lpstr>Draft-TC</vt:lpstr>
      <vt:lpstr>DT-FY26</vt:lpstr>
      <vt:lpstr>WA-Shares</vt:lpstr>
      <vt:lpstr>BS  Notes  3-18</vt:lpstr>
      <vt:lpstr>PL Notes 19-27</vt:lpstr>
      <vt:lpstr>Note 28-31</vt:lpstr>
      <vt:lpstr>Segment</vt:lpstr>
      <vt:lpstr>FI -32</vt:lpstr>
      <vt:lpstr>Ratios -33</vt:lpstr>
      <vt:lpstr>Note - 34-35</vt:lpstr>
      <vt:lpstr>Note -36</vt:lpstr>
      <vt:lpstr>Note - 40</vt:lpstr>
      <vt:lpstr>DT</vt:lpstr>
      <vt:lpstr>WA Share Working</vt:lpstr>
      <vt:lpstr>IT Com</vt:lpstr>
      <vt:lpstr>DT_V1-Final</vt:lpstr>
      <vt:lpstr>IT Dep</vt:lpstr>
      <vt:lpstr>CA Dep</vt:lpstr>
      <vt:lpstr>SAP TB_FY24</vt:lpstr>
      <vt:lpstr>Client TB 23</vt:lpstr>
      <vt:lpstr>Ind AS 101 - Note 22 &amp; 23</vt:lpstr>
      <vt:lpstr>Workings &gt;&gt;&gt;</vt:lpstr>
      <vt:lpstr>TB BVS 31.3.23</vt:lpstr>
      <vt:lpstr>GL Summary</vt:lpstr>
      <vt:lpstr>TB BVS 31.3.22</vt:lpstr>
      <vt:lpstr>OCPS - BVS</vt:lpstr>
      <vt:lpstr>BS!Print_Area</vt:lpstr>
      <vt:lpstr>'BS  Notes  3-18'!Print_Area</vt:lpstr>
      <vt:lpstr>'Cash Flow_FY26'!Print_Area</vt:lpstr>
      <vt:lpstr>'FI -32'!Print_Area</vt:lpstr>
      <vt:lpstr>'Ind AS 101 - Note 22 &amp; 23'!Print_Area</vt:lpstr>
      <vt:lpstr>'Note - 34-35'!Print_Area</vt:lpstr>
      <vt:lpstr>'Note - 40'!Print_Area</vt:lpstr>
      <vt:lpstr>'Note 28-31'!Print_Area</vt:lpstr>
      <vt:lpstr>'Note -36'!Print_Area</vt:lpstr>
      <vt:lpstr>PL!Print_Area</vt:lpstr>
      <vt:lpstr>'PL Notes 19-27'!Print_Area</vt:lpstr>
      <vt:lpstr>'PPE- note 3'!Print_Area</vt:lpstr>
      <vt:lpstr>'Ratios -33'!Print_Area</vt:lpstr>
      <vt:lpstr>SOCIE!Print_Area</vt:lpstr>
      <vt:lpstr>BS!Print_Titles</vt:lpstr>
      <vt:lpstr>'BS  Notes  3-18'!Print_Titles</vt:lpstr>
      <vt:lpstr>'FI -32'!Print_Titles</vt:lpstr>
      <vt:lpstr>'Ind AS 101 - Note 22 &amp; 23'!Print_Titles</vt:lpstr>
      <vt:lpstr>'Note - 40'!Print_Titles</vt:lpstr>
      <vt:lpstr>'Note -36'!Print_Titles</vt:lpstr>
      <vt:lpstr>PL!Print_Titles</vt:lpstr>
      <vt:lpstr>'PL Notes 19-27'!Print_Titles</vt:lpstr>
      <vt:lpstr>'PPE- note 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vidisha</dc:creator>
  <cp:lastModifiedBy>SNT DDS</cp:lastModifiedBy>
  <cp:lastPrinted>2026-07-12T12:01:10Z</cp:lastPrinted>
  <dcterms:created xsi:type="dcterms:W3CDTF">2022-03-15T05:44:50Z</dcterms:created>
  <dcterms:modified xsi:type="dcterms:W3CDTF">2026-08-18T10:18:54Z</dcterms:modified>
</cp:coreProperties>
</file>